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Dashboard" sheetId="2" state="visible" r:id="rId2"/>
    <sheet xmlns:r="http://schemas.openxmlformats.org/officeDocument/2006/relationships" name="Inputs" sheetId="3" state="visible" r:id="rId3"/>
    <sheet xmlns:r="http://schemas.openxmlformats.org/officeDocument/2006/relationships" name="Model" sheetId="4" state="visible" r:id="rId4"/>
    <sheet xmlns:r="http://schemas.openxmlformats.org/officeDocument/2006/relationships" name="Without ModelRisk" sheetId="5" state="visible" r:id="rId5"/>
  </sheets>
  <definedNames/>
  <calcPr calcId="124519" fullCalcOnLoad="1"/>
</workbook>
</file>

<file path=xl/styles.xml><?xml version="1.0" encoding="utf-8"?>
<styleSheet xmlns="http://schemas.openxmlformats.org/spreadsheetml/2006/main">
  <numFmts count="6">
    <numFmt numFmtId="164" formatCode="&quot;€&quot;0.00&quot;m&quot;"/>
    <numFmt numFmtId="165" formatCode="0.0"/>
    <numFmt numFmtId="166" formatCode="&quot;€&quot;0.000&quot;m&quot;"/>
    <numFmt numFmtId="167" formatCode="0.0%"/>
    <numFmt numFmtId="168" formatCode="+&quot;€&quot;0.00&quot;m&quot;;-&quot;€&quot;0.00&quot;m&quot;;&quot;€&quot;0.00&quot;m&quot;"/>
    <numFmt numFmtId="169" formatCode="0.0&quot;× its price&quot;"/>
  </numFmts>
  <fonts count="8">
    <font>
      <name val="Calibri"/>
      <family val="2"/>
      <color theme="1"/>
      <sz val="11"/>
      <scheme val="minor"/>
    </font>
    <font>
      <name val="Arial"/>
      <b val="1"/>
      <color rgb="00000000"/>
      <sz val="16"/>
    </font>
    <font>
      <name val="Arial"/>
      <i val="1"/>
      <color rgb="00555555"/>
      <sz val="9"/>
    </font>
    <font>
      <name val="Arial"/>
      <color rgb="00000000"/>
      <sz val="10"/>
    </font>
    <font>
      <name val="Arial"/>
      <b val="1"/>
      <color rgb="00000000"/>
      <sz val="12"/>
    </font>
    <font>
      <name val="Arial"/>
      <b val="1"/>
      <color rgb="00000000"/>
      <sz val="10"/>
    </font>
    <font>
      <name val="Arial"/>
      <b val="1"/>
      <color rgb="000000FF"/>
      <sz val="10"/>
    </font>
    <font>
      <name val="Arial"/>
      <color rgb="000000FF"/>
      <sz val="10"/>
    </font>
  </fonts>
  <fills count="6">
    <fill>
      <patternFill/>
    </fill>
    <fill>
      <patternFill patternType="gray125"/>
    </fill>
    <fill>
      <patternFill patternType="solid">
        <fgColor rgb="00FFFF00"/>
      </patternFill>
    </fill>
    <fill>
      <patternFill patternType="solid">
        <fgColor rgb="00E7E6E6"/>
      </patternFill>
    </fill>
    <fill>
      <patternFill patternType="solid">
        <fgColor rgb="00DDEBF7"/>
      </patternFill>
    </fill>
    <fill>
      <patternFill patternType="solid">
        <fgColor rgb="00FCE4D6"/>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42">
    <xf numFmtId="0" fontId="0" fillId="0" borderId="0" pivotButton="0" quotePrefix="0" xfId="0"/>
    <xf numFmtId="0" fontId="1" fillId="0" borderId="0" applyAlignment="1" pivotButton="0" quotePrefix="0" xfId="0">
      <alignment vertical="center" wrapText="1"/>
    </xf>
    <xf numFmtId="0" fontId="2" fillId="0" borderId="0" applyAlignment="1" pivotButton="0" quotePrefix="0" xfId="0">
      <alignment vertical="center" wrapText="1"/>
    </xf>
    <xf numFmtId="0" fontId="3" fillId="0" borderId="0" applyAlignment="1" pivotButton="0" quotePrefix="0" xfId="0">
      <alignment vertical="center" wrapText="1"/>
    </xf>
    <xf numFmtId="0" fontId="4" fillId="0" borderId="0" applyAlignment="1" pivotButton="0" quotePrefix="0" xfId="0">
      <alignment vertical="center" wrapText="1"/>
    </xf>
    <xf numFmtId="0" fontId="5" fillId="0" borderId="0" applyAlignment="1" pivotButton="0" quotePrefix="0" xfId="0">
      <alignment vertical="center" wrapText="1"/>
    </xf>
    <xf numFmtId="0" fontId="1" fillId="0" borderId="0" applyAlignment="1" pivotButton="0" quotePrefix="0" xfId="0">
      <alignment vertical="center"/>
    </xf>
    <xf numFmtId="0" fontId="5" fillId="3" borderId="1" applyAlignment="1" pivotButton="0" quotePrefix="0" xfId="0">
      <alignment vertical="center" wrapText="1"/>
    </xf>
    <xf numFmtId="0" fontId="5" fillId="3" borderId="1" applyAlignment="1" pivotButton="0" quotePrefix="0" xfId="0">
      <alignment horizontal="center" vertical="center" wrapText="1"/>
    </xf>
    <xf numFmtId="0" fontId="3" fillId="0" borderId="1" applyAlignment="1" pivotButton="0" quotePrefix="0" xfId="0">
      <alignment vertical="center" wrapText="1"/>
    </xf>
    <xf numFmtId="164" fontId="5" fillId="0" borderId="1" applyAlignment="1" pivotButton="0" quotePrefix="0" xfId="0">
      <alignment horizontal="center" vertical="center" wrapText="1"/>
    </xf>
    <xf numFmtId="168" fontId="3" fillId="0" borderId="1" applyAlignment="1" pivotButton="0" quotePrefix="0" xfId="0">
      <alignment horizontal="center" vertical="center" wrapText="1"/>
    </xf>
    <xf numFmtId="2" fontId="3" fillId="0" borderId="1" applyAlignment="1" pivotButton="0" quotePrefix="0" xfId="0">
      <alignment horizontal="center" vertical="center" wrapText="1"/>
    </xf>
    <xf numFmtId="1" fontId="3" fillId="0" borderId="1" applyAlignment="1" pivotButton="0" quotePrefix="0" xfId="0">
      <alignment horizontal="center" vertical="center" wrapText="1"/>
    </xf>
    <xf numFmtId="164" fontId="3" fillId="4" borderId="1" applyAlignment="1" pivotButton="0" quotePrefix="0" xfId="0">
      <alignment horizontal="center" vertical="center" wrapText="1"/>
    </xf>
    <xf numFmtId="167" fontId="3" fillId="4" borderId="1" applyAlignment="1" pivotButton="0" quotePrefix="0" xfId="0">
      <alignment horizontal="center" vertical="center" wrapText="1"/>
    </xf>
    <xf numFmtId="167" fontId="5" fillId="4" borderId="1" applyAlignment="1" pivotButton="0" quotePrefix="0" xfId="0">
      <alignment horizontal="center" vertical="center" wrapText="1"/>
    </xf>
    <xf numFmtId="166" fontId="5" fillId="4" borderId="1" applyAlignment="1" pivotButton="0" quotePrefix="0" xfId="0">
      <alignment horizontal="center" vertical="center" wrapText="1"/>
    </xf>
    <xf numFmtId="169" fontId="3" fillId="4" borderId="1" applyAlignment="1" pivotButton="0" quotePrefix="0" xfId="0">
      <alignment horizontal="center" vertical="center" wrapText="1"/>
    </xf>
    <xf numFmtId="164" fontId="7" fillId="0" borderId="1" applyAlignment="1" pivotButton="0" quotePrefix="0" xfId="0">
      <alignment horizontal="center" vertical="center" wrapText="1"/>
    </xf>
    <xf numFmtId="167" fontId="7" fillId="0" borderId="1" applyAlignment="1" pivotButton="0" quotePrefix="0" xfId="0">
      <alignment horizontal="center" vertical="center" wrapText="1"/>
    </xf>
    <xf numFmtId="166" fontId="7" fillId="0" borderId="1" applyAlignment="1" pivotButton="0" quotePrefix="0" xfId="0">
      <alignment horizontal="center" vertical="center" wrapText="1"/>
    </xf>
    <xf numFmtId="169" fontId="7" fillId="0" borderId="1" applyAlignment="1" pivotButton="0" quotePrefix="0" xfId="0">
      <alignment horizontal="center" vertical="center" wrapText="1"/>
    </xf>
    <xf numFmtId="1" fontId="6" fillId="2" borderId="1" applyAlignment="1" pivotButton="0" quotePrefix="0" xfId="0">
      <alignment horizontal="center" vertical="center"/>
    </xf>
    <xf numFmtId="164" fontId="6" fillId="2" borderId="1" applyAlignment="1" pivotButton="0" quotePrefix="0" xfId="0">
      <alignment horizontal="center" vertical="center"/>
    </xf>
    <xf numFmtId="165" fontId="6" fillId="2" borderId="1" applyAlignment="1" pivotButton="0" quotePrefix="0" xfId="0">
      <alignment horizontal="center" vertical="center"/>
    </xf>
    <xf numFmtId="9" fontId="6" fillId="2" borderId="1" applyAlignment="1" pivotButton="0" quotePrefix="0" xfId="0">
      <alignment horizontal="center" vertical="center"/>
    </xf>
    <xf numFmtId="166" fontId="6" fillId="2" borderId="1" applyAlignment="1" pivotButton="0" quotePrefix="0" xfId="0">
      <alignment horizontal="center" vertical="center"/>
    </xf>
    <xf numFmtId="2" fontId="6" fillId="2" borderId="1" applyAlignment="1" pivotButton="0" quotePrefix="0" xfId="0">
      <alignment horizontal="center" vertical="center"/>
    </xf>
    <xf numFmtId="167" fontId="6" fillId="2" borderId="1" applyAlignment="1" pivotButton="0" quotePrefix="0" xfId="0">
      <alignment horizontal="center" vertical="center"/>
    </xf>
    <xf numFmtId="0" fontId="6" fillId="2" borderId="1" applyAlignment="1" pivotButton="0" quotePrefix="0" xfId="0">
      <alignment horizontal="center" vertical="center"/>
    </xf>
    <xf numFmtId="166" fontId="3" fillId="0" borderId="1" applyAlignment="1" pivotButton="0" quotePrefix="0" xfId="0">
      <alignment horizontal="center" vertical="center" wrapText="1"/>
    </xf>
    <xf numFmtId="1" fontId="7" fillId="0" borderId="1" applyAlignment="1" pivotButton="0" quotePrefix="0" xfId="0">
      <alignment horizontal="center" vertical="center" wrapText="1"/>
    </xf>
    <xf numFmtId="2" fontId="7" fillId="0" borderId="1" applyAlignment="1" pivotButton="0" quotePrefix="0" xfId="0">
      <alignment horizontal="center" vertical="center" wrapText="1"/>
    </xf>
    <xf numFmtId="164" fontId="3" fillId="0" borderId="1" applyAlignment="1" pivotButton="0" quotePrefix="0" xfId="0">
      <alignment horizontal="center" vertical="center" wrapText="1"/>
    </xf>
    <xf numFmtId="166" fontId="5" fillId="0" borderId="1" applyAlignment="1" pivotButton="0" quotePrefix="0" xfId="0">
      <alignment horizontal="center" vertical="center" wrapText="1"/>
    </xf>
    <xf numFmtId="1" fontId="5" fillId="0" borderId="1" applyAlignment="1" pivotButton="0" quotePrefix="0" xfId="0">
      <alignment horizontal="center" vertical="center" wrapText="1"/>
    </xf>
    <xf numFmtId="2" fontId="5" fillId="0" borderId="1" applyAlignment="1" pivotButton="0" quotePrefix="0" xfId="0">
      <alignment horizontal="center" vertical="center" wrapText="1"/>
    </xf>
    <xf numFmtId="1" fontId="3" fillId="4" borderId="1" applyAlignment="1" pivotButton="0" quotePrefix="0" xfId="0">
      <alignment horizontal="center" vertical="center" wrapText="1"/>
    </xf>
    <xf numFmtId="0" fontId="5" fillId="5" borderId="1" applyAlignment="1" pivotButton="0" quotePrefix="0" xfId="0">
      <alignment vertical="center" wrapText="1"/>
    </xf>
    <xf numFmtId="164" fontId="5" fillId="5" borderId="1" applyAlignment="1" pivotButton="0" quotePrefix="0" xfId="0">
      <alignment horizontal="center" vertical="center" wrapText="1"/>
    </xf>
    <xf numFmtId="1" fontId="5" fillId="4" borderId="1" applyAlignment="1" pivotButton="0" quotePrefix="0" xfId="0">
      <alignment horizontal="center"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B1:B22"/>
  <sheetViews>
    <sheetView showGridLines="0" workbookViewId="0">
      <selection activeCell="A1" sqref="A1"/>
    </sheetView>
  </sheetViews>
  <sheetFormatPr baseColWidth="8" defaultRowHeight="15"/>
  <cols>
    <col width="3" customWidth="1" min="1" max="1"/>
    <col width="115" customWidth="1" min="2" max="2"/>
  </cols>
  <sheetData>
    <row r="1" ht="24" customHeight="1">
      <c r="B1" s="1" t="inlineStr">
        <is>
          <t>Four Risk Managers and a Mustard Factory</t>
        </is>
      </c>
    </row>
    <row r="2" ht="13.5" customHeight="1">
      <c r="B2" s="2" t="inlineStr">
        <is>
          <t>A Vose Software workbook · runs in Excel with ModelRisk · a plain-Excel version is included for readers without it</t>
        </is>
      </c>
    </row>
    <row r="3">
      <c r="B3" s="3" t="inlineStr"/>
    </row>
    <row r="4" ht="13.5" customHeight="1">
      <c r="B4" s="4" t="inlineStr">
        <is>
          <t>What this is</t>
        </is>
      </c>
    </row>
    <row r="5" ht="40.5" customHeight="1">
      <c r="B5" s="3" t="inlineStr">
        <is>
          <t>One project, five risk managers, identical luck. A family condiment firm builds a new €10m mustard filling line: 12 months, planned finish 30 September, and it must be commissioned by 31 October to catch the Christmas season. The same risks hit the same project in five parallel universes. The only thing that differs is how each risk manager works:</t>
        </is>
      </c>
    </row>
    <row r="6" ht="54" customHeight="1">
      <c r="B6" s="3" t="inlineStr">
        <is>
          <t>Brian keeps a heat-map register and manages the top ten.  Sandra adds 10% and six weeks and calls it contingency.  Quentin models the risks quantitatively and spends where the model says it pays: an early acceptance test at the supplier's works, re-sequenced commissioning, fire-only insurance and a P80 budget.  Petra transfers risk: a full insurance package with delay-in-start-up cover.  Trevor keeps no register at all.</t>
        </is>
      </c>
    </row>
    <row r="7" ht="27" customHeight="1">
      <c r="B7" s="3" t="inlineStr">
        <is>
          <t>Every universe reads the same random draw in every iteration (common random numbers), so any difference in outcome is caused by method, never by luck.</t>
        </is>
      </c>
    </row>
    <row r="8">
      <c r="B8" s="3" t="inlineStr"/>
    </row>
    <row r="9" ht="13.5" customHeight="1">
      <c r="B9" s="4" t="inlineStr">
        <is>
          <t>How to run it (ModelRisk)</t>
        </is>
      </c>
    </row>
    <row r="10" ht="67.5" customHeight="1">
      <c r="B10" s="3" t="inlineStr">
        <is>
          <t>1.  Check that 'Replay the story year' on the Inputs sheet is 0.
2.  In the ModelRisk ribbon, open Simulation Settings: Samples 10,000, Simulations 1.
3.  Click Start. The 'Simulation results' table on the Dashboard fills in: mean, P50, P80 and P95 cost for each risk manager, the chance each one misses the Christmas season, and how often Brian ends up cheaper than Quentin.
4.  Open the Results Viewer on the five totals to see the whole distributions side by side. The story is in the tails.</t>
        </is>
      </c>
    </row>
    <row r="11" ht="27" customHeight="1">
      <c r="B11" s="2" t="inlineStr">
        <is>
          <t>Tip: pressing F9 without a simulation shows one random year. Set 'Replay the story year' to 1 to see the year told in the article, where the filler fails acceptance.</t>
        </is>
      </c>
    </row>
    <row r="12">
      <c r="B12" s="3" t="inlineStr"/>
    </row>
    <row r="13" ht="13.5" customHeight="1">
      <c r="B13" s="4" t="inlineStr">
        <is>
          <t>The sheets</t>
        </is>
      </c>
    </row>
    <row r="14" ht="13.5" customHeight="1">
      <c r="B14" s="3" t="inlineStr">
        <is>
          <t>Inputs: every assumption, in blue. Change any of them and re-run.</t>
        </is>
      </c>
    </row>
    <row r="15" ht="13.5" customHeight="1">
      <c r="B15" s="3" t="inlineStr">
        <is>
          <t>Dashboard: this year's five totals, the simulation results, and the reference values from Vose's Python model.</t>
        </is>
      </c>
    </row>
    <row r="16" ht="27" customHeight="1">
      <c r="B16" s="3" t="inlineStr">
        <is>
          <t>Model: the risk register (39 small 'green' snags, 12 months of scope creep, the filler, the fire) with a live draw and the story-year value for every item, then the five universes calculated side by side.</t>
        </is>
      </c>
    </row>
    <row r="17" ht="27" customHeight="1">
      <c r="B17" s="3" t="inlineStr">
        <is>
          <t>Without ModelRisk: the same model in plain Excel (RAND). Press F9 for one random year at a time. ModelRisk runs ten thousand and gives you the distributions.</t>
        </is>
      </c>
    </row>
    <row r="18">
      <c r="B18" s="3" t="inlineStr"/>
    </row>
    <row r="19" ht="13.5" customHeight="1">
      <c r="B19" s="4" t="inlineStr">
        <is>
          <t>The three behavioural assumptions</t>
        </is>
      </c>
    </row>
    <row r="20" ht="67.5" customHeight="1">
      <c r="B20" s="3" t="inlineStr">
        <is>
          <t>Sandra's budget carries a +5% 'Parkinson' factor: money that is available tends to get spent. Trevor, with nobody asking whether each change is worth it, gets twice the scope creep, and problems found late cost him 30% more to fix. Everything else in the model is a physical or contractual mechanism. All three are on the Inputs sheet. Set Sandra's Parkinson factor to 0 and she becomes Brian with €1m of false comfort. Set both of Trevor's multipliers to 1 and he becomes Brian without the paperwork.</t>
        </is>
      </c>
    </row>
    <row r="21">
      <c r="B21" s="3" t="inlineStr"/>
    </row>
    <row r="22" ht="13.5" customHeight="1">
      <c r="B22" s="5" t="inlineStr">
        <is>
          <t>Don't have ModelRisk? Free 15-day trial: https://www.vosesoftware.com/Risk-In-Excel/Download-ModelRisk-trial.php</t>
        </is>
      </c>
    </row>
  </sheetData>
  <pageMargins left="0.75" right="0.75" top="1" bottom="1" header="0.5" footer="0.5"/>
  <pageSetup fitToHeight="0" fitToWidth="1"/>
</worksheet>
</file>

<file path=xl/worksheets/sheet2.xml><?xml version="1.0" encoding="utf-8"?>
<worksheet xmlns="http://schemas.openxmlformats.org/spreadsheetml/2006/main">
  <sheetPr>
    <outlinePr summaryBelow="1" summaryRight="1"/>
    <pageSetUpPr fitToPage="1"/>
  </sheetPr>
  <dimension ref="B1:G36"/>
  <sheetViews>
    <sheetView showGridLines="0" workbookViewId="0">
      <selection activeCell="A1" sqref="A1"/>
    </sheetView>
  </sheetViews>
  <sheetFormatPr baseColWidth="8" defaultRowHeight="15"/>
  <cols>
    <col width="3" customWidth="1" min="1" max="1"/>
    <col width="52" customWidth="1" min="2" max="2"/>
    <col width="14" customWidth="1" min="3" max="3"/>
    <col width="14" customWidth="1" min="4" max="4"/>
    <col width="14" customWidth="1" min="5" max="5"/>
    <col width="14" customWidth="1" min="6" max="6"/>
    <col width="14" customWidth="1" min="7" max="7"/>
  </cols>
  <sheetData>
    <row r="1" ht="26" customHeight="1">
      <c r="B1" s="6" t="inlineStr">
        <is>
          <t>Four Risk Managers and a Mustard Factory: Dashboard</t>
        </is>
      </c>
    </row>
    <row r="2" ht="28" customHeight="1">
      <c r="B2" s="2" t="inlineStr">
        <is>
          <t>Light-blue cells are ModelRisk results: run 1 simulation × 10,000 samples (see Read me). Blue numbers in the reference table are the Python reference model's.</t>
        </is>
      </c>
    </row>
    <row r="3"/>
    <row r="4" ht="20" customHeight="1">
      <c r="B4" s="4" t="inlineStr">
        <is>
          <t>This year (changes with every F9; set the story switch to 1 for the article's year)</t>
        </is>
      </c>
    </row>
    <row r="5" ht="30" customHeight="1">
      <c r="B5" s="7" t="inlineStr"/>
      <c r="C5" s="8" t="inlineStr">
        <is>
          <t>Brian</t>
        </is>
      </c>
      <c r="D5" s="8" t="inlineStr">
        <is>
          <t>Sandra</t>
        </is>
      </c>
      <c r="E5" s="8" t="inlineStr">
        <is>
          <t>Quentin</t>
        </is>
      </c>
      <c r="F5" s="8" t="inlineStr">
        <is>
          <t>Petra</t>
        </is>
      </c>
      <c r="G5" s="8" t="inlineStr">
        <is>
          <t>Trevor</t>
        </is>
      </c>
    </row>
    <row r="6">
      <c r="B6" s="9" t="inlineStr">
        <is>
          <t>Total cost</t>
        </is>
      </c>
      <c r="C6" s="10">
        <f>Model!C89</f>
        <v/>
      </c>
      <c r="D6" s="10">
        <f>Model!D89</f>
        <v/>
      </c>
      <c r="E6" s="10">
        <f>Model!E89</f>
        <v/>
      </c>
      <c r="F6" s="10">
        <f>Model!F89</f>
        <v/>
      </c>
      <c r="G6" s="10">
        <f>Model!G89</f>
        <v/>
      </c>
    </row>
    <row r="7">
      <c r="B7" s="9" t="inlineStr">
        <is>
          <t>Over (+) or under (−) budget</t>
        </is>
      </c>
      <c r="C7" s="11">
        <f>Model!C90</f>
        <v/>
      </c>
      <c r="D7" s="11">
        <f>Model!D90</f>
        <v/>
      </c>
      <c r="E7" s="11">
        <f>Model!E90</f>
        <v/>
      </c>
      <c r="F7" s="11">
        <f>Model!F90</f>
        <v/>
      </c>
      <c r="G7" s="11">
        <f>Model!G90</f>
        <v/>
      </c>
    </row>
    <row r="8">
      <c r="B8" s="9" t="inlineStr">
        <is>
          <t>Delay (months)</t>
        </is>
      </c>
      <c r="C8" s="12">
        <f>Model!C79</f>
        <v/>
      </c>
      <c r="D8" s="12">
        <f>Model!D79</f>
        <v/>
      </c>
      <c r="E8" s="12">
        <f>Model!E79</f>
        <v/>
      </c>
      <c r="F8" s="12">
        <f>Model!F79</f>
        <v/>
      </c>
      <c r="G8" s="12">
        <f>Model!G79</f>
        <v/>
      </c>
    </row>
    <row r="9">
      <c r="B9" s="9" t="inlineStr">
        <is>
          <t>Christmas season missed (1 = yes)</t>
        </is>
      </c>
      <c r="C9" s="13">
        <f>Model!C83</f>
        <v/>
      </c>
      <c r="D9" s="13">
        <f>Model!D83</f>
        <v/>
      </c>
      <c r="E9" s="13">
        <f>Model!E83</f>
        <v/>
      </c>
      <c r="F9" s="13">
        <f>Model!F83</f>
        <v/>
      </c>
      <c r="G9" s="13">
        <f>Model!G83</f>
        <v/>
      </c>
    </row>
    <row r="10">
      <c r="B10" s="2" t="inlineStr">
        <is>
          <t>Story switch is currently</t>
        </is>
      </c>
      <c r="C10" s="2">
        <f>IF(Inputs!$C$4=1,"ON: story year","OFF: random")</f>
        <v/>
      </c>
    </row>
    <row r="11"/>
    <row r="12" ht="20" customHeight="1">
      <c r="B12" s="4" t="inlineStr">
        <is>
          <t>Simulation results (after one run of 10,000 samples)</t>
        </is>
      </c>
    </row>
    <row r="13" ht="30" customHeight="1">
      <c r="B13" s="7" t="inlineStr"/>
      <c r="C13" s="8" t="inlineStr">
        <is>
          <t>Brian</t>
        </is>
      </c>
      <c r="D13" s="8" t="inlineStr">
        <is>
          <t>Sandra</t>
        </is>
      </c>
      <c r="E13" s="8" t="inlineStr">
        <is>
          <t>Quentin</t>
        </is>
      </c>
      <c r="F13" s="8" t="inlineStr">
        <is>
          <t>Petra</t>
        </is>
      </c>
      <c r="G13" s="8" t="inlineStr">
        <is>
          <t>Trevor</t>
        </is>
      </c>
    </row>
    <row r="14">
      <c r="B14" s="9" t="inlineStr">
        <is>
          <t>Mean cost</t>
        </is>
      </c>
      <c r="C14" s="14">
        <f>VoseSimMean(Model!C89,1)</f>
        <v/>
      </c>
      <c r="D14" s="14">
        <f>VoseSimMean(Model!D89,1)</f>
        <v/>
      </c>
      <c r="E14" s="14">
        <f>VoseSimMean(Model!E89,1)</f>
        <v/>
      </c>
      <c r="F14" s="14">
        <f>VoseSimMean(Model!F89,1)</f>
        <v/>
      </c>
      <c r="G14" s="14">
        <f>VoseSimMean(Model!G89,1)</f>
        <v/>
      </c>
    </row>
    <row r="15">
      <c r="B15" s="9" t="inlineStr">
        <is>
          <t>P50 cost</t>
        </is>
      </c>
      <c r="C15" s="14">
        <f>VoseSimPercentile(Model!C89,0.5,1)</f>
        <v/>
      </c>
      <c r="D15" s="14">
        <f>VoseSimPercentile(Model!D89,0.5,1)</f>
        <v/>
      </c>
      <c r="E15" s="14">
        <f>VoseSimPercentile(Model!E89,0.5,1)</f>
        <v/>
      </c>
      <c r="F15" s="14">
        <f>VoseSimPercentile(Model!F89,0.5,1)</f>
        <v/>
      </c>
      <c r="G15" s="14">
        <f>VoseSimPercentile(Model!G89,0.5,1)</f>
        <v/>
      </c>
    </row>
    <row r="16">
      <c r="B16" s="9" t="inlineStr">
        <is>
          <t>P80 cost</t>
        </is>
      </c>
      <c r="C16" s="14">
        <f>VoseSimPercentile(Model!C89,0.8,1)</f>
        <v/>
      </c>
      <c r="D16" s="14">
        <f>VoseSimPercentile(Model!D89,0.8,1)</f>
        <v/>
      </c>
      <c r="E16" s="14">
        <f>VoseSimPercentile(Model!E89,0.8,1)</f>
        <v/>
      </c>
      <c r="F16" s="14">
        <f>VoseSimPercentile(Model!F89,0.8,1)</f>
        <v/>
      </c>
      <c r="G16" s="14">
        <f>VoseSimPercentile(Model!G89,0.8,1)</f>
        <v/>
      </c>
    </row>
    <row r="17">
      <c r="B17" s="9" t="inlineStr">
        <is>
          <t>P95 cost</t>
        </is>
      </c>
      <c r="C17" s="14">
        <f>VoseSimPercentile(Model!C89,0.95,1)</f>
        <v/>
      </c>
      <c r="D17" s="14">
        <f>VoseSimPercentile(Model!D89,0.95,1)</f>
        <v/>
      </c>
      <c r="E17" s="14">
        <f>VoseSimPercentile(Model!E89,0.95,1)</f>
        <v/>
      </c>
      <c r="F17" s="14">
        <f>VoseSimPercentile(Model!F89,0.95,1)</f>
        <v/>
      </c>
      <c r="G17" s="14">
        <f>VoseSimPercentile(Model!G89,0.95,1)</f>
        <v/>
      </c>
    </row>
    <row r="18">
      <c r="B18" s="9" t="inlineStr">
        <is>
          <t>Chance of missing the Christmas season</t>
        </is>
      </c>
      <c r="C18" s="15">
        <f>VoseSimMean(Model!C83,1)</f>
        <v/>
      </c>
      <c r="D18" s="15">
        <f>VoseSimMean(Model!D83,1)</f>
        <v/>
      </c>
      <c r="E18" s="15">
        <f>VoseSimMean(Model!E83,1)</f>
        <v/>
      </c>
      <c r="F18" s="15">
        <f>VoseSimMean(Model!F83,1)</f>
        <v/>
      </c>
      <c r="G18" s="15">
        <f>VoseSimMean(Model!G83,1)</f>
        <v/>
      </c>
    </row>
    <row r="19"/>
    <row r="20">
      <c r="B20" s="9" t="inlineStr">
        <is>
          <t>How often Brian ends up cheaper than Quentin</t>
        </is>
      </c>
      <c r="C20" s="16">
        <f>VoseSimMean(Model!C92,1)</f>
        <v/>
      </c>
    </row>
    <row r="21" ht="28" customHeight="1">
      <c r="B21" s="9" t="inlineStr">
        <is>
          <t>Value of Quentin's acceptance test (expected saving, before its price)</t>
        </is>
      </c>
      <c r="C21" s="17">
        <f>VoseSimMean(Model!H89,1)-VoseSimMean(Model!E89,1)+Inputs!$C$31</f>
        <v/>
      </c>
      <c r="D21" s="18">
        <f>C21/Inputs!$C$31</f>
        <v/>
      </c>
    </row>
    <row r="22"/>
    <row r="23" ht="20" customHeight="1">
      <c r="B23" s="4" t="inlineStr">
        <is>
          <t>What you should see (Vose Python reference model, 10,000 replays, seed 20260921)</t>
        </is>
      </c>
    </row>
    <row r="24" ht="30" customHeight="1">
      <c r="B24" s="7" t="inlineStr"/>
      <c r="C24" s="8" t="inlineStr">
        <is>
          <t>Brian</t>
        </is>
      </c>
      <c r="D24" s="8" t="inlineStr">
        <is>
          <t>Sandra</t>
        </is>
      </c>
      <c r="E24" s="8" t="inlineStr">
        <is>
          <t>Quentin</t>
        </is>
      </c>
      <c r="F24" s="8" t="inlineStr">
        <is>
          <t>Petra</t>
        </is>
      </c>
      <c r="G24" s="8" t="inlineStr">
        <is>
          <t>Trevor</t>
        </is>
      </c>
    </row>
    <row r="25">
      <c r="B25" s="9" t="inlineStr">
        <is>
          <t>Mean cost</t>
        </is>
      </c>
      <c r="C25" s="19" t="n">
        <v>11.1967</v>
      </c>
      <c r="D25" s="19" t="n">
        <v>11.6967</v>
      </c>
      <c r="E25" s="19" t="n">
        <v>10.8163</v>
      </c>
      <c r="F25" s="19" t="n">
        <v>11.8063</v>
      </c>
      <c r="G25" s="19" t="n">
        <v>11.4747</v>
      </c>
    </row>
    <row r="26">
      <c r="B26" s="9" t="inlineStr">
        <is>
          <t>P50 cost</t>
        </is>
      </c>
      <c r="C26" s="19" t="n">
        <v>10.5433</v>
      </c>
      <c r="D26" s="19" t="n">
        <v>11.0433</v>
      </c>
      <c r="E26" s="19" t="n">
        <v>10.7525</v>
      </c>
      <c r="F26" s="19" t="n">
        <v>11.2417</v>
      </c>
      <c r="G26" s="19" t="n">
        <v>10.7376</v>
      </c>
    </row>
    <row r="27">
      <c r="B27" s="9" t="inlineStr">
        <is>
          <t>P80 cost</t>
        </is>
      </c>
      <c r="C27" s="19" t="n">
        <v>10.7664</v>
      </c>
      <c r="D27" s="19" t="n">
        <v>11.2664</v>
      </c>
      <c r="E27" s="19" t="n">
        <v>10.9108</v>
      </c>
      <c r="F27" s="19" t="n">
        <v>11.4285</v>
      </c>
      <c r="G27" s="19" t="n">
        <v>11.0509</v>
      </c>
    </row>
    <row r="28">
      <c r="B28" s="9" t="inlineStr">
        <is>
          <t>P95 cost</t>
        </is>
      </c>
      <c r="C28" s="19" t="n">
        <v>14.23</v>
      </c>
      <c r="D28" s="19" t="n">
        <v>14.73</v>
      </c>
      <c r="E28" s="19" t="n">
        <v>11.3126</v>
      </c>
      <c r="F28" s="19" t="n">
        <v>14.8509</v>
      </c>
      <c r="G28" s="19" t="n">
        <v>14.9276</v>
      </c>
    </row>
    <row r="29">
      <c r="B29" s="9" t="inlineStr">
        <is>
          <t>Chance of missing the Christmas season</t>
        </is>
      </c>
      <c r="C29" s="20" t="n">
        <v>0.1845</v>
      </c>
      <c r="D29" s="20" t="n">
        <v>0.1845</v>
      </c>
      <c r="E29" s="20" t="n">
        <v>0.0022</v>
      </c>
      <c r="F29" s="20" t="n">
        <v>0.1845</v>
      </c>
      <c r="G29" s="20" t="n">
        <v>0.1845</v>
      </c>
    </row>
    <row r="30">
      <c r="B30" s="9" t="inlineStr">
        <is>
          <t>How often Brian ends up cheaper than Quentin</t>
        </is>
      </c>
      <c r="C30" s="20" t="n">
        <v>0.8080000000000001</v>
      </c>
    </row>
    <row r="31">
      <c r="B31" s="9" t="inlineStr">
        <is>
          <t>Value of Quentin's acceptance test</t>
        </is>
      </c>
      <c r="C31" s="21" t="n">
        <v>0.4621</v>
      </c>
      <c r="D31" s="22" t="n">
        <v>3.85</v>
      </c>
    </row>
    <row r="32" ht="15" customHeight="1">
      <c r="B32" s="9" t="inlineStr">
        <is>
          <t>The story year (iteration 734): total cost</t>
        </is>
      </c>
      <c r="C32" s="19" t="n">
        <v>14.0573</v>
      </c>
      <c r="D32" s="19" t="n">
        <v>14.5573</v>
      </c>
      <c r="E32" s="19" t="n">
        <v>11.3102</v>
      </c>
      <c r="F32" s="19" t="n">
        <v>14.7573</v>
      </c>
      <c r="G32" s="19" t="n">
        <v>14.6922</v>
      </c>
    </row>
    <row r="33"/>
    <row r="34" ht="44" customHeight="1">
      <c r="B34" s="3" t="inlineStr">
        <is>
          <t>Reading it: in the quiet majority of years Quentin's tests and premiums buy nothing you can see, and Brian is cheaper. Quentin wins on the average and decisively in the bad years (P95). That is why Brian still has a job, and why he shouldn't.</t>
        </is>
      </c>
    </row>
    <row r="35"/>
    <row r="36" ht="28" customHeight="1">
      <c r="B36" s="2" t="inlineStr">
        <is>
          <t>No ModelRisk? The 'Without ModelRisk' sheet runs one random year per F9. Free 15-day trial: https://www.vosesoftware.com/Risk-In-Excel/Download-ModelRisk-trial.php</t>
        </is>
      </c>
    </row>
  </sheetData>
  <mergeCells count="6">
    <mergeCell ref="B2:G2"/>
    <mergeCell ref="B34:G34"/>
    <mergeCell ref="B36:G36"/>
    <mergeCell ref="B23:G23"/>
    <mergeCell ref="B4:G4"/>
    <mergeCell ref="B12:G12"/>
  </mergeCells>
  <pageMargins left="0.75" right="0.75" top="1" bottom="1" header="0.5" footer="0.5"/>
  <pageSetup fitToHeight="0" fitToWidth="1"/>
</worksheet>
</file>

<file path=xl/worksheets/sheet3.xml><?xml version="1.0" encoding="utf-8"?>
<worksheet xmlns="http://schemas.openxmlformats.org/spreadsheetml/2006/main">
  <sheetPr>
    <outlinePr summaryBelow="1" summaryRight="1"/>
    <pageSetUpPr fitToPage="1"/>
  </sheetPr>
  <dimension ref="B1:H45"/>
  <sheetViews>
    <sheetView showGridLines="0" workbookViewId="0">
      <selection activeCell="A1" sqref="A1"/>
    </sheetView>
  </sheetViews>
  <sheetFormatPr baseColWidth="8" defaultRowHeight="15"/>
  <cols>
    <col width="3" customWidth="1" min="1" max="1"/>
    <col width="62" customWidth="1" min="2" max="2"/>
    <col width="14" customWidth="1" min="3" max="3"/>
    <col width="14" customWidth="1" min="4" max="4"/>
    <col width="14" customWidth="1" min="5" max="5"/>
    <col width="14" customWidth="1" min="6" max="6"/>
    <col width="14" customWidth="1" min="7" max="7"/>
    <col width="16" customWidth="1" min="8" max="8"/>
  </cols>
  <sheetData>
    <row r="1" ht="24" customHeight="1">
      <c r="B1" s="6" t="inlineStr">
        <is>
          <t>Inputs</t>
        </is>
      </c>
    </row>
    <row r="2">
      <c r="B2" s="2" t="inlineStr">
        <is>
          <t>Blue cells are assumptions. Money in € millions, time in months.</t>
        </is>
      </c>
    </row>
    <row r="3"/>
    <row r="4" ht="27" customHeight="1">
      <c r="B4" s="5" t="inlineStr">
        <is>
          <t>Replay the story year (1 = yes, 0 = random years)</t>
        </is>
      </c>
      <c r="C4" s="23" t="n">
        <v>0</v>
      </c>
      <c r="D4" s="2" t="inlineStr">
        <is>
          <t>1 replaces every draw with iteration 734 of the reference model: the filler fails, snags come in around P80, no fire.</t>
        </is>
      </c>
    </row>
    <row r="5"/>
    <row r="6" ht="13.5" customHeight="1">
      <c r="B6" s="3" t="inlineStr">
        <is>
          <t>Base budget</t>
        </is>
      </c>
      <c r="C6" s="24" t="n">
        <v>10</v>
      </c>
    </row>
    <row r="7" ht="13.5" customHeight="1">
      <c r="B7" s="3" t="inlineStr">
        <is>
          <t>Planned finish (month of the year, 9 = end September)</t>
        </is>
      </c>
      <c r="C7" s="25" t="n">
        <v>9</v>
      </c>
    </row>
    <row r="8" ht="13.5" customHeight="1">
      <c r="B8" s="3" t="inlineStr">
        <is>
          <t>Season gate (month, 10 = commissioned by end October)</t>
        </is>
      </c>
      <c r="C8" s="25" t="n">
        <v>10</v>
      </c>
      <c r="D8" s="2" t="inlineStr">
        <is>
          <t>Miss it and the Christmas season is lost.</t>
        </is>
      </c>
    </row>
    <row r="9" ht="13.5" customHeight="1">
      <c r="B9" s="3" t="inlineStr">
        <is>
          <t>Cost of each month of delay</t>
        </is>
      </c>
      <c r="C9" s="24" t="n">
        <v>0.12</v>
      </c>
      <c r="D9" s="2" t="inlineStr">
        <is>
          <t>Prelims, standing army.</t>
        </is>
      </c>
    </row>
    <row r="10" ht="13.5" customHeight="1">
      <c r="B10" s="3" t="inlineStr">
        <is>
          <t>Lost Christmas contribution if the gate is missed</t>
        </is>
      </c>
      <c r="C10" s="24" t="n">
        <v>1.5</v>
      </c>
    </row>
    <row r="11"/>
    <row r="12" ht="13.5" customHeight="1">
      <c r="B12" s="3" t="inlineStr">
        <is>
          <t>R1 snag swarm: chance each of the 39 small 'green' snags bites</t>
        </is>
      </c>
      <c r="C12" s="26" t="n">
        <v>0.5</v>
      </c>
      <c r="D12" s="2" t="inlineStr">
        <is>
          <t>Register rows 23–61, each individually trivial.</t>
        </is>
      </c>
    </row>
    <row r="13" ht="13.5" customHeight="1">
      <c r="B13" s="3" t="inlineStr">
        <is>
          <t>R1: mean cost of a snag</t>
        </is>
      </c>
      <c r="C13" s="27" t="n">
        <v>0.015</v>
      </c>
      <c r="D13" s="2" t="inlineStr">
        <is>
          <t>Lognormal</t>
        </is>
      </c>
    </row>
    <row r="14" ht="13.5" customHeight="1">
      <c r="B14" s="3" t="inlineStr">
        <is>
          <t>R1: standard deviation of a snag's cost</t>
        </is>
      </c>
      <c r="C14" s="27" t="n">
        <v>0.012</v>
      </c>
    </row>
    <row r="15" ht="27" customHeight="1">
      <c r="B15" s="3" t="inlineStr">
        <is>
          <t>R1: schedule friction if an average number of snags bite (months, mean)</t>
        </is>
      </c>
      <c r="C15" s="28" t="n">
        <v>0.4</v>
      </c>
      <c r="D15" s="2" t="inlineStr">
        <is>
          <t>Lognormal, scaled by how many snags actually bite</t>
        </is>
      </c>
    </row>
    <row r="16" ht="13.5" customHeight="1">
      <c r="B16" s="3" t="inlineStr">
        <is>
          <t>R1: schedule friction, standard deviation (months)</t>
        </is>
      </c>
      <c r="C16" s="28" t="n">
        <v>0.25</v>
      </c>
    </row>
    <row r="17" ht="13.5" customHeight="1">
      <c r="B17" s="3" t="inlineStr">
        <is>
          <t>R2: chance the bespoke filler fails acceptance</t>
        </is>
      </c>
      <c r="C17" s="26" t="n">
        <v>0.15</v>
      </c>
    </row>
    <row r="18" ht="13.5" customHeight="1">
      <c r="B18" s="3" t="inlineStr">
        <is>
          <t>R2: rectification cost if it fails on site, mean</t>
        </is>
      </c>
      <c r="C18" s="24" t="n">
        <v>1.5</v>
      </c>
      <c r="D18" s="2" t="inlineStr">
        <is>
          <t>Lognormal</t>
        </is>
      </c>
    </row>
    <row r="19" ht="13.5" customHeight="1">
      <c r="B19" s="3" t="inlineStr">
        <is>
          <t>R2: rectification cost on site, standard deviation</t>
        </is>
      </c>
      <c r="C19" s="24" t="n">
        <v>0.4</v>
      </c>
    </row>
    <row r="20" ht="13.5" customHeight="1">
      <c r="B20" s="3" t="inlineStr">
        <is>
          <t>R2: rectification delay on site, mean (months)</t>
        </is>
      </c>
      <c r="C20" s="25" t="n">
        <v>4</v>
      </c>
      <c r="D20" s="2" t="inlineStr">
        <is>
          <t>Lognormal</t>
        </is>
      </c>
    </row>
    <row r="21" ht="13.5" customHeight="1">
      <c r="B21" s="3" t="inlineStr">
        <is>
          <t>R2: rectification delay on site, standard deviation (months)</t>
        </is>
      </c>
      <c r="C21" s="25" t="n">
        <v>1</v>
      </c>
    </row>
    <row r="22" ht="27" customHeight="1">
      <c r="B22" s="3" t="inlineStr">
        <is>
          <t>R2: cost of the fix if found at the supplier's works (share of the site cost)</t>
        </is>
      </c>
      <c r="C22" s="26" t="n">
        <v>0.3</v>
      </c>
      <c r="D22" s="2" t="inlineStr">
        <is>
          <t>Quentin's early acceptance test</t>
        </is>
      </c>
    </row>
    <row r="23" ht="13.5" customHeight="1">
      <c r="B23" s="3" t="inlineStr">
        <is>
          <t>R2: delay if found at the supplier's works (months)</t>
        </is>
      </c>
      <c r="C23" s="25" t="n">
        <v>0.5</v>
      </c>
    </row>
    <row r="24" ht="13.5" customHeight="1">
      <c r="B24" s="3" t="inlineStr">
        <is>
          <t>R4: chance of a fire during hot works</t>
        </is>
      </c>
      <c r="C24" s="29" t="n">
        <v>0.01</v>
      </c>
    </row>
    <row r="25" ht="13.5" customHeight="1">
      <c r="B25" s="3" t="inlineStr">
        <is>
          <t>R4: fire loss, mean</t>
        </is>
      </c>
      <c r="C25" s="24" t="n">
        <v>8</v>
      </c>
      <c r="D25" s="2" t="inlineStr">
        <is>
          <t>Lognormal</t>
        </is>
      </c>
    </row>
    <row r="26" ht="13.5" customHeight="1">
      <c r="B26" s="3" t="inlineStr">
        <is>
          <t>R4: fire loss, standard deviation</t>
        </is>
      </c>
      <c r="C26" s="24" t="n">
        <v>2</v>
      </c>
    </row>
    <row r="27" ht="13.5" customHeight="1">
      <c r="B27" s="3" t="inlineStr">
        <is>
          <t>R5: chance of a scope-creep nibble in each of the 12 months</t>
        </is>
      </c>
      <c r="C27" s="26" t="n">
        <v>0.5</v>
      </c>
      <c r="D27" s="2" t="inlineStr">
        <is>
          <t>'One nozzle at a time'</t>
        </is>
      </c>
    </row>
    <row r="28" ht="13.5" customHeight="1">
      <c r="B28" s="3" t="inlineStr">
        <is>
          <t>R5: smallest nibble</t>
        </is>
      </c>
      <c r="C28" s="27" t="n">
        <v>0.01</v>
      </c>
      <c r="D28" s="2" t="inlineStr">
        <is>
          <t>Uniform</t>
        </is>
      </c>
    </row>
    <row r="29" ht="13.5" customHeight="1">
      <c r="B29" s="3" t="inlineStr">
        <is>
          <t>R5: largest nibble</t>
        </is>
      </c>
      <c r="C29" s="27" t="n">
        <v>0.05</v>
      </c>
    </row>
    <row r="30"/>
    <row r="31" ht="13.5" customHeight="1">
      <c r="B31" s="3" t="inlineStr">
        <is>
          <t>Quentin: early acceptance test at the supplier's works</t>
        </is>
      </c>
      <c r="C31" s="27" t="n">
        <v>0.12</v>
      </c>
    </row>
    <row r="32" ht="13.5" customHeight="1">
      <c r="B32" s="3" t="inlineStr">
        <is>
          <t>Quentin: fire-only insurance premium</t>
        </is>
      </c>
      <c r="C32" s="27" t="n">
        <v>0.09</v>
      </c>
      <c r="D32" s="2" t="inlineStr">
        <is>
          <t>Pays fire loss above the deductible</t>
        </is>
      </c>
    </row>
    <row r="33" ht="13.5" customHeight="1">
      <c r="B33" s="3" t="inlineStr">
        <is>
          <t>Quentin: fire-only deductible</t>
        </is>
      </c>
      <c r="C33" s="24" t="n">
        <v>0.25</v>
      </c>
    </row>
    <row r="34" ht="27" customHeight="1">
      <c r="B34" s="3" t="inlineStr">
        <is>
          <t>Petra: full insurance package premium (incl. delay in start-up)</t>
        </is>
      </c>
      <c r="C34" s="27" t="n">
        <v>0.7</v>
      </c>
      <c r="D34" s="2" t="inlineStr">
        <is>
          <t>Delay from a failed acceptance test is excluded: clause 14.3(b), 'a quality matter'</t>
        </is>
      </c>
    </row>
    <row r="35"/>
    <row r="36" ht="20" customHeight="1">
      <c r="B36" s="4" t="inlineStr">
        <is>
          <t>How each risk manager works</t>
        </is>
      </c>
    </row>
    <row r="37" ht="30" customHeight="1">
      <c r="B37" s="7" t="inlineStr">
        <is>
          <t>Setting</t>
        </is>
      </c>
      <c r="C37" s="8" t="inlineStr">
        <is>
          <t>Brian</t>
        </is>
      </c>
      <c r="D37" s="8" t="inlineStr">
        <is>
          <t>Sandra</t>
        </is>
      </c>
      <c r="E37" s="8" t="inlineStr">
        <is>
          <t>Quentin</t>
        </is>
      </c>
      <c r="F37" s="8" t="inlineStr">
        <is>
          <t>Petra</t>
        </is>
      </c>
      <c r="G37" s="8" t="inlineStr">
        <is>
          <t>Trevor</t>
        </is>
      </c>
      <c r="H37" s="8" t="inlineStr">
        <is>
          <t>Quentin without the test</t>
        </is>
      </c>
    </row>
    <row r="38" ht="13.5" customHeight="1">
      <c r="B38" s="9" t="inlineStr">
        <is>
          <t>Early acceptance test at the supplier's works (1 = yes)</t>
        </is>
      </c>
      <c r="C38" s="23" t="n">
        <v>0</v>
      </c>
      <c r="D38" s="23" t="n">
        <v>0</v>
      </c>
      <c r="E38" s="23" t="n">
        <v>1</v>
      </c>
      <c r="F38" s="23" t="n">
        <v>0</v>
      </c>
      <c r="G38" s="23" t="n">
        <v>0</v>
      </c>
      <c r="H38" s="23" t="n">
        <v>0</v>
      </c>
    </row>
    <row r="39" ht="27" customHeight="1">
      <c r="B39" s="9" t="inlineStr">
        <is>
          <t>Re-sequenced commissioning: one more month before the season gate (1 = yes)</t>
        </is>
      </c>
      <c r="C39" s="23" t="n">
        <v>0</v>
      </c>
      <c r="D39" s="23" t="n">
        <v>0</v>
      </c>
      <c r="E39" s="23" t="n">
        <v>1</v>
      </c>
      <c r="F39" s="23" t="n">
        <v>0</v>
      </c>
      <c r="G39" s="23" t="n">
        <v>0</v>
      </c>
      <c r="H39" s="23" t="n">
        <v>1</v>
      </c>
    </row>
    <row r="40" ht="13.5" customHeight="1">
      <c r="B40" s="9" t="inlineStr">
        <is>
          <t>Insurance (none / tail / full)</t>
        </is>
      </c>
      <c r="C40" s="30" t="inlineStr">
        <is>
          <t>none</t>
        </is>
      </c>
      <c r="D40" s="30" t="inlineStr">
        <is>
          <t>none</t>
        </is>
      </c>
      <c r="E40" s="30" t="inlineStr">
        <is>
          <t>tail</t>
        </is>
      </c>
      <c r="F40" s="30" t="inlineStr">
        <is>
          <t>full</t>
        </is>
      </c>
      <c r="G40" s="30" t="inlineStr">
        <is>
          <t>none</t>
        </is>
      </c>
      <c r="H40" s="30" t="inlineStr">
        <is>
          <t>tail</t>
        </is>
      </c>
    </row>
    <row r="41" ht="13.5" customHeight="1">
      <c r="B41" s="9" t="inlineStr">
        <is>
          <t>Budget inflation from available money (Parkinson factor)</t>
        </is>
      </c>
      <c r="C41" s="26" t="n">
        <v>0</v>
      </c>
      <c r="D41" s="26" t="n">
        <v>0.05</v>
      </c>
      <c r="E41" s="26" t="n">
        <v>0</v>
      </c>
      <c r="F41" s="26" t="n">
        <v>0</v>
      </c>
      <c r="G41" s="26" t="n">
        <v>0</v>
      </c>
      <c r="H41" s="26" t="n">
        <v>0</v>
      </c>
    </row>
    <row r="42" ht="13.5" customHeight="1">
      <c r="B42" s="9" t="inlineStr">
        <is>
          <t>Scope-creep multiplier (no register means nobody says no)</t>
        </is>
      </c>
      <c r="C42" s="25" t="n">
        <v>1</v>
      </c>
      <c r="D42" s="25" t="n">
        <v>1</v>
      </c>
      <c r="E42" s="25" t="n">
        <v>1</v>
      </c>
      <c r="F42" s="25" t="n">
        <v>1</v>
      </c>
      <c r="G42" s="25" t="n">
        <v>2</v>
      </c>
      <c r="H42" s="25" t="n">
        <v>1</v>
      </c>
    </row>
    <row r="43" ht="13.5" customHeight="1">
      <c r="B43" s="9" t="inlineStr">
        <is>
          <t>Firefighting multiplier on costs of risks found late</t>
        </is>
      </c>
      <c r="C43" s="25" t="n">
        <v>1</v>
      </c>
      <c r="D43" s="25" t="n">
        <v>1</v>
      </c>
      <c r="E43" s="25" t="n">
        <v>1</v>
      </c>
      <c r="F43" s="25" t="n">
        <v>1</v>
      </c>
      <c r="G43" s="25" t="n">
        <v>1.3</v>
      </c>
      <c r="H43" s="25" t="n">
        <v>1</v>
      </c>
    </row>
    <row r="44"/>
    <row r="45" ht="28" customHeight="1">
      <c r="B45" s="2" t="inlineStr">
        <is>
          <t>The Sandra column reads her 10% + 6 weeks as budget padding only: it changes what she reports, not what happens. What does change the cost is the Parkinson factor.</t>
        </is>
      </c>
    </row>
  </sheetData>
  <mergeCells count="16">
    <mergeCell ref="B36:H36"/>
    <mergeCell ref="D12:H12"/>
    <mergeCell ref="D8:H8"/>
    <mergeCell ref="D20:H20"/>
    <mergeCell ref="D15:H15"/>
    <mergeCell ref="D25:H25"/>
    <mergeCell ref="D34:H34"/>
    <mergeCell ref="D13:H13"/>
    <mergeCell ref="D28:H28"/>
    <mergeCell ref="D27:H27"/>
    <mergeCell ref="B45:H45"/>
    <mergeCell ref="D32:H32"/>
    <mergeCell ref="D4:H4"/>
    <mergeCell ref="D22:H22"/>
    <mergeCell ref="D18:H18"/>
    <mergeCell ref="D9:H9"/>
  </mergeCells>
  <dataValidations count="2">
    <dataValidation sqref="C4" showDropDown="0" showInputMessage="0" showErrorMessage="0" allowBlank="0" type="list">
      <formula1>"0,1"</formula1>
    </dataValidation>
    <dataValidation sqref="C40:H40" showDropDown="0" showInputMessage="0" showErrorMessage="0" allowBlank="0" type="list">
      <formula1>"none,tail,full"</formula1>
    </dataValidation>
  </dataValidations>
  <pageMargins left="0.75" right="0.75" top="1" bottom="1" header="0.5" footer="0.5"/>
  <pageSetup fitToHeight="0" fitToWidth="1"/>
</worksheet>
</file>

<file path=xl/worksheets/sheet4.xml><?xml version="1.0" encoding="utf-8"?>
<worksheet xmlns="http://schemas.openxmlformats.org/spreadsheetml/2006/main">
  <sheetPr>
    <outlinePr summaryBelow="1" summaryRight="1"/>
    <pageSetUpPr fitToPage="1"/>
  </sheetPr>
  <dimension ref="B1:I93"/>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3" customWidth="1" min="1" max="1"/>
    <col width="44" customWidth="1" min="2" max="2"/>
    <col width="13" customWidth="1" min="3" max="3"/>
    <col width="13" customWidth="1" min="4" max="4"/>
    <col width="13" customWidth="1" min="5" max="5"/>
    <col width="13" customWidth="1" min="6" max="6"/>
    <col width="13" customWidth="1" min="7" max="7"/>
    <col width="13" customWidth="1" min="8" max="8"/>
    <col width="13" customWidth="1" min="9" max="9"/>
    <col width="3" customWidth="1" min="10" max="10"/>
  </cols>
  <sheetData>
    <row r="1" ht="24" customHeight="1">
      <c r="B1" s="6" t="inlineStr">
        <is>
          <t>The model: one risk register, five risk managers</t>
        </is>
      </c>
    </row>
    <row r="2" ht="28" customHeight="1">
      <c r="B2" s="2" t="inlineStr">
        <is>
          <t>Every universe below reads the same draws (columns C–D, or the story-year values in E–F when the story switch is on). Totals are ModelRisk outputs; run the simulation from the ModelRisk ribbon.</t>
        </is>
      </c>
    </row>
    <row r="3"/>
    <row r="4" ht="20" customHeight="1">
      <c r="B4" s="4" t="inlineStr">
        <is>
          <t>Part 1: the risk register (one draw per item)</t>
        </is>
      </c>
    </row>
    <row r="5" ht="30" customHeight="1">
      <c r="B5" s="8" t="inlineStr">
        <is>
          <t>Item</t>
        </is>
      </c>
      <c r="C5" s="8" t="inlineStr">
        <is>
          <t>Happens? (draw)</t>
        </is>
      </c>
      <c r="D5" s="8" t="inlineStr">
        <is>
          <t>Size if it happens (draw)</t>
        </is>
      </c>
      <c r="E5" s="8" t="inlineStr">
        <is>
          <t>Story year: happens</t>
        </is>
      </c>
      <c r="F5" s="8" t="inlineStr">
        <is>
          <t>Story year: size</t>
        </is>
      </c>
      <c r="G5" s="8" t="inlineStr">
        <is>
          <t>Used: happens</t>
        </is>
      </c>
      <c r="H5" s="8" t="inlineStr">
        <is>
          <t>Used: size</t>
        </is>
      </c>
      <c r="I5" s="8" t="inlineStr">
        <is>
          <t>Contribution</t>
        </is>
      </c>
    </row>
    <row r="6" ht="15" customHeight="1">
      <c r="B6" s="9" t="inlineStr">
        <is>
          <t>R1 snag, register row 23 (green)</t>
        </is>
      </c>
      <c r="C6" s="13">
        <f>VoseBernoulli(Inputs!$C$12)</f>
        <v/>
      </c>
      <c r="D6" s="31">
        <f>VoseLognormal(Inputs!$C$13,Inputs!$C$14)</f>
        <v/>
      </c>
      <c r="E6" s="32" t="n">
        <v>1</v>
      </c>
      <c r="F6" s="21" t="n">
        <v>0.018174</v>
      </c>
      <c r="G6" s="13">
        <f>IF(Inputs!$C$4=1,E6,C6)</f>
        <v/>
      </c>
      <c r="H6" s="31">
        <f>IF(Inputs!$C$4=1,F6,D6)</f>
        <v/>
      </c>
      <c r="I6" s="31">
        <f>G6*H6</f>
        <v/>
      </c>
    </row>
    <row r="7" ht="15" customHeight="1">
      <c r="B7" s="9" t="inlineStr">
        <is>
          <t>R1 snag, register row 24 (green)</t>
        </is>
      </c>
      <c r="C7" s="13">
        <f>VoseBernoulli(Inputs!$C$12)</f>
        <v/>
      </c>
      <c r="D7" s="31">
        <f>VoseLognormal(Inputs!$C$13,Inputs!$C$14)</f>
        <v/>
      </c>
      <c r="E7" s="32" t="n">
        <v>1</v>
      </c>
      <c r="F7" s="21" t="n">
        <v>0.007181</v>
      </c>
      <c r="G7" s="13">
        <f>IF(Inputs!$C$4=1,E7,C7)</f>
        <v/>
      </c>
      <c r="H7" s="31">
        <f>IF(Inputs!$C$4=1,F7,D7)</f>
        <v/>
      </c>
      <c r="I7" s="31">
        <f>G7*H7</f>
        <v/>
      </c>
    </row>
    <row r="8" ht="15" customHeight="1">
      <c r="B8" s="9" t="inlineStr">
        <is>
          <t>R1 snag, register row 25 (green)</t>
        </is>
      </c>
      <c r="C8" s="13">
        <f>VoseBernoulli(Inputs!$C$12)</f>
        <v/>
      </c>
      <c r="D8" s="31">
        <f>VoseLognormal(Inputs!$C$13,Inputs!$C$14)</f>
        <v/>
      </c>
      <c r="E8" s="32" t="n">
        <v>0</v>
      </c>
      <c r="F8" s="21" t="n">
        <v>0.07428</v>
      </c>
      <c r="G8" s="13">
        <f>IF(Inputs!$C$4=1,E8,C8)</f>
        <v/>
      </c>
      <c r="H8" s="31">
        <f>IF(Inputs!$C$4=1,F8,D8)</f>
        <v/>
      </c>
      <c r="I8" s="31">
        <f>G8*H8</f>
        <v/>
      </c>
    </row>
    <row r="9" ht="15" customHeight="1">
      <c r="B9" s="9" t="inlineStr">
        <is>
          <t>R1 snag, register row 26 (green)</t>
        </is>
      </c>
      <c r="C9" s="13">
        <f>VoseBernoulli(Inputs!$C$12)</f>
        <v/>
      </c>
      <c r="D9" s="31">
        <f>VoseLognormal(Inputs!$C$13,Inputs!$C$14)</f>
        <v/>
      </c>
      <c r="E9" s="32" t="n">
        <v>1</v>
      </c>
      <c r="F9" s="21" t="n">
        <v>0.017778</v>
      </c>
      <c r="G9" s="13">
        <f>IF(Inputs!$C$4=1,E9,C9)</f>
        <v/>
      </c>
      <c r="H9" s="31">
        <f>IF(Inputs!$C$4=1,F9,D9)</f>
        <v/>
      </c>
      <c r="I9" s="31">
        <f>G9*H9</f>
        <v/>
      </c>
    </row>
    <row r="10" ht="15" customHeight="1">
      <c r="B10" s="9" t="inlineStr">
        <is>
          <t>R1 snag, register row 27 (green)</t>
        </is>
      </c>
      <c r="C10" s="13">
        <f>VoseBernoulli(Inputs!$C$12)</f>
        <v/>
      </c>
      <c r="D10" s="31">
        <f>VoseLognormal(Inputs!$C$13,Inputs!$C$14)</f>
        <v/>
      </c>
      <c r="E10" s="32" t="n">
        <v>1</v>
      </c>
      <c r="F10" s="21" t="n">
        <v>0.009613999999999999</v>
      </c>
      <c r="G10" s="13">
        <f>IF(Inputs!$C$4=1,E10,C10)</f>
        <v/>
      </c>
      <c r="H10" s="31">
        <f>IF(Inputs!$C$4=1,F10,D10)</f>
        <v/>
      </c>
      <c r="I10" s="31">
        <f>G10*H10</f>
        <v/>
      </c>
    </row>
    <row r="11" ht="15" customHeight="1">
      <c r="B11" s="9" t="inlineStr">
        <is>
          <t>R1 snag, register row 28 (green)</t>
        </is>
      </c>
      <c r="C11" s="13">
        <f>VoseBernoulli(Inputs!$C$12)</f>
        <v/>
      </c>
      <c r="D11" s="31">
        <f>VoseLognormal(Inputs!$C$13,Inputs!$C$14)</f>
        <v/>
      </c>
      <c r="E11" s="32" t="n">
        <v>1</v>
      </c>
      <c r="F11" s="21" t="n">
        <v>0.006544</v>
      </c>
      <c r="G11" s="13">
        <f>IF(Inputs!$C$4=1,E11,C11)</f>
        <v/>
      </c>
      <c r="H11" s="31">
        <f>IF(Inputs!$C$4=1,F11,D11)</f>
        <v/>
      </c>
      <c r="I11" s="31">
        <f>G11*H11</f>
        <v/>
      </c>
    </row>
    <row r="12" ht="15" customHeight="1">
      <c r="B12" s="9" t="inlineStr">
        <is>
          <t>R1 snag, register row 29 (green)</t>
        </is>
      </c>
      <c r="C12" s="13">
        <f>VoseBernoulli(Inputs!$C$12)</f>
        <v/>
      </c>
      <c r="D12" s="31">
        <f>VoseLognormal(Inputs!$C$13,Inputs!$C$14)</f>
        <v/>
      </c>
      <c r="E12" s="32" t="n">
        <v>0</v>
      </c>
      <c r="F12" s="21" t="n">
        <v>0.006497</v>
      </c>
      <c r="G12" s="13">
        <f>IF(Inputs!$C$4=1,E12,C12)</f>
        <v/>
      </c>
      <c r="H12" s="31">
        <f>IF(Inputs!$C$4=1,F12,D12)</f>
        <v/>
      </c>
      <c r="I12" s="31">
        <f>G12*H12</f>
        <v/>
      </c>
    </row>
    <row r="13" ht="15" customHeight="1">
      <c r="B13" s="9" t="inlineStr">
        <is>
          <t>R1 snag, register row 30 (green)</t>
        </is>
      </c>
      <c r="C13" s="13">
        <f>VoseBernoulli(Inputs!$C$12)</f>
        <v/>
      </c>
      <c r="D13" s="31">
        <f>VoseLognormal(Inputs!$C$13,Inputs!$C$14)</f>
        <v/>
      </c>
      <c r="E13" s="32" t="n">
        <v>0</v>
      </c>
      <c r="F13" s="21" t="n">
        <v>0.005674</v>
      </c>
      <c r="G13" s="13">
        <f>IF(Inputs!$C$4=1,E13,C13)</f>
        <v/>
      </c>
      <c r="H13" s="31">
        <f>IF(Inputs!$C$4=1,F13,D13)</f>
        <v/>
      </c>
      <c r="I13" s="31">
        <f>G13*H13</f>
        <v/>
      </c>
    </row>
    <row r="14" ht="15" customHeight="1">
      <c r="B14" s="9" t="inlineStr">
        <is>
          <t>R1 snag, register row 31 (green)</t>
        </is>
      </c>
      <c r="C14" s="13">
        <f>VoseBernoulli(Inputs!$C$12)</f>
        <v/>
      </c>
      <c r="D14" s="31">
        <f>VoseLognormal(Inputs!$C$13,Inputs!$C$14)</f>
        <v/>
      </c>
      <c r="E14" s="32" t="n">
        <v>1</v>
      </c>
      <c r="F14" s="21" t="n">
        <v>0.026591</v>
      </c>
      <c r="G14" s="13">
        <f>IF(Inputs!$C$4=1,E14,C14)</f>
        <v/>
      </c>
      <c r="H14" s="31">
        <f>IF(Inputs!$C$4=1,F14,D14)</f>
        <v/>
      </c>
      <c r="I14" s="31">
        <f>G14*H14</f>
        <v/>
      </c>
    </row>
    <row r="15" ht="15" customHeight="1">
      <c r="B15" s="9" t="inlineStr">
        <is>
          <t>R1 snag, register row 32 (green)</t>
        </is>
      </c>
      <c r="C15" s="13">
        <f>VoseBernoulli(Inputs!$C$12)</f>
        <v/>
      </c>
      <c r="D15" s="31">
        <f>VoseLognormal(Inputs!$C$13,Inputs!$C$14)</f>
        <v/>
      </c>
      <c r="E15" s="32" t="n">
        <v>1</v>
      </c>
      <c r="F15" s="21" t="n">
        <v>0.008902</v>
      </c>
      <c r="G15" s="13">
        <f>IF(Inputs!$C$4=1,E15,C15)</f>
        <v/>
      </c>
      <c r="H15" s="31">
        <f>IF(Inputs!$C$4=1,F15,D15)</f>
        <v/>
      </c>
      <c r="I15" s="31">
        <f>G15*H15</f>
        <v/>
      </c>
    </row>
    <row r="16" ht="15" customHeight="1">
      <c r="B16" s="9" t="inlineStr">
        <is>
          <t>R1 snag, register row 33 (green)</t>
        </is>
      </c>
      <c r="C16" s="13">
        <f>VoseBernoulli(Inputs!$C$12)</f>
        <v/>
      </c>
      <c r="D16" s="31">
        <f>VoseLognormal(Inputs!$C$13,Inputs!$C$14)</f>
        <v/>
      </c>
      <c r="E16" s="32" t="n">
        <v>0</v>
      </c>
      <c r="F16" s="21" t="n">
        <v>0.015114</v>
      </c>
      <c r="G16" s="13">
        <f>IF(Inputs!$C$4=1,E16,C16)</f>
        <v/>
      </c>
      <c r="H16" s="31">
        <f>IF(Inputs!$C$4=1,F16,D16)</f>
        <v/>
      </c>
      <c r="I16" s="31">
        <f>G16*H16</f>
        <v/>
      </c>
    </row>
    <row r="17" ht="15" customHeight="1">
      <c r="B17" s="9" t="inlineStr">
        <is>
          <t>R1 snag, register row 34 (green)</t>
        </is>
      </c>
      <c r="C17" s="13">
        <f>VoseBernoulli(Inputs!$C$12)</f>
        <v/>
      </c>
      <c r="D17" s="31">
        <f>VoseLognormal(Inputs!$C$13,Inputs!$C$14)</f>
        <v/>
      </c>
      <c r="E17" s="32" t="n">
        <v>1</v>
      </c>
      <c r="F17" s="21" t="n">
        <v>0.008111999999999999</v>
      </c>
      <c r="G17" s="13">
        <f>IF(Inputs!$C$4=1,E17,C17)</f>
        <v/>
      </c>
      <c r="H17" s="31">
        <f>IF(Inputs!$C$4=1,F17,D17)</f>
        <v/>
      </c>
      <c r="I17" s="31">
        <f>G17*H17</f>
        <v/>
      </c>
    </row>
    <row r="18" ht="15" customHeight="1">
      <c r="B18" s="9" t="inlineStr">
        <is>
          <t>R1 snag, register row 35 (green)</t>
        </is>
      </c>
      <c r="C18" s="13">
        <f>VoseBernoulli(Inputs!$C$12)</f>
        <v/>
      </c>
      <c r="D18" s="31">
        <f>VoseLognormal(Inputs!$C$13,Inputs!$C$14)</f>
        <v/>
      </c>
      <c r="E18" s="32" t="n">
        <v>1</v>
      </c>
      <c r="F18" s="21" t="n">
        <v>0.020987</v>
      </c>
      <c r="G18" s="13">
        <f>IF(Inputs!$C$4=1,E18,C18)</f>
        <v/>
      </c>
      <c r="H18" s="31">
        <f>IF(Inputs!$C$4=1,F18,D18)</f>
        <v/>
      </c>
      <c r="I18" s="31">
        <f>G18*H18</f>
        <v/>
      </c>
    </row>
    <row r="19" ht="15" customHeight="1">
      <c r="B19" s="9" t="inlineStr">
        <is>
          <t>R1 snag, register row 36 (green)</t>
        </is>
      </c>
      <c r="C19" s="13">
        <f>VoseBernoulli(Inputs!$C$12)</f>
        <v/>
      </c>
      <c r="D19" s="31">
        <f>VoseLognormal(Inputs!$C$13,Inputs!$C$14)</f>
        <v/>
      </c>
      <c r="E19" s="32" t="n">
        <v>0</v>
      </c>
      <c r="F19" s="21" t="n">
        <v>0.00923</v>
      </c>
      <c r="G19" s="13">
        <f>IF(Inputs!$C$4=1,E19,C19)</f>
        <v/>
      </c>
      <c r="H19" s="31">
        <f>IF(Inputs!$C$4=1,F19,D19)</f>
        <v/>
      </c>
      <c r="I19" s="31">
        <f>G19*H19</f>
        <v/>
      </c>
    </row>
    <row r="20" ht="15" customHeight="1">
      <c r="B20" s="9" t="inlineStr">
        <is>
          <t>R1 snag, register row 37 (green)</t>
        </is>
      </c>
      <c r="C20" s="13">
        <f>VoseBernoulli(Inputs!$C$12)</f>
        <v/>
      </c>
      <c r="D20" s="31">
        <f>VoseLognormal(Inputs!$C$13,Inputs!$C$14)</f>
        <v/>
      </c>
      <c r="E20" s="32" t="n">
        <v>1</v>
      </c>
      <c r="F20" s="21" t="n">
        <v>0.005402</v>
      </c>
      <c r="G20" s="13">
        <f>IF(Inputs!$C$4=1,E20,C20)</f>
        <v/>
      </c>
      <c r="H20" s="31">
        <f>IF(Inputs!$C$4=1,F20,D20)</f>
        <v/>
      </c>
      <c r="I20" s="31">
        <f>G20*H20</f>
        <v/>
      </c>
    </row>
    <row r="21" ht="15" customHeight="1">
      <c r="B21" s="9" t="inlineStr">
        <is>
          <t>R1 snag, register row 38 (green)</t>
        </is>
      </c>
      <c r="C21" s="13">
        <f>VoseBernoulli(Inputs!$C$12)</f>
        <v/>
      </c>
      <c r="D21" s="31">
        <f>VoseLognormal(Inputs!$C$13,Inputs!$C$14)</f>
        <v/>
      </c>
      <c r="E21" s="32" t="n">
        <v>1</v>
      </c>
      <c r="F21" s="21" t="n">
        <v>0.004729</v>
      </c>
      <c r="G21" s="13">
        <f>IF(Inputs!$C$4=1,E21,C21)</f>
        <v/>
      </c>
      <c r="H21" s="31">
        <f>IF(Inputs!$C$4=1,F21,D21)</f>
        <v/>
      </c>
      <c r="I21" s="31">
        <f>G21*H21</f>
        <v/>
      </c>
    </row>
    <row r="22" ht="15" customHeight="1">
      <c r="B22" s="9" t="inlineStr">
        <is>
          <t>R1 snag, register row 39 (green)</t>
        </is>
      </c>
      <c r="C22" s="13">
        <f>VoseBernoulli(Inputs!$C$12)</f>
        <v/>
      </c>
      <c r="D22" s="31">
        <f>VoseLognormal(Inputs!$C$13,Inputs!$C$14)</f>
        <v/>
      </c>
      <c r="E22" s="32" t="n">
        <v>0</v>
      </c>
      <c r="F22" s="21" t="n">
        <v>0.032766</v>
      </c>
      <c r="G22" s="13">
        <f>IF(Inputs!$C$4=1,E22,C22)</f>
        <v/>
      </c>
      <c r="H22" s="31">
        <f>IF(Inputs!$C$4=1,F22,D22)</f>
        <v/>
      </c>
      <c r="I22" s="31">
        <f>G22*H22</f>
        <v/>
      </c>
    </row>
    <row r="23" ht="15" customHeight="1">
      <c r="B23" s="9" t="inlineStr">
        <is>
          <t>R1 snag, register row 40 (green)</t>
        </is>
      </c>
      <c r="C23" s="13">
        <f>VoseBernoulli(Inputs!$C$12)</f>
        <v/>
      </c>
      <c r="D23" s="31">
        <f>VoseLognormal(Inputs!$C$13,Inputs!$C$14)</f>
        <v/>
      </c>
      <c r="E23" s="32" t="n">
        <v>1</v>
      </c>
      <c r="F23" s="21" t="n">
        <v>0.0066</v>
      </c>
      <c r="G23" s="13">
        <f>IF(Inputs!$C$4=1,E23,C23)</f>
        <v/>
      </c>
      <c r="H23" s="31">
        <f>IF(Inputs!$C$4=1,F23,D23)</f>
        <v/>
      </c>
      <c r="I23" s="31">
        <f>G23*H23</f>
        <v/>
      </c>
    </row>
    <row r="24" ht="15" customHeight="1">
      <c r="B24" s="9" t="inlineStr">
        <is>
          <t>R1 snag, register row 41 (green)</t>
        </is>
      </c>
      <c r="C24" s="13">
        <f>VoseBernoulli(Inputs!$C$12)</f>
        <v/>
      </c>
      <c r="D24" s="31">
        <f>VoseLognormal(Inputs!$C$13,Inputs!$C$14)</f>
        <v/>
      </c>
      <c r="E24" s="32" t="n">
        <v>0</v>
      </c>
      <c r="F24" s="21" t="n">
        <v>0.025054</v>
      </c>
      <c r="G24" s="13">
        <f>IF(Inputs!$C$4=1,E24,C24)</f>
        <v/>
      </c>
      <c r="H24" s="31">
        <f>IF(Inputs!$C$4=1,F24,D24)</f>
        <v/>
      </c>
      <c r="I24" s="31">
        <f>G24*H24</f>
        <v/>
      </c>
    </row>
    <row r="25" ht="15" customHeight="1">
      <c r="B25" s="9" t="inlineStr">
        <is>
          <t>R1 snag, register row 42 (green)</t>
        </is>
      </c>
      <c r="C25" s="13">
        <f>VoseBernoulli(Inputs!$C$12)</f>
        <v/>
      </c>
      <c r="D25" s="31">
        <f>VoseLognormal(Inputs!$C$13,Inputs!$C$14)</f>
        <v/>
      </c>
      <c r="E25" s="32" t="n">
        <v>0</v>
      </c>
      <c r="F25" s="21" t="n">
        <v>0.013641</v>
      </c>
      <c r="G25" s="13">
        <f>IF(Inputs!$C$4=1,E25,C25)</f>
        <v/>
      </c>
      <c r="H25" s="31">
        <f>IF(Inputs!$C$4=1,F25,D25)</f>
        <v/>
      </c>
      <c r="I25" s="31">
        <f>G25*H25</f>
        <v/>
      </c>
    </row>
    <row r="26" ht="15" customHeight="1">
      <c r="B26" s="9" t="inlineStr">
        <is>
          <t>R1 snag, register row 43 (green)</t>
        </is>
      </c>
      <c r="C26" s="13">
        <f>VoseBernoulli(Inputs!$C$12)</f>
        <v/>
      </c>
      <c r="D26" s="31">
        <f>VoseLognormal(Inputs!$C$13,Inputs!$C$14)</f>
        <v/>
      </c>
      <c r="E26" s="32" t="n">
        <v>0</v>
      </c>
      <c r="F26" s="21" t="n">
        <v>0.012043</v>
      </c>
      <c r="G26" s="13">
        <f>IF(Inputs!$C$4=1,E26,C26)</f>
        <v/>
      </c>
      <c r="H26" s="31">
        <f>IF(Inputs!$C$4=1,F26,D26)</f>
        <v/>
      </c>
      <c r="I26" s="31">
        <f>G26*H26</f>
        <v/>
      </c>
    </row>
    <row r="27" ht="15" customHeight="1">
      <c r="B27" s="9" t="inlineStr">
        <is>
          <t>R1 snag, register row 44 (green)</t>
        </is>
      </c>
      <c r="C27" s="13">
        <f>VoseBernoulli(Inputs!$C$12)</f>
        <v/>
      </c>
      <c r="D27" s="31">
        <f>VoseLognormal(Inputs!$C$13,Inputs!$C$14)</f>
        <v/>
      </c>
      <c r="E27" s="32" t="n">
        <v>1</v>
      </c>
      <c r="F27" s="21" t="n">
        <v>0.00698</v>
      </c>
      <c r="G27" s="13">
        <f>IF(Inputs!$C$4=1,E27,C27)</f>
        <v/>
      </c>
      <c r="H27" s="31">
        <f>IF(Inputs!$C$4=1,F27,D27)</f>
        <v/>
      </c>
      <c r="I27" s="31">
        <f>G27*H27</f>
        <v/>
      </c>
    </row>
    <row r="28" ht="15" customHeight="1">
      <c r="B28" s="9" t="inlineStr">
        <is>
          <t>R1 snag, register row 45 (green)</t>
        </is>
      </c>
      <c r="C28" s="13">
        <f>VoseBernoulli(Inputs!$C$12)</f>
        <v/>
      </c>
      <c r="D28" s="31">
        <f>VoseLognormal(Inputs!$C$13,Inputs!$C$14)</f>
        <v/>
      </c>
      <c r="E28" s="32" t="n">
        <v>0</v>
      </c>
      <c r="F28" s="21" t="n">
        <v>0.00645</v>
      </c>
      <c r="G28" s="13">
        <f>IF(Inputs!$C$4=1,E28,C28)</f>
        <v/>
      </c>
      <c r="H28" s="31">
        <f>IF(Inputs!$C$4=1,F28,D28)</f>
        <v/>
      </c>
      <c r="I28" s="31">
        <f>G28*H28</f>
        <v/>
      </c>
    </row>
    <row r="29" ht="15" customHeight="1">
      <c r="B29" s="9" t="inlineStr">
        <is>
          <t>R1 snag, register row 46 (green)</t>
        </is>
      </c>
      <c r="C29" s="13">
        <f>VoseBernoulli(Inputs!$C$12)</f>
        <v/>
      </c>
      <c r="D29" s="31">
        <f>VoseLognormal(Inputs!$C$13,Inputs!$C$14)</f>
        <v/>
      </c>
      <c r="E29" s="32" t="n">
        <v>0</v>
      </c>
      <c r="F29" s="21" t="n">
        <v>0.014184</v>
      </c>
      <c r="G29" s="13">
        <f>IF(Inputs!$C$4=1,E29,C29)</f>
        <v/>
      </c>
      <c r="H29" s="31">
        <f>IF(Inputs!$C$4=1,F29,D29)</f>
        <v/>
      </c>
      <c r="I29" s="31">
        <f>G29*H29</f>
        <v/>
      </c>
    </row>
    <row r="30" ht="15" customHeight="1">
      <c r="B30" s="9" t="inlineStr">
        <is>
          <t>R1 snag, register row 47 (green)</t>
        </is>
      </c>
      <c r="C30" s="13">
        <f>VoseBernoulli(Inputs!$C$12)</f>
        <v/>
      </c>
      <c r="D30" s="31">
        <f>VoseLognormal(Inputs!$C$13,Inputs!$C$14)</f>
        <v/>
      </c>
      <c r="E30" s="32" t="n">
        <v>1</v>
      </c>
      <c r="F30" s="21" t="n">
        <v>0.043433</v>
      </c>
      <c r="G30" s="13">
        <f>IF(Inputs!$C$4=1,E30,C30)</f>
        <v/>
      </c>
      <c r="H30" s="31">
        <f>IF(Inputs!$C$4=1,F30,D30)</f>
        <v/>
      </c>
      <c r="I30" s="31">
        <f>G30*H30</f>
        <v/>
      </c>
    </row>
    <row r="31" ht="15" customHeight="1">
      <c r="B31" s="9" t="inlineStr">
        <is>
          <t>R1 snag, register row 48 (green)</t>
        </is>
      </c>
      <c r="C31" s="13">
        <f>VoseBernoulli(Inputs!$C$12)</f>
        <v/>
      </c>
      <c r="D31" s="31">
        <f>VoseLognormal(Inputs!$C$13,Inputs!$C$14)</f>
        <v/>
      </c>
      <c r="E31" s="32" t="n">
        <v>1</v>
      </c>
      <c r="F31" s="21" t="n">
        <v>0.014773</v>
      </c>
      <c r="G31" s="13">
        <f>IF(Inputs!$C$4=1,E31,C31)</f>
        <v/>
      </c>
      <c r="H31" s="31">
        <f>IF(Inputs!$C$4=1,F31,D31)</f>
        <v/>
      </c>
      <c r="I31" s="31">
        <f>G31*H31</f>
        <v/>
      </c>
    </row>
    <row r="32" ht="15" customHeight="1">
      <c r="B32" s="9" t="inlineStr">
        <is>
          <t>R1 snag, register row 49 (green)</t>
        </is>
      </c>
      <c r="C32" s="13">
        <f>VoseBernoulli(Inputs!$C$12)</f>
        <v/>
      </c>
      <c r="D32" s="31">
        <f>VoseLognormal(Inputs!$C$13,Inputs!$C$14)</f>
        <v/>
      </c>
      <c r="E32" s="32" t="n">
        <v>1</v>
      </c>
      <c r="F32" s="21" t="n">
        <v>0.003974</v>
      </c>
      <c r="G32" s="13">
        <f>IF(Inputs!$C$4=1,E32,C32)</f>
        <v/>
      </c>
      <c r="H32" s="31">
        <f>IF(Inputs!$C$4=1,F32,D32)</f>
        <v/>
      </c>
      <c r="I32" s="31">
        <f>G32*H32</f>
        <v/>
      </c>
    </row>
    <row r="33" ht="15" customHeight="1">
      <c r="B33" s="9" t="inlineStr">
        <is>
          <t>R1 snag, register row 50 (green)</t>
        </is>
      </c>
      <c r="C33" s="13">
        <f>VoseBernoulli(Inputs!$C$12)</f>
        <v/>
      </c>
      <c r="D33" s="31">
        <f>VoseLognormal(Inputs!$C$13,Inputs!$C$14)</f>
        <v/>
      </c>
      <c r="E33" s="32" t="n">
        <v>1</v>
      </c>
      <c r="F33" s="21" t="n">
        <v>0.02965</v>
      </c>
      <c r="G33" s="13">
        <f>IF(Inputs!$C$4=1,E33,C33)</f>
        <v/>
      </c>
      <c r="H33" s="31">
        <f>IF(Inputs!$C$4=1,F33,D33)</f>
        <v/>
      </c>
      <c r="I33" s="31">
        <f>G33*H33</f>
        <v/>
      </c>
    </row>
    <row r="34" ht="15" customHeight="1">
      <c r="B34" s="9" t="inlineStr">
        <is>
          <t>R1 snag, register row 51 (green)</t>
        </is>
      </c>
      <c r="C34" s="13">
        <f>VoseBernoulli(Inputs!$C$12)</f>
        <v/>
      </c>
      <c r="D34" s="31">
        <f>VoseLognormal(Inputs!$C$13,Inputs!$C$14)</f>
        <v/>
      </c>
      <c r="E34" s="32" t="n">
        <v>0</v>
      </c>
      <c r="F34" s="21" t="n">
        <v>0.003413</v>
      </c>
      <c r="G34" s="13">
        <f>IF(Inputs!$C$4=1,E34,C34)</f>
        <v/>
      </c>
      <c r="H34" s="31">
        <f>IF(Inputs!$C$4=1,F34,D34)</f>
        <v/>
      </c>
      <c r="I34" s="31">
        <f>G34*H34</f>
        <v/>
      </c>
    </row>
    <row r="35" ht="15" customHeight="1">
      <c r="B35" s="9" t="inlineStr">
        <is>
          <t>R1 snag, register row 52 (green)</t>
        </is>
      </c>
      <c r="C35" s="13">
        <f>VoseBernoulli(Inputs!$C$12)</f>
        <v/>
      </c>
      <c r="D35" s="31">
        <f>VoseLognormal(Inputs!$C$13,Inputs!$C$14)</f>
        <v/>
      </c>
      <c r="E35" s="32" t="n">
        <v>1</v>
      </c>
      <c r="F35" s="21" t="n">
        <v>0.005157</v>
      </c>
      <c r="G35" s="13">
        <f>IF(Inputs!$C$4=1,E35,C35)</f>
        <v/>
      </c>
      <c r="H35" s="31">
        <f>IF(Inputs!$C$4=1,F35,D35)</f>
        <v/>
      </c>
      <c r="I35" s="31">
        <f>G35*H35</f>
        <v/>
      </c>
    </row>
    <row r="36" ht="15" customHeight="1">
      <c r="B36" s="9" t="inlineStr">
        <is>
          <t>R1 snag, register row 53 (green)</t>
        </is>
      </c>
      <c r="C36" s="13">
        <f>VoseBernoulli(Inputs!$C$12)</f>
        <v/>
      </c>
      <c r="D36" s="31">
        <f>VoseLognormal(Inputs!$C$13,Inputs!$C$14)</f>
        <v/>
      </c>
      <c r="E36" s="32" t="n">
        <v>1</v>
      </c>
      <c r="F36" s="21" t="n">
        <v>0.02178</v>
      </c>
      <c r="G36" s="13">
        <f>IF(Inputs!$C$4=1,E36,C36)</f>
        <v/>
      </c>
      <c r="H36" s="31">
        <f>IF(Inputs!$C$4=1,F36,D36)</f>
        <v/>
      </c>
      <c r="I36" s="31">
        <f>G36*H36</f>
        <v/>
      </c>
    </row>
    <row r="37" ht="15" customHeight="1">
      <c r="B37" s="9" t="inlineStr">
        <is>
          <t>R1 snag, register row 54 (green)</t>
        </is>
      </c>
      <c r="C37" s="13">
        <f>VoseBernoulli(Inputs!$C$12)</f>
        <v/>
      </c>
      <c r="D37" s="31">
        <f>VoseLognormal(Inputs!$C$13,Inputs!$C$14)</f>
        <v/>
      </c>
      <c r="E37" s="32" t="n">
        <v>1</v>
      </c>
      <c r="F37" s="21" t="n">
        <v>0.015309</v>
      </c>
      <c r="G37" s="13">
        <f>IF(Inputs!$C$4=1,E37,C37)</f>
        <v/>
      </c>
      <c r="H37" s="31">
        <f>IF(Inputs!$C$4=1,F37,D37)</f>
        <v/>
      </c>
      <c r="I37" s="31">
        <f>G37*H37</f>
        <v/>
      </c>
    </row>
    <row r="38" ht="15" customHeight="1">
      <c r="B38" s="9" t="inlineStr">
        <is>
          <t>R1 snag, register row 55 (green)</t>
        </is>
      </c>
      <c r="C38" s="13">
        <f>VoseBernoulli(Inputs!$C$12)</f>
        <v/>
      </c>
      <c r="D38" s="31">
        <f>VoseLognormal(Inputs!$C$13,Inputs!$C$14)</f>
        <v/>
      </c>
      <c r="E38" s="32" t="n">
        <v>0</v>
      </c>
      <c r="F38" s="21" t="n">
        <v>0.009582</v>
      </c>
      <c r="G38" s="13">
        <f>IF(Inputs!$C$4=1,E38,C38)</f>
        <v/>
      </c>
      <c r="H38" s="31">
        <f>IF(Inputs!$C$4=1,F38,D38)</f>
        <v/>
      </c>
      <c r="I38" s="31">
        <f>G38*H38</f>
        <v/>
      </c>
    </row>
    <row r="39" ht="15" customHeight="1">
      <c r="B39" s="9" t="inlineStr">
        <is>
          <t>R1 snag, register row 56 (green)</t>
        </is>
      </c>
      <c r="C39" s="13">
        <f>VoseBernoulli(Inputs!$C$12)</f>
        <v/>
      </c>
      <c r="D39" s="31">
        <f>VoseLognormal(Inputs!$C$13,Inputs!$C$14)</f>
        <v/>
      </c>
      <c r="E39" s="32" t="n">
        <v>1</v>
      </c>
      <c r="F39" s="21" t="n">
        <v>0.011541</v>
      </c>
      <c r="G39" s="13">
        <f>IF(Inputs!$C$4=1,E39,C39)</f>
        <v/>
      </c>
      <c r="H39" s="31">
        <f>IF(Inputs!$C$4=1,F39,D39)</f>
        <v/>
      </c>
      <c r="I39" s="31">
        <f>G39*H39</f>
        <v/>
      </c>
    </row>
    <row r="40" ht="15" customHeight="1">
      <c r="B40" s="9" t="inlineStr">
        <is>
          <t>R1 snag, register row 57 (green)</t>
        </is>
      </c>
      <c r="C40" s="13">
        <f>VoseBernoulli(Inputs!$C$12)</f>
        <v/>
      </c>
      <c r="D40" s="31">
        <f>VoseLognormal(Inputs!$C$13,Inputs!$C$14)</f>
        <v/>
      </c>
      <c r="E40" s="32" t="n">
        <v>1</v>
      </c>
      <c r="F40" s="21" t="n">
        <v>0.003144</v>
      </c>
      <c r="G40" s="13">
        <f>IF(Inputs!$C$4=1,E40,C40)</f>
        <v/>
      </c>
      <c r="H40" s="31">
        <f>IF(Inputs!$C$4=1,F40,D40)</f>
        <v/>
      </c>
      <c r="I40" s="31">
        <f>G40*H40</f>
        <v/>
      </c>
    </row>
    <row r="41" ht="15" customHeight="1">
      <c r="B41" s="9" t="inlineStr">
        <is>
          <t>R1 snag, register row 58 (green)</t>
        </is>
      </c>
      <c r="C41" s="13">
        <f>VoseBernoulli(Inputs!$C$12)</f>
        <v/>
      </c>
      <c r="D41" s="31">
        <f>VoseLognormal(Inputs!$C$13,Inputs!$C$14)</f>
        <v/>
      </c>
      <c r="E41" s="32" t="n">
        <v>0</v>
      </c>
      <c r="F41" s="21" t="n">
        <v>0.008895999999999999</v>
      </c>
      <c r="G41" s="13">
        <f>IF(Inputs!$C$4=1,E41,C41)</f>
        <v/>
      </c>
      <c r="H41" s="31">
        <f>IF(Inputs!$C$4=1,F41,D41)</f>
        <v/>
      </c>
      <c r="I41" s="31">
        <f>G41*H41</f>
        <v/>
      </c>
    </row>
    <row r="42" ht="15" customHeight="1">
      <c r="B42" s="9" t="inlineStr">
        <is>
          <t>R1 snag, register row 59 (green)</t>
        </is>
      </c>
      <c r="C42" s="13">
        <f>VoseBernoulli(Inputs!$C$12)</f>
        <v/>
      </c>
      <c r="D42" s="31">
        <f>VoseLognormal(Inputs!$C$13,Inputs!$C$14)</f>
        <v/>
      </c>
      <c r="E42" s="32" t="n">
        <v>1</v>
      </c>
      <c r="F42" s="21" t="n">
        <v>0.006895</v>
      </c>
      <c r="G42" s="13">
        <f>IF(Inputs!$C$4=1,E42,C42)</f>
        <v/>
      </c>
      <c r="H42" s="31">
        <f>IF(Inputs!$C$4=1,F42,D42)</f>
        <v/>
      </c>
      <c r="I42" s="31">
        <f>G42*H42</f>
        <v/>
      </c>
    </row>
    <row r="43" ht="15" customHeight="1">
      <c r="B43" s="9" t="inlineStr">
        <is>
          <t>R1 snag, register row 60 (green)</t>
        </is>
      </c>
      <c r="C43" s="13">
        <f>VoseBernoulli(Inputs!$C$12)</f>
        <v/>
      </c>
      <c r="D43" s="31">
        <f>VoseLognormal(Inputs!$C$13,Inputs!$C$14)</f>
        <v/>
      </c>
      <c r="E43" s="32" t="n">
        <v>1</v>
      </c>
      <c r="F43" s="21" t="n">
        <v>0.028677</v>
      </c>
      <c r="G43" s="13">
        <f>IF(Inputs!$C$4=1,E43,C43)</f>
        <v/>
      </c>
      <c r="H43" s="31">
        <f>IF(Inputs!$C$4=1,F43,D43)</f>
        <v/>
      </c>
      <c r="I43" s="31">
        <f>G43*H43</f>
        <v/>
      </c>
    </row>
    <row r="44" ht="15" customHeight="1">
      <c r="B44" s="9" t="inlineStr">
        <is>
          <t>R1 snag, register row 61 (green)</t>
        </is>
      </c>
      <c r="C44" s="13">
        <f>VoseBernoulli(Inputs!$C$12)</f>
        <v/>
      </c>
      <c r="D44" s="31">
        <f>VoseLognormal(Inputs!$C$13,Inputs!$C$14)</f>
        <v/>
      </c>
      <c r="E44" s="32" t="n">
        <v>1</v>
      </c>
      <c r="F44" s="21" t="n">
        <v>0.017187</v>
      </c>
      <c r="G44" s="13">
        <f>IF(Inputs!$C$4=1,E44,C44)</f>
        <v/>
      </c>
      <c r="H44" s="31">
        <f>IF(Inputs!$C$4=1,F44,D44)</f>
        <v/>
      </c>
      <c r="I44" s="31">
        <f>G44*H44</f>
        <v/>
      </c>
    </row>
    <row r="45" ht="15" customHeight="1">
      <c r="B45" s="9" t="inlineStr">
        <is>
          <t>R5 scope creep, month 1</t>
        </is>
      </c>
      <c r="C45" s="13">
        <f>VoseBernoulli(Inputs!$C$27)</f>
        <v/>
      </c>
      <c r="D45" s="31">
        <f>VoseUniform(Inputs!$C$28,Inputs!$C$29)</f>
        <v/>
      </c>
      <c r="E45" s="32" t="n">
        <v>1</v>
      </c>
      <c r="F45" s="21" t="n">
        <v>0.040505</v>
      </c>
      <c r="G45" s="13">
        <f>IF(Inputs!$C$4=1,E45,C45)</f>
        <v/>
      </c>
      <c r="H45" s="31">
        <f>IF(Inputs!$C$4=1,F45,D45)</f>
        <v/>
      </c>
      <c r="I45" s="31">
        <f>G45*H45</f>
        <v/>
      </c>
    </row>
    <row r="46" ht="15" customHeight="1">
      <c r="B46" s="9" t="inlineStr">
        <is>
          <t>R5 scope creep, month 2</t>
        </is>
      </c>
      <c r="C46" s="13">
        <f>VoseBernoulli(Inputs!$C$27)</f>
        <v/>
      </c>
      <c r="D46" s="31">
        <f>VoseUniform(Inputs!$C$28,Inputs!$C$29)</f>
        <v/>
      </c>
      <c r="E46" s="32" t="n">
        <v>1</v>
      </c>
      <c r="F46" s="21" t="n">
        <v>0.027322</v>
      </c>
      <c r="G46" s="13">
        <f>IF(Inputs!$C$4=1,E46,C46)</f>
        <v/>
      </c>
      <c r="H46" s="31">
        <f>IF(Inputs!$C$4=1,F46,D46)</f>
        <v/>
      </c>
      <c r="I46" s="31">
        <f>G46*H46</f>
        <v/>
      </c>
    </row>
    <row r="47" ht="15" customHeight="1">
      <c r="B47" s="9" t="inlineStr">
        <is>
          <t>R5 scope creep, month 3</t>
        </is>
      </c>
      <c r="C47" s="13">
        <f>VoseBernoulli(Inputs!$C$27)</f>
        <v/>
      </c>
      <c r="D47" s="31">
        <f>VoseUniform(Inputs!$C$28,Inputs!$C$29)</f>
        <v/>
      </c>
      <c r="E47" s="32" t="n">
        <v>1</v>
      </c>
      <c r="F47" s="21" t="n">
        <v>0.01426</v>
      </c>
      <c r="G47" s="13">
        <f>IF(Inputs!$C$4=1,E47,C47)</f>
        <v/>
      </c>
      <c r="H47" s="31">
        <f>IF(Inputs!$C$4=1,F47,D47)</f>
        <v/>
      </c>
      <c r="I47" s="31">
        <f>G47*H47</f>
        <v/>
      </c>
    </row>
    <row r="48" ht="15" customHeight="1">
      <c r="B48" s="9" t="inlineStr">
        <is>
          <t>R5 scope creep, month 4</t>
        </is>
      </c>
      <c r="C48" s="13">
        <f>VoseBernoulli(Inputs!$C$27)</f>
        <v/>
      </c>
      <c r="D48" s="31">
        <f>VoseUniform(Inputs!$C$28,Inputs!$C$29)</f>
        <v/>
      </c>
      <c r="E48" s="32" t="n">
        <v>0</v>
      </c>
      <c r="F48" s="21" t="n">
        <v>0.010699</v>
      </c>
      <c r="G48" s="13">
        <f>IF(Inputs!$C$4=1,E48,C48)</f>
        <v/>
      </c>
      <c r="H48" s="31">
        <f>IF(Inputs!$C$4=1,F48,D48)</f>
        <v/>
      </c>
      <c r="I48" s="31">
        <f>G48*H48</f>
        <v/>
      </c>
    </row>
    <row r="49" ht="15" customHeight="1">
      <c r="B49" s="9" t="inlineStr">
        <is>
          <t>R5 scope creep, month 5</t>
        </is>
      </c>
      <c r="C49" s="13">
        <f>VoseBernoulli(Inputs!$C$27)</f>
        <v/>
      </c>
      <c r="D49" s="31">
        <f>VoseUniform(Inputs!$C$28,Inputs!$C$29)</f>
        <v/>
      </c>
      <c r="E49" s="32" t="n">
        <v>0</v>
      </c>
      <c r="F49" s="21" t="n">
        <v>0.043851</v>
      </c>
      <c r="G49" s="13">
        <f>IF(Inputs!$C$4=1,E49,C49)</f>
        <v/>
      </c>
      <c r="H49" s="31">
        <f>IF(Inputs!$C$4=1,F49,D49)</f>
        <v/>
      </c>
      <c r="I49" s="31">
        <f>G49*H49</f>
        <v/>
      </c>
    </row>
    <row r="50" ht="15" customHeight="1">
      <c r="B50" s="9" t="inlineStr">
        <is>
          <t>R5 scope creep, month 6</t>
        </is>
      </c>
      <c r="C50" s="13">
        <f>VoseBernoulli(Inputs!$C$27)</f>
        <v/>
      </c>
      <c r="D50" s="31">
        <f>VoseUniform(Inputs!$C$28,Inputs!$C$29)</f>
        <v/>
      </c>
      <c r="E50" s="32" t="n">
        <v>0</v>
      </c>
      <c r="F50" s="21" t="n">
        <v>0.020654</v>
      </c>
      <c r="G50" s="13">
        <f>IF(Inputs!$C$4=1,E50,C50)</f>
        <v/>
      </c>
      <c r="H50" s="31">
        <f>IF(Inputs!$C$4=1,F50,D50)</f>
        <v/>
      </c>
      <c r="I50" s="31">
        <f>G50*H50</f>
        <v/>
      </c>
    </row>
    <row r="51" ht="15" customHeight="1">
      <c r="B51" s="9" t="inlineStr">
        <is>
          <t>R5 scope creep, month 7</t>
        </is>
      </c>
      <c r="C51" s="13">
        <f>VoseBernoulli(Inputs!$C$27)</f>
        <v/>
      </c>
      <c r="D51" s="31">
        <f>VoseUniform(Inputs!$C$28,Inputs!$C$29)</f>
        <v/>
      </c>
      <c r="E51" s="32" t="n">
        <v>1</v>
      </c>
      <c r="F51" s="21" t="n">
        <v>0.034703</v>
      </c>
      <c r="G51" s="13">
        <f>IF(Inputs!$C$4=1,E51,C51)</f>
        <v/>
      </c>
      <c r="H51" s="31">
        <f>IF(Inputs!$C$4=1,F51,D51)</f>
        <v/>
      </c>
      <c r="I51" s="31">
        <f>G51*H51</f>
        <v/>
      </c>
    </row>
    <row r="52" ht="15" customHeight="1">
      <c r="B52" s="9" t="inlineStr">
        <is>
          <t>R5 scope creep, month 8</t>
        </is>
      </c>
      <c r="C52" s="13">
        <f>VoseBernoulli(Inputs!$C$27)</f>
        <v/>
      </c>
      <c r="D52" s="31">
        <f>VoseUniform(Inputs!$C$28,Inputs!$C$29)</f>
        <v/>
      </c>
      <c r="E52" s="32" t="n">
        <v>0</v>
      </c>
      <c r="F52" s="21" t="n">
        <v>0.021658</v>
      </c>
      <c r="G52" s="13">
        <f>IF(Inputs!$C$4=1,E52,C52)</f>
        <v/>
      </c>
      <c r="H52" s="31">
        <f>IF(Inputs!$C$4=1,F52,D52)</f>
        <v/>
      </c>
      <c r="I52" s="31">
        <f>G52*H52</f>
        <v/>
      </c>
    </row>
    <row r="53" ht="15" customHeight="1">
      <c r="B53" s="9" t="inlineStr">
        <is>
          <t>R5 scope creep, month 9</t>
        </is>
      </c>
      <c r="C53" s="13">
        <f>VoseBernoulli(Inputs!$C$27)</f>
        <v/>
      </c>
      <c r="D53" s="31">
        <f>VoseUniform(Inputs!$C$28,Inputs!$C$29)</f>
        <v/>
      </c>
      <c r="E53" s="32" t="n">
        <v>1</v>
      </c>
      <c r="F53" s="21" t="n">
        <v>0.030833</v>
      </c>
      <c r="G53" s="13">
        <f>IF(Inputs!$C$4=1,E53,C53)</f>
        <v/>
      </c>
      <c r="H53" s="31">
        <f>IF(Inputs!$C$4=1,F53,D53)</f>
        <v/>
      </c>
      <c r="I53" s="31">
        <f>G53*H53</f>
        <v/>
      </c>
    </row>
    <row r="54" ht="15" customHeight="1">
      <c r="B54" s="9" t="inlineStr">
        <is>
          <t>R5 scope creep, month 10</t>
        </is>
      </c>
      <c r="C54" s="13">
        <f>VoseBernoulli(Inputs!$C$27)</f>
        <v/>
      </c>
      <c r="D54" s="31">
        <f>VoseUniform(Inputs!$C$28,Inputs!$C$29)</f>
        <v/>
      </c>
      <c r="E54" s="32" t="n">
        <v>1</v>
      </c>
      <c r="F54" s="21" t="n">
        <v>0.012557</v>
      </c>
      <c r="G54" s="13">
        <f>IF(Inputs!$C$4=1,E54,C54)</f>
        <v/>
      </c>
      <c r="H54" s="31">
        <f>IF(Inputs!$C$4=1,F54,D54)</f>
        <v/>
      </c>
      <c r="I54" s="31">
        <f>G54*H54</f>
        <v/>
      </c>
    </row>
    <row r="55" ht="15" customHeight="1">
      <c r="B55" s="9" t="inlineStr">
        <is>
          <t>R5 scope creep, month 11</t>
        </is>
      </c>
      <c r="C55" s="13">
        <f>VoseBernoulli(Inputs!$C$27)</f>
        <v/>
      </c>
      <c r="D55" s="31">
        <f>VoseUniform(Inputs!$C$28,Inputs!$C$29)</f>
        <v/>
      </c>
      <c r="E55" s="32" t="n">
        <v>1</v>
      </c>
      <c r="F55" s="21" t="n">
        <v>0.029683</v>
      </c>
      <c r="G55" s="13">
        <f>IF(Inputs!$C$4=1,E55,C55)</f>
        <v/>
      </c>
      <c r="H55" s="31">
        <f>IF(Inputs!$C$4=1,F55,D55)</f>
        <v/>
      </c>
      <c r="I55" s="31">
        <f>G55*H55</f>
        <v/>
      </c>
    </row>
    <row r="56" ht="15" customHeight="1">
      <c r="B56" s="9" t="inlineStr">
        <is>
          <t>R5 scope creep, month 12</t>
        </is>
      </c>
      <c r="C56" s="13">
        <f>VoseBernoulli(Inputs!$C$27)</f>
        <v/>
      </c>
      <c r="D56" s="31">
        <f>VoseUniform(Inputs!$C$28,Inputs!$C$29)</f>
        <v/>
      </c>
      <c r="E56" s="32" t="n">
        <v>0</v>
      </c>
      <c r="F56" s="21" t="n">
        <v>0.015886</v>
      </c>
      <c r="G56" s="13">
        <f>IF(Inputs!$C$4=1,E56,C56)</f>
        <v/>
      </c>
      <c r="H56" s="31">
        <f>IF(Inputs!$C$4=1,F56,D56)</f>
        <v/>
      </c>
      <c r="I56" s="31">
        <f>G56*H56</f>
        <v/>
      </c>
    </row>
    <row r="57" ht="27" customHeight="1">
      <c r="B57" s="9" t="inlineStr">
        <is>
          <t>R1 schedule friction (months at an average snag count)</t>
        </is>
      </c>
      <c r="C57" s="13" t="n">
        <v>1</v>
      </c>
      <c r="D57" s="12">
        <f>VoseLognormal(Inputs!$C$15,Inputs!$C$16)</f>
        <v/>
      </c>
      <c r="E57" s="32" t="n">
        <v>1</v>
      </c>
      <c r="F57" s="33" t="n">
        <v>0.365276</v>
      </c>
      <c r="G57" s="13">
        <f>IF(Inputs!$C$4=1,E57,C57)</f>
        <v/>
      </c>
      <c r="H57" s="12">
        <f>IF(Inputs!$C$4=1,F57,D57)</f>
        <v/>
      </c>
      <c r="I57" s="12">
        <f>G57*H57</f>
        <v/>
      </c>
    </row>
    <row r="58" ht="27" customHeight="1">
      <c r="B58" s="9" t="inlineStr">
        <is>
          <t>R2 filler fails acceptance: site rectification cost</t>
        </is>
      </c>
      <c r="C58" s="13">
        <f>VoseBernoulli(Inputs!$C$17)</f>
        <v/>
      </c>
      <c r="D58" s="34">
        <f>VoseLognormal(Inputs!$C$18,Inputs!$C$19)</f>
        <v/>
      </c>
      <c r="E58" s="32" t="n">
        <v>1</v>
      </c>
      <c r="F58" s="19" t="n">
        <v>1.483513</v>
      </c>
      <c r="G58" s="13">
        <f>IF(Inputs!$C$4=1,E58,C58)</f>
        <v/>
      </c>
      <c r="H58" s="34">
        <f>IF(Inputs!$C$4=1,F58,D58)</f>
        <v/>
      </c>
      <c r="I58" s="34">
        <f>G58*H58</f>
        <v/>
      </c>
    </row>
    <row r="59" ht="27" customHeight="1">
      <c r="B59" s="9" t="inlineStr">
        <is>
          <t>R2 filler: site rectification delay (months; same failure as the row above)</t>
        </is>
      </c>
      <c r="C59" s="13">
        <f>C58</f>
        <v/>
      </c>
      <c r="D59" s="12">
        <f>VoseLognormal(Inputs!$C$20,Inputs!$C$21)</f>
        <v/>
      </c>
      <c r="E59" s="32">
        <f>E58</f>
        <v/>
      </c>
      <c r="F59" s="33" t="n">
        <v>3.988507</v>
      </c>
      <c r="G59" s="13">
        <f>IF(Inputs!$C$4=1,E59,C59)</f>
        <v/>
      </c>
      <c r="H59" s="12">
        <f>IF(Inputs!$C$4=1,F59,D59)</f>
        <v/>
      </c>
      <c r="I59" s="12">
        <f>G59*H59</f>
        <v/>
      </c>
    </row>
    <row r="60" ht="15" customHeight="1">
      <c r="B60" s="9" t="inlineStr">
        <is>
          <t>R4 fire during hot works: loss</t>
        </is>
      </c>
      <c r="C60" s="13">
        <f>VoseBernoulli(Inputs!$C$24)</f>
        <v/>
      </c>
      <c r="D60" s="34">
        <f>VoseLognormal(Inputs!$C$25,Inputs!$C$26)</f>
        <v/>
      </c>
      <c r="E60" s="32" t="n">
        <v>0</v>
      </c>
      <c r="F60" s="19" t="n">
        <v>10.702903</v>
      </c>
      <c r="G60" s="13">
        <f>IF(Inputs!$C$4=1,E60,C60)</f>
        <v/>
      </c>
      <c r="H60" s="34">
        <f>IF(Inputs!$C$4=1,F60,D60)</f>
        <v/>
      </c>
      <c r="I60" s="34">
        <f>G60*H60</f>
        <v/>
      </c>
    </row>
    <row r="61"/>
    <row r="62" ht="20" customHeight="1">
      <c r="B62" s="4" t="inlineStr">
        <is>
          <t>Register summary for this year</t>
        </is>
      </c>
    </row>
    <row r="63">
      <c r="B63" s="9" t="inlineStr">
        <is>
          <t>Snag swarm cost</t>
        </is>
      </c>
      <c r="C63" s="35">
        <f>SUM(I6:I44)</f>
        <v/>
      </c>
    </row>
    <row r="64">
      <c r="B64" s="9" t="inlineStr">
        <is>
          <t>Snags that bit</t>
        </is>
      </c>
      <c r="C64" s="36">
        <f>SUM(G6:G44)</f>
        <v/>
      </c>
    </row>
    <row r="65">
      <c r="B65" s="9" t="inlineStr">
        <is>
          <t>Snag schedule friction (months)</t>
        </is>
      </c>
      <c r="C65" s="37">
        <f>H57*$C$64/(39*Inputs!$C$12)</f>
        <v/>
      </c>
    </row>
    <row r="66">
      <c r="B66" s="9" t="inlineStr">
        <is>
          <t>Scope creep cost</t>
        </is>
      </c>
      <c r="C66" s="35">
        <f>SUM(I45:I56)</f>
        <v/>
      </c>
    </row>
    <row r="67">
      <c r="B67" s="9" t="inlineStr">
        <is>
          <t>Filler failed acceptance (1 = yes)</t>
        </is>
      </c>
      <c r="C67" s="36">
        <f>G58</f>
        <v/>
      </c>
    </row>
    <row r="68">
      <c r="B68" s="9" t="inlineStr">
        <is>
          <t>Filler rectification cost if found on site</t>
        </is>
      </c>
      <c r="C68" s="10">
        <f>H58</f>
        <v/>
      </c>
    </row>
    <row r="69">
      <c r="B69" s="9" t="inlineStr">
        <is>
          <t>Filler rectification delay if found on site (months)</t>
        </is>
      </c>
      <c r="C69" s="37">
        <f>H59</f>
        <v/>
      </c>
    </row>
    <row r="70">
      <c r="B70" s="9" t="inlineStr">
        <is>
          <t>Fire (1 = yes)</t>
        </is>
      </c>
      <c r="C70" s="36">
        <f>G60</f>
        <v/>
      </c>
    </row>
    <row r="71">
      <c r="B71" s="9" t="inlineStr">
        <is>
          <t>Fire loss if it happens</t>
        </is>
      </c>
      <c r="C71" s="10">
        <f>H60</f>
        <v/>
      </c>
    </row>
    <row r="72"/>
    <row r="73" ht="20" customHeight="1">
      <c r="B73" s="4" t="inlineStr">
        <is>
          <t>Part 2: five universes, same year</t>
        </is>
      </c>
    </row>
    <row r="74" ht="30" customHeight="1">
      <c r="B74" s="7" t="inlineStr"/>
      <c r="C74" s="8" t="inlineStr">
        <is>
          <t>Brian</t>
        </is>
      </c>
      <c r="D74" s="8" t="inlineStr">
        <is>
          <t>Sandra</t>
        </is>
      </c>
      <c r="E74" s="8" t="inlineStr">
        <is>
          <t>Quentin</t>
        </is>
      </c>
      <c r="F74" s="8" t="inlineStr">
        <is>
          <t>Petra</t>
        </is>
      </c>
      <c r="G74" s="8" t="inlineStr">
        <is>
          <t>Trevor</t>
        </is>
      </c>
      <c r="H74" s="8" t="inlineStr">
        <is>
          <t>Quentin without the test</t>
        </is>
      </c>
    </row>
    <row r="75" ht="15" customHeight="1">
      <c r="B75" s="9" t="inlineStr">
        <is>
          <t>Base budget as spent (incl. Parkinson factor)</t>
        </is>
      </c>
      <c r="C75" s="34">
        <f>Inputs!$C$6*(1+Inputs!$C$41)</f>
        <v/>
      </c>
      <c r="D75" s="34">
        <f>Inputs!$C$6*(1+Inputs!$D$41)</f>
        <v/>
      </c>
      <c r="E75" s="34">
        <f>Inputs!$C$6*(1+Inputs!$E$41)</f>
        <v/>
      </c>
      <c r="F75" s="34">
        <f>Inputs!$C$6*(1+Inputs!$F$41)</f>
        <v/>
      </c>
      <c r="G75" s="34">
        <f>Inputs!$C$6*(1+Inputs!$G$41)</f>
        <v/>
      </c>
      <c r="H75" s="34">
        <f>Inputs!$C$6*(1+Inputs!$H$41)</f>
        <v/>
      </c>
    </row>
    <row r="76" ht="15" customHeight="1">
      <c r="B76" s="9" t="inlineStr">
        <is>
          <t>Snag swarm</t>
        </is>
      </c>
      <c r="C76" s="34">
        <f>$C$63</f>
        <v/>
      </c>
      <c r="D76" s="34">
        <f>$C$63</f>
        <v/>
      </c>
      <c r="E76" s="34">
        <f>$C$63</f>
        <v/>
      </c>
      <c r="F76" s="34">
        <f>$C$63</f>
        <v/>
      </c>
      <c r="G76" s="34">
        <f>$C$63</f>
        <v/>
      </c>
      <c r="H76" s="34">
        <f>$C$63</f>
        <v/>
      </c>
    </row>
    <row r="77" ht="15" customHeight="1">
      <c r="B77" s="9" t="inlineStr">
        <is>
          <t>Scope creep</t>
        </is>
      </c>
      <c r="C77" s="34">
        <f>$C$66*Inputs!$C$42</f>
        <v/>
      </c>
      <c r="D77" s="34">
        <f>$C$66*Inputs!$D$42</f>
        <v/>
      </c>
      <c r="E77" s="34">
        <f>$C$66*Inputs!$E$42</f>
        <v/>
      </c>
      <c r="F77" s="34">
        <f>$C$66*Inputs!$F$42</f>
        <v/>
      </c>
      <c r="G77" s="34">
        <f>$C$66*Inputs!$G$42</f>
        <v/>
      </c>
      <c r="H77" s="34">
        <f>$C$66*Inputs!$H$42</f>
        <v/>
      </c>
    </row>
    <row r="78" ht="15" customHeight="1">
      <c r="B78" s="9" t="inlineStr">
        <is>
          <t>Filler rectification</t>
        </is>
      </c>
      <c r="C78" s="34">
        <f>IF($C$67=1,IF(Inputs!$C$38=1,Inputs!$C$22*$C$68,$C$68)*Inputs!$C$43,0)</f>
        <v/>
      </c>
      <c r="D78" s="34">
        <f>IF($C$67=1,IF(Inputs!$D$38=1,Inputs!$C$22*$C$68,$C$68)*Inputs!$D$43,0)</f>
        <v/>
      </c>
      <c r="E78" s="34">
        <f>IF($C$67=1,IF(Inputs!$E$38=1,Inputs!$C$22*$C$68,$C$68)*Inputs!$E$43,0)</f>
        <v/>
      </c>
      <c r="F78" s="34">
        <f>IF($C$67=1,IF(Inputs!$F$38=1,Inputs!$C$22*$C$68,$C$68)*Inputs!$F$43,0)</f>
        <v/>
      </c>
      <c r="G78" s="34">
        <f>IF($C$67=1,IF(Inputs!$G$38=1,Inputs!$C$22*$C$68,$C$68)*Inputs!$G$43,0)</f>
        <v/>
      </c>
      <c r="H78" s="34">
        <f>IF($C$67=1,IF(Inputs!$H$38=1,Inputs!$C$22*$C$68,$C$68)*Inputs!$H$43,0)</f>
        <v/>
      </c>
    </row>
    <row r="79" ht="15" customHeight="1">
      <c r="B79" s="9" t="inlineStr">
        <is>
          <t>Delay (months)</t>
        </is>
      </c>
      <c r="C79" s="12">
        <f>$C$65+IF($C$67=1,IF(Inputs!$C$38=1,Inputs!$C$23,$C$69),0)</f>
        <v/>
      </c>
      <c r="D79" s="12">
        <f>$C$65+IF($C$67=1,IF(Inputs!$D$38=1,Inputs!$C$23,$C$69),0)</f>
        <v/>
      </c>
      <c r="E79" s="12">
        <f>$C$65+IF($C$67=1,IF(Inputs!$E$38=1,Inputs!$C$23,$C$69),0)</f>
        <v/>
      </c>
      <c r="F79" s="12">
        <f>$C$65+IF($C$67=1,IF(Inputs!$F$38=1,Inputs!$C$23,$C$69),0)</f>
        <v/>
      </c>
      <c r="G79" s="12">
        <f>$C$65+IF($C$67=1,IF(Inputs!$G$38=1,Inputs!$C$23,$C$69),0)</f>
        <v/>
      </c>
      <c r="H79" s="12">
        <f>$C$65+IF($C$67=1,IF(Inputs!$H$38=1,Inputs!$C$23,$C$69),0)</f>
        <v/>
      </c>
    </row>
    <row r="80" ht="15" customHeight="1">
      <c r="B80" s="9" t="inlineStr">
        <is>
          <t>Cost of delay</t>
        </is>
      </c>
      <c r="C80" s="34">
        <f>C79*Inputs!$C$9</f>
        <v/>
      </c>
      <c r="D80" s="34">
        <f>D79*Inputs!$C$9</f>
        <v/>
      </c>
      <c r="E80" s="34">
        <f>E79*Inputs!$C$9</f>
        <v/>
      </c>
      <c r="F80" s="34">
        <f>F79*Inputs!$C$9</f>
        <v/>
      </c>
      <c r="G80" s="34">
        <f>G79*Inputs!$C$9</f>
        <v/>
      </c>
      <c r="H80" s="34">
        <f>H79*Inputs!$C$9</f>
        <v/>
      </c>
    </row>
    <row r="81" ht="15" customHeight="1">
      <c r="B81" s="9" t="inlineStr">
        <is>
          <t>Finish (month of the year)</t>
        </is>
      </c>
      <c r="C81" s="12">
        <f>Inputs!$C$7+C79</f>
        <v/>
      </c>
      <c r="D81" s="12">
        <f>Inputs!$C$7+D79</f>
        <v/>
      </c>
      <c r="E81" s="12">
        <f>Inputs!$C$7+E79</f>
        <v/>
      </c>
      <c r="F81" s="12">
        <f>Inputs!$C$7+F79</f>
        <v/>
      </c>
      <c r="G81" s="12">
        <f>Inputs!$C$7+G79</f>
        <v/>
      </c>
      <c r="H81" s="12">
        <f>Inputs!$C$7+H79</f>
        <v/>
      </c>
    </row>
    <row r="82" ht="15" customHeight="1">
      <c r="B82" s="9" t="inlineStr">
        <is>
          <t>Season gate (month)</t>
        </is>
      </c>
      <c r="C82" s="12">
        <f>Inputs!$C$8+IF(Inputs!$C$39=1,1,0)</f>
        <v/>
      </c>
      <c r="D82" s="12">
        <f>Inputs!$C$8+IF(Inputs!$D$39=1,1,0)</f>
        <v/>
      </c>
      <c r="E82" s="12">
        <f>Inputs!$C$8+IF(Inputs!$E$39=1,1,0)</f>
        <v/>
      </c>
      <c r="F82" s="12">
        <f>Inputs!$C$8+IF(Inputs!$F$39=1,1,0)</f>
        <v/>
      </c>
      <c r="G82" s="12">
        <f>Inputs!$C$8+IF(Inputs!$G$39=1,1,0)</f>
        <v/>
      </c>
      <c r="H82" s="12">
        <f>Inputs!$C$8+IF(Inputs!$H$39=1,1,0)</f>
        <v/>
      </c>
    </row>
    <row r="83" ht="15" customHeight="1">
      <c r="B83" s="9" t="inlineStr">
        <is>
          <t>Christmas season missed (1 = yes)</t>
        </is>
      </c>
      <c r="C83" s="38">
        <f>VoseOutput("Brian: season missed")+IF(C81&gt;C82,1,0)</f>
        <v/>
      </c>
      <c r="D83" s="38">
        <f>VoseOutput("Sandra: season missed")+IF(D81&gt;D82,1,0)</f>
        <v/>
      </c>
      <c r="E83" s="38">
        <f>VoseOutput("Quentin: season missed")+IF(E81&gt;E82,1,0)</f>
        <v/>
      </c>
      <c r="F83" s="38">
        <f>VoseOutput("Petra: season missed")+IF(F81&gt;F82,1,0)</f>
        <v/>
      </c>
      <c r="G83" s="38">
        <f>VoseOutput("Trevor: season missed")+IF(G81&gt;G82,1,0)</f>
        <v/>
      </c>
      <c r="H83" s="13">
        <f>IF(H81&gt;H82,1,0)</f>
        <v/>
      </c>
    </row>
    <row r="84" ht="15" customHeight="1">
      <c r="B84" s="9" t="inlineStr">
        <is>
          <t>Lost Christmas contribution</t>
        </is>
      </c>
      <c r="C84" s="34">
        <f>C83*Inputs!$C$10</f>
        <v/>
      </c>
      <c r="D84" s="34">
        <f>D83*Inputs!$C$10</f>
        <v/>
      </c>
      <c r="E84" s="34">
        <f>E83*Inputs!$C$10</f>
        <v/>
      </c>
      <c r="F84" s="34">
        <f>F83*Inputs!$C$10</f>
        <v/>
      </c>
      <c r="G84" s="34">
        <f>G83*Inputs!$C$10</f>
        <v/>
      </c>
      <c r="H84" s="34">
        <f>H83*Inputs!$C$10</f>
        <v/>
      </c>
    </row>
    <row r="85" ht="15" customHeight="1">
      <c r="B85" s="9" t="inlineStr">
        <is>
          <t>Insurance premium</t>
        </is>
      </c>
      <c r="C85" s="34">
        <f>IF(Inputs!$C$40="tail",Inputs!$C$32,IF(Inputs!$C$40="full",Inputs!$C$34,0))</f>
        <v/>
      </c>
      <c r="D85" s="34">
        <f>IF(Inputs!$D$40="tail",Inputs!$C$32,IF(Inputs!$D$40="full",Inputs!$C$34,0))</f>
        <v/>
      </c>
      <c r="E85" s="34">
        <f>IF(Inputs!$E$40="tail",Inputs!$C$32,IF(Inputs!$E$40="full",Inputs!$C$34,0))</f>
        <v/>
      </c>
      <c r="F85" s="34">
        <f>IF(Inputs!$F$40="tail",Inputs!$C$32,IF(Inputs!$F$40="full",Inputs!$C$34,0))</f>
        <v/>
      </c>
      <c r="G85" s="34">
        <f>IF(Inputs!$G$40="tail",Inputs!$C$32,IF(Inputs!$G$40="full",Inputs!$C$34,0))</f>
        <v/>
      </c>
      <c r="H85" s="34">
        <f>IF(Inputs!$H$40="tail",Inputs!$C$32,IF(Inputs!$H$40="full",Inputs!$C$34,0))</f>
        <v/>
      </c>
    </row>
    <row r="86" ht="15" customHeight="1">
      <c r="B86" s="9" t="inlineStr">
        <is>
          <t>Early acceptance test</t>
        </is>
      </c>
      <c r="C86" s="34">
        <f>Inputs!$C$38*Inputs!$C$31</f>
        <v/>
      </c>
      <c r="D86" s="34">
        <f>Inputs!$D$38*Inputs!$C$31</f>
        <v/>
      </c>
      <c r="E86" s="34">
        <f>Inputs!$E$38*Inputs!$C$31</f>
        <v/>
      </c>
      <c r="F86" s="34">
        <f>Inputs!$F$38*Inputs!$C$31</f>
        <v/>
      </c>
      <c r="G86" s="34">
        <f>Inputs!$G$38*Inputs!$C$31</f>
        <v/>
      </c>
      <c r="H86" s="34">
        <f>Inputs!$H$38*Inputs!$C$31</f>
        <v/>
      </c>
    </row>
    <row r="87" ht="15" customHeight="1">
      <c r="B87" s="9" t="inlineStr">
        <is>
          <t>Fire loss</t>
        </is>
      </c>
      <c r="C87" s="34">
        <f>IF($C$70=1,$C$71*Inputs!$C$43,0)</f>
        <v/>
      </c>
      <c r="D87" s="34">
        <f>IF($C$70=1,$C$71*Inputs!$D$43,0)</f>
        <v/>
      </c>
      <c r="E87" s="34">
        <f>IF($C$70=1,$C$71*Inputs!$E$43,0)</f>
        <v/>
      </c>
      <c r="F87" s="34">
        <f>IF($C$70=1,$C$71*Inputs!$F$43,0)</f>
        <v/>
      </c>
      <c r="G87" s="34">
        <f>IF($C$70=1,$C$71*Inputs!$G$43,0)</f>
        <v/>
      </c>
      <c r="H87" s="34">
        <f>IF($C$70=1,$C$71*Inputs!$H$43,0)</f>
        <v/>
      </c>
    </row>
    <row r="88" ht="15" customHeight="1">
      <c r="B88" s="9" t="inlineStr">
        <is>
          <t>Insurance recovery</t>
        </is>
      </c>
      <c r="C88" s="34">
        <f>IF($C$70=1,IF(Inputs!$C$40="tail",MAX($C$71-Inputs!$C$33,0),IF(Inputs!$C$40="full",$C$71,0)),0)</f>
        <v/>
      </c>
      <c r="D88" s="34">
        <f>IF($C$70=1,IF(Inputs!$D$40="tail",MAX($C$71-Inputs!$C$33,0),IF(Inputs!$D$40="full",$C$71,0)),0)</f>
        <v/>
      </c>
      <c r="E88" s="34">
        <f>IF($C$70=1,IF(Inputs!$E$40="tail",MAX($C$71-Inputs!$C$33,0),IF(Inputs!$E$40="full",$C$71,0)),0)</f>
        <v/>
      </c>
      <c r="F88" s="34">
        <f>IF($C$70=1,IF(Inputs!$F$40="tail",MAX($C$71-Inputs!$C$33,0),IF(Inputs!$F$40="full",$C$71,0)),0)</f>
        <v/>
      </c>
      <c r="G88" s="34">
        <f>IF($C$70=1,IF(Inputs!$G$40="tail",MAX($C$71-Inputs!$C$33,0),IF(Inputs!$G$40="full",$C$71,0)),0)</f>
        <v/>
      </c>
      <c r="H88" s="34">
        <f>IF($C$70=1,IF(Inputs!$H$40="tail",MAX($C$71-Inputs!$C$33,0),IF(Inputs!$H$40="full",$C$71,0)),0)</f>
        <v/>
      </c>
    </row>
    <row r="89" ht="15" customHeight="1">
      <c r="B89" s="39" t="inlineStr">
        <is>
          <t>TOTAL COST</t>
        </is>
      </c>
      <c r="C89" s="40">
        <f>VoseOutput("Brian: total cost")+C75+C76+C77+C78+C80+C84+C85+C86+C87-C88</f>
        <v/>
      </c>
      <c r="D89" s="40">
        <f>VoseOutput("Sandra: total cost")+D75+D76+D77+D78+D80+D84+D85+D86+D87-D88</f>
        <v/>
      </c>
      <c r="E89" s="40">
        <f>VoseOutput("Quentin: total cost")+E75+E76+E77+E78+E80+E84+E85+E86+E87-E88</f>
        <v/>
      </c>
      <c r="F89" s="40">
        <f>VoseOutput("Petra: total cost")+F75+F76+F77+F78+F80+F84+F85+F86+F87-F88</f>
        <v/>
      </c>
      <c r="G89" s="40">
        <f>VoseOutput("Trevor: total cost")+G75+G76+G77+G78+G80+G84+G85+G86+G87-G88</f>
        <v/>
      </c>
      <c r="H89" s="40">
        <f>VoseOutput("Quentin no test: total cost")+H75+H76+H77+H78+H80+H84+H85+H86+H87-H88</f>
        <v/>
      </c>
    </row>
    <row r="90" ht="15" customHeight="1">
      <c r="B90" s="9" t="inlineStr">
        <is>
          <t>Over (+) or under (−) the €10m budget</t>
        </is>
      </c>
      <c r="C90" s="11">
        <f>C89-Inputs!$C$6</f>
        <v/>
      </c>
      <c r="D90" s="11">
        <f>D89-Inputs!$C$6</f>
        <v/>
      </c>
      <c r="E90" s="11">
        <f>E89-Inputs!$C$6</f>
        <v/>
      </c>
      <c r="F90" s="11">
        <f>F89-Inputs!$C$6</f>
        <v/>
      </c>
      <c r="G90" s="11">
        <f>G89-Inputs!$C$6</f>
        <v/>
      </c>
      <c r="H90" s="11">
        <f>H89-Inputs!$C$6</f>
        <v/>
      </c>
    </row>
    <row r="91"/>
    <row r="92" ht="27" customHeight="1">
      <c r="B92" s="9" t="inlineStr">
        <is>
          <t>Brian ends up cheaper than Quentin this year (1 = yes)</t>
        </is>
      </c>
      <c r="C92" s="41">
        <f>VoseOutput("Brian cheaper than Quentin")+IF(C89&lt;E89,1,0)</f>
        <v/>
      </c>
    </row>
    <row r="93" ht="28" customHeight="1">
      <c r="B93" s="2" t="inlineStr">
        <is>
          <t>'Quentin without the test' is not a sixth risk manager: it exists only to value Quentin's €120k acceptance test (see the Dashboard).</t>
        </is>
      </c>
    </row>
  </sheetData>
  <mergeCells count="5">
    <mergeCell ref="B73:I73"/>
    <mergeCell ref="B62:I62"/>
    <mergeCell ref="B2:I2"/>
    <mergeCell ref="B93:I93"/>
    <mergeCell ref="B4:I4"/>
  </mergeCells>
  <pageMargins left="0.75" right="0.75" top="1" bottom="1" header="0.5" footer="0.5"/>
  <pageSetup fitToHeight="0" fitToWidth="1"/>
</worksheet>
</file>

<file path=xl/worksheets/sheet5.xml><?xml version="1.0" encoding="utf-8"?>
<worksheet xmlns="http://schemas.openxmlformats.org/spreadsheetml/2006/main">
  <sheetPr>
    <outlinePr summaryBelow="1" summaryRight="1"/>
    <pageSetUpPr fitToPage="1"/>
  </sheetPr>
  <dimension ref="B1:I93"/>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3" customWidth="1" min="1" max="1"/>
    <col width="44" customWidth="1" min="2" max="2"/>
    <col width="13" customWidth="1" min="3" max="3"/>
    <col width="13" customWidth="1" min="4" max="4"/>
    <col width="13" customWidth="1" min="5" max="5"/>
    <col width="13" customWidth="1" min="6" max="6"/>
    <col width="13" customWidth="1" min="7" max="7"/>
    <col width="13" customWidth="1" min="8" max="8"/>
    <col width="13" customWidth="1" min="9" max="9"/>
    <col width="3" customWidth="1" min="10" max="10"/>
  </cols>
  <sheetData>
    <row r="1" ht="24" customHeight="1">
      <c r="B1" s="6" t="inlineStr">
        <is>
          <t>No ModelRisk? The same model in plain Excel</t>
        </is>
      </c>
    </row>
    <row r="2" ht="28" customHeight="1">
      <c r="B2" s="2" t="inlineStr">
        <is>
          <t>Press F9 for one random year. One year per keypress; ModelRisk runs 10,000 and gives you the distributions. Free trial: https://www.vosesoftware.com/Risk-In-Excel/Download-ModelRisk-trial.php</t>
        </is>
      </c>
    </row>
    <row r="3"/>
    <row r="4" ht="20" customHeight="1">
      <c r="B4" s="4" t="inlineStr">
        <is>
          <t>Part 1: the risk register (one draw per item)</t>
        </is>
      </c>
    </row>
    <row r="5" ht="30" customHeight="1">
      <c r="B5" s="8" t="inlineStr">
        <is>
          <t>Item</t>
        </is>
      </c>
      <c r="C5" s="8" t="inlineStr">
        <is>
          <t>Happens? (draw)</t>
        </is>
      </c>
      <c r="D5" s="8" t="inlineStr">
        <is>
          <t>Size if it happens (draw)</t>
        </is>
      </c>
      <c r="E5" s="8" t="inlineStr">
        <is>
          <t>Story year: happens</t>
        </is>
      </c>
      <c r="F5" s="8" t="inlineStr">
        <is>
          <t>Story year: size</t>
        </is>
      </c>
      <c r="G5" s="8" t="inlineStr">
        <is>
          <t>Used: happens</t>
        </is>
      </c>
      <c r="H5" s="8" t="inlineStr">
        <is>
          <t>Used: size</t>
        </is>
      </c>
      <c r="I5" s="8" t="inlineStr">
        <is>
          <t>Contribution</t>
        </is>
      </c>
    </row>
    <row r="6" ht="15" customHeight="1">
      <c r="B6" s="9" t="inlineStr">
        <is>
          <t>R1 snag, register row 23 (green)</t>
        </is>
      </c>
      <c r="C6" s="13">
        <f>IF(RAND()&lt;Inputs!$C$12,1,0)</f>
        <v/>
      </c>
      <c r="D6" s="31">
        <f>_xlfn.LOGNORM.INV(RAND(),LN(Inputs!$C$13)-LN(1+(Inputs!$C$14/Inputs!$C$13)^2)/2,SQRT(LN(1+(Inputs!$C$14/Inputs!$C$13)^2)))</f>
        <v/>
      </c>
      <c r="E6" s="32" t="n">
        <v>1</v>
      </c>
      <c r="F6" s="21" t="n">
        <v>0.018174</v>
      </c>
      <c r="G6" s="13">
        <f>IF(Inputs!$C$4=1,E6,C6)</f>
        <v/>
      </c>
      <c r="H6" s="31">
        <f>IF(Inputs!$C$4=1,F6,D6)</f>
        <v/>
      </c>
      <c r="I6" s="31">
        <f>G6*H6</f>
        <v/>
      </c>
    </row>
    <row r="7" ht="15" customHeight="1">
      <c r="B7" s="9" t="inlineStr">
        <is>
          <t>R1 snag, register row 24 (green)</t>
        </is>
      </c>
      <c r="C7" s="13">
        <f>IF(RAND()&lt;Inputs!$C$12,1,0)</f>
        <v/>
      </c>
      <c r="D7" s="31">
        <f>_xlfn.LOGNORM.INV(RAND(),LN(Inputs!$C$13)-LN(1+(Inputs!$C$14/Inputs!$C$13)^2)/2,SQRT(LN(1+(Inputs!$C$14/Inputs!$C$13)^2)))</f>
        <v/>
      </c>
      <c r="E7" s="32" t="n">
        <v>1</v>
      </c>
      <c r="F7" s="21" t="n">
        <v>0.007181</v>
      </c>
      <c r="G7" s="13">
        <f>IF(Inputs!$C$4=1,E7,C7)</f>
        <v/>
      </c>
      <c r="H7" s="31">
        <f>IF(Inputs!$C$4=1,F7,D7)</f>
        <v/>
      </c>
      <c r="I7" s="31">
        <f>G7*H7</f>
        <v/>
      </c>
    </row>
    <row r="8" ht="15" customHeight="1">
      <c r="B8" s="9" t="inlineStr">
        <is>
          <t>R1 snag, register row 25 (green)</t>
        </is>
      </c>
      <c r="C8" s="13">
        <f>IF(RAND()&lt;Inputs!$C$12,1,0)</f>
        <v/>
      </c>
      <c r="D8" s="31">
        <f>_xlfn.LOGNORM.INV(RAND(),LN(Inputs!$C$13)-LN(1+(Inputs!$C$14/Inputs!$C$13)^2)/2,SQRT(LN(1+(Inputs!$C$14/Inputs!$C$13)^2)))</f>
        <v/>
      </c>
      <c r="E8" s="32" t="n">
        <v>0</v>
      </c>
      <c r="F8" s="21" t="n">
        <v>0.07428</v>
      </c>
      <c r="G8" s="13">
        <f>IF(Inputs!$C$4=1,E8,C8)</f>
        <v/>
      </c>
      <c r="H8" s="31">
        <f>IF(Inputs!$C$4=1,F8,D8)</f>
        <v/>
      </c>
      <c r="I8" s="31">
        <f>G8*H8</f>
        <v/>
      </c>
    </row>
    <row r="9" ht="15" customHeight="1">
      <c r="B9" s="9" t="inlineStr">
        <is>
          <t>R1 snag, register row 26 (green)</t>
        </is>
      </c>
      <c r="C9" s="13">
        <f>IF(RAND()&lt;Inputs!$C$12,1,0)</f>
        <v/>
      </c>
      <c r="D9" s="31">
        <f>_xlfn.LOGNORM.INV(RAND(),LN(Inputs!$C$13)-LN(1+(Inputs!$C$14/Inputs!$C$13)^2)/2,SQRT(LN(1+(Inputs!$C$14/Inputs!$C$13)^2)))</f>
        <v/>
      </c>
      <c r="E9" s="32" t="n">
        <v>1</v>
      </c>
      <c r="F9" s="21" t="n">
        <v>0.017778</v>
      </c>
      <c r="G9" s="13">
        <f>IF(Inputs!$C$4=1,E9,C9)</f>
        <v/>
      </c>
      <c r="H9" s="31">
        <f>IF(Inputs!$C$4=1,F9,D9)</f>
        <v/>
      </c>
      <c r="I9" s="31">
        <f>G9*H9</f>
        <v/>
      </c>
    </row>
    <row r="10" ht="15" customHeight="1">
      <c r="B10" s="9" t="inlineStr">
        <is>
          <t>R1 snag, register row 27 (green)</t>
        </is>
      </c>
      <c r="C10" s="13">
        <f>IF(RAND()&lt;Inputs!$C$12,1,0)</f>
        <v/>
      </c>
      <c r="D10" s="31">
        <f>_xlfn.LOGNORM.INV(RAND(),LN(Inputs!$C$13)-LN(1+(Inputs!$C$14/Inputs!$C$13)^2)/2,SQRT(LN(1+(Inputs!$C$14/Inputs!$C$13)^2)))</f>
        <v/>
      </c>
      <c r="E10" s="32" t="n">
        <v>1</v>
      </c>
      <c r="F10" s="21" t="n">
        <v>0.009613999999999999</v>
      </c>
      <c r="G10" s="13">
        <f>IF(Inputs!$C$4=1,E10,C10)</f>
        <v/>
      </c>
      <c r="H10" s="31">
        <f>IF(Inputs!$C$4=1,F10,D10)</f>
        <v/>
      </c>
      <c r="I10" s="31">
        <f>G10*H10</f>
        <v/>
      </c>
    </row>
    <row r="11" ht="15" customHeight="1">
      <c r="B11" s="9" t="inlineStr">
        <is>
          <t>R1 snag, register row 28 (green)</t>
        </is>
      </c>
      <c r="C11" s="13">
        <f>IF(RAND()&lt;Inputs!$C$12,1,0)</f>
        <v/>
      </c>
      <c r="D11" s="31">
        <f>_xlfn.LOGNORM.INV(RAND(),LN(Inputs!$C$13)-LN(1+(Inputs!$C$14/Inputs!$C$13)^2)/2,SQRT(LN(1+(Inputs!$C$14/Inputs!$C$13)^2)))</f>
        <v/>
      </c>
      <c r="E11" s="32" t="n">
        <v>1</v>
      </c>
      <c r="F11" s="21" t="n">
        <v>0.006544</v>
      </c>
      <c r="G11" s="13">
        <f>IF(Inputs!$C$4=1,E11,C11)</f>
        <v/>
      </c>
      <c r="H11" s="31">
        <f>IF(Inputs!$C$4=1,F11,D11)</f>
        <v/>
      </c>
      <c r="I11" s="31">
        <f>G11*H11</f>
        <v/>
      </c>
    </row>
    <row r="12" ht="15" customHeight="1">
      <c r="B12" s="9" t="inlineStr">
        <is>
          <t>R1 snag, register row 29 (green)</t>
        </is>
      </c>
      <c r="C12" s="13">
        <f>IF(RAND()&lt;Inputs!$C$12,1,0)</f>
        <v/>
      </c>
      <c r="D12" s="31">
        <f>_xlfn.LOGNORM.INV(RAND(),LN(Inputs!$C$13)-LN(1+(Inputs!$C$14/Inputs!$C$13)^2)/2,SQRT(LN(1+(Inputs!$C$14/Inputs!$C$13)^2)))</f>
        <v/>
      </c>
      <c r="E12" s="32" t="n">
        <v>0</v>
      </c>
      <c r="F12" s="21" t="n">
        <v>0.006497</v>
      </c>
      <c r="G12" s="13">
        <f>IF(Inputs!$C$4=1,E12,C12)</f>
        <v/>
      </c>
      <c r="H12" s="31">
        <f>IF(Inputs!$C$4=1,F12,D12)</f>
        <v/>
      </c>
      <c r="I12" s="31">
        <f>G12*H12</f>
        <v/>
      </c>
    </row>
    <row r="13" ht="15" customHeight="1">
      <c r="B13" s="9" t="inlineStr">
        <is>
          <t>R1 snag, register row 30 (green)</t>
        </is>
      </c>
      <c r="C13" s="13">
        <f>IF(RAND()&lt;Inputs!$C$12,1,0)</f>
        <v/>
      </c>
      <c r="D13" s="31">
        <f>_xlfn.LOGNORM.INV(RAND(),LN(Inputs!$C$13)-LN(1+(Inputs!$C$14/Inputs!$C$13)^2)/2,SQRT(LN(1+(Inputs!$C$14/Inputs!$C$13)^2)))</f>
        <v/>
      </c>
      <c r="E13" s="32" t="n">
        <v>0</v>
      </c>
      <c r="F13" s="21" t="n">
        <v>0.005674</v>
      </c>
      <c r="G13" s="13">
        <f>IF(Inputs!$C$4=1,E13,C13)</f>
        <v/>
      </c>
      <c r="H13" s="31">
        <f>IF(Inputs!$C$4=1,F13,D13)</f>
        <v/>
      </c>
      <c r="I13" s="31">
        <f>G13*H13</f>
        <v/>
      </c>
    </row>
    <row r="14" ht="15" customHeight="1">
      <c r="B14" s="9" t="inlineStr">
        <is>
          <t>R1 snag, register row 31 (green)</t>
        </is>
      </c>
      <c r="C14" s="13">
        <f>IF(RAND()&lt;Inputs!$C$12,1,0)</f>
        <v/>
      </c>
      <c r="D14" s="31">
        <f>_xlfn.LOGNORM.INV(RAND(),LN(Inputs!$C$13)-LN(1+(Inputs!$C$14/Inputs!$C$13)^2)/2,SQRT(LN(1+(Inputs!$C$14/Inputs!$C$13)^2)))</f>
        <v/>
      </c>
      <c r="E14" s="32" t="n">
        <v>1</v>
      </c>
      <c r="F14" s="21" t="n">
        <v>0.026591</v>
      </c>
      <c r="G14" s="13">
        <f>IF(Inputs!$C$4=1,E14,C14)</f>
        <v/>
      </c>
      <c r="H14" s="31">
        <f>IF(Inputs!$C$4=1,F14,D14)</f>
        <v/>
      </c>
      <c r="I14" s="31">
        <f>G14*H14</f>
        <v/>
      </c>
    </row>
    <row r="15" ht="15" customHeight="1">
      <c r="B15" s="9" t="inlineStr">
        <is>
          <t>R1 snag, register row 32 (green)</t>
        </is>
      </c>
      <c r="C15" s="13">
        <f>IF(RAND()&lt;Inputs!$C$12,1,0)</f>
        <v/>
      </c>
      <c r="D15" s="31">
        <f>_xlfn.LOGNORM.INV(RAND(),LN(Inputs!$C$13)-LN(1+(Inputs!$C$14/Inputs!$C$13)^2)/2,SQRT(LN(1+(Inputs!$C$14/Inputs!$C$13)^2)))</f>
        <v/>
      </c>
      <c r="E15" s="32" t="n">
        <v>1</v>
      </c>
      <c r="F15" s="21" t="n">
        <v>0.008902</v>
      </c>
      <c r="G15" s="13">
        <f>IF(Inputs!$C$4=1,E15,C15)</f>
        <v/>
      </c>
      <c r="H15" s="31">
        <f>IF(Inputs!$C$4=1,F15,D15)</f>
        <v/>
      </c>
      <c r="I15" s="31">
        <f>G15*H15</f>
        <v/>
      </c>
    </row>
    <row r="16" ht="15" customHeight="1">
      <c r="B16" s="9" t="inlineStr">
        <is>
          <t>R1 snag, register row 33 (green)</t>
        </is>
      </c>
      <c r="C16" s="13">
        <f>IF(RAND()&lt;Inputs!$C$12,1,0)</f>
        <v/>
      </c>
      <c r="D16" s="31">
        <f>_xlfn.LOGNORM.INV(RAND(),LN(Inputs!$C$13)-LN(1+(Inputs!$C$14/Inputs!$C$13)^2)/2,SQRT(LN(1+(Inputs!$C$14/Inputs!$C$13)^2)))</f>
        <v/>
      </c>
      <c r="E16" s="32" t="n">
        <v>0</v>
      </c>
      <c r="F16" s="21" t="n">
        <v>0.015114</v>
      </c>
      <c r="G16" s="13">
        <f>IF(Inputs!$C$4=1,E16,C16)</f>
        <v/>
      </c>
      <c r="H16" s="31">
        <f>IF(Inputs!$C$4=1,F16,D16)</f>
        <v/>
      </c>
      <c r="I16" s="31">
        <f>G16*H16</f>
        <v/>
      </c>
    </row>
    <row r="17" ht="15" customHeight="1">
      <c r="B17" s="9" t="inlineStr">
        <is>
          <t>R1 snag, register row 34 (green)</t>
        </is>
      </c>
      <c r="C17" s="13">
        <f>IF(RAND()&lt;Inputs!$C$12,1,0)</f>
        <v/>
      </c>
      <c r="D17" s="31">
        <f>_xlfn.LOGNORM.INV(RAND(),LN(Inputs!$C$13)-LN(1+(Inputs!$C$14/Inputs!$C$13)^2)/2,SQRT(LN(1+(Inputs!$C$14/Inputs!$C$13)^2)))</f>
        <v/>
      </c>
      <c r="E17" s="32" t="n">
        <v>1</v>
      </c>
      <c r="F17" s="21" t="n">
        <v>0.008111999999999999</v>
      </c>
      <c r="G17" s="13">
        <f>IF(Inputs!$C$4=1,E17,C17)</f>
        <v/>
      </c>
      <c r="H17" s="31">
        <f>IF(Inputs!$C$4=1,F17,D17)</f>
        <v/>
      </c>
      <c r="I17" s="31">
        <f>G17*H17</f>
        <v/>
      </c>
    </row>
    <row r="18" ht="15" customHeight="1">
      <c r="B18" s="9" t="inlineStr">
        <is>
          <t>R1 snag, register row 35 (green)</t>
        </is>
      </c>
      <c r="C18" s="13">
        <f>IF(RAND()&lt;Inputs!$C$12,1,0)</f>
        <v/>
      </c>
      <c r="D18" s="31">
        <f>_xlfn.LOGNORM.INV(RAND(),LN(Inputs!$C$13)-LN(1+(Inputs!$C$14/Inputs!$C$13)^2)/2,SQRT(LN(1+(Inputs!$C$14/Inputs!$C$13)^2)))</f>
        <v/>
      </c>
      <c r="E18" s="32" t="n">
        <v>1</v>
      </c>
      <c r="F18" s="21" t="n">
        <v>0.020987</v>
      </c>
      <c r="G18" s="13">
        <f>IF(Inputs!$C$4=1,E18,C18)</f>
        <v/>
      </c>
      <c r="H18" s="31">
        <f>IF(Inputs!$C$4=1,F18,D18)</f>
        <v/>
      </c>
      <c r="I18" s="31">
        <f>G18*H18</f>
        <v/>
      </c>
    </row>
    <row r="19" ht="15" customHeight="1">
      <c r="B19" s="9" t="inlineStr">
        <is>
          <t>R1 snag, register row 36 (green)</t>
        </is>
      </c>
      <c r="C19" s="13">
        <f>IF(RAND()&lt;Inputs!$C$12,1,0)</f>
        <v/>
      </c>
      <c r="D19" s="31">
        <f>_xlfn.LOGNORM.INV(RAND(),LN(Inputs!$C$13)-LN(1+(Inputs!$C$14/Inputs!$C$13)^2)/2,SQRT(LN(1+(Inputs!$C$14/Inputs!$C$13)^2)))</f>
        <v/>
      </c>
      <c r="E19" s="32" t="n">
        <v>0</v>
      </c>
      <c r="F19" s="21" t="n">
        <v>0.00923</v>
      </c>
      <c r="G19" s="13">
        <f>IF(Inputs!$C$4=1,E19,C19)</f>
        <v/>
      </c>
      <c r="H19" s="31">
        <f>IF(Inputs!$C$4=1,F19,D19)</f>
        <v/>
      </c>
      <c r="I19" s="31">
        <f>G19*H19</f>
        <v/>
      </c>
    </row>
    <row r="20" ht="15" customHeight="1">
      <c r="B20" s="9" t="inlineStr">
        <is>
          <t>R1 snag, register row 37 (green)</t>
        </is>
      </c>
      <c r="C20" s="13">
        <f>IF(RAND()&lt;Inputs!$C$12,1,0)</f>
        <v/>
      </c>
      <c r="D20" s="31">
        <f>_xlfn.LOGNORM.INV(RAND(),LN(Inputs!$C$13)-LN(1+(Inputs!$C$14/Inputs!$C$13)^2)/2,SQRT(LN(1+(Inputs!$C$14/Inputs!$C$13)^2)))</f>
        <v/>
      </c>
      <c r="E20" s="32" t="n">
        <v>1</v>
      </c>
      <c r="F20" s="21" t="n">
        <v>0.005402</v>
      </c>
      <c r="G20" s="13">
        <f>IF(Inputs!$C$4=1,E20,C20)</f>
        <v/>
      </c>
      <c r="H20" s="31">
        <f>IF(Inputs!$C$4=1,F20,D20)</f>
        <v/>
      </c>
      <c r="I20" s="31">
        <f>G20*H20</f>
        <v/>
      </c>
    </row>
    <row r="21" ht="15" customHeight="1">
      <c r="B21" s="9" t="inlineStr">
        <is>
          <t>R1 snag, register row 38 (green)</t>
        </is>
      </c>
      <c r="C21" s="13">
        <f>IF(RAND()&lt;Inputs!$C$12,1,0)</f>
        <v/>
      </c>
      <c r="D21" s="31">
        <f>_xlfn.LOGNORM.INV(RAND(),LN(Inputs!$C$13)-LN(1+(Inputs!$C$14/Inputs!$C$13)^2)/2,SQRT(LN(1+(Inputs!$C$14/Inputs!$C$13)^2)))</f>
        <v/>
      </c>
      <c r="E21" s="32" t="n">
        <v>1</v>
      </c>
      <c r="F21" s="21" t="n">
        <v>0.004729</v>
      </c>
      <c r="G21" s="13">
        <f>IF(Inputs!$C$4=1,E21,C21)</f>
        <v/>
      </c>
      <c r="H21" s="31">
        <f>IF(Inputs!$C$4=1,F21,D21)</f>
        <v/>
      </c>
      <c r="I21" s="31">
        <f>G21*H21</f>
        <v/>
      </c>
    </row>
    <row r="22" ht="15" customHeight="1">
      <c r="B22" s="9" t="inlineStr">
        <is>
          <t>R1 snag, register row 39 (green)</t>
        </is>
      </c>
      <c r="C22" s="13">
        <f>IF(RAND()&lt;Inputs!$C$12,1,0)</f>
        <v/>
      </c>
      <c r="D22" s="31">
        <f>_xlfn.LOGNORM.INV(RAND(),LN(Inputs!$C$13)-LN(1+(Inputs!$C$14/Inputs!$C$13)^2)/2,SQRT(LN(1+(Inputs!$C$14/Inputs!$C$13)^2)))</f>
        <v/>
      </c>
      <c r="E22" s="32" t="n">
        <v>0</v>
      </c>
      <c r="F22" s="21" t="n">
        <v>0.032766</v>
      </c>
      <c r="G22" s="13">
        <f>IF(Inputs!$C$4=1,E22,C22)</f>
        <v/>
      </c>
      <c r="H22" s="31">
        <f>IF(Inputs!$C$4=1,F22,D22)</f>
        <v/>
      </c>
      <c r="I22" s="31">
        <f>G22*H22</f>
        <v/>
      </c>
    </row>
    <row r="23" ht="15" customHeight="1">
      <c r="B23" s="9" t="inlineStr">
        <is>
          <t>R1 snag, register row 40 (green)</t>
        </is>
      </c>
      <c r="C23" s="13">
        <f>IF(RAND()&lt;Inputs!$C$12,1,0)</f>
        <v/>
      </c>
      <c r="D23" s="31">
        <f>_xlfn.LOGNORM.INV(RAND(),LN(Inputs!$C$13)-LN(1+(Inputs!$C$14/Inputs!$C$13)^2)/2,SQRT(LN(1+(Inputs!$C$14/Inputs!$C$13)^2)))</f>
        <v/>
      </c>
      <c r="E23" s="32" t="n">
        <v>1</v>
      </c>
      <c r="F23" s="21" t="n">
        <v>0.0066</v>
      </c>
      <c r="G23" s="13">
        <f>IF(Inputs!$C$4=1,E23,C23)</f>
        <v/>
      </c>
      <c r="H23" s="31">
        <f>IF(Inputs!$C$4=1,F23,D23)</f>
        <v/>
      </c>
      <c r="I23" s="31">
        <f>G23*H23</f>
        <v/>
      </c>
    </row>
    <row r="24" ht="15" customHeight="1">
      <c r="B24" s="9" t="inlineStr">
        <is>
          <t>R1 snag, register row 41 (green)</t>
        </is>
      </c>
      <c r="C24" s="13">
        <f>IF(RAND()&lt;Inputs!$C$12,1,0)</f>
        <v/>
      </c>
      <c r="D24" s="31">
        <f>_xlfn.LOGNORM.INV(RAND(),LN(Inputs!$C$13)-LN(1+(Inputs!$C$14/Inputs!$C$13)^2)/2,SQRT(LN(1+(Inputs!$C$14/Inputs!$C$13)^2)))</f>
        <v/>
      </c>
      <c r="E24" s="32" t="n">
        <v>0</v>
      </c>
      <c r="F24" s="21" t="n">
        <v>0.025054</v>
      </c>
      <c r="G24" s="13">
        <f>IF(Inputs!$C$4=1,E24,C24)</f>
        <v/>
      </c>
      <c r="H24" s="31">
        <f>IF(Inputs!$C$4=1,F24,D24)</f>
        <v/>
      </c>
      <c r="I24" s="31">
        <f>G24*H24</f>
        <v/>
      </c>
    </row>
    <row r="25" ht="15" customHeight="1">
      <c r="B25" s="9" t="inlineStr">
        <is>
          <t>R1 snag, register row 42 (green)</t>
        </is>
      </c>
      <c r="C25" s="13">
        <f>IF(RAND()&lt;Inputs!$C$12,1,0)</f>
        <v/>
      </c>
      <c r="D25" s="31">
        <f>_xlfn.LOGNORM.INV(RAND(),LN(Inputs!$C$13)-LN(1+(Inputs!$C$14/Inputs!$C$13)^2)/2,SQRT(LN(1+(Inputs!$C$14/Inputs!$C$13)^2)))</f>
        <v/>
      </c>
      <c r="E25" s="32" t="n">
        <v>0</v>
      </c>
      <c r="F25" s="21" t="n">
        <v>0.013641</v>
      </c>
      <c r="G25" s="13">
        <f>IF(Inputs!$C$4=1,E25,C25)</f>
        <v/>
      </c>
      <c r="H25" s="31">
        <f>IF(Inputs!$C$4=1,F25,D25)</f>
        <v/>
      </c>
      <c r="I25" s="31">
        <f>G25*H25</f>
        <v/>
      </c>
    </row>
    <row r="26" ht="15" customHeight="1">
      <c r="B26" s="9" t="inlineStr">
        <is>
          <t>R1 snag, register row 43 (green)</t>
        </is>
      </c>
      <c r="C26" s="13">
        <f>IF(RAND()&lt;Inputs!$C$12,1,0)</f>
        <v/>
      </c>
      <c r="D26" s="31">
        <f>_xlfn.LOGNORM.INV(RAND(),LN(Inputs!$C$13)-LN(1+(Inputs!$C$14/Inputs!$C$13)^2)/2,SQRT(LN(1+(Inputs!$C$14/Inputs!$C$13)^2)))</f>
        <v/>
      </c>
      <c r="E26" s="32" t="n">
        <v>0</v>
      </c>
      <c r="F26" s="21" t="n">
        <v>0.012043</v>
      </c>
      <c r="G26" s="13">
        <f>IF(Inputs!$C$4=1,E26,C26)</f>
        <v/>
      </c>
      <c r="H26" s="31">
        <f>IF(Inputs!$C$4=1,F26,D26)</f>
        <v/>
      </c>
      <c r="I26" s="31">
        <f>G26*H26</f>
        <v/>
      </c>
    </row>
    <row r="27" ht="15" customHeight="1">
      <c r="B27" s="9" t="inlineStr">
        <is>
          <t>R1 snag, register row 44 (green)</t>
        </is>
      </c>
      <c r="C27" s="13">
        <f>IF(RAND()&lt;Inputs!$C$12,1,0)</f>
        <v/>
      </c>
      <c r="D27" s="31">
        <f>_xlfn.LOGNORM.INV(RAND(),LN(Inputs!$C$13)-LN(1+(Inputs!$C$14/Inputs!$C$13)^2)/2,SQRT(LN(1+(Inputs!$C$14/Inputs!$C$13)^2)))</f>
        <v/>
      </c>
      <c r="E27" s="32" t="n">
        <v>1</v>
      </c>
      <c r="F27" s="21" t="n">
        <v>0.00698</v>
      </c>
      <c r="G27" s="13">
        <f>IF(Inputs!$C$4=1,E27,C27)</f>
        <v/>
      </c>
      <c r="H27" s="31">
        <f>IF(Inputs!$C$4=1,F27,D27)</f>
        <v/>
      </c>
      <c r="I27" s="31">
        <f>G27*H27</f>
        <v/>
      </c>
    </row>
    <row r="28" ht="15" customHeight="1">
      <c r="B28" s="9" t="inlineStr">
        <is>
          <t>R1 snag, register row 45 (green)</t>
        </is>
      </c>
      <c r="C28" s="13">
        <f>IF(RAND()&lt;Inputs!$C$12,1,0)</f>
        <v/>
      </c>
      <c r="D28" s="31">
        <f>_xlfn.LOGNORM.INV(RAND(),LN(Inputs!$C$13)-LN(1+(Inputs!$C$14/Inputs!$C$13)^2)/2,SQRT(LN(1+(Inputs!$C$14/Inputs!$C$13)^2)))</f>
        <v/>
      </c>
      <c r="E28" s="32" t="n">
        <v>0</v>
      </c>
      <c r="F28" s="21" t="n">
        <v>0.00645</v>
      </c>
      <c r="G28" s="13">
        <f>IF(Inputs!$C$4=1,E28,C28)</f>
        <v/>
      </c>
      <c r="H28" s="31">
        <f>IF(Inputs!$C$4=1,F28,D28)</f>
        <v/>
      </c>
      <c r="I28" s="31">
        <f>G28*H28</f>
        <v/>
      </c>
    </row>
    <row r="29" ht="15" customHeight="1">
      <c r="B29" s="9" t="inlineStr">
        <is>
          <t>R1 snag, register row 46 (green)</t>
        </is>
      </c>
      <c r="C29" s="13">
        <f>IF(RAND()&lt;Inputs!$C$12,1,0)</f>
        <v/>
      </c>
      <c r="D29" s="31">
        <f>_xlfn.LOGNORM.INV(RAND(),LN(Inputs!$C$13)-LN(1+(Inputs!$C$14/Inputs!$C$13)^2)/2,SQRT(LN(1+(Inputs!$C$14/Inputs!$C$13)^2)))</f>
        <v/>
      </c>
      <c r="E29" s="32" t="n">
        <v>0</v>
      </c>
      <c r="F29" s="21" t="n">
        <v>0.014184</v>
      </c>
      <c r="G29" s="13">
        <f>IF(Inputs!$C$4=1,E29,C29)</f>
        <v/>
      </c>
      <c r="H29" s="31">
        <f>IF(Inputs!$C$4=1,F29,D29)</f>
        <v/>
      </c>
      <c r="I29" s="31">
        <f>G29*H29</f>
        <v/>
      </c>
    </row>
    <row r="30" ht="15" customHeight="1">
      <c r="B30" s="9" t="inlineStr">
        <is>
          <t>R1 snag, register row 47 (green)</t>
        </is>
      </c>
      <c r="C30" s="13">
        <f>IF(RAND()&lt;Inputs!$C$12,1,0)</f>
        <v/>
      </c>
      <c r="D30" s="31">
        <f>_xlfn.LOGNORM.INV(RAND(),LN(Inputs!$C$13)-LN(1+(Inputs!$C$14/Inputs!$C$13)^2)/2,SQRT(LN(1+(Inputs!$C$14/Inputs!$C$13)^2)))</f>
        <v/>
      </c>
      <c r="E30" s="32" t="n">
        <v>1</v>
      </c>
      <c r="F30" s="21" t="n">
        <v>0.043433</v>
      </c>
      <c r="G30" s="13">
        <f>IF(Inputs!$C$4=1,E30,C30)</f>
        <v/>
      </c>
      <c r="H30" s="31">
        <f>IF(Inputs!$C$4=1,F30,D30)</f>
        <v/>
      </c>
      <c r="I30" s="31">
        <f>G30*H30</f>
        <v/>
      </c>
    </row>
    <row r="31" ht="15" customHeight="1">
      <c r="B31" s="9" t="inlineStr">
        <is>
          <t>R1 snag, register row 48 (green)</t>
        </is>
      </c>
      <c r="C31" s="13">
        <f>IF(RAND()&lt;Inputs!$C$12,1,0)</f>
        <v/>
      </c>
      <c r="D31" s="31">
        <f>_xlfn.LOGNORM.INV(RAND(),LN(Inputs!$C$13)-LN(1+(Inputs!$C$14/Inputs!$C$13)^2)/2,SQRT(LN(1+(Inputs!$C$14/Inputs!$C$13)^2)))</f>
        <v/>
      </c>
      <c r="E31" s="32" t="n">
        <v>1</v>
      </c>
      <c r="F31" s="21" t="n">
        <v>0.014773</v>
      </c>
      <c r="G31" s="13">
        <f>IF(Inputs!$C$4=1,E31,C31)</f>
        <v/>
      </c>
      <c r="H31" s="31">
        <f>IF(Inputs!$C$4=1,F31,D31)</f>
        <v/>
      </c>
      <c r="I31" s="31">
        <f>G31*H31</f>
        <v/>
      </c>
    </row>
    <row r="32" ht="15" customHeight="1">
      <c r="B32" s="9" t="inlineStr">
        <is>
          <t>R1 snag, register row 49 (green)</t>
        </is>
      </c>
      <c r="C32" s="13">
        <f>IF(RAND()&lt;Inputs!$C$12,1,0)</f>
        <v/>
      </c>
      <c r="D32" s="31">
        <f>_xlfn.LOGNORM.INV(RAND(),LN(Inputs!$C$13)-LN(1+(Inputs!$C$14/Inputs!$C$13)^2)/2,SQRT(LN(1+(Inputs!$C$14/Inputs!$C$13)^2)))</f>
        <v/>
      </c>
      <c r="E32" s="32" t="n">
        <v>1</v>
      </c>
      <c r="F32" s="21" t="n">
        <v>0.003974</v>
      </c>
      <c r="G32" s="13">
        <f>IF(Inputs!$C$4=1,E32,C32)</f>
        <v/>
      </c>
      <c r="H32" s="31">
        <f>IF(Inputs!$C$4=1,F32,D32)</f>
        <v/>
      </c>
      <c r="I32" s="31">
        <f>G32*H32</f>
        <v/>
      </c>
    </row>
    <row r="33" ht="15" customHeight="1">
      <c r="B33" s="9" t="inlineStr">
        <is>
          <t>R1 snag, register row 50 (green)</t>
        </is>
      </c>
      <c r="C33" s="13">
        <f>IF(RAND()&lt;Inputs!$C$12,1,0)</f>
        <v/>
      </c>
      <c r="D33" s="31">
        <f>_xlfn.LOGNORM.INV(RAND(),LN(Inputs!$C$13)-LN(1+(Inputs!$C$14/Inputs!$C$13)^2)/2,SQRT(LN(1+(Inputs!$C$14/Inputs!$C$13)^2)))</f>
        <v/>
      </c>
      <c r="E33" s="32" t="n">
        <v>1</v>
      </c>
      <c r="F33" s="21" t="n">
        <v>0.02965</v>
      </c>
      <c r="G33" s="13">
        <f>IF(Inputs!$C$4=1,E33,C33)</f>
        <v/>
      </c>
      <c r="H33" s="31">
        <f>IF(Inputs!$C$4=1,F33,D33)</f>
        <v/>
      </c>
      <c r="I33" s="31">
        <f>G33*H33</f>
        <v/>
      </c>
    </row>
    <row r="34" ht="15" customHeight="1">
      <c r="B34" s="9" t="inlineStr">
        <is>
          <t>R1 snag, register row 51 (green)</t>
        </is>
      </c>
      <c r="C34" s="13">
        <f>IF(RAND()&lt;Inputs!$C$12,1,0)</f>
        <v/>
      </c>
      <c r="D34" s="31">
        <f>_xlfn.LOGNORM.INV(RAND(),LN(Inputs!$C$13)-LN(1+(Inputs!$C$14/Inputs!$C$13)^2)/2,SQRT(LN(1+(Inputs!$C$14/Inputs!$C$13)^2)))</f>
        <v/>
      </c>
      <c r="E34" s="32" t="n">
        <v>0</v>
      </c>
      <c r="F34" s="21" t="n">
        <v>0.003413</v>
      </c>
      <c r="G34" s="13">
        <f>IF(Inputs!$C$4=1,E34,C34)</f>
        <v/>
      </c>
      <c r="H34" s="31">
        <f>IF(Inputs!$C$4=1,F34,D34)</f>
        <v/>
      </c>
      <c r="I34" s="31">
        <f>G34*H34</f>
        <v/>
      </c>
    </row>
    <row r="35" ht="15" customHeight="1">
      <c r="B35" s="9" t="inlineStr">
        <is>
          <t>R1 snag, register row 52 (green)</t>
        </is>
      </c>
      <c r="C35" s="13">
        <f>IF(RAND()&lt;Inputs!$C$12,1,0)</f>
        <v/>
      </c>
      <c r="D35" s="31">
        <f>_xlfn.LOGNORM.INV(RAND(),LN(Inputs!$C$13)-LN(1+(Inputs!$C$14/Inputs!$C$13)^2)/2,SQRT(LN(1+(Inputs!$C$14/Inputs!$C$13)^2)))</f>
        <v/>
      </c>
      <c r="E35" s="32" t="n">
        <v>1</v>
      </c>
      <c r="F35" s="21" t="n">
        <v>0.005157</v>
      </c>
      <c r="G35" s="13">
        <f>IF(Inputs!$C$4=1,E35,C35)</f>
        <v/>
      </c>
      <c r="H35" s="31">
        <f>IF(Inputs!$C$4=1,F35,D35)</f>
        <v/>
      </c>
      <c r="I35" s="31">
        <f>G35*H35</f>
        <v/>
      </c>
    </row>
    <row r="36" ht="15" customHeight="1">
      <c r="B36" s="9" t="inlineStr">
        <is>
          <t>R1 snag, register row 53 (green)</t>
        </is>
      </c>
      <c r="C36" s="13">
        <f>IF(RAND()&lt;Inputs!$C$12,1,0)</f>
        <v/>
      </c>
      <c r="D36" s="31">
        <f>_xlfn.LOGNORM.INV(RAND(),LN(Inputs!$C$13)-LN(1+(Inputs!$C$14/Inputs!$C$13)^2)/2,SQRT(LN(1+(Inputs!$C$14/Inputs!$C$13)^2)))</f>
        <v/>
      </c>
      <c r="E36" s="32" t="n">
        <v>1</v>
      </c>
      <c r="F36" s="21" t="n">
        <v>0.02178</v>
      </c>
      <c r="G36" s="13">
        <f>IF(Inputs!$C$4=1,E36,C36)</f>
        <v/>
      </c>
      <c r="H36" s="31">
        <f>IF(Inputs!$C$4=1,F36,D36)</f>
        <v/>
      </c>
      <c r="I36" s="31">
        <f>G36*H36</f>
        <v/>
      </c>
    </row>
    <row r="37" ht="15" customHeight="1">
      <c r="B37" s="9" t="inlineStr">
        <is>
          <t>R1 snag, register row 54 (green)</t>
        </is>
      </c>
      <c r="C37" s="13">
        <f>IF(RAND()&lt;Inputs!$C$12,1,0)</f>
        <v/>
      </c>
      <c r="D37" s="31">
        <f>_xlfn.LOGNORM.INV(RAND(),LN(Inputs!$C$13)-LN(1+(Inputs!$C$14/Inputs!$C$13)^2)/2,SQRT(LN(1+(Inputs!$C$14/Inputs!$C$13)^2)))</f>
        <v/>
      </c>
      <c r="E37" s="32" t="n">
        <v>1</v>
      </c>
      <c r="F37" s="21" t="n">
        <v>0.015309</v>
      </c>
      <c r="G37" s="13">
        <f>IF(Inputs!$C$4=1,E37,C37)</f>
        <v/>
      </c>
      <c r="H37" s="31">
        <f>IF(Inputs!$C$4=1,F37,D37)</f>
        <v/>
      </c>
      <c r="I37" s="31">
        <f>G37*H37</f>
        <v/>
      </c>
    </row>
    <row r="38" ht="15" customHeight="1">
      <c r="B38" s="9" t="inlineStr">
        <is>
          <t>R1 snag, register row 55 (green)</t>
        </is>
      </c>
      <c r="C38" s="13">
        <f>IF(RAND()&lt;Inputs!$C$12,1,0)</f>
        <v/>
      </c>
      <c r="D38" s="31">
        <f>_xlfn.LOGNORM.INV(RAND(),LN(Inputs!$C$13)-LN(1+(Inputs!$C$14/Inputs!$C$13)^2)/2,SQRT(LN(1+(Inputs!$C$14/Inputs!$C$13)^2)))</f>
        <v/>
      </c>
      <c r="E38" s="32" t="n">
        <v>0</v>
      </c>
      <c r="F38" s="21" t="n">
        <v>0.009582</v>
      </c>
      <c r="G38" s="13">
        <f>IF(Inputs!$C$4=1,E38,C38)</f>
        <v/>
      </c>
      <c r="H38" s="31">
        <f>IF(Inputs!$C$4=1,F38,D38)</f>
        <v/>
      </c>
      <c r="I38" s="31">
        <f>G38*H38</f>
        <v/>
      </c>
    </row>
    <row r="39" ht="15" customHeight="1">
      <c r="B39" s="9" t="inlineStr">
        <is>
          <t>R1 snag, register row 56 (green)</t>
        </is>
      </c>
      <c r="C39" s="13">
        <f>IF(RAND()&lt;Inputs!$C$12,1,0)</f>
        <v/>
      </c>
      <c r="D39" s="31">
        <f>_xlfn.LOGNORM.INV(RAND(),LN(Inputs!$C$13)-LN(1+(Inputs!$C$14/Inputs!$C$13)^2)/2,SQRT(LN(1+(Inputs!$C$14/Inputs!$C$13)^2)))</f>
        <v/>
      </c>
      <c r="E39" s="32" t="n">
        <v>1</v>
      </c>
      <c r="F39" s="21" t="n">
        <v>0.011541</v>
      </c>
      <c r="G39" s="13">
        <f>IF(Inputs!$C$4=1,E39,C39)</f>
        <v/>
      </c>
      <c r="H39" s="31">
        <f>IF(Inputs!$C$4=1,F39,D39)</f>
        <v/>
      </c>
      <c r="I39" s="31">
        <f>G39*H39</f>
        <v/>
      </c>
    </row>
    <row r="40" ht="15" customHeight="1">
      <c r="B40" s="9" t="inlineStr">
        <is>
          <t>R1 snag, register row 57 (green)</t>
        </is>
      </c>
      <c r="C40" s="13">
        <f>IF(RAND()&lt;Inputs!$C$12,1,0)</f>
        <v/>
      </c>
      <c r="D40" s="31">
        <f>_xlfn.LOGNORM.INV(RAND(),LN(Inputs!$C$13)-LN(1+(Inputs!$C$14/Inputs!$C$13)^2)/2,SQRT(LN(1+(Inputs!$C$14/Inputs!$C$13)^2)))</f>
        <v/>
      </c>
      <c r="E40" s="32" t="n">
        <v>1</v>
      </c>
      <c r="F40" s="21" t="n">
        <v>0.003144</v>
      </c>
      <c r="G40" s="13">
        <f>IF(Inputs!$C$4=1,E40,C40)</f>
        <v/>
      </c>
      <c r="H40" s="31">
        <f>IF(Inputs!$C$4=1,F40,D40)</f>
        <v/>
      </c>
      <c r="I40" s="31">
        <f>G40*H40</f>
        <v/>
      </c>
    </row>
    <row r="41" ht="15" customHeight="1">
      <c r="B41" s="9" t="inlineStr">
        <is>
          <t>R1 snag, register row 58 (green)</t>
        </is>
      </c>
      <c r="C41" s="13">
        <f>IF(RAND()&lt;Inputs!$C$12,1,0)</f>
        <v/>
      </c>
      <c r="D41" s="31">
        <f>_xlfn.LOGNORM.INV(RAND(),LN(Inputs!$C$13)-LN(1+(Inputs!$C$14/Inputs!$C$13)^2)/2,SQRT(LN(1+(Inputs!$C$14/Inputs!$C$13)^2)))</f>
        <v/>
      </c>
      <c r="E41" s="32" t="n">
        <v>0</v>
      </c>
      <c r="F41" s="21" t="n">
        <v>0.008895999999999999</v>
      </c>
      <c r="G41" s="13">
        <f>IF(Inputs!$C$4=1,E41,C41)</f>
        <v/>
      </c>
      <c r="H41" s="31">
        <f>IF(Inputs!$C$4=1,F41,D41)</f>
        <v/>
      </c>
      <c r="I41" s="31">
        <f>G41*H41</f>
        <v/>
      </c>
    </row>
    <row r="42" ht="15" customHeight="1">
      <c r="B42" s="9" t="inlineStr">
        <is>
          <t>R1 snag, register row 59 (green)</t>
        </is>
      </c>
      <c r="C42" s="13">
        <f>IF(RAND()&lt;Inputs!$C$12,1,0)</f>
        <v/>
      </c>
      <c r="D42" s="31">
        <f>_xlfn.LOGNORM.INV(RAND(),LN(Inputs!$C$13)-LN(1+(Inputs!$C$14/Inputs!$C$13)^2)/2,SQRT(LN(1+(Inputs!$C$14/Inputs!$C$13)^2)))</f>
        <v/>
      </c>
      <c r="E42" s="32" t="n">
        <v>1</v>
      </c>
      <c r="F42" s="21" t="n">
        <v>0.006895</v>
      </c>
      <c r="G42" s="13">
        <f>IF(Inputs!$C$4=1,E42,C42)</f>
        <v/>
      </c>
      <c r="H42" s="31">
        <f>IF(Inputs!$C$4=1,F42,D42)</f>
        <v/>
      </c>
      <c r="I42" s="31">
        <f>G42*H42</f>
        <v/>
      </c>
    </row>
    <row r="43" ht="15" customHeight="1">
      <c r="B43" s="9" t="inlineStr">
        <is>
          <t>R1 snag, register row 60 (green)</t>
        </is>
      </c>
      <c r="C43" s="13">
        <f>IF(RAND()&lt;Inputs!$C$12,1,0)</f>
        <v/>
      </c>
      <c r="D43" s="31">
        <f>_xlfn.LOGNORM.INV(RAND(),LN(Inputs!$C$13)-LN(1+(Inputs!$C$14/Inputs!$C$13)^2)/2,SQRT(LN(1+(Inputs!$C$14/Inputs!$C$13)^2)))</f>
        <v/>
      </c>
      <c r="E43" s="32" t="n">
        <v>1</v>
      </c>
      <c r="F43" s="21" t="n">
        <v>0.028677</v>
      </c>
      <c r="G43" s="13">
        <f>IF(Inputs!$C$4=1,E43,C43)</f>
        <v/>
      </c>
      <c r="H43" s="31">
        <f>IF(Inputs!$C$4=1,F43,D43)</f>
        <v/>
      </c>
      <c r="I43" s="31">
        <f>G43*H43</f>
        <v/>
      </c>
    </row>
    <row r="44" ht="15" customHeight="1">
      <c r="B44" s="9" t="inlineStr">
        <is>
          <t>R1 snag, register row 61 (green)</t>
        </is>
      </c>
      <c r="C44" s="13">
        <f>IF(RAND()&lt;Inputs!$C$12,1,0)</f>
        <v/>
      </c>
      <c r="D44" s="31">
        <f>_xlfn.LOGNORM.INV(RAND(),LN(Inputs!$C$13)-LN(1+(Inputs!$C$14/Inputs!$C$13)^2)/2,SQRT(LN(1+(Inputs!$C$14/Inputs!$C$13)^2)))</f>
        <v/>
      </c>
      <c r="E44" s="32" t="n">
        <v>1</v>
      </c>
      <c r="F44" s="21" t="n">
        <v>0.017187</v>
      </c>
      <c r="G44" s="13">
        <f>IF(Inputs!$C$4=1,E44,C44)</f>
        <v/>
      </c>
      <c r="H44" s="31">
        <f>IF(Inputs!$C$4=1,F44,D44)</f>
        <v/>
      </c>
      <c r="I44" s="31">
        <f>G44*H44</f>
        <v/>
      </c>
    </row>
    <row r="45" ht="15" customHeight="1">
      <c r="B45" s="9" t="inlineStr">
        <is>
          <t>R5 scope creep, month 1</t>
        </is>
      </c>
      <c r="C45" s="13">
        <f>IF(RAND()&lt;Inputs!$C$27,1,0)</f>
        <v/>
      </c>
      <c r="D45" s="31">
        <f>Inputs!$C$28+(Inputs!$C$29-Inputs!$C$28)*RAND()</f>
        <v/>
      </c>
      <c r="E45" s="32" t="n">
        <v>1</v>
      </c>
      <c r="F45" s="21" t="n">
        <v>0.040505</v>
      </c>
      <c r="G45" s="13">
        <f>IF(Inputs!$C$4=1,E45,C45)</f>
        <v/>
      </c>
      <c r="H45" s="31">
        <f>IF(Inputs!$C$4=1,F45,D45)</f>
        <v/>
      </c>
      <c r="I45" s="31">
        <f>G45*H45</f>
        <v/>
      </c>
    </row>
    <row r="46" ht="15" customHeight="1">
      <c r="B46" s="9" t="inlineStr">
        <is>
          <t>R5 scope creep, month 2</t>
        </is>
      </c>
      <c r="C46" s="13">
        <f>IF(RAND()&lt;Inputs!$C$27,1,0)</f>
        <v/>
      </c>
      <c r="D46" s="31">
        <f>Inputs!$C$28+(Inputs!$C$29-Inputs!$C$28)*RAND()</f>
        <v/>
      </c>
      <c r="E46" s="32" t="n">
        <v>1</v>
      </c>
      <c r="F46" s="21" t="n">
        <v>0.027322</v>
      </c>
      <c r="G46" s="13">
        <f>IF(Inputs!$C$4=1,E46,C46)</f>
        <v/>
      </c>
      <c r="H46" s="31">
        <f>IF(Inputs!$C$4=1,F46,D46)</f>
        <v/>
      </c>
      <c r="I46" s="31">
        <f>G46*H46</f>
        <v/>
      </c>
    </row>
    <row r="47" ht="15" customHeight="1">
      <c r="B47" s="9" t="inlineStr">
        <is>
          <t>R5 scope creep, month 3</t>
        </is>
      </c>
      <c r="C47" s="13">
        <f>IF(RAND()&lt;Inputs!$C$27,1,0)</f>
        <v/>
      </c>
      <c r="D47" s="31">
        <f>Inputs!$C$28+(Inputs!$C$29-Inputs!$C$28)*RAND()</f>
        <v/>
      </c>
      <c r="E47" s="32" t="n">
        <v>1</v>
      </c>
      <c r="F47" s="21" t="n">
        <v>0.01426</v>
      </c>
      <c r="G47" s="13">
        <f>IF(Inputs!$C$4=1,E47,C47)</f>
        <v/>
      </c>
      <c r="H47" s="31">
        <f>IF(Inputs!$C$4=1,F47,D47)</f>
        <v/>
      </c>
      <c r="I47" s="31">
        <f>G47*H47</f>
        <v/>
      </c>
    </row>
    <row r="48" ht="15" customHeight="1">
      <c r="B48" s="9" t="inlineStr">
        <is>
          <t>R5 scope creep, month 4</t>
        </is>
      </c>
      <c r="C48" s="13">
        <f>IF(RAND()&lt;Inputs!$C$27,1,0)</f>
        <v/>
      </c>
      <c r="D48" s="31">
        <f>Inputs!$C$28+(Inputs!$C$29-Inputs!$C$28)*RAND()</f>
        <v/>
      </c>
      <c r="E48" s="32" t="n">
        <v>0</v>
      </c>
      <c r="F48" s="21" t="n">
        <v>0.010699</v>
      </c>
      <c r="G48" s="13">
        <f>IF(Inputs!$C$4=1,E48,C48)</f>
        <v/>
      </c>
      <c r="H48" s="31">
        <f>IF(Inputs!$C$4=1,F48,D48)</f>
        <v/>
      </c>
      <c r="I48" s="31">
        <f>G48*H48</f>
        <v/>
      </c>
    </row>
    <row r="49" ht="15" customHeight="1">
      <c r="B49" s="9" t="inlineStr">
        <is>
          <t>R5 scope creep, month 5</t>
        </is>
      </c>
      <c r="C49" s="13">
        <f>IF(RAND()&lt;Inputs!$C$27,1,0)</f>
        <v/>
      </c>
      <c r="D49" s="31">
        <f>Inputs!$C$28+(Inputs!$C$29-Inputs!$C$28)*RAND()</f>
        <v/>
      </c>
      <c r="E49" s="32" t="n">
        <v>0</v>
      </c>
      <c r="F49" s="21" t="n">
        <v>0.043851</v>
      </c>
      <c r="G49" s="13">
        <f>IF(Inputs!$C$4=1,E49,C49)</f>
        <v/>
      </c>
      <c r="H49" s="31">
        <f>IF(Inputs!$C$4=1,F49,D49)</f>
        <v/>
      </c>
      <c r="I49" s="31">
        <f>G49*H49</f>
        <v/>
      </c>
    </row>
    <row r="50" ht="15" customHeight="1">
      <c r="B50" s="9" t="inlineStr">
        <is>
          <t>R5 scope creep, month 6</t>
        </is>
      </c>
      <c r="C50" s="13">
        <f>IF(RAND()&lt;Inputs!$C$27,1,0)</f>
        <v/>
      </c>
      <c r="D50" s="31">
        <f>Inputs!$C$28+(Inputs!$C$29-Inputs!$C$28)*RAND()</f>
        <v/>
      </c>
      <c r="E50" s="32" t="n">
        <v>0</v>
      </c>
      <c r="F50" s="21" t="n">
        <v>0.020654</v>
      </c>
      <c r="G50" s="13">
        <f>IF(Inputs!$C$4=1,E50,C50)</f>
        <v/>
      </c>
      <c r="H50" s="31">
        <f>IF(Inputs!$C$4=1,F50,D50)</f>
        <v/>
      </c>
      <c r="I50" s="31">
        <f>G50*H50</f>
        <v/>
      </c>
    </row>
    <row r="51" ht="15" customHeight="1">
      <c r="B51" s="9" t="inlineStr">
        <is>
          <t>R5 scope creep, month 7</t>
        </is>
      </c>
      <c r="C51" s="13">
        <f>IF(RAND()&lt;Inputs!$C$27,1,0)</f>
        <v/>
      </c>
      <c r="D51" s="31">
        <f>Inputs!$C$28+(Inputs!$C$29-Inputs!$C$28)*RAND()</f>
        <v/>
      </c>
      <c r="E51" s="32" t="n">
        <v>1</v>
      </c>
      <c r="F51" s="21" t="n">
        <v>0.034703</v>
      </c>
      <c r="G51" s="13">
        <f>IF(Inputs!$C$4=1,E51,C51)</f>
        <v/>
      </c>
      <c r="H51" s="31">
        <f>IF(Inputs!$C$4=1,F51,D51)</f>
        <v/>
      </c>
      <c r="I51" s="31">
        <f>G51*H51</f>
        <v/>
      </c>
    </row>
    <row r="52" ht="15" customHeight="1">
      <c r="B52" s="9" t="inlineStr">
        <is>
          <t>R5 scope creep, month 8</t>
        </is>
      </c>
      <c r="C52" s="13">
        <f>IF(RAND()&lt;Inputs!$C$27,1,0)</f>
        <v/>
      </c>
      <c r="D52" s="31">
        <f>Inputs!$C$28+(Inputs!$C$29-Inputs!$C$28)*RAND()</f>
        <v/>
      </c>
      <c r="E52" s="32" t="n">
        <v>0</v>
      </c>
      <c r="F52" s="21" t="n">
        <v>0.021658</v>
      </c>
      <c r="G52" s="13">
        <f>IF(Inputs!$C$4=1,E52,C52)</f>
        <v/>
      </c>
      <c r="H52" s="31">
        <f>IF(Inputs!$C$4=1,F52,D52)</f>
        <v/>
      </c>
      <c r="I52" s="31">
        <f>G52*H52</f>
        <v/>
      </c>
    </row>
    <row r="53" ht="15" customHeight="1">
      <c r="B53" s="9" t="inlineStr">
        <is>
          <t>R5 scope creep, month 9</t>
        </is>
      </c>
      <c r="C53" s="13">
        <f>IF(RAND()&lt;Inputs!$C$27,1,0)</f>
        <v/>
      </c>
      <c r="D53" s="31">
        <f>Inputs!$C$28+(Inputs!$C$29-Inputs!$C$28)*RAND()</f>
        <v/>
      </c>
      <c r="E53" s="32" t="n">
        <v>1</v>
      </c>
      <c r="F53" s="21" t="n">
        <v>0.030833</v>
      </c>
      <c r="G53" s="13">
        <f>IF(Inputs!$C$4=1,E53,C53)</f>
        <v/>
      </c>
      <c r="H53" s="31">
        <f>IF(Inputs!$C$4=1,F53,D53)</f>
        <v/>
      </c>
      <c r="I53" s="31">
        <f>G53*H53</f>
        <v/>
      </c>
    </row>
    <row r="54" ht="15" customHeight="1">
      <c r="B54" s="9" t="inlineStr">
        <is>
          <t>R5 scope creep, month 10</t>
        </is>
      </c>
      <c r="C54" s="13">
        <f>IF(RAND()&lt;Inputs!$C$27,1,0)</f>
        <v/>
      </c>
      <c r="D54" s="31">
        <f>Inputs!$C$28+(Inputs!$C$29-Inputs!$C$28)*RAND()</f>
        <v/>
      </c>
      <c r="E54" s="32" t="n">
        <v>1</v>
      </c>
      <c r="F54" s="21" t="n">
        <v>0.012557</v>
      </c>
      <c r="G54" s="13">
        <f>IF(Inputs!$C$4=1,E54,C54)</f>
        <v/>
      </c>
      <c r="H54" s="31">
        <f>IF(Inputs!$C$4=1,F54,D54)</f>
        <v/>
      </c>
      <c r="I54" s="31">
        <f>G54*H54</f>
        <v/>
      </c>
    </row>
    <row r="55" ht="15" customHeight="1">
      <c r="B55" s="9" t="inlineStr">
        <is>
          <t>R5 scope creep, month 11</t>
        </is>
      </c>
      <c r="C55" s="13">
        <f>IF(RAND()&lt;Inputs!$C$27,1,0)</f>
        <v/>
      </c>
      <c r="D55" s="31">
        <f>Inputs!$C$28+(Inputs!$C$29-Inputs!$C$28)*RAND()</f>
        <v/>
      </c>
      <c r="E55" s="32" t="n">
        <v>1</v>
      </c>
      <c r="F55" s="21" t="n">
        <v>0.029683</v>
      </c>
      <c r="G55" s="13">
        <f>IF(Inputs!$C$4=1,E55,C55)</f>
        <v/>
      </c>
      <c r="H55" s="31">
        <f>IF(Inputs!$C$4=1,F55,D55)</f>
        <v/>
      </c>
      <c r="I55" s="31">
        <f>G55*H55</f>
        <v/>
      </c>
    </row>
    <row r="56" ht="15" customHeight="1">
      <c r="B56" s="9" t="inlineStr">
        <is>
          <t>R5 scope creep, month 12</t>
        </is>
      </c>
      <c r="C56" s="13">
        <f>IF(RAND()&lt;Inputs!$C$27,1,0)</f>
        <v/>
      </c>
      <c r="D56" s="31">
        <f>Inputs!$C$28+(Inputs!$C$29-Inputs!$C$28)*RAND()</f>
        <v/>
      </c>
      <c r="E56" s="32" t="n">
        <v>0</v>
      </c>
      <c r="F56" s="21" t="n">
        <v>0.015886</v>
      </c>
      <c r="G56" s="13">
        <f>IF(Inputs!$C$4=1,E56,C56)</f>
        <v/>
      </c>
      <c r="H56" s="31">
        <f>IF(Inputs!$C$4=1,F56,D56)</f>
        <v/>
      </c>
      <c r="I56" s="31">
        <f>G56*H56</f>
        <v/>
      </c>
    </row>
    <row r="57" ht="27" customHeight="1">
      <c r="B57" s="9" t="inlineStr">
        <is>
          <t>R1 schedule friction (months at an average snag count)</t>
        </is>
      </c>
      <c r="C57" s="13" t="n">
        <v>1</v>
      </c>
      <c r="D57" s="12">
        <f>_xlfn.LOGNORM.INV(RAND(),LN(Inputs!$C$15)-LN(1+(Inputs!$C$16/Inputs!$C$15)^2)/2,SQRT(LN(1+(Inputs!$C$16/Inputs!$C$15)^2)))</f>
        <v/>
      </c>
      <c r="E57" s="32" t="n">
        <v>1</v>
      </c>
      <c r="F57" s="33" t="n">
        <v>0.365276</v>
      </c>
      <c r="G57" s="13">
        <f>IF(Inputs!$C$4=1,E57,C57)</f>
        <v/>
      </c>
      <c r="H57" s="12">
        <f>IF(Inputs!$C$4=1,F57,D57)</f>
        <v/>
      </c>
      <c r="I57" s="12">
        <f>G57*H57</f>
        <v/>
      </c>
    </row>
    <row r="58" ht="27" customHeight="1">
      <c r="B58" s="9" t="inlineStr">
        <is>
          <t>R2 filler fails acceptance: site rectification cost</t>
        </is>
      </c>
      <c r="C58" s="13">
        <f>IF(RAND()&lt;Inputs!$C$17,1,0)</f>
        <v/>
      </c>
      <c r="D58" s="34">
        <f>_xlfn.LOGNORM.INV(RAND(),LN(Inputs!$C$18)-LN(1+(Inputs!$C$19/Inputs!$C$18)^2)/2,SQRT(LN(1+(Inputs!$C$19/Inputs!$C$18)^2)))</f>
        <v/>
      </c>
      <c r="E58" s="32" t="n">
        <v>1</v>
      </c>
      <c r="F58" s="19" t="n">
        <v>1.483513</v>
      </c>
      <c r="G58" s="13">
        <f>IF(Inputs!$C$4=1,E58,C58)</f>
        <v/>
      </c>
      <c r="H58" s="34">
        <f>IF(Inputs!$C$4=1,F58,D58)</f>
        <v/>
      </c>
      <c r="I58" s="34">
        <f>G58*H58</f>
        <v/>
      </c>
    </row>
    <row r="59" ht="27" customHeight="1">
      <c r="B59" s="9" t="inlineStr">
        <is>
          <t>R2 filler: site rectification delay (months; same failure as the row above)</t>
        </is>
      </c>
      <c r="C59" s="13">
        <f>C58</f>
        <v/>
      </c>
      <c r="D59" s="12">
        <f>_xlfn.LOGNORM.INV(RAND(),LN(Inputs!$C$20)-LN(1+(Inputs!$C$21/Inputs!$C$20)^2)/2,SQRT(LN(1+(Inputs!$C$21/Inputs!$C$20)^2)))</f>
        <v/>
      </c>
      <c r="E59" s="32">
        <f>E58</f>
        <v/>
      </c>
      <c r="F59" s="33" t="n">
        <v>3.988507</v>
      </c>
      <c r="G59" s="13">
        <f>IF(Inputs!$C$4=1,E59,C59)</f>
        <v/>
      </c>
      <c r="H59" s="12">
        <f>IF(Inputs!$C$4=1,F59,D59)</f>
        <v/>
      </c>
      <c r="I59" s="12">
        <f>G59*H59</f>
        <v/>
      </c>
    </row>
    <row r="60" ht="15" customHeight="1">
      <c r="B60" s="9" t="inlineStr">
        <is>
          <t>R4 fire during hot works: loss</t>
        </is>
      </c>
      <c r="C60" s="13">
        <f>IF(RAND()&lt;Inputs!$C$24,1,0)</f>
        <v/>
      </c>
      <c r="D60" s="34">
        <f>_xlfn.LOGNORM.INV(RAND(),LN(Inputs!$C$25)-LN(1+(Inputs!$C$26/Inputs!$C$25)^2)/2,SQRT(LN(1+(Inputs!$C$26/Inputs!$C$25)^2)))</f>
        <v/>
      </c>
      <c r="E60" s="32" t="n">
        <v>0</v>
      </c>
      <c r="F60" s="19" t="n">
        <v>10.702903</v>
      </c>
      <c r="G60" s="13">
        <f>IF(Inputs!$C$4=1,E60,C60)</f>
        <v/>
      </c>
      <c r="H60" s="34">
        <f>IF(Inputs!$C$4=1,F60,D60)</f>
        <v/>
      </c>
      <c r="I60" s="34">
        <f>G60*H60</f>
        <v/>
      </c>
    </row>
    <row r="61"/>
    <row r="62" ht="20" customHeight="1">
      <c r="B62" s="4" t="inlineStr">
        <is>
          <t>Register summary for this year</t>
        </is>
      </c>
    </row>
    <row r="63">
      <c r="B63" s="9" t="inlineStr">
        <is>
          <t>Snag swarm cost</t>
        </is>
      </c>
      <c r="C63" s="35">
        <f>SUM(I6:I44)</f>
        <v/>
      </c>
    </row>
    <row r="64">
      <c r="B64" s="9" t="inlineStr">
        <is>
          <t>Snags that bit</t>
        </is>
      </c>
      <c r="C64" s="36">
        <f>SUM(G6:G44)</f>
        <v/>
      </c>
    </row>
    <row r="65">
      <c r="B65" s="9" t="inlineStr">
        <is>
          <t>Snag schedule friction (months)</t>
        </is>
      </c>
      <c r="C65" s="37">
        <f>H57*$C$64/(39*Inputs!$C$12)</f>
        <v/>
      </c>
    </row>
    <row r="66">
      <c r="B66" s="9" t="inlineStr">
        <is>
          <t>Scope creep cost</t>
        </is>
      </c>
      <c r="C66" s="35">
        <f>SUM(I45:I56)</f>
        <v/>
      </c>
    </row>
    <row r="67">
      <c r="B67" s="9" t="inlineStr">
        <is>
          <t>Filler failed acceptance (1 = yes)</t>
        </is>
      </c>
      <c r="C67" s="36">
        <f>G58</f>
        <v/>
      </c>
    </row>
    <row r="68">
      <c r="B68" s="9" t="inlineStr">
        <is>
          <t>Filler rectification cost if found on site</t>
        </is>
      </c>
      <c r="C68" s="10">
        <f>H58</f>
        <v/>
      </c>
    </row>
    <row r="69">
      <c r="B69" s="9" t="inlineStr">
        <is>
          <t>Filler rectification delay if found on site (months)</t>
        </is>
      </c>
      <c r="C69" s="37">
        <f>H59</f>
        <v/>
      </c>
    </row>
    <row r="70">
      <c r="B70" s="9" t="inlineStr">
        <is>
          <t>Fire (1 = yes)</t>
        </is>
      </c>
      <c r="C70" s="36">
        <f>G60</f>
        <v/>
      </c>
    </row>
    <row r="71">
      <c r="B71" s="9" t="inlineStr">
        <is>
          <t>Fire loss if it happens</t>
        </is>
      </c>
      <c r="C71" s="10">
        <f>H60</f>
        <v/>
      </c>
    </row>
    <row r="72"/>
    <row r="73" ht="20" customHeight="1">
      <c r="B73" s="4" t="inlineStr">
        <is>
          <t>Part 2: five universes, same year</t>
        </is>
      </c>
    </row>
    <row r="74" ht="30" customHeight="1">
      <c r="B74" s="7" t="inlineStr"/>
      <c r="C74" s="8" t="inlineStr">
        <is>
          <t>Brian</t>
        </is>
      </c>
      <c r="D74" s="8" t="inlineStr">
        <is>
          <t>Sandra</t>
        </is>
      </c>
      <c r="E74" s="8" t="inlineStr">
        <is>
          <t>Quentin</t>
        </is>
      </c>
      <c r="F74" s="8" t="inlineStr">
        <is>
          <t>Petra</t>
        </is>
      </c>
      <c r="G74" s="8" t="inlineStr">
        <is>
          <t>Trevor</t>
        </is>
      </c>
      <c r="H74" s="8" t="inlineStr">
        <is>
          <t>Quentin without the test</t>
        </is>
      </c>
    </row>
    <row r="75" ht="15" customHeight="1">
      <c r="B75" s="9" t="inlineStr">
        <is>
          <t>Base budget as spent (incl. Parkinson factor)</t>
        </is>
      </c>
      <c r="C75" s="34">
        <f>Inputs!$C$6*(1+Inputs!$C$41)</f>
        <v/>
      </c>
      <c r="D75" s="34">
        <f>Inputs!$C$6*(1+Inputs!$D$41)</f>
        <v/>
      </c>
      <c r="E75" s="34">
        <f>Inputs!$C$6*(1+Inputs!$E$41)</f>
        <v/>
      </c>
      <c r="F75" s="34">
        <f>Inputs!$C$6*(1+Inputs!$F$41)</f>
        <v/>
      </c>
      <c r="G75" s="34">
        <f>Inputs!$C$6*(1+Inputs!$G$41)</f>
        <v/>
      </c>
      <c r="H75" s="34">
        <f>Inputs!$C$6*(1+Inputs!$H$41)</f>
        <v/>
      </c>
    </row>
    <row r="76" ht="15" customHeight="1">
      <c r="B76" s="9" t="inlineStr">
        <is>
          <t>Snag swarm</t>
        </is>
      </c>
      <c r="C76" s="34">
        <f>$C$63</f>
        <v/>
      </c>
      <c r="D76" s="34">
        <f>$C$63</f>
        <v/>
      </c>
      <c r="E76" s="34">
        <f>$C$63</f>
        <v/>
      </c>
      <c r="F76" s="34">
        <f>$C$63</f>
        <v/>
      </c>
      <c r="G76" s="34">
        <f>$C$63</f>
        <v/>
      </c>
      <c r="H76" s="34">
        <f>$C$63</f>
        <v/>
      </c>
    </row>
    <row r="77" ht="15" customHeight="1">
      <c r="B77" s="9" t="inlineStr">
        <is>
          <t>Scope creep</t>
        </is>
      </c>
      <c r="C77" s="34">
        <f>$C$66*Inputs!$C$42</f>
        <v/>
      </c>
      <c r="D77" s="34">
        <f>$C$66*Inputs!$D$42</f>
        <v/>
      </c>
      <c r="E77" s="34">
        <f>$C$66*Inputs!$E$42</f>
        <v/>
      </c>
      <c r="F77" s="34">
        <f>$C$66*Inputs!$F$42</f>
        <v/>
      </c>
      <c r="G77" s="34">
        <f>$C$66*Inputs!$G$42</f>
        <v/>
      </c>
      <c r="H77" s="34">
        <f>$C$66*Inputs!$H$42</f>
        <v/>
      </c>
    </row>
    <row r="78" ht="15" customHeight="1">
      <c r="B78" s="9" t="inlineStr">
        <is>
          <t>Filler rectification</t>
        </is>
      </c>
      <c r="C78" s="34">
        <f>IF($C$67=1,IF(Inputs!$C$38=1,Inputs!$C$22*$C$68,$C$68)*Inputs!$C$43,0)</f>
        <v/>
      </c>
      <c r="D78" s="34">
        <f>IF($C$67=1,IF(Inputs!$D$38=1,Inputs!$C$22*$C$68,$C$68)*Inputs!$D$43,0)</f>
        <v/>
      </c>
      <c r="E78" s="34">
        <f>IF($C$67=1,IF(Inputs!$E$38=1,Inputs!$C$22*$C$68,$C$68)*Inputs!$E$43,0)</f>
        <v/>
      </c>
      <c r="F78" s="34">
        <f>IF($C$67=1,IF(Inputs!$F$38=1,Inputs!$C$22*$C$68,$C$68)*Inputs!$F$43,0)</f>
        <v/>
      </c>
      <c r="G78" s="34">
        <f>IF($C$67=1,IF(Inputs!$G$38=1,Inputs!$C$22*$C$68,$C$68)*Inputs!$G$43,0)</f>
        <v/>
      </c>
      <c r="H78" s="34">
        <f>IF($C$67=1,IF(Inputs!$H$38=1,Inputs!$C$22*$C$68,$C$68)*Inputs!$H$43,0)</f>
        <v/>
      </c>
    </row>
    <row r="79" ht="15" customHeight="1">
      <c r="B79" s="9" t="inlineStr">
        <is>
          <t>Delay (months)</t>
        </is>
      </c>
      <c r="C79" s="12">
        <f>$C$65+IF($C$67=1,IF(Inputs!$C$38=1,Inputs!$C$23,$C$69),0)</f>
        <v/>
      </c>
      <c r="D79" s="12">
        <f>$C$65+IF($C$67=1,IF(Inputs!$D$38=1,Inputs!$C$23,$C$69),0)</f>
        <v/>
      </c>
      <c r="E79" s="12">
        <f>$C$65+IF($C$67=1,IF(Inputs!$E$38=1,Inputs!$C$23,$C$69),0)</f>
        <v/>
      </c>
      <c r="F79" s="12">
        <f>$C$65+IF($C$67=1,IF(Inputs!$F$38=1,Inputs!$C$23,$C$69),0)</f>
        <v/>
      </c>
      <c r="G79" s="12">
        <f>$C$65+IF($C$67=1,IF(Inputs!$G$38=1,Inputs!$C$23,$C$69),0)</f>
        <v/>
      </c>
      <c r="H79" s="12">
        <f>$C$65+IF($C$67=1,IF(Inputs!$H$38=1,Inputs!$C$23,$C$69),0)</f>
        <v/>
      </c>
    </row>
    <row r="80" ht="15" customHeight="1">
      <c r="B80" s="9" t="inlineStr">
        <is>
          <t>Cost of delay</t>
        </is>
      </c>
      <c r="C80" s="34">
        <f>C79*Inputs!$C$9</f>
        <v/>
      </c>
      <c r="D80" s="34">
        <f>D79*Inputs!$C$9</f>
        <v/>
      </c>
      <c r="E80" s="34">
        <f>E79*Inputs!$C$9</f>
        <v/>
      </c>
      <c r="F80" s="34">
        <f>F79*Inputs!$C$9</f>
        <v/>
      </c>
      <c r="G80" s="34">
        <f>G79*Inputs!$C$9</f>
        <v/>
      </c>
      <c r="H80" s="34">
        <f>H79*Inputs!$C$9</f>
        <v/>
      </c>
    </row>
    <row r="81" ht="15" customHeight="1">
      <c r="B81" s="9" t="inlineStr">
        <is>
          <t>Finish (month of the year)</t>
        </is>
      </c>
      <c r="C81" s="12">
        <f>Inputs!$C$7+C79</f>
        <v/>
      </c>
      <c r="D81" s="12">
        <f>Inputs!$C$7+D79</f>
        <v/>
      </c>
      <c r="E81" s="12">
        <f>Inputs!$C$7+E79</f>
        <v/>
      </c>
      <c r="F81" s="12">
        <f>Inputs!$C$7+F79</f>
        <v/>
      </c>
      <c r="G81" s="12">
        <f>Inputs!$C$7+G79</f>
        <v/>
      </c>
      <c r="H81" s="12">
        <f>Inputs!$C$7+H79</f>
        <v/>
      </c>
    </row>
    <row r="82" ht="15" customHeight="1">
      <c r="B82" s="9" t="inlineStr">
        <is>
          <t>Season gate (month)</t>
        </is>
      </c>
      <c r="C82" s="12">
        <f>Inputs!$C$8+IF(Inputs!$C$39=1,1,0)</f>
        <v/>
      </c>
      <c r="D82" s="12">
        <f>Inputs!$C$8+IF(Inputs!$D$39=1,1,0)</f>
        <v/>
      </c>
      <c r="E82" s="12">
        <f>Inputs!$C$8+IF(Inputs!$E$39=1,1,0)</f>
        <v/>
      </c>
      <c r="F82" s="12">
        <f>Inputs!$C$8+IF(Inputs!$F$39=1,1,0)</f>
        <v/>
      </c>
      <c r="G82" s="12">
        <f>Inputs!$C$8+IF(Inputs!$G$39=1,1,0)</f>
        <v/>
      </c>
      <c r="H82" s="12">
        <f>Inputs!$C$8+IF(Inputs!$H$39=1,1,0)</f>
        <v/>
      </c>
    </row>
    <row r="83" ht="15" customHeight="1">
      <c r="B83" s="9" t="inlineStr">
        <is>
          <t>Christmas season missed (1 = yes)</t>
        </is>
      </c>
      <c r="C83" s="13">
        <f>IF(C81&gt;C82,1,0)</f>
        <v/>
      </c>
      <c r="D83" s="13">
        <f>IF(D81&gt;D82,1,0)</f>
        <v/>
      </c>
      <c r="E83" s="13">
        <f>IF(E81&gt;E82,1,0)</f>
        <v/>
      </c>
      <c r="F83" s="13">
        <f>IF(F81&gt;F82,1,0)</f>
        <v/>
      </c>
      <c r="G83" s="13">
        <f>IF(G81&gt;G82,1,0)</f>
        <v/>
      </c>
      <c r="H83" s="13">
        <f>IF(H81&gt;H82,1,0)</f>
        <v/>
      </c>
    </row>
    <row r="84" ht="15" customHeight="1">
      <c r="B84" s="9" t="inlineStr">
        <is>
          <t>Lost Christmas contribution</t>
        </is>
      </c>
      <c r="C84" s="34">
        <f>C83*Inputs!$C$10</f>
        <v/>
      </c>
      <c r="D84" s="34">
        <f>D83*Inputs!$C$10</f>
        <v/>
      </c>
      <c r="E84" s="34">
        <f>E83*Inputs!$C$10</f>
        <v/>
      </c>
      <c r="F84" s="34">
        <f>F83*Inputs!$C$10</f>
        <v/>
      </c>
      <c r="G84" s="34">
        <f>G83*Inputs!$C$10</f>
        <v/>
      </c>
      <c r="H84" s="34">
        <f>H83*Inputs!$C$10</f>
        <v/>
      </c>
    </row>
    <row r="85" ht="15" customHeight="1">
      <c r="B85" s="9" t="inlineStr">
        <is>
          <t>Insurance premium</t>
        </is>
      </c>
      <c r="C85" s="34">
        <f>IF(Inputs!$C$40="tail",Inputs!$C$32,IF(Inputs!$C$40="full",Inputs!$C$34,0))</f>
        <v/>
      </c>
      <c r="D85" s="34">
        <f>IF(Inputs!$D$40="tail",Inputs!$C$32,IF(Inputs!$D$40="full",Inputs!$C$34,0))</f>
        <v/>
      </c>
      <c r="E85" s="34">
        <f>IF(Inputs!$E$40="tail",Inputs!$C$32,IF(Inputs!$E$40="full",Inputs!$C$34,0))</f>
        <v/>
      </c>
      <c r="F85" s="34">
        <f>IF(Inputs!$F$40="tail",Inputs!$C$32,IF(Inputs!$F$40="full",Inputs!$C$34,0))</f>
        <v/>
      </c>
      <c r="G85" s="34">
        <f>IF(Inputs!$G$40="tail",Inputs!$C$32,IF(Inputs!$G$40="full",Inputs!$C$34,0))</f>
        <v/>
      </c>
      <c r="H85" s="34">
        <f>IF(Inputs!$H$40="tail",Inputs!$C$32,IF(Inputs!$H$40="full",Inputs!$C$34,0))</f>
        <v/>
      </c>
    </row>
    <row r="86" ht="15" customHeight="1">
      <c r="B86" s="9" t="inlineStr">
        <is>
          <t>Early acceptance test</t>
        </is>
      </c>
      <c r="C86" s="34">
        <f>Inputs!$C$38*Inputs!$C$31</f>
        <v/>
      </c>
      <c r="D86" s="34">
        <f>Inputs!$D$38*Inputs!$C$31</f>
        <v/>
      </c>
      <c r="E86" s="34">
        <f>Inputs!$E$38*Inputs!$C$31</f>
        <v/>
      </c>
      <c r="F86" s="34">
        <f>Inputs!$F$38*Inputs!$C$31</f>
        <v/>
      </c>
      <c r="G86" s="34">
        <f>Inputs!$G$38*Inputs!$C$31</f>
        <v/>
      </c>
      <c r="H86" s="34">
        <f>Inputs!$H$38*Inputs!$C$31</f>
        <v/>
      </c>
    </row>
    <row r="87" ht="15" customHeight="1">
      <c r="B87" s="9" t="inlineStr">
        <is>
          <t>Fire loss</t>
        </is>
      </c>
      <c r="C87" s="34">
        <f>IF($C$70=1,$C$71*Inputs!$C$43,0)</f>
        <v/>
      </c>
      <c r="D87" s="34">
        <f>IF($C$70=1,$C$71*Inputs!$D$43,0)</f>
        <v/>
      </c>
      <c r="E87" s="34">
        <f>IF($C$70=1,$C$71*Inputs!$E$43,0)</f>
        <v/>
      </c>
      <c r="F87" s="34">
        <f>IF($C$70=1,$C$71*Inputs!$F$43,0)</f>
        <v/>
      </c>
      <c r="G87" s="34">
        <f>IF($C$70=1,$C$71*Inputs!$G$43,0)</f>
        <v/>
      </c>
      <c r="H87" s="34">
        <f>IF($C$70=1,$C$71*Inputs!$H$43,0)</f>
        <v/>
      </c>
    </row>
    <row r="88" ht="15" customHeight="1">
      <c r="B88" s="9" t="inlineStr">
        <is>
          <t>Insurance recovery</t>
        </is>
      </c>
      <c r="C88" s="34">
        <f>IF($C$70=1,IF(Inputs!$C$40="tail",MAX($C$71-Inputs!$C$33,0),IF(Inputs!$C$40="full",$C$71,0)),0)</f>
        <v/>
      </c>
      <c r="D88" s="34">
        <f>IF($C$70=1,IF(Inputs!$D$40="tail",MAX($C$71-Inputs!$C$33,0),IF(Inputs!$D$40="full",$C$71,0)),0)</f>
        <v/>
      </c>
      <c r="E88" s="34">
        <f>IF($C$70=1,IF(Inputs!$E$40="tail",MAX($C$71-Inputs!$C$33,0),IF(Inputs!$E$40="full",$C$71,0)),0)</f>
        <v/>
      </c>
      <c r="F88" s="34">
        <f>IF($C$70=1,IF(Inputs!$F$40="tail",MAX($C$71-Inputs!$C$33,0),IF(Inputs!$F$40="full",$C$71,0)),0)</f>
        <v/>
      </c>
      <c r="G88" s="34">
        <f>IF($C$70=1,IF(Inputs!$G$40="tail",MAX($C$71-Inputs!$C$33,0),IF(Inputs!$G$40="full",$C$71,0)),0)</f>
        <v/>
      </c>
      <c r="H88" s="34">
        <f>IF($C$70=1,IF(Inputs!$H$40="tail",MAX($C$71-Inputs!$C$33,0),IF(Inputs!$H$40="full",$C$71,0)),0)</f>
        <v/>
      </c>
    </row>
    <row r="89" ht="15" customHeight="1">
      <c r="B89" s="39" t="inlineStr">
        <is>
          <t>TOTAL COST</t>
        </is>
      </c>
      <c r="C89" s="40">
        <f>C75+C76+C77+C78+C80+C84+C85+C86+C87-C88</f>
        <v/>
      </c>
      <c r="D89" s="40">
        <f>D75+D76+D77+D78+D80+D84+D85+D86+D87-D88</f>
        <v/>
      </c>
      <c r="E89" s="40">
        <f>E75+E76+E77+E78+E80+E84+E85+E86+E87-E88</f>
        <v/>
      </c>
      <c r="F89" s="40">
        <f>F75+F76+F77+F78+F80+F84+F85+F86+F87-F88</f>
        <v/>
      </c>
      <c r="G89" s="40">
        <f>G75+G76+G77+G78+G80+G84+G85+G86+G87-G88</f>
        <v/>
      </c>
      <c r="H89" s="40">
        <f>H75+H76+H77+H78+H80+H84+H85+H86+H87-H88</f>
        <v/>
      </c>
    </row>
    <row r="90" ht="15" customHeight="1">
      <c r="B90" s="9" t="inlineStr">
        <is>
          <t>Over (+) or under (−) the €10m budget</t>
        </is>
      </c>
      <c r="C90" s="11">
        <f>C89-Inputs!$C$6</f>
        <v/>
      </c>
      <c r="D90" s="11">
        <f>D89-Inputs!$C$6</f>
        <v/>
      </c>
      <c r="E90" s="11">
        <f>E89-Inputs!$C$6</f>
        <v/>
      </c>
      <c r="F90" s="11">
        <f>F89-Inputs!$C$6</f>
        <v/>
      </c>
      <c r="G90" s="11">
        <f>G89-Inputs!$C$6</f>
        <v/>
      </c>
      <c r="H90" s="11">
        <f>H89-Inputs!$C$6</f>
        <v/>
      </c>
    </row>
    <row r="91"/>
    <row r="92" ht="27" customHeight="1">
      <c r="B92" s="9" t="inlineStr">
        <is>
          <t>Brian ends up cheaper than Quentin this year (1 = yes)</t>
        </is>
      </c>
      <c r="C92" s="36">
        <f>IF(C89&lt;E89,1,0)</f>
        <v/>
      </c>
    </row>
    <row r="93" ht="28" customHeight="1">
      <c r="B93" s="2" t="inlineStr">
        <is>
          <t>'Quentin without the test' is not a sixth risk manager: it exists only to value Quentin's €120k acceptance test (see the Dashboard).</t>
        </is>
      </c>
    </row>
  </sheetData>
  <mergeCells count="5">
    <mergeCell ref="B73:I73"/>
    <mergeCell ref="B62:I62"/>
    <mergeCell ref="B2:I2"/>
    <mergeCell ref="B93:I93"/>
    <mergeCell ref="B4:I4"/>
  </mergeCells>
  <pageMargins left="0.75" right="0.75" top="1" bottom="1" header="0.5" footer="0.5"/>
  <pageSetup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2026-10-06T14:18:54Z</dcterms:created>
  <dcterms:modified xmlns:dcterms="http://purl.org/dc/terms/" xmlns:xsi="http://www.w3.org/2001/XMLSchema-instance" xsi:type="dcterms:W3CDTF">2026-10-06T14:18:54Z</dcterms:modified>
</cp:coreProperties>
</file>