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he race" sheetId="2" state="visible" r:id="rId2"/>
    <sheet xmlns:r="http://schemas.openxmlformats.org/officeDocument/2006/relationships" name="Simulate" sheetId="3" state="visible" r:id="rId3"/>
    <sheet xmlns:r="http://schemas.openxmlformats.org/officeDocument/2006/relationships" name="Findings" sheetId="4" state="visible" r:id="rId4"/>
    <sheet xmlns:r="http://schemas.openxmlformats.org/officeDocument/2006/relationships" name="Engine" sheetId="5" state="visible" r:id="rId5"/>
    <sheet xmlns:r="http://schemas.openxmlformats.org/officeDocument/2006/relationships" name="With ModelRisk" sheetId="6" state="visible" r:id="rId6"/>
  </sheets>
  <definedNames>
    <definedName name="Passengers">'The race'!$B$6</definedName>
    <definedName name="WalkSec">'The race'!$B$7</definedName>
    <definedName name="Headway">'The race'!$B$8</definedName>
    <definedName name="DoorGap">'The race'!$B$9</definedName>
    <definedName name="BagShare">'The race'!$B$10</definedName>
    <definedName name="StowMean">'The race'!$B$11</definedName>
    <definedName name="StowSD">'The race'!$B$12</definedName>
    <definedName name="StowNoBag">'The race'!$B$13</definedName>
    <definedName name="Shuffle1">'The race'!$B$14</definedName>
    <definedName name="Shuffle2">'The race'!$B$15</definedName>
    <definedName name="Compliance">'The race'!$B$16</definedName>
    <definedName name="GroupShare">'The race'!$B$17</definedName>
    <definedName name="Zones">'The race'!$B$18</definedName>
    <definedName name="StowSigma">'The race'!$B$21</definedName>
    <definedName name="StowMu">'The race'!$C$21</definedName>
    <definedName name="ResetFlag">'Simulate'!$B$4</definedName>
  </definedNames>
  <calcPr calcId="124519" calcMode="manual" fullCalcOnLoad="1" iterate="1" iterateCount="1" iterateDelta="1000000000000"/>
</workbook>
</file>

<file path=xl/styles.xml><?xml version="1.0" encoding="utf-8"?>
<styleSheet xmlns="http://schemas.openxmlformats.org/spreadsheetml/2006/main">
  <numFmts count="1">
    <numFmt numFmtId="164" formatCode="+0&quot; s&quot;;-0&quot; s&quot;"/>
  </numFmts>
  <fonts count="12">
    <font>
      <name val="Calibri"/>
      <family val="2"/>
      <color theme="1"/>
      <sz val="11"/>
      <scheme val="minor"/>
    </font>
    <font>
      <name val="Calibri"/>
      <b val="1"/>
      <color rgb="005A6B7B"/>
      <sz val="10"/>
    </font>
    <font>
      <name val="Calibri"/>
      <color rgb="00222222"/>
      <sz val="11"/>
    </font>
    <font>
      <name val="Calibri"/>
      <b val="1"/>
      <color rgb="001F3350"/>
      <sz val="11"/>
    </font>
    <font>
      <name val="Calibri"/>
      <color rgb="005A6B7B"/>
      <sz val="9"/>
    </font>
    <font>
      <name val="Calibri"/>
      <b val="1"/>
      <color rgb="001F3350"/>
      <sz val="13"/>
    </font>
    <font>
      <name val="Calibri"/>
      <b val="1"/>
      <color rgb="001F3350"/>
      <sz val="20"/>
    </font>
    <font>
      <name val="Calibri"/>
      <color rgb="00222222"/>
      <sz val="11.5"/>
    </font>
    <font>
      <name val="Consolas"/>
      <b val="1"/>
      <color rgb="001F3350"/>
      <sz val="22"/>
    </font>
    <font>
      <name val="Calibri"/>
      <color rgb="0030404E"/>
      <sz val="8"/>
    </font>
    <font>
      <name val="Calibri"/>
      <b val="1"/>
      <color rgb="001F3350"/>
      <sz val="26"/>
    </font>
    <font>
      <name val="Calibri"/>
      <b val="1"/>
      <color rgb="001F3350"/>
      <sz val="22"/>
    </font>
  </fonts>
  <fills count="4">
    <fill>
      <patternFill/>
    </fill>
    <fill>
      <patternFill patternType="gray125"/>
    </fill>
    <fill>
      <patternFill patternType="solid">
        <fgColor rgb="00FFF2CC"/>
      </patternFill>
    </fill>
    <fill>
      <patternFill patternType="solid">
        <fgColor rgb="00F2F6F9"/>
      </patternFill>
    </fill>
  </fills>
  <borders count="2">
    <border>
      <left/>
      <right/>
      <top/>
      <bottom/>
      <diagonal/>
    </border>
    <border>
      <left style="thin">
        <color rgb="00D6DEE6"/>
      </left>
      <right style="thin">
        <color rgb="00D6DEE6"/>
      </right>
      <top style="thin">
        <color rgb="00D6DEE6"/>
      </top>
      <bottom style="thin">
        <color rgb="00D6DEE6"/>
      </bottom>
    </border>
  </borders>
  <cellStyleXfs count="1">
    <xf numFmtId="0" fontId="0" fillId="0" borderId="0"/>
  </cellStyleXfs>
  <cellXfs count="38">
    <xf numFmtId="0" fontId="0" fillId="0" borderId="0" pivotButton="0" quotePrefix="0" xfId="0"/>
    <xf numFmtId="0" fontId="10" fillId="0" borderId="0" pivotButton="0" quotePrefix="0" xfId="0"/>
    <xf numFmtId="0" fontId="7" fillId="0" borderId="0" applyAlignment="1" pivotButton="0" quotePrefix="0" xfId="0">
      <alignment vertical="top" wrapText="1"/>
    </xf>
    <xf numFmtId="0" fontId="5" fillId="0" borderId="0" pivotButton="0" quotePrefix="0" xfId="0"/>
    <xf numFmtId="0" fontId="2" fillId="0" borderId="0" applyAlignment="1" pivotButton="0" quotePrefix="0" xfId="0">
      <alignment vertical="top" wrapText="1"/>
    </xf>
    <xf numFmtId="0" fontId="4" fillId="0" borderId="0" pivotButton="0" quotePrefix="0" xfId="0"/>
    <xf numFmtId="0" fontId="6" fillId="0" borderId="0" pivotButton="0" quotePrefix="0" xfId="0"/>
    <xf numFmtId="0" fontId="7"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4" fillId="0" borderId="0" applyAlignment="1" pivotButton="0" quotePrefix="0" xfId="0">
      <alignment vertical="center" wrapText="1"/>
    </xf>
    <xf numFmtId="45" fontId="8" fillId="0" borderId="0" applyAlignment="1" pivotButton="0" quotePrefix="0" xfId="0">
      <alignment horizontal="left"/>
    </xf>
    <xf numFmtId="0" fontId="4" fillId="0" borderId="0" applyAlignment="1" pivotButton="0" quotePrefix="0" xfId="0">
      <alignment horizontal="center"/>
    </xf>
    <xf numFmtId="1" fontId="9" fillId="0" borderId="1" applyAlignment="1" pivotButton="0" quotePrefix="0" xfId="0">
      <alignment horizontal="center"/>
    </xf>
    <xf numFmtId="0" fontId="4" fillId="0" borderId="0" applyAlignment="1" pivotButton="0" quotePrefix="0" xfId="0">
      <alignment vertical="top" wrapText="1"/>
    </xf>
    <xf numFmtId="0" fontId="8" fillId="0" borderId="0" pivotButton="0" quotePrefix="0" xfId="0"/>
    <xf numFmtId="0" fontId="3" fillId="0" borderId="0" applyAlignment="1" pivotButton="0" quotePrefix="0" xfId="0">
      <alignment horizontal="center"/>
    </xf>
    <xf numFmtId="1" fontId="0" fillId="0" borderId="0" applyAlignment="1" pivotButton="0" quotePrefix="0" xfId="0">
      <alignment horizontal="center"/>
    </xf>
    <xf numFmtId="1" fontId="4" fillId="0" borderId="0" pivotButton="0" quotePrefix="0" xfId="0"/>
    <xf numFmtId="45" fontId="3" fillId="0" borderId="0" applyAlignment="1" pivotButton="0" quotePrefix="0" xfId="0">
      <alignment horizontal="center"/>
    </xf>
    <xf numFmtId="0" fontId="2" fillId="3" borderId="0" pivotButton="0" quotePrefix="0" xfId="0"/>
    <xf numFmtId="0" fontId="0" fillId="3" borderId="0" applyAlignment="1" pivotButton="0" quotePrefix="0" xfId="0">
      <alignment horizontal="center"/>
    </xf>
    <xf numFmtId="45" fontId="0" fillId="0" borderId="0" applyAlignment="1" pivotButton="0" quotePrefix="0" xfId="0">
      <alignment horizontal="center"/>
    </xf>
    <xf numFmtId="45" fontId="0" fillId="3" borderId="0" applyAlignment="1" pivotButton="0" quotePrefix="0" xfId="0">
      <alignment horizontal="center"/>
    </xf>
    <xf numFmtId="9" fontId="0" fillId="0" borderId="0" applyAlignment="1" pivotButton="0" quotePrefix="0" xfId="0">
      <alignment horizontal="center"/>
    </xf>
    <xf numFmtId="0" fontId="4" fillId="3" borderId="0" applyAlignment="1" pivotButton="0" quotePrefix="0" xfId="0">
      <alignment horizontal="center"/>
    </xf>
    <xf numFmtId="9" fontId="0" fillId="3" borderId="0" applyAlignment="1" pivotButton="0" quotePrefix="0" xfId="0">
      <alignment horizontal="center"/>
    </xf>
    <xf numFmtId="164" fontId="0" fillId="0" borderId="0" applyAlignment="1" pivotButton="0" quotePrefix="0" xfId="0">
      <alignment horizontal="center"/>
    </xf>
    <xf numFmtId="0" fontId="3" fillId="0" borderId="0" pivotButton="0" quotePrefix="0" xfId="0"/>
    <xf numFmtId="0" fontId="3" fillId="0" borderId="0" applyAlignment="1" pivotButton="0" quotePrefix="0" xfId="0">
      <alignment horizontal="center" wrapText="1"/>
    </xf>
    <xf numFmtId="45" fontId="2" fillId="0" borderId="0" applyAlignment="1" pivotButton="0" quotePrefix="0" xfId="0">
      <alignment horizontal="center"/>
    </xf>
    <xf numFmtId="0" fontId="2" fillId="0" borderId="0" applyAlignment="1" pivotButton="0" quotePrefix="0" xfId="0">
      <alignment horizontal="center"/>
    </xf>
    <xf numFmtId="9" fontId="2" fillId="0" borderId="0" applyAlignment="1" pivotButton="0" quotePrefix="0" xfId="0">
      <alignment horizontal="center"/>
    </xf>
    <xf numFmtId="0" fontId="4" fillId="3" borderId="0" pivotButton="0" quotePrefix="0" xfId="0"/>
    <xf numFmtId="45" fontId="2" fillId="3" borderId="0" applyAlignment="1" pivotButton="0" quotePrefix="0" xfId="0">
      <alignment horizontal="center"/>
    </xf>
    <xf numFmtId="0" fontId="11" fillId="0" borderId="0" pivotButton="0" quotePrefix="0" xfId="0"/>
    <xf numFmtId="0" fontId="3"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How long boarding takes, over every run so far</a:t>
            </a:r>
          </a:p>
        </rich>
      </tx>
    </title>
    <plotArea>
      <lineChart>
        <grouping val="standard"/>
        <ser>
          <idx val="0"/>
          <order val="0"/>
          <tx>
            <strRef>
              <f>'Simulate'!D36</f>
            </strRef>
          </tx>
          <spPr>
            <a:ln xmlns:a="http://schemas.openxmlformats.org/drawingml/2006/main" w="22000">
              <a:solidFill>
                <a:srgbClr val="7F8FA0"/>
              </a:solidFill>
              <a:prstDash val="solid"/>
            </a:ln>
          </spPr>
          <marker>
            <symbol val="none"/>
            <spPr>
              <a:ln xmlns:a="http://schemas.openxmlformats.org/drawingml/2006/main">
                <a:prstDash val="solid"/>
              </a:ln>
            </spPr>
          </marker>
          <cat>
            <numRef>
              <f>'Simulate'!$A$37:$A$72</f>
            </numRef>
          </cat>
          <val>
            <numRef>
              <f>'Simulate'!$D$37:$D$72</f>
            </numRef>
          </val>
          <smooth val="0"/>
        </ser>
        <ser>
          <idx val="1"/>
          <order val="1"/>
          <tx>
            <strRef>
              <f>'Simulate'!E36</f>
            </strRef>
          </tx>
          <spPr>
            <a:ln xmlns:a="http://schemas.openxmlformats.org/drawingml/2006/main" w="22000">
              <a:solidFill>
                <a:srgbClr val="C0504D"/>
              </a:solidFill>
              <a:prstDash val="solid"/>
            </a:ln>
          </spPr>
          <marker>
            <symbol val="none"/>
            <spPr>
              <a:ln xmlns:a="http://schemas.openxmlformats.org/drawingml/2006/main">
                <a:prstDash val="solid"/>
              </a:ln>
            </spPr>
          </marker>
          <cat>
            <numRef>
              <f>'Simulate'!$A$37:$A$72</f>
            </numRef>
          </cat>
          <val>
            <numRef>
              <f>'Simulate'!$E$37:$E$72</f>
            </numRef>
          </val>
          <smooth val="0"/>
        </ser>
        <ser>
          <idx val="2"/>
          <order val="2"/>
          <tx>
            <strRef>
              <f>'Simulate'!F36</f>
            </strRef>
          </tx>
          <spPr>
            <a:ln xmlns:a="http://schemas.openxmlformats.org/drawingml/2006/main" w="22000">
              <a:solidFill>
                <a:srgbClr val="4472C4"/>
              </a:solidFill>
              <a:prstDash val="solid"/>
            </a:ln>
          </spPr>
          <marker>
            <symbol val="none"/>
            <spPr>
              <a:ln xmlns:a="http://schemas.openxmlformats.org/drawingml/2006/main">
                <a:prstDash val="solid"/>
              </a:ln>
            </spPr>
          </marker>
          <cat>
            <numRef>
              <f>'Simulate'!$A$37:$A$72</f>
            </numRef>
          </cat>
          <val>
            <numRef>
              <f>'Simulate'!$F$37:$F$72</f>
            </numRef>
          </val>
          <smooth val="0"/>
        </ser>
        <ser>
          <idx val="3"/>
          <order val="3"/>
          <tx>
            <strRef>
              <f>'Simulate'!G36</f>
            </strRef>
          </tx>
          <spPr>
            <a:ln xmlns:a="http://schemas.openxmlformats.org/drawingml/2006/main" w="22000">
              <a:solidFill>
                <a:srgbClr val="2E8B57"/>
              </a:solidFill>
              <a:prstDash val="solid"/>
            </a:ln>
          </spPr>
          <marker>
            <symbol val="none"/>
            <spPr>
              <a:ln xmlns:a="http://schemas.openxmlformats.org/drawingml/2006/main">
                <a:prstDash val="solid"/>
              </a:ln>
            </spPr>
          </marker>
          <cat>
            <numRef>
              <f>'Simulate'!$A$37:$A$72</f>
            </numRef>
          </cat>
          <val>
            <numRef>
              <f>'Simulate'!$G$37:$G$72</f>
            </numRef>
          </val>
          <smooth val="0"/>
        </ser>
        <axId val="10"/>
        <axId val="100"/>
      </lineChart>
      <catAx>
        <axId val="10"/>
        <scaling>
          <orientation val="minMax"/>
        </scaling>
        <axPos val="l"/>
        <title>
          <tx>
            <rich>
              <a:bodyPr xmlns:a="http://schemas.openxmlformats.org/drawingml/2006/main"/>
              <a:p xmlns:a="http://schemas.openxmlformats.org/drawingml/2006/main">
                <a:pPr>
                  <a:defRPr/>
                </a:pPr>
                <a:r>
                  <a:t>minutes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boardings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33</row>
      <rowOff>0</rowOff>
    </from>
    <ext cx="86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3" customWidth="1" min="1" max="1"/>
    <col width="92" customWidth="1" min="2" max="2"/>
  </cols>
  <sheetData>
    <row r="2">
      <c r="B2" s="1" t="inlineStr">
        <is>
          <t>The boarding race — 10,000 times</t>
        </is>
      </c>
    </row>
    <row r="3" ht="32" customHeight="1">
      <c r="B3" s="2" t="inlineStr">
        <is>
          <t>A Monte Carlo simulation of how an aircraft fills up, built entirely in Excel formulas. Nothing is hidden and nothing is hard-coded.</t>
        </is>
      </c>
    </row>
    <row r="5">
      <c r="B5" s="3" t="inlineStr">
        <is>
          <t>Why this exists</t>
        </is>
      </c>
    </row>
    <row r="6" ht="90" customHeight="1">
      <c r="B6" s="4" t="inlineStr">
        <is>
          <t>There is a lovely animation going around that races three boarding methods against each other and declares a winner. It shows one boarding. One run of a process that is made of nothing but chance — who checked a bag, who sat in the wrong seat, who waited for their family. Run it again and you get a different winner. That is not a flaw in the animation; it is the whole subject. This workbook is the same race, run until the answer stops moving.</t>
        </is>
      </c>
    </row>
    <row r="8">
      <c r="B8" s="3" t="inlineStr">
        <is>
          <t>What it found</t>
        </is>
      </c>
    </row>
    <row r="9" ht="90" customHeight="1">
      <c r="B9" s="4" t="inlineStr">
        <is>
          <t>Back-to-front — what most airlines actually do — finishes 11 seconds ahead of boarding at random, on a job that takes 21 minutes, and it takes 3,000 simulated boardings to establish even that. It wins 56% of individual boardings and loses the rest; in 42% of races the gap is over a minute in one direction or the other. A single race between those two is a coin toss that looks like a result — which is the reason to run it more than once.</t>
        </is>
      </c>
    </row>
    <row r="11">
      <c r="B11" s="3" t="inlineStr">
        <is>
          <t>How to drive it</t>
        </is>
      </c>
    </row>
    <row r="12" ht="75" customHeight="1">
      <c r="B12" s="4" t="inlineStr">
        <is>
          <t>Go to The race. Press F9 — the aircraft boards, the cabins fill in, the clocks stop. Press F9 again and watch the order change. Then go to Simulate and hold F9 down: every press adds one more boarding to the running distributions, and the confidence intervals narrow in front of you until the model will finally commit to an answer. Every yellow cell is yours to change.</t>
        </is>
      </c>
    </row>
    <row r="14">
      <c r="B14" s="3" t="inlineStr">
        <is>
          <t>What is actually being modelled</t>
        </is>
      </c>
    </row>
    <row r="15" ht="90" customHeight="1">
      <c r="B15" s="4" t="inlineStr">
        <is>
          <t>122 passengers, an A320 cabin, one door. Each passenger walks to their row, cannot overtake the person in front, stops to stow a bag for a lognormally distributed time, and climbs over anyone already sitting between them and the aisle. Some travel in groups and board together. Some ignore the boarding call entirely. The Engine sheet shows every one of those steps for every passenger.</t>
        </is>
      </c>
    </row>
    <row r="17">
      <c r="B17" s="3" t="inlineStr">
        <is>
          <t>The honest limitation</t>
        </is>
      </c>
    </row>
    <row r="18" ht="75" customHeight="1">
      <c r="B18" s="4" t="inlineStr">
        <is>
          <t>Plain Excel adds one boarding per keypress. Getting to a stable answer takes a few hundred, which is a lot of F9. That is not a problem with the model, it is what simulation costs without a simulation engine — see With ModelRisk for the same model run 10,000 times in a few seconds, with percentiles, tornado charts and a report you can hand to somebody.</t>
        </is>
      </c>
    </row>
    <row r="20">
      <c r="B20" s="5" t="inlineStr">
        <is>
          <t>Built by Vose Software · vosesoftware.com · quantitative risk analysis since 2008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J40"/>
  <sheetViews>
    <sheetView showGridLines="0" workbookViewId="0">
      <selection activeCell="A1" sqref="A1"/>
    </sheetView>
  </sheetViews>
  <sheetFormatPr baseColWidth="8" defaultRowHeight="15"/>
  <cols>
    <col width="38" customWidth="1" min="1" max="1"/>
    <col width="9" customWidth="1" min="2" max="2"/>
    <col width="34" customWidth="1" min="3" max="3"/>
    <col width="4.3" customWidth="1" min="6" max="6"/>
    <col width="4.3" customWidth="1" min="7" max="7"/>
    <col width="4.3" customWidth="1" min="8" max="8"/>
    <col width="1.8" customWidth="1" min="9" max="9"/>
    <col width="4.3" customWidth="1" min="10" max="10"/>
    <col width="4.3" customWidth="1" min="11" max="11"/>
    <col width="4.3" customWidth="1" min="12" max="12"/>
    <col width="4.3" customWidth="1" min="14" max="14"/>
    <col width="4.3" customWidth="1" min="15" max="15"/>
    <col width="4.3" customWidth="1" min="16" max="16"/>
    <col width="1.8" customWidth="1" min="17" max="17"/>
    <col width="4.3" customWidth="1" min="18" max="18"/>
    <col width="4.3" customWidth="1" min="19" max="19"/>
    <col width="4.3" customWidth="1" min="20" max="20"/>
    <col width="4.3" customWidth="1" min="22" max="22"/>
    <col width="4.3" customWidth="1" min="23" max="23"/>
    <col width="4.3" customWidth="1" min="24" max="24"/>
    <col width="1.8" customWidth="1" min="25" max="25"/>
    <col width="4.3" customWidth="1" min="26" max="26"/>
    <col width="4.3" customWidth="1" min="27" max="27"/>
    <col width="4.3" customWidth="1" min="28" max="28"/>
    <col width="4.3" customWidth="1" min="30" max="30"/>
    <col width="4.3" customWidth="1" min="31" max="31"/>
    <col width="4.3" customWidth="1" min="32" max="32"/>
    <col width="1.8" customWidth="1" min="33" max="33"/>
    <col width="4.3" customWidth="1" min="34" max="34"/>
    <col width="4.3" customWidth="1" min="35" max="35"/>
    <col width="4.3" customWidth="1" min="36" max="36"/>
  </cols>
  <sheetData>
    <row r="1">
      <c r="A1" s="6" t="inlineStr">
        <is>
          <t>The boarding race</t>
        </is>
      </c>
    </row>
    <row r="2">
      <c r="A2" s="7" t="inlineStr">
        <is>
          <t>One boarding of an A320. Press F9 to fly it again — and watch the winner change.</t>
        </is>
      </c>
    </row>
    <row r="3">
      <c r="A3" s="5" t="inlineStr">
        <is>
          <t>Colour = the minute each seat was filled. Blue early, red late. White = seat not sold.</t>
        </is>
      </c>
    </row>
    <row r="5">
      <c r="A5" s="8" t="inlineStr">
        <is>
          <t>SETTINGS  ·  change any yellow cell, then press F9</t>
        </is>
      </c>
      <c r="F5" s="3" t="inlineStr">
        <is>
          <t>Random</t>
        </is>
      </c>
      <c r="N5" s="3" t="inlineStr">
        <is>
          <t>Back-to-front</t>
        </is>
      </c>
      <c r="V5" s="3" t="inlineStr">
        <is>
          <t>WilMA</t>
        </is>
      </c>
      <c r="AD5" s="3" t="inlineStr">
        <is>
          <t>Steffen</t>
        </is>
      </c>
    </row>
    <row r="6" ht="30" customHeight="1">
      <c r="A6" s="9" t="inlineStr">
        <is>
          <t>Passengers on board</t>
        </is>
      </c>
      <c r="B6" s="10" t="n">
        <v>122</v>
      </c>
      <c r="C6" s="11" t="inlineStr">
        <is>
          <t>out of 180 seats. Drag this to change the load factor.</t>
        </is>
      </c>
      <c r="F6" s="12">
        <f>Engine!AI2/86400</f>
        <v/>
      </c>
      <c r="N6" s="12">
        <f>Engine!AS2/86400</f>
        <v/>
      </c>
      <c r="V6" s="12">
        <f>Engine!BC2/86400</f>
        <v/>
      </c>
      <c r="AD6" s="12">
        <f>Engine!BM2/86400</f>
        <v/>
      </c>
    </row>
    <row r="7">
      <c r="A7" s="9" t="inlineStr">
        <is>
          <t>Seconds to walk past one row</t>
        </is>
      </c>
      <c r="B7" s="10" t="n">
        <v>1</v>
      </c>
      <c r="C7" s="11" t="inlineStr">
        <is>
          <t>how fast the queue moves when nothing is blocking it</t>
        </is>
      </c>
      <c r="F7" s="13" t="inlineStr">
        <is>
          <t>A</t>
        </is>
      </c>
      <c r="G7" s="13" t="inlineStr">
        <is>
          <t>B</t>
        </is>
      </c>
      <c r="H7" s="13" t="inlineStr">
        <is>
          <t>C</t>
        </is>
      </c>
      <c r="I7" s="13" t="inlineStr"/>
      <c r="J7" s="13" t="inlineStr">
        <is>
          <t>D</t>
        </is>
      </c>
      <c r="K7" s="13" t="inlineStr">
        <is>
          <t>E</t>
        </is>
      </c>
      <c r="L7" s="13" t="inlineStr">
        <is>
          <t>F</t>
        </is>
      </c>
      <c r="N7" s="13" t="inlineStr">
        <is>
          <t>A</t>
        </is>
      </c>
      <c r="O7" s="13" t="inlineStr">
        <is>
          <t>B</t>
        </is>
      </c>
      <c r="P7" s="13" t="inlineStr">
        <is>
          <t>C</t>
        </is>
      </c>
      <c r="Q7" s="13" t="inlineStr"/>
      <c r="R7" s="13" t="inlineStr">
        <is>
          <t>D</t>
        </is>
      </c>
      <c r="S7" s="13" t="inlineStr">
        <is>
          <t>E</t>
        </is>
      </c>
      <c r="T7" s="13" t="inlineStr">
        <is>
          <t>F</t>
        </is>
      </c>
      <c r="V7" s="13" t="inlineStr">
        <is>
          <t>A</t>
        </is>
      </c>
      <c r="W7" s="13" t="inlineStr">
        <is>
          <t>B</t>
        </is>
      </c>
      <c r="X7" s="13" t="inlineStr">
        <is>
          <t>C</t>
        </is>
      </c>
      <c r="Y7" s="13" t="inlineStr"/>
      <c r="Z7" s="13" t="inlineStr">
        <is>
          <t>D</t>
        </is>
      </c>
      <c r="AA7" s="13" t="inlineStr">
        <is>
          <t>E</t>
        </is>
      </c>
      <c r="AB7" s="13" t="inlineStr">
        <is>
          <t>F</t>
        </is>
      </c>
      <c r="AD7" s="13" t="inlineStr">
        <is>
          <t>A</t>
        </is>
      </c>
      <c r="AE7" s="13" t="inlineStr">
        <is>
          <t>B</t>
        </is>
      </c>
      <c r="AF7" s="13" t="inlineStr">
        <is>
          <t>C</t>
        </is>
      </c>
      <c r="AG7" s="13" t="inlineStr"/>
      <c r="AH7" s="13" t="inlineStr">
        <is>
          <t>D</t>
        </is>
      </c>
      <c r="AI7" s="13" t="inlineStr">
        <is>
          <t>E</t>
        </is>
      </c>
      <c r="AJ7" s="13" t="inlineStr">
        <is>
          <t>F</t>
        </is>
      </c>
    </row>
    <row r="8" ht="13.5" customHeight="1">
      <c r="A8" s="9" t="inlineStr">
        <is>
          <t>Gap between two people passing the same point</t>
        </is>
      </c>
      <c r="B8" s="10" t="n">
        <v>0.7</v>
      </c>
      <c r="C8" s="11" t="inlineStr">
        <is>
          <t>seconds</t>
        </is>
      </c>
      <c r="F8" s="14">
        <f>IF(Engine!BW4="","",Engine!BW4/60)</f>
        <v/>
      </c>
      <c r="G8" s="14">
        <f>IF(Engine!BW5="","",Engine!BW5/60)</f>
        <v/>
      </c>
      <c r="H8" s="14">
        <f>IF(Engine!BW6="","",Engine!BW6/60)</f>
        <v/>
      </c>
      <c r="J8" s="14">
        <f>IF(Engine!BW9="","",Engine!BW9/60)</f>
        <v/>
      </c>
      <c r="K8" s="14">
        <f>IF(Engine!BW8="","",Engine!BW8/60)</f>
        <v/>
      </c>
      <c r="L8" s="14">
        <f>IF(Engine!BW7="","",Engine!BW7/60)</f>
        <v/>
      </c>
      <c r="N8" s="14">
        <f>IF(Engine!BX4="","",Engine!BX4/60)</f>
        <v/>
      </c>
      <c r="O8" s="14">
        <f>IF(Engine!BX5="","",Engine!BX5/60)</f>
        <v/>
      </c>
      <c r="P8" s="14">
        <f>IF(Engine!BX6="","",Engine!BX6/60)</f>
        <v/>
      </c>
      <c r="R8" s="14">
        <f>IF(Engine!BX9="","",Engine!BX9/60)</f>
        <v/>
      </c>
      <c r="S8" s="14">
        <f>IF(Engine!BX8="","",Engine!BX8/60)</f>
        <v/>
      </c>
      <c r="T8" s="14">
        <f>IF(Engine!BX7="","",Engine!BX7/60)</f>
        <v/>
      </c>
      <c r="V8" s="14">
        <f>IF(Engine!BY4="","",Engine!BY4/60)</f>
        <v/>
      </c>
      <c r="W8" s="14">
        <f>IF(Engine!BY5="","",Engine!BY5/60)</f>
        <v/>
      </c>
      <c r="X8" s="14">
        <f>IF(Engine!BY6="","",Engine!BY6/60)</f>
        <v/>
      </c>
      <c r="Z8" s="14">
        <f>IF(Engine!BY9="","",Engine!BY9/60)</f>
        <v/>
      </c>
      <c r="AA8" s="14">
        <f>IF(Engine!BY8="","",Engine!BY8/60)</f>
        <v/>
      </c>
      <c r="AB8" s="14">
        <f>IF(Engine!BY7="","",Engine!BY7/60)</f>
        <v/>
      </c>
      <c r="AD8" s="14">
        <f>IF(Engine!BZ4="","",Engine!BZ4/60)</f>
        <v/>
      </c>
      <c r="AE8" s="14">
        <f>IF(Engine!BZ5="","",Engine!BZ5/60)</f>
        <v/>
      </c>
      <c r="AF8" s="14">
        <f>IF(Engine!BZ6="","",Engine!BZ6/60)</f>
        <v/>
      </c>
      <c r="AH8" s="14">
        <f>IF(Engine!BZ9="","",Engine!BZ9/60)</f>
        <v/>
      </c>
      <c r="AI8" s="14">
        <f>IF(Engine!BZ8="","",Engine!BZ8/60)</f>
        <v/>
      </c>
      <c r="AJ8" s="14">
        <f>IF(Engine!BZ7="","",Engine!BZ7/60)</f>
        <v/>
      </c>
    </row>
    <row r="9" ht="13.5" customHeight="1">
      <c r="A9" s="9" t="inlineStr">
        <is>
          <t>Seconds between passengers entering the door</t>
        </is>
      </c>
      <c r="B9" s="10" t="n">
        <v>3</v>
      </c>
      <c r="C9" s="11" t="inlineStr">
        <is>
          <t>the gate can only feed people in so fast</t>
        </is>
      </c>
      <c r="F9" s="14">
        <f>IF(Engine!BW10="","",Engine!BW10/60)</f>
        <v/>
      </c>
      <c r="G9" s="14">
        <f>IF(Engine!BW11="","",Engine!BW11/60)</f>
        <v/>
      </c>
      <c r="H9" s="14">
        <f>IF(Engine!BW12="","",Engine!BW12/60)</f>
        <v/>
      </c>
      <c r="J9" s="14">
        <f>IF(Engine!BW15="","",Engine!BW15/60)</f>
        <v/>
      </c>
      <c r="K9" s="14">
        <f>IF(Engine!BW14="","",Engine!BW14/60)</f>
        <v/>
      </c>
      <c r="L9" s="14">
        <f>IF(Engine!BW13="","",Engine!BW13/60)</f>
        <v/>
      </c>
      <c r="N9" s="14">
        <f>IF(Engine!BX10="","",Engine!BX10/60)</f>
        <v/>
      </c>
      <c r="O9" s="14">
        <f>IF(Engine!BX11="","",Engine!BX11/60)</f>
        <v/>
      </c>
      <c r="P9" s="14">
        <f>IF(Engine!BX12="","",Engine!BX12/60)</f>
        <v/>
      </c>
      <c r="R9" s="14">
        <f>IF(Engine!BX15="","",Engine!BX15/60)</f>
        <v/>
      </c>
      <c r="S9" s="14">
        <f>IF(Engine!BX14="","",Engine!BX14/60)</f>
        <v/>
      </c>
      <c r="T9" s="14">
        <f>IF(Engine!BX13="","",Engine!BX13/60)</f>
        <v/>
      </c>
      <c r="V9" s="14">
        <f>IF(Engine!BY10="","",Engine!BY10/60)</f>
        <v/>
      </c>
      <c r="W9" s="14">
        <f>IF(Engine!BY11="","",Engine!BY11/60)</f>
        <v/>
      </c>
      <c r="X9" s="14">
        <f>IF(Engine!BY12="","",Engine!BY12/60)</f>
        <v/>
      </c>
      <c r="Z9" s="14">
        <f>IF(Engine!BY15="","",Engine!BY15/60)</f>
        <v/>
      </c>
      <c r="AA9" s="14">
        <f>IF(Engine!BY14="","",Engine!BY14/60)</f>
        <v/>
      </c>
      <c r="AB9" s="14">
        <f>IF(Engine!BY13="","",Engine!BY13/60)</f>
        <v/>
      </c>
      <c r="AD9" s="14">
        <f>IF(Engine!BZ10="","",Engine!BZ10/60)</f>
        <v/>
      </c>
      <c r="AE9" s="14">
        <f>IF(Engine!BZ11="","",Engine!BZ11/60)</f>
        <v/>
      </c>
      <c r="AF9" s="14">
        <f>IF(Engine!BZ12="","",Engine!BZ12/60)</f>
        <v/>
      </c>
      <c r="AH9" s="14">
        <f>IF(Engine!BZ15="","",Engine!BZ15/60)</f>
        <v/>
      </c>
      <c r="AI9" s="14">
        <f>IF(Engine!BZ14="","",Engine!BZ14/60)</f>
        <v/>
      </c>
      <c r="AJ9" s="14">
        <f>IF(Engine!BZ13="","",Engine!BZ13/60)</f>
        <v/>
      </c>
    </row>
    <row r="10" ht="13.5" customHeight="1">
      <c r="A10" s="9" t="inlineStr">
        <is>
          <t>Share of passengers stowing a bag</t>
        </is>
      </c>
      <c r="B10" s="10" t="n">
        <v>0.85</v>
      </c>
      <c r="C10" s="11" t="inlineStr">
        <is>
          <t>the rest sit straight down</t>
        </is>
      </c>
      <c r="F10" s="14">
        <f>IF(Engine!BW16="","",Engine!BW16/60)</f>
        <v/>
      </c>
      <c r="G10" s="14">
        <f>IF(Engine!BW17="","",Engine!BW17/60)</f>
        <v/>
      </c>
      <c r="H10" s="14">
        <f>IF(Engine!BW18="","",Engine!BW18/60)</f>
        <v/>
      </c>
      <c r="J10" s="14">
        <f>IF(Engine!BW21="","",Engine!BW21/60)</f>
        <v/>
      </c>
      <c r="K10" s="14">
        <f>IF(Engine!BW20="","",Engine!BW20/60)</f>
        <v/>
      </c>
      <c r="L10" s="14">
        <f>IF(Engine!BW19="","",Engine!BW19/60)</f>
        <v/>
      </c>
      <c r="N10" s="14">
        <f>IF(Engine!BX16="","",Engine!BX16/60)</f>
        <v/>
      </c>
      <c r="O10" s="14">
        <f>IF(Engine!BX17="","",Engine!BX17/60)</f>
        <v/>
      </c>
      <c r="P10" s="14">
        <f>IF(Engine!BX18="","",Engine!BX18/60)</f>
        <v/>
      </c>
      <c r="R10" s="14">
        <f>IF(Engine!BX21="","",Engine!BX21/60)</f>
        <v/>
      </c>
      <c r="S10" s="14">
        <f>IF(Engine!BX20="","",Engine!BX20/60)</f>
        <v/>
      </c>
      <c r="T10" s="14">
        <f>IF(Engine!BX19="","",Engine!BX19/60)</f>
        <v/>
      </c>
      <c r="V10" s="14">
        <f>IF(Engine!BY16="","",Engine!BY16/60)</f>
        <v/>
      </c>
      <c r="W10" s="14">
        <f>IF(Engine!BY17="","",Engine!BY17/60)</f>
        <v/>
      </c>
      <c r="X10" s="14">
        <f>IF(Engine!BY18="","",Engine!BY18/60)</f>
        <v/>
      </c>
      <c r="Z10" s="14">
        <f>IF(Engine!BY21="","",Engine!BY21/60)</f>
        <v/>
      </c>
      <c r="AA10" s="14">
        <f>IF(Engine!BY20="","",Engine!BY20/60)</f>
        <v/>
      </c>
      <c r="AB10" s="14">
        <f>IF(Engine!BY19="","",Engine!BY19/60)</f>
        <v/>
      </c>
      <c r="AD10" s="14">
        <f>IF(Engine!BZ16="","",Engine!BZ16/60)</f>
        <v/>
      </c>
      <c r="AE10" s="14">
        <f>IF(Engine!BZ17="","",Engine!BZ17/60)</f>
        <v/>
      </c>
      <c r="AF10" s="14">
        <f>IF(Engine!BZ18="","",Engine!BZ18/60)</f>
        <v/>
      </c>
      <c r="AH10" s="14">
        <f>IF(Engine!BZ21="","",Engine!BZ21/60)</f>
        <v/>
      </c>
      <c r="AI10" s="14">
        <f>IF(Engine!BZ20="","",Engine!BZ20/60)</f>
        <v/>
      </c>
      <c r="AJ10" s="14">
        <f>IF(Engine!BZ19="","",Engine!BZ19/60)</f>
        <v/>
      </c>
    </row>
    <row r="11" ht="13.5" customHeight="1">
      <c r="A11" s="9" t="inlineStr">
        <is>
          <t>Mean seconds to stow a bag</t>
        </is>
      </c>
      <c r="B11" s="10" t="n">
        <v>15</v>
      </c>
      <c r="C11" s="11" t="inlineStr">
        <is>
          <t>THE number almost nobody measures</t>
        </is>
      </c>
      <c r="F11" s="14">
        <f>IF(Engine!BW22="","",Engine!BW22/60)</f>
        <v/>
      </c>
      <c r="G11" s="14">
        <f>IF(Engine!BW23="","",Engine!BW23/60)</f>
        <v/>
      </c>
      <c r="H11" s="14">
        <f>IF(Engine!BW24="","",Engine!BW24/60)</f>
        <v/>
      </c>
      <c r="J11" s="14">
        <f>IF(Engine!BW27="","",Engine!BW27/60)</f>
        <v/>
      </c>
      <c r="K11" s="14">
        <f>IF(Engine!BW26="","",Engine!BW26/60)</f>
        <v/>
      </c>
      <c r="L11" s="14">
        <f>IF(Engine!BW25="","",Engine!BW25/60)</f>
        <v/>
      </c>
      <c r="N11" s="14">
        <f>IF(Engine!BX22="","",Engine!BX22/60)</f>
        <v/>
      </c>
      <c r="O11" s="14">
        <f>IF(Engine!BX23="","",Engine!BX23/60)</f>
        <v/>
      </c>
      <c r="P11" s="14">
        <f>IF(Engine!BX24="","",Engine!BX24/60)</f>
        <v/>
      </c>
      <c r="R11" s="14">
        <f>IF(Engine!BX27="","",Engine!BX27/60)</f>
        <v/>
      </c>
      <c r="S11" s="14">
        <f>IF(Engine!BX26="","",Engine!BX26/60)</f>
        <v/>
      </c>
      <c r="T11" s="14">
        <f>IF(Engine!BX25="","",Engine!BX25/60)</f>
        <v/>
      </c>
      <c r="V11" s="14">
        <f>IF(Engine!BY22="","",Engine!BY22/60)</f>
        <v/>
      </c>
      <c r="W11" s="14">
        <f>IF(Engine!BY23="","",Engine!BY23/60)</f>
        <v/>
      </c>
      <c r="X11" s="14">
        <f>IF(Engine!BY24="","",Engine!BY24/60)</f>
        <v/>
      </c>
      <c r="Z11" s="14">
        <f>IF(Engine!BY27="","",Engine!BY27/60)</f>
        <v/>
      </c>
      <c r="AA11" s="14">
        <f>IF(Engine!BY26="","",Engine!BY26/60)</f>
        <v/>
      </c>
      <c r="AB11" s="14">
        <f>IF(Engine!BY25="","",Engine!BY25/60)</f>
        <v/>
      </c>
      <c r="AD11" s="14">
        <f>IF(Engine!BZ22="","",Engine!BZ22/60)</f>
        <v/>
      </c>
      <c r="AE11" s="14">
        <f>IF(Engine!BZ23="","",Engine!BZ23/60)</f>
        <v/>
      </c>
      <c r="AF11" s="14">
        <f>IF(Engine!BZ24="","",Engine!BZ24/60)</f>
        <v/>
      </c>
      <c r="AH11" s="14">
        <f>IF(Engine!BZ27="","",Engine!BZ27/60)</f>
        <v/>
      </c>
      <c r="AI11" s="14">
        <f>IF(Engine!BZ26="","",Engine!BZ26/60)</f>
        <v/>
      </c>
      <c r="AJ11" s="14">
        <f>IF(Engine!BZ25="","",Engine!BZ25/60)</f>
        <v/>
      </c>
    </row>
    <row r="12" ht="13.5" customHeight="1">
      <c r="A12" s="9" t="inlineStr">
        <is>
          <t>Standard deviation of stow time</t>
        </is>
      </c>
      <c r="B12" s="10" t="n">
        <v>9</v>
      </c>
      <c r="C12" s="11" t="inlineStr">
        <is>
          <t>a few people take a very long time</t>
        </is>
      </c>
      <c r="F12" s="14">
        <f>IF(Engine!BW28="","",Engine!BW28/60)</f>
        <v/>
      </c>
      <c r="G12" s="14">
        <f>IF(Engine!BW29="","",Engine!BW29/60)</f>
        <v/>
      </c>
      <c r="H12" s="14">
        <f>IF(Engine!BW30="","",Engine!BW30/60)</f>
        <v/>
      </c>
      <c r="J12" s="14">
        <f>IF(Engine!BW33="","",Engine!BW33/60)</f>
        <v/>
      </c>
      <c r="K12" s="14">
        <f>IF(Engine!BW32="","",Engine!BW32/60)</f>
        <v/>
      </c>
      <c r="L12" s="14">
        <f>IF(Engine!BW31="","",Engine!BW31/60)</f>
        <v/>
      </c>
      <c r="N12" s="14">
        <f>IF(Engine!BX28="","",Engine!BX28/60)</f>
        <v/>
      </c>
      <c r="O12" s="14">
        <f>IF(Engine!BX29="","",Engine!BX29/60)</f>
        <v/>
      </c>
      <c r="P12" s="14">
        <f>IF(Engine!BX30="","",Engine!BX30/60)</f>
        <v/>
      </c>
      <c r="R12" s="14">
        <f>IF(Engine!BX33="","",Engine!BX33/60)</f>
        <v/>
      </c>
      <c r="S12" s="14">
        <f>IF(Engine!BX32="","",Engine!BX32/60)</f>
        <v/>
      </c>
      <c r="T12" s="14">
        <f>IF(Engine!BX31="","",Engine!BX31/60)</f>
        <v/>
      </c>
      <c r="V12" s="14">
        <f>IF(Engine!BY28="","",Engine!BY28/60)</f>
        <v/>
      </c>
      <c r="W12" s="14">
        <f>IF(Engine!BY29="","",Engine!BY29/60)</f>
        <v/>
      </c>
      <c r="X12" s="14">
        <f>IF(Engine!BY30="","",Engine!BY30/60)</f>
        <v/>
      </c>
      <c r="Z12" s="14">
        <f>IF(Engine!BY33="","",Engine!BY33/60)</f>
        <v/>
      </c>
      <c r="AA12" s="14">
        <f>IF(Engine!BY32="","",Engine!BY32/60)</f>
        <v/>
      </c>
      <c r="AB12" s="14">
        <f>IF(Engine!BY31="","",Engine!BY31/60)</f>
        <v/>
      </c>
      <c r="AD12" s="14">
        <f>IF(Engine!BZ28="","",Engine!BZ28/60)</f>
        <v/>
      </c>
      <c r="AE12" s="14">
        <f>IF(Engine!BZ29="","",Engine!BZ29/60)</f>
        <v/>
      </c>
      <c r="AF12" s="14">
        <f>IF(Engine!BZ30="","",Engine!BZ30/60)</f>
        <v/>
      </c>
      <c r="AH12" s="14">
        <f>IF(Engine!BZ33="","",Engine!BZ33/60)</f>
        <v/>
      </c>
      <c r="AI12" s="14">
        <f>IF(Engine!BZ32="","",Engine!BZ32/60)</f>
        <v/>
      </c>
      <c r="AJ12" s="14">
        <f>IF(Engine!BZ31="","",Engine!BZ31/60)</f>
        <v/>
      </c>
    </row>
    <row r="13" ht="13.5" customHeight="1">
      <c r="A13" s="9" t="inlineStr">
        <is>
          <t>Seconds to sit down with no bag</t>
        </is>
      </c>
      <c r="B13" s="10" t="n">
        <v>2</v>
      </c>
      <c r="C13" s="11" t="inlineStr"/>
      <c r="F13" s="14">
        <f>IF(Engine!BW34="","",Engine!BW34/60)</f>
        <v/>
      </c>
      <c r="G13" s="14">
        <f>IF(Engine!BW35="","",Engine!BW35/60)</f>
        <v/>
      </c>
      <c r="H13" s="14">
        <f>IF(Engine!BW36="","",Engine!BW36/60)</f>
        <v/>
      </c>
      <c r="J13" s="14">
        <f>IF(Engine!BW39="","",Engine!BW39/60)</f>
        <v/>
      </c>
      <c r="K13" s="14">
        <f>IF(Engine!BW38="","",Engine!BW38/60)</f>
        <v/>
      </c>
      <c r="L13" s="14">
        <f>IF(Engine!BW37="","",Engine!BW37/60)</f>
        <v/>
      </c>
      <c r="N13" s="14">
        <f>IF(Engine!BX34="","",Engine!BX34/60)</f>
        <v/>
      </c>
      <c r="O13" s="14">
        <f>IF(Engine!BX35="","",Engine!BX35/60)</f>
        <v/>
      </c>
      <c r="P13" s="14">
        <f>IF(Engine!BX36="","",Engine!BX36/60)</f>
        <v/>
      </c>
      <c r="R13" s="14">
        <f>IF(Engine!BX39="","",Engine!BX39/60)</f>
        <v/>
      </c>
      <c r="S13" s="14">
        <f>IF(Engine!BX38="","",Engine!BX38/60)</f>
        <v/>
      </c>
      <c r="T13" s="14">
        <f>IF(Engine!BX37="","",Engine!BX37/60)</f>
        <v/>
      </c>
      <c r="V13" s="14">
        <f>IF(Engine!BY34="","",Engine!BY34/60)</f>
        <v/>
      </c>
      <c r="W13" s="14">
        <f>IF(Engine!BY35="","",Engine!BY35/60)</f>
        <v/>
      </c>
      <c r="X13" s="14">
        <f>IF(Engine!BY36="","",Engine!BY36/60)</f>
        <v/>
      </c>
      <c r="Z13" s="14">
        <f>IF(Engine!BY39="","",Engine!BY39/60)</f>
        <v/>
      </c>
      <c r="AA13" s="14">
        <f>IF(Engine!BY38="","",Engine!BY38/60)</f>
        <v/>
      </c>
      <c r="AB13" s="14">
        <f>IF(Engine!BY37="","",Engine!BY37/60)</f>
        <v/>
      </c>
      <c r="AD13" s="14">
        <f>IF(Engine!BZ34="","",Engine!BZ34/60)</f>
        <v/>
      </c>
      <c r="AE13" s="14">
        <f>IF(Engine!BZ35="","",Engine!BZ35/60)</f>
        <v/>
      </c>
      <c r="AF13" s="14">
        <f>IF(Engine!BZ36="","",Engine!BZ36/60)</f>
        <v/>
      </c>
      <c r="AH13" s="14">
        <f>IF(Engine!BZ39="","",Engine!BZ39/60)</f>
        <v/>
      </c>
      <c r="AI13" s="14">
        <f>IF(Engine!BZ38="","",Engine!BZ38/60)</f>
        <v/>
      </c>
      <c r="AJ13" s="14">
        <f>IF(Engine!BZ37="","",Engine!BZ37/60)</f>
        <v/>
      </c>
    </row>
    <row r="14" ht="13.5" customHeight="1">
      <c r="A14" s="9" t="inlineStr">
        <is>
          <t>Seconds to climb over one seated passenger</t>
        </is>
      </c>
      <c r="B14" s="10" t="n">
        <v>12</v>
      </c>
      <c r="C14" s="11" t="inlineStr"/>
      <c r="F14" s="14">
        <f>IF(Engine!BW40="","",Engine!BW40/60)</f>
        <v/>
      </c>
      <c r="G14" s="14">
        <f>IF(Engine!BW41="","",Engine!BW41/60)</f>
        <v/>
      </c>
      <c r="H14" s="14">
        <f>IF(Engine!BW42="","",Engine!BW42/60)</f>
        <v/>
      </c>
      <c r="J14" s="14">
        <f>IF(Engine!BW45="","",Engine!BW45/60)</f>
        <v/>
      </c>
      <c r="K14" s="14">
        <f>IF(Engine!BW44="","",Engine!BW44/60)</f>
        <v/>
      </c>
      <c r="L14" s="14">
        <f>IF(Engine!BW43="","",Engine!BW43/60)</f>
        <v/>
      </c>
      <c r="N14" s="14">
        <f>IF(Engine!BX40="","",Engine!BX40/60)</f>
        <v/>
      </c>
      <c r="O14" s="14">
        <f>IF(Engine!BX41="","",Engine!BX41/60)</f>
        <v/>
      </c>
      <c r="P14" s="14">
        <f>IF(Engine!BX42="","",Engine!BX42/60)</f>
        <v/>
      </c>
      <c r="R14" s="14">
        <f>IF(Engine!BX45="","",Engine!BX45/60)</f>
        <v/>
      </c>
      <c r="S14" s="14">
        <f>IF(Engine!BX44="","",Engine!BX44/60)</f>
        <v/>
      </c>
      <c r="T14" s="14">
        <f>IF(Engine!BX43="","",Engine!BX43/60)</f>
        <v/>
      </c>
      <c r="V14" s="14">
        <f>IF(Engine!BY40="","",Engine!BY40/60)</f>
        <v/>
      </c>
      <c r="W14" s="14">
        <f>IF(Engine!BY41="","",Engine!BY41/60)</f>
        <v/>
      </c>
      <c r="X14" s="14">
        <f>IF(Engine!BY42="","",Engine!BY42/60)</f>
        <v/>
      </c>
      <c r="Z14" s="14">
        <f>IF(Engine!BY45="","",Engine!BY45/60)</f>
        <v/>
      </c>
      <c r="AA14" s="14">
        <f>IF(Engine!BY44="","",Engine!BY44/60)</f>
        <v/>
      </c>
      <c r="AB14" s="14">
        <f>IF(Engine!BY43="","",Engine!BY43/60)</f>
        <v/>
      </c>
      <c r="AD14" s="14">
        <f>IF(Engine!BZ40="","",Engine!BZ40/60)</f>
        <v/>
      </c>
      <c r="AE14" s="14">
        <f>IF(Engine!BZ41="","",Engine!BZ41/60)</f>
        <v/>
      </c>
      <c r="AF14" s="14">
        <f>IF(Engine!BZ42="","",Engine!BZ42/60)</f>
        <v/>
      </c>
      <c r="AH14" s="14">
        <f>IF(Engine!BZ45="","",Engine!BZ45/60)</f>
        <v/>
      </c>
      <c r="AI14" s="14">
        <f>IF(Engine!BZ44="","",Engine!BZ44/60)</f>
        <v/>
      </c>
      <c r="AJ14" s="14">
        <f>IF(Engine!BZ43="","",Engine!BZ43/60)</f>
        <v/>
      </c>
    </row>
    <row r="15" ht="13.5" customHeight="1">
      <c r="A15" s="9" t="inlineStr">
        <is>
          <t>Seconds to climb over two seated passengers</t>
        </is>
      </c>
      <c r="B15" s="10" t="n">
        <v>20</v>
      </c>
      <c r="C15" s="11" t="inlineStr"/>
      <c r="F15" s="14">
        <f>IF(Engine!BW46="","",Engine!BW46/60)</f>
        <v/>
      </c>
      <c r="G15" s="14">
        <f>IF(Engine!BW47="","",Engine!BW47/60)</f>
        <v/>
      </c>
      <c r="H15" s="14">
        <f>IF(Engine!BW48="","",Engine!BW48/60)</f>
        <v/>
      </c>
      <c r="J15" s="14">
        <f>IF(Engine!BW51="","",Engine!BW51/60)</f>
        <v/>
      </c>
      <c r="K15" s="14">
        <f>IF(Engine!BW50="","",Engine!BW50/60)</f>
        <v/>
      </c>
      <c r="L15" s="14">
        <f>IF(Engine!BW49="","",Engine!BW49/60)</f>
        <v/>
      </c>
      <c r="N15" s="14">
        <f>IF(Engine!BX46="","",Engine!BX46/60)</f>
        <v/>
      </c>
      <c r="O15" s="14">
        <f>IF(Engine!BX47="","",Engine!BX47/60)</f>
        <v/>
      </c>
      <c r="P15" s="14">
        <f>IF(Engine!BX48="","",Engine!BX48/60)</f>
        <v/>
      </c>
      <c r="R15" s="14">
        <f>IF(Engine!BX51="","",Engine!BX51/60)</f>
        <v/>
      </c>
      <c r="S15" s="14">
        <f>IF(Engine!BX50="","",Engine!BX50/60)</f>
        <v/>
      </c>
      <c r="T15" s="14">
        <f>IF(Engine!BX49="","",Engine!BX49/60)</f>
        <v/>
      </c>
      <c r="V15" s="14">
        <f>IF(Engine!BY46="","",Engine!BY46/60)</f>
        <v/>
      </c>
      <c r="W15" s="14">
        <f>IF(Engine!BY47="","",Engine!BY47/60)</f>
        <v/>
      </c>
      <c r="X15" s="14">
        <f>IF(Engine!BY48="","",Engine!BY48/60)</f>
        <v/>
      </c>
      <c r="Z15" s="14">
        <f>IF(Engine!BY51="","",Engine!BY51/60)</f>
        <v/>
      </c>
      <c r="AA15" s="14">
        <f>IF(Engine!BY50="","",Engine!BY50/60)</f>
        <v/>
      </c>
      <c r="AB15" s="14">
        <f>IF(Engine!BY49="","",Engine!BY49/60)</f>
        <v/>
      </c>
      <c r="AD15" s="14">
        <f>IF(Engine!BZ46="","",Engine!BZ46/60)</f>
        <v/>
      </c>
      <c r="AE15" s="14">
        <f>IF(Engine!BZ47="","",Engine!BZ47/60)</f>
        <v/>
      </c>
      <c r="AF15" s="14">
        <f>IF(Engine!BZ48="","",Engine!BZ48/60)</f>
        <v/>
      </c>
      <c r="AH15" s="14">
        <f>IF(Engine!BZ51="","",Engine!BZ51/60)</f>
        <v/>
      </c>
      <c r="AI15" s="14">
        <f>IF(Engine!BZ50="","",Engine!BZ50/60)</f>
        <v/>
      </c>
      <c r="AJ15" s="14">
        <f>IF(Engine!BZ49="","",Engine!BZ49/60)</f>
        <v/>
      </c>
    </row>
    <row r="16" ht="13.5" customHeight="1">
      <c r="A16" s="9" t="inlineStr">
        <is>
          <t>Share who queue in the slot they were told</t>
        </is>
      </c>
      <c r="B16" s="10" t="n">
        <v>0.85</v>
      </c>
      <c r="C16" s="11" t="inlineStr">
        <is>
          <t>the rest turn up whenever they feel like it</t>
        </is>
      </c>
      <c r="F16" s="14">
        <f>IF(Engine!BW52="","",Engine!BW52/60)</f>
        <v/>
      </c>
      <c r="G16" s="14">
        <f>IF(Engine!BW53="","",Engine!BW53/60)</f>
        <v/>
      </c>
      <c r="H16" s="14">
        <f>IF(Engine!BW54="","",Engine!BW54/60)</f>
        <v/>
      </c>
      <c r="J16" s="14">
        <f>IF(Engine!BW57="","",Engine!BW57/60)</f>
        <v/>
      </c>
      <c r="K16" s="14">
        <f>IF(Engine!BW56="","",Engine!BW56/60)</f>
        <v/>
      </c>
      <c r="L16" s="14">
        <f>IF(Engine!BW55="","",Engine!BW55/60)</f>
        <v/>
      </c>
      <c r="N16" s="14">
        <f>IF(Engine!BX52="","",Engine!BX52/60)</f>
        <v/>
      </c>
      <c r="O16" s="14">
        <f>IF(Engine!BX53="","",Engine!BX53/60)</f>
        <v/>
      </c>
      <c r="P16" s="14">
        <f>IF(Engine!BX54="","",Engine!BX54/60)</f>
        <v/>
      </c>
      <c r="R16" s="14">
        <f>IF(Engine!BX57="","",Engine!BX57/60)</f>
        <v/>
      </c>
      <c r="S16" s="14">
        <f>IF(Engine!BX56="","",Engine!BX56/60)</f>
        <v/>
      </c>
      <c r="T16" s="14">
        <f>IF(Engine!BX55="","",Engine!BX55/60)</f>
        <v/>
      </c>
      <c r="V16" s="14">
        <f>IF(Engine!BY52="","",Engine!BY52/60)</f>
        <v/>
      </c>
      <c r="W16" s="14">
        <f>IF(Engine!BY53="","",Engine!BY53/60)</f>
        <v/>
      </c>
      <c r="X16" s="14">
        <f>IF(Engine!BY54="","",Engine!BY54/60)</f>
        <v/>
      </c>
      <c r="Z16" s="14">
        <f>IF(Engine!BY57="","",Engine!BY57/60)</f>
        <v/>
      </c>
      <c r="AA16" s="14">
        <f>IF(Engine!BY56="","",Engine!BY56/60)</f>
        <v/>
      </c>
      <c r="AB16" s="14">
        <f>IF(Engine!BY55="","",Engine!BY55/60)</f>
        <v/>
      </c>
      <c r="AD16" s="14">
        <f>IF(Engine!BZ52="","",Engine!BZ52/60)</f>
        <v/>
      </c>
      <c r="AE16" s="14">
        <f>IF(Engine!BZ53="","",Engine!BZ53/60)</f>
        <v/>
      </c>
      <c r="AF16" s="14">
        <f>IF(Engine!BZ54="","",Engine!BZ54/60)</f>
        <v/>
      </c>
      <c r="AH16" s="14">
        <f>IF(Engine!BZ57="","",Engine!BZ57/60)</f>
        <v/>
      </c>
      <c r="AI16" s="14">
        <f>IF(Engine!BZ56="","",Engine!BZ56/60)</f>
        <v/>
      </c>
      <c r="AJ16" s="14">
        <f>IF(Engine!BZ55="","",Engine!BZ55/60)</f>
        <v/>
      </c>
    </row>
    <row r="17" ht="13.5" customHeight="1">
      <c r="A17" s="9" t="inlineStr">
        <is>
          <t>Share of seat blocks travelling together</t>
        </is>
      </c>
      <c r="B17" s="10" t="n">
        <v>0.3</v>
      </c>
      <c r="C17" s="11" t="inlineStr">
        <is>
          <t>families and couples who will not be separated</t>
        </is>
      </c>
      <c r="F17" s="14">
        <f>IF(Engine!BW58="","",Engine!BW58/60)</f>
        <v/>
      </c>
      <c r="G17" s="14">
        <f>IF(Engine!BW59="","",Engine!BW59/60)</f>
        <v/>
      </c>
      <c r="H17" s="14">
        <f>IF(Engine!BW60="","",Engine!BW60/60)</f>
        <v/>
      </c>
      <c r="J17" s="14">
        <f>IF(Engine!BW63="","",Engine!BW63/60)</f>
        <v/>
      </c>
      <c r="K17" s="14">
        <f>IF(Engine!BW62="","",Engine!BW62/60)</f>
        <v/>
      </c>
      <c r="L17" s="14">
        <f>IF(Engine!BW61="","",Engine!BW61/60)</f>
        <v/>
      </c>
      <c r="N17" s="14">
        <f>IF(Engine!BX58="","",Engine!BX58/60)</f>
        <v/>
      </c>
      <c r="O17" s="14">
        <f>IF(Engine!BX59="","",Engine!BX59/60)</f>
        <v/>
      </c>
      <c r="P17" s="14">
        <f>IF(Engine!BX60="","",Engine!BX60/60)</f>
        <v/>
      </c>
      <c r="R17" s="14">
        <f>IF(Engine!BX63="","",Engine!BX63/60)</f>
        <v/>
      </c>
      <c r="S17" s="14">
        <f>IF(Engine!BX62="","",Engine!BX62/60)</f>
        <v/>
      </c>
      <c r="T17" s="14">
        <f>IF(Engine!BX61="","",Engine!BX61/60)</f>
        <v/>
      </c>
      <c r="V17" s="14">
        <f>IF(Engine!BY58="","",Engine!BY58/60)</f>
        <v/>
      </c>
      <c r="W17" s="14">
        <f>IF(Engine!BY59="","",Engine!BY59/60)</f>
        <v/>
      </c>
      <c r="X17" s="14">
        <f>IF(Engine!BY60="","",Engine!BY60/60)</f>
        <v/>
      </c>
      <c r="Z17" s="14">
        <f>IF(Engine!BY63="","",Engine!BY63/60)</f>
        <v/>
      </c>
      <c r="AA17" s="14">
        <f>IF(Engine!BY62="","",Engine!BY62/60)</f>
        <v/>
      </c>
      <c r="AB17" s="14">
        <f>IF(Engine!BY61="","",Engine!BY61/60)</f>
        <v/>
      </c>
      <c r="AD17" s="14">
        <f>IF(Engine!BZ58="","",Engine!BZ58/60)</f>
        <v/>
      </c>
      <c r="AE17" s="14">
        <f>IF(Engine!BZ59="","",Engine!BZ59/60)</f>
        <v/>
      </c>
      <c r="AF17" s="14">
        <f>IF(Engine!BZ60="","",Engine!BZ60/60)</f>
        <v/>
      </c>
      <c r="AH17" s="14">
        <f>IF(Engine!BZ63="","",Engine!BZ63/60)</f>
        <v/>
      </c>
      <c r="AI17" s="14">
        <f>IF(Engine!BZ62="","",Engine!BZ62/60)</f>
        <v/>
      </c>
      <c r="AJ17" s="14">
        <f>IF(Engine!BZ61="","",Engine!BZ61/60)</f>
        <v/>
      </c>
    </row>
    <row r="18" ht="13.5" customHeight="1">
      <c r="A18" s="9" t="inlineStr">
        <is>
          <t>Zones used by back-to-front</t>
        </is>
      </c>
      <c r="B18" s="10" t="n">
        <v>4</v>
      </c>
      <c r="C18" s="11" t="inlineStr">
        <is>
          <t>4 is typical</t>
        </is>
      </c>
      <c r="F18" s="14">
        <f>IF(Engine!BW64="","",Engine!BW64/60)</f>
        <v/>
      </c>
      <c r="G18" s="14">
        <f>IF(Engine!BW65="","",Engine!BW65/60)</f>
        <v/>
      </c>
      <c r="H18" s="14">
        <f>IF(Engine!BW66="","",Engine!BW66/60)</f>
        <v/>
      </c>
      <c r="J18" s="14">
        <f>IF(Engine!BW69="","",Engine!BW69/60)</f>
        <v/>
      </c>
      <c r="K18" s="14">
        <f>IF(Engine!BW68="","",Engine!BW68/60)</f>
        <v/>
      </c>
      <c r="L18" s="14">
        <f>IF(Engine!BW67="","",Engine!BW67/60)</f>
        <v/>
      </c>
      <c r="N18" s="14">
        <f>IF(Engine!BX64="","",Engine!BX64/60)</f>
        <v/>
      </c>
      <c r="O18" s="14">
        <f>IF(Engine!BX65="","",Engine!BX65/60)</f>
        <v/>
      </c>
      <c r="P18" s="14">
        <f>IF(Engine!BX66="","",Engine!BX66/60)</f>
        <v/>
      </c>
      <c r="R18" s="14">
        <f>IF(Engine!BX69="","",Engine!BX69/60)</f>
        <v/>
      </c>
      <c r="S18" s="14">
        <f>IF(Engine!BX68="","",Engine!BX68/60)</f>
        <v/>
      </c>
      <c r="T18" s="14">
        <f>IF(Engine!BX67="","",Engine!BX67/60)</f>
        <v/>
      </c>
      <c r="V18" s="14">
        <f>IF(Engine!BY64="","",Engine!BY64/60)</f>
        <v/>
      </c>
      <c r="W18" s="14">
        <f>IF(Engine!BY65="","",Engine!BY65/60)</f>
        <v/>
      </c>
      <c r="X18" s="14">
        <f>IF(Engine!BY66="","",Engine!BY66/60)</f>
        <v/>
      </c>
      <c r="Z18" s="14">
        <f>IF(Engine!BY69="","",Engine!BY69/60)</f>
        <v/>
      </c>
      <c r="AA18" s="14">
        <f>IF(Engine!BY68="","",Engine!BY68/60)</f>
        <v/>
      </c>
      <c r="AB18" s="14">
        <f>IF(Engine!BY67="","",Engine!BY67/60)</f>
        <v/>
      </c>
      <c r="AD18" s="14">
        <f>IF(Engine!BZ64="","",Engine!BZ64/60)</f>
        <v/>
      </c>
      <c r="AE18" s="14">
        <f>IF(Engine!BZ65="","",Engine!BZ65/60)</f>
        <v/>
      </c>
      <c r="AF18" s="14">
        <f>IF(Engine!BZ66="","",Engine!BZ66/60)</f>
        <v/>
      </c>
      <c r="AH18" s="14">
        <f>IF(Engine!BZ69="","",Engine!BZ69/60)</f>
        <v/>
      </c>
      <c r="AI18" s="14">
        <f>IF(Engine!BZ68="","",Engine!BZ68/60)</f>
        <v/>
      </c>
      <c r="AJ18" s="14">
        <f>IF(Engine!BZ67="","",Engine!BZ67/60)</f>
        <v/>
      </c>
    </row>
    <row r="19" ht="13.5" customHeight="1">
      <c r="F19" s="14">
        <f>IF(Engine!BW70="","",Engine!BW70/60)</f>
        <v/>
      </c>
      <c r="G19" s="14">
        <f>IF(Engine!BW71="","",Engine!BW71/60)</f>
        <v/>
      </c>
      <c r="H19" s="14">
        <f>IF(Engine!BW72="","",Engine!BW72/60)</f>
        <v/>
      </c>
      <c r="J19" s="14">
        <f>IF(Engine!BW75="","",Engine!BW75/60)</f>
        <v/>
      </c>
      <c r="K19" s="14">
        <f>IF(Engine!BW74="","",Engine!BW74/60)</f>
        <v/>
      </c>
      <c r="L19" s="14">
        <f>IF(Engine!BW73="","",Engine!BW73/60)</f>
        <v/>
      </c>
      <c r="N19" s="14">
        <f>IF(Engine!BX70="","",Engine!BX70/60)</f>
        <v/>
      </c>
      <c r="O19" s="14">
        <f>IF(Engine!BX71="","",Engine!BX71/60)</f>
        <v/>
      </c>
      <c r="P19" s="14">
        <f>IF(Engine!BX72="","",Engine!BX72/60)</f>
        <v/>
      </c>
      <c r="R19" s="14">
        <f>IF(Engine!BX75="","",Engine!BX75/60)</f>
        <v/>
      </c>
      <c r="S19" s="14">
        <f>IF(Engine!BX74="","",Engine!BX74/60)</f>
        <v/>
      </c>
      <c r="T19" s="14">
        <f>IF(Engine!BX73="","",Engine!BX73/60)</f>
        <v/>
      </c>
      <c r="V19" s="14">
        <f>IF(Engine!BY70="","",Engine!BY70/60)</f>
        <v/>
      </c>
      <c r="W19" s="14">
        <f>IF(Engine!BY71="","",Engine!BY71/60)</f>
        <v/>
      </c>
      <c r="X19" s="14">
        <f>IF(Engine!BY72="","",Engine!BY72/60)</f>
        <v/>
      </c>
      <c r="Z19" s="14">
        <f>IF(Engine!BY75="","",Engine!BY75/60)</f>
        <v/>
      </c>
      <c r="AA19" s="14">
        <f>IF(Engine!BY74="","",Engine!BY74/60)</f>
        <v/>
      </c>
      <c r="AB19" s="14">
        <f>IF(Engine!BY73="","",Engine!BY73/60)</f>
        <v/>
      </c>
      <c r="AD19" s="14">
        <f>IF(Engine!BZ70="","",Engine!BZ70/60)</f>
        <v/>
      </c>
      <c r="AE19" s="14">
        <f>IF(Engine!BZ71="","",Engine!BZ71/60)</f>
        <v/>
      </c>
      <c r="AF19" s="14">
        <f>IF(Engine!BZ72="","",Engine!BZ72/60)</f>
        <v/>
      </c>
      <c r="AH19" s="14">
        <f>IF(Engine!BZ75="","",Engine!BZ75/60)</f>
        <v/>
      </c>
      <c r="AI19" s="14">
        <f>IF(Engine!BZ74="","",Engine!BZ74/60)</f>
        <v/>
      </c>
      <c r="AJ19" s="14">
        <f>IF(Engine!BZ73="","",Engine!BZ73/60)</f>
        <v/>
      </c>
    </row>
    <row r="20" ht="13.5" customHeight="1">
      <c r="F20" s="14">
        <f>IF(Engine!BW76="","",Engine!BW76/60)</f>
        <v/>
      </c>
      <c r="G20" s="14">
        <f>IF(Engine!BW77="","",Engine!BW77/60)</f>
        <v/>
      </c>
      <c r="H20" s="14">
        <f>IF(Engine!BW78="","",Engine!BW78/60)</f>
        <v/>
      </c>
      <c r="J20" s="14">
        <f>IF(Engine!BW81="","",Engine!BW81/60)</f>
        <v/>
      </c>
      <c r="K20" s="14">
        <f>IF(Engine!BW80="","",Engine!BW80/60)</f>
        <v/>
      </c>
      <c r="L20" s="14">
        <f>IF(Engine!BW79="","",Engine!BW79/60)</f>
        <v/>
      </c>
      <c r="N20" s="14">
        <f>IF(Engine!BX76="","",Engine!BX76/60)</f>
        <v/>
      </c>
      <c r="O20" s="14">
        <f>IF(Engine!BX77="","",Engine!BX77/60)</f>
        <v/>
      </c>
      <c r="P20" s="14">
        <f>IF(Engine!BX78="","",Engine!BX78/60)</f>
        <v/>
      </c>
      <c r="R20" s="14">
        <f>IF(Engine!BX81="","",Engine!BX81/60)</f>
        <v/>
      </c>
      <c r="S20" s="14">
        <f>IF(Engine!BX80="","",Engine!BX80/60)</f>
        <v/>
      </c>
      <c r="T20" s="14">
        <f>IF(Engine!BX79="","",Engine!BX79/60)</f>
        <v/>
      </c>
      <c r="V20" s="14">
        <f>IF(Engine!BY76="","",Engine!BY76/60)</f>
        <v/>
      </c>
      <c r="W20" s="14">
        <f>IF(Engine!BY77="","",Engine!BY77/60)</f>
        <v/>
      </c>
      <c r="X20" s="14">
        <f>IF(Engine!BY78="","",Engine!BY78/60)</f>
        <v/>
      </c>
      <c r="Z20" s="14">
        <f>IF(Engine!BY81="","",Engine!BY81/60)</f>
        <v/>
      </c>
      <c r="AA20" s="14">
        <f>IF(Engine!BY80="","",Engine!BY80/60)</f>
        <v/>
      </c>
      <c r="AB20" s="14">
        <f>IF(Engine!BY79="","",Engine!BY79/60)</f>
        <v/>
      </c>
      <c r="AD20" s="14">
        <f>IF(Engine!BZ76="","",Engine!BZ76/60)</f>
        <v/>
      </c>
      <c r="AE20" s="14">
        <f>IF(Engine!BZ77="","",Engine!BZ77/60)</f>
        <v/>
      </c>
      <c r="AF20" s="14">
        <f>IF(Engine!BZ78="","",Engine!BZ78/60)</f>
        <v/>
      </c>
      <c r="AH20" s="14">
        <f>IF(Engine!BZ81="","",Engine!BZ81/60)</f>
        <v/>
      </c>
      <c r="AI20" s="14">
        <f>IF(Engine!BZ80="","",Engine!BZ80/60)</f>
        <v/>
      </c>
      <c r="AJ20" s="14">
        <f>IF(Engine!BZ79="","",Engine!BZ79/60)</f>
        <v/>
      </c>
    </row>
    <row r="21" ht="13.5" customHeight="1">
      <c r="A21" s="5" t="inlineStr">
        <is>
          <t>lognormal sigma / mu (derived)</t>
        </is>
      </c>
      <c r="B21" s="5">
        <f>SQRT(LN(1+(StowSD/StowMean)^2))</f>
        <v/>
      </c>
      <c r="C21" s="5">
        <f>LN(StowMean)-B21^2/2</f>
        <v/>
      </c>
      <c r="F21" s="14">
        <f>IF(Engine!BW82="","",Engine!BW82/60)</f>
        <v/>
      </c>
      <c r="G21" s="14">
        <f>IF(Engine!BW83="","",Engine!BW83/60)</f>
        <v/>
      </c>
      <c r="H21" s="14">
        <f>IF(Engine!BW84="","",Engine!BW84/60)</f>
        <v/>
      </c>
      <c r="J21" s="14">
        <f>IF(Engine!BW87="","",Engine!BW87/60)</f>
        <v/>
      </c>
      <c r="K21" s="14">
        <f>IF(Engine!BW86="","",Engine!BW86/60)</f>
        <v/>
      </c>
      <c r="L21" s="14">
        <f>IF(Engine!BW85="","",Engine!BW85/60)</f>
        <v/>
      </c>
      <c r="N21" s="14">
        <f>IF(Engine!BX82="","",Engine!BX82/60)</f>
        <v/>
      </c>
      <c r="O21" s="14">
        <f>IF(Engine!BX83="","",Engine!BX83/60)</f>
        <v/>
      </c>
      <c r="P21" s="14">
        <f>IF(Engine!BX84="","",Engine!BX84/60)</f>
        <v/>
      </c>
      <c r="R21" s="14">
        <f>IF(Engine!BX87="","",Engine!BX87/60)</f>
        <v/>
      </c>
      <c r="S21" s="14">
        <f>IF(Engine!BX86="","",Engine!BX86/60)</f>
        <v/>
      </c>
      <c r="T21" s="14">
        <f>IF(Engine!BX85="","",Engine!BX85/60)</f>
        <v/>
      </c>
      <c r="V21" s="14">
        <f>IF(Engine!BY82="","",Engine!BY82/60)</f>
        <v/>
      </c>
      <c r="W21" s="14">
        <f>IF(Engine!BY83="","",Engine!BY83/60)</f>
        <v/>
      </c>
      <c r="X21" s="14">
        <f>IF(Engine!BY84="","",Engine!BY84/60)</f>
        <v/>
      </c>
      <c r="Z21" s="14">
        <f>IF(Engine!BY87="","",Engine!BY87/60)</f>
        <v/>
      </c>
      <c r="AA21" s="14">
        <f>IF(Engine!BY86="","",Engine!BY86/60)</f>
        <v/>
      </c>
      <c r="AB21" s="14">
        <f>IF(Engine!BY85="","",Engine!BY85/60)</f>
        <v/>
      </c>
      <c r="AD21" s="14">
        <f>IF(Engine!BZ82="","",Engine!BZ82/60)</f>
        <v/>
      </c>
      <c r="AE21" s="14">
        <f>IF(Engine!BZ83="","",Engine!BZ83/60)</f>
        <v/>
      </c>
      <c r="AF21" s="14">
        <f>IF(Engine!BZ84="","",Engine!BZ84/60)</f>
        <v/>
      </c>
      <c r="AH21" s="14">
        <f>IF(Engine!BZ87="","",Engine!BZ87/60)</f>
        <v/>
      </c>
      <c r="AI21" s="14">
        <f>IF(Engine!BZ86="","",Engine!BZ86/60)</f>
        <v/>
      </c>
      <c r="AJ21" s="14">
        <f>IF(Engine!BZ85="","",Engine!BZ85/60)</f>
        <v/>
      </c>
    </row>
    <row r="22" ht="13.5" customHeight="1">
      <c r="F22" s="14">
        <f>IF(Engine!BW88="","",Engine!BW88/60)</f>
        <v/>
      </c>
      <c r="G22" s="14">
        <f>IF(Engine!BW89="","",Engine!BW89/60)</f>
        <v/>
      </c>
      <c r="H22" s="14">
        <f>IF(Engine!BW90="","",Engine!BW90/60)</f>
        <v/>
      </c>
      <c r="J22" s="14">
        <f>IF(Engine!BW93="","",Engine!BW93/60)</f>
        <v/>
      </c>
      <c r="K22" s="14">
        <f>IF(Engine!BW92="","",Engine!BW92/60)</f>
        <v/>
      </c>
      <c r="L22" s="14">
        <f>IF(Engine!BW91="","",Engine!BW91/60)</f>
        <v/>
      </c>
      <c r="N22" s="14">
        <f>IF(Engine!BX88="","",Engine!BX88/60)</f>
        <v/>
      </c>
      <c r="O22" s="14">
        <f>IF(Engine!BX89="","",Engine!BX89/60)</f>
        <v/>
      </c>
      <c r="P22" s="14">
        <f>IF(Engine!BX90="","",Engine!BX90/60)</f>
        <v/>
      </c>
      <c r="R22" s="14">
        <f>IF(Engine!BX93="","",Engine!BX93/60)</f>
        <v/>
      </c>
      <c r="S22" s="14">
        <f>IF(Engine!BX92="","",Engine!BX92/60)</f>
        <v/>
      </c>
      <c r="T22" s="14">
        <f>IF(Engine!BX91="","",Engine!BX91/60)</f>
        <v/>
      </c>
      <c r="V22" s="14">
        <f>IF(Engine!BY88="","",Engine!BY88/60)</f>
        <v/>
      </c>
      <c r="W22" s="14">
        <f>IF(Engine!BY89="","",Engine!BY89/60)</f>
        <v/>
      </c>
      <c r="X22" s="14">
        <f>IF(Engine!BY90="","",Engine!BY90/60)</f>
        <v/>
      </c>
      <c r="Z22" s="14">
        <f>IF(Engine!BY93="","",Engine!BY93/60)</f>
        <v/>
      </c>
      <c r="AA22" s="14">
        <f>IF(Engine!BY92="","",Engine!BY92/60)</f>
        <v/>
      </c>
      <c r="AB22" s="14">
        <f>IF(Engine!BY91="","",Engine!BY91/60)</f>
        <v/>
      </c>
      <c r="AD22" s="14">
        <f>IF(Engine!BZ88="","",Engine!BZ88/60)</f>
        <v/>
      </c>
      <c r="AE22" s="14">
        <f>IF(Engine!BZ89="","",Engine!BZ89/60)</f>
        <v/>
      </c>
      <c r="AF22" s="14">
        <f>IF(Engine!BZ90="","",Engine!BZ90/60)</f>
        <v/>
      </c>
      <c r="AH22" s="14">
        <f>IF(Engine!BZ93="","",Engine!BZ93/60)</f>
        <v/>
      </c>
      <c r="AI22" s="14">
        <f>IF(Engine!BZ92="","",Engine!BZ92/60)</f>
        <v/>
      </c>
      <c r="AJ22" s="14">
        <f>IF(Engine!BZ91="","",Engine!BZ91/60)</f>
        <v/>
      </c>
    </row>
    <row r="23" ht="13.5" customHeight="1">
      <c r="F23" s="14">
        <f>IF(Engine!BW94="","",Engine!BW94/60)</f>
        <v/>
      </c>
      <c r="G23" s="14">
        <f>IF(Engine!BW95="","",Engine!BW95/60)</f>
        <v/>
      </c>
      <c r="H23" s="14">
        <f>IF(Engine!BW96="","",Engine!BW96/60)</f>
        <v/>
      </c>
      <c r="J23" s="14">
        <f>IF(Engine!BW99="","",Engine!BW99/60)</f>
        <v/>
      </c>
      <c r="K23" s="14">
        <f>IF(Engine!BW98="","",Engine!BW98/60)</f>
        <v/>
      </c>
      <c r="L23" s="14">
        <f>IF(Engine!BW97="","",Engine!BW97/60)</f>
        <v/>
      </c>
      <c r="N23" s="14">
        <f>IF(Engine!BX94="","",Engine!BX94/60)</f>
        <v/>
      </c>
      <c r="O23" s="14">
        <f>IF(Engine!BX95="","",Engine!BX95/60)</f>
        <v/>
      </c>
      <c r="P23" s="14">
        <f>IF(Engine!BX96="","",Engine!BX96/60)</f>
        <v/>
      </c>
      <c r="R23" s="14">
        <f>IF(Engine!BX99="","",Engine!BX99/60)</f>
        <v/>
      </c>
      <c r="S23" s="14">
        <f>IF(Engine!BX98="","",Engine!BX98/60)</f>
        <v/>
      </c>
      <c r="T23" s="14">
        <f>IF(Engine!BX97="","",Engine!BX97/60)</f>
        <v/>
      </c>
      <c r="V23" s="14">
        <f>IF(Engine!BY94="","",Engine!BY94/60)</f>
        <v/>
      </c>
      <c r="W23" s="14">
        <f>IF(Engine!BY95="","",Engine!BY95/60)</f>
        <v/>
      </c>
      <c r="X23" s="14">
        <f>IF(Engine!BY96="","",Engine!BY96/60)</f>
        <v/>
      </c>
      <c r="Z23" s="14">
        <f>IF(Engine!BY99="","",Engine!BY99/60)</f>
        <v/>
      </c>
      <c r="AA23" s="14">
        <f>IF(Engine!BY98="","",Engine!BY98/60)</f>
        <v/>
      </c>
      <c r="AB23" s="14">
        <f>IF(Engine!BY97="","",Engine!BY97/60)</f>
        <v/>
      </c>
      <c r="AD23" s="14">
        <f>IF(Engine!BZ94="","",Engine!BZ94/60)</f>
        <v/>
      </c>
      <c r="AE23" s="14">
        <f>IF(Engine!BZ95="","",Engine!BZ95/60)</f>
        <v/>
      </c>
      <c r="AF23" s="14">
        <f>IF(Engine!BZ96="","",Engine!BZ96/60)</f>
        <v/>
      </c>
      <c r="AH23" s="14">
        <f>IF(Engine!BZ99="","",Engine!BZ99/60)</f>
        <v/>
      </c>
      <c r="AI23" s="14">
        <f>IF(Engine!BZ98="","",Engine!BZ98/60)</f>
        <v/>
      </c>
      <c r="AJ23" s="14">
        <f>IF(Engine!BZ97="","",Engine!BZ97/60)</f>
        <v/>
      </c>
    </row>
    <row r="24" ht="13.5" customHeight="1">
      <c r="F24" s="14">
        <f>IF(Engine!BW100="","",Engine!BW100/60)</f>
        <v/>
      </c>
      <c r="G24" s="14">
        <f>IF(Engine!BW101="","",Engine!BW101/60)</f>
        <v/>
      </c>
      <c r="H24" s="14">
        <f>IF(Engine!BW102="","",Engine!BW102/60)</f>
        <v/>
      </c>
      <c r="J24" s="14">
        <f>IF(Engine!BW105="","",Engine!BW105/60)</f>
        <v/>
      </c>
      <c r="K24" s="14">
        <f>IF(Engine!BW104="","",Engine!BW104/60)</f>
        <v/>
      </c>
      <c r="L24" s="14">
        <f>IF(Engine!BW103="","",Engine!BW103/60)</f>
        <v/>
      </c>
      <c r="N24" s="14">
        <f>IF(Engine!BX100="","",Engine!BX100/60)</f>
        <v/>
      </c>
      <c r="O24" s="14">
        <f>IF(Engine!BX101="","",Engine!BX101/60)</f>
        <v/>
      </c>
      <c r="P24" s="14">
        <f>IF(Engine!BX102="","",Engine!BX102/60)</f>
        <v/>
      </c>
      <c r="R24" s="14">
        <f>IF(Engine!BX105="","",Engine!BX105/60)</f>
        <v/>
      </c>
      <c r="S24" s="14">
        <f>IF(Engine!BX104="","",Engine!BX104/60)</f>
        <v/>
      </c>
      <c r="T24" s="14">
        <f>IF(Engine!BX103="","",Engine!BX103/60)</f>
        <v/>
      </c>
      <c r="V24" s="14">
        <f>IF(Engine!BY100="","",Engine!BY100/60)</f>
        <v/>
      </c>
      <c r="W24" s="14">
        <f>IF(Engine!BY101="","",Engine!BY101/60)</f>
        <v/>
      </c>
      <c r="X24" s="14">
        <f>IF(Engine!BY102="","",Engine!BY102/60)</f>
        <v/>
      </c>
      <c r="Z24" s="14">
        <f>IF(Engine!BY105="","",Engine!BY105/60)</f>
        <v/>
      </c>
      <c r="AA24" s="14">
        <f>IF(Engine!BY104="","",Engine!BY104/60)</f>
        <v/>
      </c>
      <c r="AB24" s="14">
        <f>IF(Engine!BY103="","",Engine!BY103/60)</f>
        <v/>
      </c>
      <c r="AD24" s="14">
        <f>IF(Engine!BZ100="","",Engine!BZ100/60)</f>
        <v/>
      </c>
      <c r="AE24" s="14">
        <f>IF(Engine!BZ101="","",Engine!BZ101/60)</f>
        <v/>
      </c>
      <c r="AF24" s="14">
        <f>IF(Engine!BZ102="","",Engine!BZ102/60)</f>
        <v/>
      </c>
      <c r="AH24" s="14">
        <f>IF(Engine!BZ105="","",Engine!BZ105/60)</f>
        <v/>
      </c>
      <c r="AI24" s="14">
        <f>IF(Engine!BZ104="","",Engine!BZ104/60)</f>
        <v/>
      </c>
      <c r="AJ24" s="14">
        <f>IF(Engine!BZ103="","",Engine!BZ103/60)</f>
        <v/>
      </c>
    </row>
    <row r="25" ht="13.5" customHeight="1">
      <c r="F25" s="14">
        <f>IF(Engine!BW106="","",Engine!BW106/60)</f>
        <v/>
      </c>
      <c r="G25" s="14">
        <f>IF(Engine!BW107="","",Engine!BW107/60)</f>
        <v/>
      </c>
      <c r="H25" s="14">
        <f>IF(Engine!BW108="","",Engine!BW108/60)</f>
        <v/>
      </c>
      <c r="J25" s="14">
        <f>IF(Engine!BW111="","",Engine!BW111/60)</f>
        <v/>
      </c>
      <c r="K25" s="14">
        <f>IF(Engine!BW110="","",Engine!BW110/60)</f>
        <v/>
      </c>
      <c r="L25" s="14">
        <f>IF(Engine!BW109="","",Engine!BW109/60)</f>
        <v/>
      </c>
      <c r="N25" s="14">
        <f>IF(Engine!BX106="","",Engine!BX106/60)</f>
        <v/>
      </c>
      <c r="O25" s="14">
        <f>IF(Engine!BX107="","",Engine!BX107/60)</f>
        <v/>
      </c>
      <c r="P25" s="14">
        <f>IF(Engine!BX108="","",Engine!BX108/60)</f>
        <v/>
      </c>
      <c r="R25" s="14">
        <f>IF(Engine!BX111="","",Engine!BX111/60)</f>
        <v/>
      </c>
      <c r="S25" s="14">
        <f>IF(Engine!BX110="","",Engine!BX110/60)</f>
        <v/>
      </c>
      <c r="T25" s="14">
        <f>IF(Engine!BX109="","",Engine!BX109/60)</f>
        <v/>
      </c>
      <c r="V25" s="14">
        <f>IF(Engine!BY106="","",Engine!BY106/60)</f>
        <v/>
      </c>
      <c r="W25" s="14">
        <f>IF(Engine!BY107="","",Engine!BY107/60)</f>
        <v/>
      </c>
      <c r="X25" s="14">
        <f>IF(Engine!BY108="","",Engine!BY108/60)</f>
        <v/>
      </c>
      <c r="Z25" s="14">
        <f>IF(Engine!BY111="","",Engine!BY111/60)</f>
        <v/>
      </c>
      <c r="AA25" s="14">
        <f>IF(Engine!BY110="","",Engine!BY110/60)</f>
        <v/>
      </c>
      <c r="AB25" s="14">
        <f>IF(Engine!BY109="","",Engine!BY109/60)</f>
        <v/>
      </c>
      <c r="AD25" s="14">
        <f>IF(Engine!BZ106="","",Engine!BZ106/60)</f>
        <v/>
      </c>
      <c r="AE25" s="14">
        <f>IF(Engine!BZ107="","",Engine!BZ107/60)</f>
        <v/>
      </c>
      <c r="AF25" s="14">
        <f>IF(Engine!BZ108="","",Engine!BZ108/60)</f>
        <v/>
      </c>
      <c r="AH25" s="14">
        <f>IF(Engine!BZ111="","",Engine!BZ111/60)</f>
        <v/>
      </c>
      <c r="AI25" s="14">
        <f>IF(Engine!BZ110="","",Engine!BZ110/60)</f>
        <v/>
      </c>
      <c r="AJ25" s="14">
        <f>IF(Engine!BZ109="","",Engine!BZ109/60)</f>
        <v/>
      </c>
    </row>
    <row r="26" ht="13.5" customHeight="1">
      <c r="F26" s="14">
        <f>IF(Engine!BW112="","",Engine!BW112/60)</f>
        <v/>
      </c>
      <c r="G26" s="14">
        <f>IF(Engine!BW113="","",Engine!BW113/60)</f>
        <v/>
      </c>
      <c r="H26" s="14">
        <f>IF(Engine!BW114="","",Engine!BW114/60)</f>
        <v/>
      </c>
      <c r="J26" s="14">
        <f>IF(Engine!BW117="","",Engine!BW117/60)</f>
        <v/>
      </c>
      <c r="K26" s="14">
        <f>IF(Engine!BW116="","",Engine!BW116/60)</f>
        <v/>
      </c>
      <c r="L26" s="14">
        <f>IF(Engine!BW115="","",Engine!BW115/60)</f>
        <v/>
      </c>
      <c r="N26" s="14">
        <f>IF(Engine!BX112="","",Engine!BX112/60)</f>
        <v/>
      </c>
      <c r="O26" s="14">
        <f>IF(Engine!BX113="","",Engine!BX113/60)</f>
        <v/>
      </c>
      <c r="P26" s="14">
        <f>IF(Engine!BX114="","",Engine!BX114/60)</f>
        <v/>
      </c>
      <c r="R26" s="14">
        <f>IF(Engine!BX117="","",Engine!BX117/60)</f>
        <v/>
      </c>
      <c r="S26" s="14">
        <f>IF(Engine!BX116="","",Engine!BX116/60)</f>
        <v/>
      </c>
      <c r="T26" s="14">
        <f>IF(Engine!BX115="","",Engine!BX115/60)</f>
        <v/>
      </c>
      <c r="V26" s="14">
        <f>IF(Engine!BY112="","",Engine!BY112/60)</f>
        <v/>
      </c>
      <c r="W26" s="14">
        <f>IF(Engine!BY113="","",Engine!BY113/60)</f>
        <v/>
      </c>
      <c r="X26" s="14">
        <f>IF(Engine!BY114="","",Engine!BY114/60)</f>
        <v/>
      </c>
      <c r="Z26" s="14">
        <f>IF(Engine!BY117="","",Engine!BY117/60)</f>
        <v/>
      </c>
      <c r="AA26" s="14">
        <f>IF(Engine!BY116="","",Engine!BY116/60)</f>
        <v/>
      </c>
      <c r="AB26" s="14">
        <f>IF(Engine!BY115="","",Engine!BY115/60)</f>
        <v/>
      </c>
      <c r="AD26" s="14">
        <f>IF(Engine!BZ112="","",Engine!BZ112/60)</f>
        <v/>
      </c>
      <c r="AE26" s="14">
        <f>IF(Engine!BZ113="","",Engine!BZ113/60)</f>
        <v/>
      </c>
      <c r="AF26" s="14">
        <f>IF(Engine!BZ114="","",Engine!BZ114/60)</f>
        <v/>
      </c>
      <c r="AH26" s="14">
        <f>IF(Engine!BZ117="","",Engine!BZ117/60)</f>
        <v/>
      </c>
      <c r="AI26" s="14">
        <f>IF(Engine!BZ116="","",Engine!BZ116/60)</f>
        <v/>
      </c>
      <c r="AJ26" s="14">
        <f>IF(Engine!BZ115="","",Engine!BZ115/60)</f>
        <v/>
      </c>
    </row>
    <row r="27" ht="13.5" customHeight="1">
      <c r="F27" s="14">
        <f>IF(Engine!BW118="","",Engine!BW118/60)</f>
        <v/>
      </c>
      <c r="G27" s="14">
        <f>IF(Engine!BW119="","",Engine!BW119/60)</f>
        <v/>
      </c>
      <c r="H27" s="14">
        <f>IF(Engine!BW120="","",Engine!BW120/60)</f>
        <v/>
      </c>
      <c r="J27" s="14">
        <f>IF(Engine!BW123="","",Engine!BW123/60)</f>
        <v/>
      </c>
      <c r="K27" s="14">
        <f>IF(Engine!BW122="","",Engine!BW122/60)</f>
        <v/>
      </c>
      <c r="L27" s="14">
        <f>IF(Engine!BW121="","",Engine!BW121/60)</f>
        <v/>
      </c>
      <c r="N27" s="14">
        <f>IF(Engine!BX118="","",Engine!BX118/60)</f>
        <v/>
      </c>
      <c r="O27" s="14">
        <f>IF(Engine!BX119="","",Engine!BX119/60)</f>
        <v/>
      </c>
      <c r="P27" s="14">
        <f>IF(Engine!BX120="","",Engine!BX120/60)</f>
        <v/>
      </c>
      <c r="R27" s="14">
        <f>IF(Engine!BX123="","",Engine!BX123/60)</f>
        <v/>
      </c>
      <c r="S27" s="14">
        <f>IF(Engine!BX122="","",Engine!BX122/60)</f>
        <v/>
      </c>
      <c r="T27" s="14">
        <f>IF(Engine!BX121="","",Engine!BX121/60)</f>
        <v/>
      </c>
      <c r="V27" s="14">
        <f>IF(Engine!BY118="","",Engine!BY118/60)</f>
        <v/>
      </c>
      <c r="W27" s="14">
        <f>IF(Engine!BY119="","",Engine!BY119/60)</f>
        <v/>
      </c>
      <c r="X27" s="14">
        <f>IF(Engine!BY120="","",Engine!BY120/60)</f>
        <v/>
      </c>
      <c r="Z27" s="14">
        <f>IF(Engine!BY123="","",Engine!BY123/60)</f>
        <v/>
      </c>
      <c r="AA27" s="14">
        <f>IF(Engine!BY122="","",Engine!BY122/60)</f>
        <v/>
      </c>
      <c r="AB27" s="14">
        <f>IF(Engine!BY121="","",Engine!BY121/60)</f>
        <v/>
      </c>
      <c r="AD27" s="14">
        <f>IF(Engine!BZ118="","",Engine!BZ118/60)</f>
        <v/>
      </c>
      <c r="AE27" s="14">
        <f>IF(Engine!BZ119="","",Engine!BZ119/60)</f>
        <v/>
      </c>
      <c r="AF27" s="14">
        <f>IF(Engine!BZ120="","",Engine!BZ120/60)</f>
        <v/>
      </c>
      <c r="AH27" s="14">
        <f>IF(Engine!BZ123="","",Engine!BZ123/60)</f>
        <v/>
      </c>
      <c r="AI27" s="14">
        <f>IF(Engine!BZ122="","",Engine!BZ122/60)</f>
        <v/>
      </c>
      <c r="AJ27" s="14">
        <f>IF(Engine!BZ121="","",Engine!BZ121/60)</f>
        <v/>
      </c>
    </row>
    <row r="28" ht="13.5" customHeight="1">
      <c r="F28" s="14">
        <f>IF(Engine!BW124="","",Engine!BW124/60)</f>
        <v/>
      </c>
      <c r="G28" s="14">
        <f>IF(Engine!BW125="","",Engine!BW125/60)</f>
        <v/>
      </c>
      <c r="H28" s="14">
        <f>IF(Engine!BW126="","",Engine!BW126/60)</f>
        <v/>
      </c>
      <c r="J28" s="14">
        <f>IF(Engine!BW129="","",Engine!BW129/60)</f>
        <v/>
      </c>
      <c r="K28" s="14">
        <f>IF(Engine!BW128="","",Engine!BW128/60)</f>
        <v/>
      </c>
      <c r="L28" s="14">
        <f>IF(Engine!BW127="","",Engine!BW127/60)</f>
        <v/>
      </c>
      <c r="N28" s="14">
        <f>IF(Engine!BX124="","",Engine!BX124/60)</f>
        <v/>
      </c>
      <c r="O28" s="14">
        <f>IF(Engine!BX125="","",Engine!BX125/60)</f>
        <v/>
      </c>
      <c r="P28" s="14">
        <f>IF(Engine!BX126="","",Engine!BX126/60)</f>
        <v/>
      </c>
      <c r="R28" s="14">
        <f>IF(Engine!BX129="","",Engine!BX129/60)</f>
        <v/>
      </c>
      <c r="S28" s="14">
        <f>IF(Engine!BX128="","",Engine!BX128/60)</f>
        <v/>
      </c>
      <c r="T28" s="14">
        <f>IF(Engine!BX127="","",Engine!BX127/60)</f>
        <v/>
      </c>
      <c r="V28" s="14">
        <f>IF(Engine!BY124="","",Engine!BY124/60)</f>
        <v/>
      </c>
      <c r="W28" s="14">
        <f>IF(Engine!BY125="","",Engine!BY125/60)</f>
        <v/>
      </c>
      <c r="X28" s="14">
        <f>IF(Engine!BY126="","",Engine!BY126/60)</f>
        <v/>
      </c>
      <c r="Z28" s="14">
        <f>IF(Engine!BY129="","",Engine!BY129/60)</f>
        <v/>
      </c>
      <c r="AA28" s="14">
        <f>IF(Engine!BY128="","",Engine!BY128/60)</f>
        <v/>
      </c>
      <c r="AB28" s="14">
        <f>IF(Engine!BY127="","",Engine!BY127/60)</f>
        <v/>
      </c>
      <c r="AD28" s="14">
        <f>IF(Engine!BZ124="","",Engine!BZ124/60)</f>
        <v/>
      </c>
      <c r="AE28" s="14">
        <f>IF(Engine!BZ125="","",Engine!BZ125/60)</f>
        <v/>
      </c>
      <c r="AF28" s="14">
        <f>IF(Engine!BZ126="","",Engine!BZ126/60)</f>
        <v/>
      </c>
      <c r="AH28" s="14">
        <f>IF(Engine!BZ129="","",Engine!BZ129/60)</f>
        <v/>
      </c>
      <c r="AI28" s="14">
        <f>IF(Engine!BZ128="","",Engine!BZ128/60)</f>
        <v/>
      </c>
      <c r="AJ28" s="14">
        <f>IF(Engine!BZ127="","",Engine!BZ127/60)</f>
        <v/>
      </c>
    </row>
    <row r="29" ht="13.5" customHeight="1">
      <c r="F29" s="14">
        <f>IF(Engine!BW130="","",Engine!BW130/60)</f>
        <v/>
      </c>
      <c r="G29" s="14">
        <f>IF(Engine!BW131="","",Engine!BW131/60)</f>
        <v/>
      </c>
      <c r="H29" s="14">
        <f>IF(Engine!BW132="","",Engine!BW132/60)</f>
        <v/>
      </c>
      <c r="J29" s="14">
        <f>IF(Engine!BW135="","",Engine!BW135/60)</f>
        <v/>
      </c>
      <c r="K29" s="14">
        <f>IF(Engine!BW134="","",Engine!BW134/60)</f>
        <v/>
      </c>
      <c r="L29" s="14">
        <f>IF(Engine!BW133="","",Engine!BW133/60)</f>
        <v/>
      </c>
      <c r="N29" s="14">
        <f>IF(Engine!BX130="","",Engine!BX130/60)</f>
        <v/>
      </c>
      <c r="O29" s="14">
        <f>IF(Engine!BX131="","",Engine!BX131/60)</f>
        <v/>
      </c>
      <c r="P29" s="14">
        <f>IF(Engine!BX132="","",Engine!BX132/60)</f>
        <v/>
      </c>
      <c r="R29" s="14">
        <f>IF(Engine!BX135="","",Engine!BX135/60)</f>
        <v/>
      </c>
      <c r="S29" s="14">
        <f>IF(Engine!BX134="","",Engine!BX134/60)</f>
        <v/>
      </c>
      <c r="T29" s="14">
        <f>IF(Engine!BX133="","",Engine!BX133/60)</f>
        <v/>
      </c>
      <c r="V29" s="14">
        <f>IF(Engine!BY130="","",Engine!BY130/60)</f>
        <v/>
      </c>
      <c r="W29" s="14">
        <f>IF(Engine!BY131="","",Engine!BY131/60)</f>
        <v/>
      </c>
      <c r="X29" s="14">
        <f>IF(Engine!BY132="","",Engine!BY132/60)</f>
        <v/>
      </c>
      <c r="Z29" s="14">
        <f>IF(Engine!BY135="","",Engine!BY135/60)</f>
        <v/>
      </c>
      <c r="AA29" s="14">
        <f>IF(Engine!BY134="","",Engine!BY134/60)</f>
        <v/>
      </c>
      <c r="AB29" s="14">
        <f>IF(Engine!BY133="","",Engine!BY133/60)</f>
        <v/>
      </c>
      <c r="AD29" s="14">
        <f>IF(Engine!BZ130="","",Engine!BZ130/60)</f>
        <v/>
      </c>
      <c r="AE29" s="14">
        <f>IF(Engine!BZ131="","",Engine!BZ131/60)</f>
        <v/>
      </c>
      <c r="AF29" s="14">
        <f>IF(Engine!BZ132="","",Engine!BZ132/60)</f>
        <v/>
      </c>
      <c r="AH29" s="14">
        <f>IF(Engine!BZ135="","",Engine!BZ135/60)</f>
        <v/>
      </c>
      <c r="AI29" s="14">
        <f>IF(Engine!BZ134="","",Engine!BZ134/60)</f>
        <v/>
      </c>
      <c r="AJ29" s="14">
        <f>IF(Engine!BZ133="","",Engine!BZ133/60)</f>
        <v/>
      </c>
    </row>
    <row r="30" ht="13.5" customHeight="1">
      <c r="F30" s="14">
        <f>IF(Engine!BW136="","",Engine!BW136/60)</f>
        <v/>
      </c>
      <c r="G30" s="14">
        <f>IF(Engine!BW137="","",Engine!BW137/60)</f>
        <v/>
      </c>
      <c r="H30" s="14">
        <f>IF(Engine!BW138="","",Engine!BW138/60)</f>
        <v/>
      </c>
      <c r="J30" s="14">
        <f>IF(Engine!BW141="","",Engine!BW141/60)</f>
        <v/>
      </c>
      <c r="K30" s="14">
        <f>IF(Engine!BW140="","",Engine!BW140/60)</f>
        <v/>
      </c>
      <c r="L30" s="14">
        <f>IF(Engine!BW139="","",Engine!BW139/60)</f>
        <v/>
      </c>
      <c r="N30" s="14">
        <f>IF(Engine!BX136="","",Engine!BX136/60)</f>
        <v/>
      </c>
      <c r="O30" s="14">
        <f>IF(Engine!BX137="","",Engine!BX137/60)</f>
        <v/>
      </c>
      <c r="P30" s="14">
        <f>IF(Engine!BX138="","",Engine!BX138/60)</f>
        <v/>
      </c>
      <c r="R30" s="14">
        <f>IF(Engine!BX141="","",Engine!BX141/60)</f>
        <v/>
      </c>
      <c r="S30" s="14">
        <f>IF(Engine!BX140="","",Engine!BX140/60)</f>
        <v/>
      </c>
      <c r="T30" s="14">
        <f>IF(Engine!BX139="","",Engine!BX139/60)</f>
        <v/>
      </c>
      <c r="V30" s="14">
        <f>IF(Engine!BY136="","",Engine!BY136/60)</f>
        <v/>
      </c>
      <c r="W30" s="14">
        <f>IF(Engine!BY137="","",Engine!BY137/60)</f>
        <v/>
      </c>
      <c r="X30" s="14">
        <f>IF(Engine!BY138="","",Engine!BY138/60)</f>
        <v/>
      </c>
      <c r="Z30" s="14">
        <f>IF(Engine!BY141="","",Engine!BY141/60)</f>
        <v/>
      </c>
      <c r="AA30" s="14">
        <f>IF(Engine!BY140="","",Engine!BY140/60)</f>
        <v/>
      </c>
      <c r="AB30" s="14">
        <f>IF(Engine!BY139="","",Engine!BY139/60)</f>
        <v/>
      </c>
      <c r="AD30" s="14">
        <f>IF(Engine!BZ136="","",Engine!BZ136/60)</f>
        <v/>
      </c>
      <c r="AE30" s="14">
        <f>IF(Engine!BZ137="","",Engine!BZ137/60)</f>
        <v/>
      </c>
      <c r="AF30" s="14">
        <f>IF(Engine!BZ138="","",Engine!BZ138/60)</f>
        <v/>
      </c>
      <c r="AH30" s="14">
        <f>IF(Engine!BZ141="","",Engine!BZ141/60)</f>
        <v/>
      </c>
      <c r="AI30" s="14">
        <f>IF(Engine!BZ140="","",Engine!BZ140/60)</f>
        <v/>
      </c>
      <c r="AJ30" s="14">
        <f>IF(Engine!BZ139="","",Engine!BZ139/60)</f>
        <v/>
      </c>
    </row>
    <row r="31" ht="13.5" customHeight="1">
      <c r="F31" s="14">
        <f>IF(Engine!BW142="","",Engine!BW142/60)</f>
        <v/>
      </c>
      <c r="G31" s="14">
        <f>IF(Engine!BW143="","",Engine!BW143/60)</f>
        <v/>
      </c>
      <c r="H31" s="14">
        <f>IF(Engine!BW144="","",Engine!BW144/60)</f>
        <v/>
      </c>
      <c r="J31" s="14">
        <f>IF(Engine!BW147="","",Engine!BW147/60)</f>
        <v/>
      </c>
      <c r="K31" s="14">
        <f>IF(Engine!BW146="","",Engine!BW146/60)</f>
        <v/>
      </c>
      <c r="L31" s="14">
        <f>IF(Engine!BW145="","",Engine!BW145/60)</f>
        <v/>
      </c>
      <c r="N31" s="14">
        <f>IF(Engine!BX142="","",Engine!BX142/60)</f>
        <v/>
      </c>
      <c r="O31" s="14">
        <f>IF(Engine!BX143="","",Engine!BX143/60)</f>
        <v/>
      </c>
      <c r="P31" s="14">
        <f>IF(Engine!BX144="","",Engine!BX144/60)</f>
        <v/>
      </c>
      <c r="R31" s="14">
        <f>IF(Engine!BX147="","",Engine!BX147/60)</f>
        <v/>
      </c>
      <c r="S31" s="14">
        <f>IF(Engine!BX146="","",Engine!BX146/60)</f>
        <v/>
      </c>
      <c r="T31" s="14">
        <f>IF(Engine!BX145="","",Engine!BX145/60)</f>
        <v/>
      </c>
      <c r="V31" s="14">
        <f>IF(Engine!BY142="","",Engine!BY142/60)</f>
        <v/>
      </c>
      <c r="W31" s="14">
        <f>IF(Engine!BY143="","",Engine!BY143/60)</f>
        <v/>
      </c>
      <c r="X31" s="14">
        <f>IF(Engine!BY144="","",Engine!BY144/60)</f>
        <v/>
      </c>
      <c r="Z31" s="14">
        <f>IF(Engine!BY147="","",Engine!BY147/60)</f>
        <v/>
      </c>
      <c r="AA31" s="14">
        <f>IF(Engine!BY146="","",Engine!BY146/60)</f>
        <v/>
      </c>
      <c r="AB31" s="14">
        <f>IF(Engine!BY145="","",Engine!BY145/60)</f>
        <v/>
      </c>
      <c r="AD31" s="14">
        <f>IF(Engine!BZ142="","",Engine!BZ142/60)</f>
        <v/>
      </c>
      <c r="AE31" s="14">
        <f>IF(Engine!BZ143="","",Engine!BZ143/60)</f>
        <v/>
      </c>
      <c r="AF31" s="14">
        <f>IF(Engine!BZ144="","",Engine!BZ144/60)</f>
        <v/>
      </c>
      <c r="AH31" s="14">
        <f>IF(Engine!BZ147="","",Engine!BZ147/60)</f>
        <v/>
      </c>
      <c r="AI31" s="14">
        <f>IF(Engine!BZ146="","",Engine!BZ146/60)</f>
        <v/>
      </c>
      <c r="AJ31" s="14">
        <f>IF(Engine!BZ145="","",Engine!BZ145/60)</f>
        <v/>
      </c>
    </row>
    <row r="32" ht="13.5" customHeight="1">
      <c r="F32" s="14">
        <f>IF(Engine!BW148="","",Engine!BW148/60)</f>
        <v/>
      </c>
      <c r="G32" s="14">
        <f>IF(Engine!BW149="","",Engine!BW149/60)</f>
        <v/>
      </c>
      <c r="H32" s="14">
        <f>IF(Engine!BW150="","",Engine!BW150/60)</f>
        <v/>
      </c>
      <c r="J32" s="14">
        <f>IF(Engine!BW153="","",Engine!BW153/60)</f>
        <v/>
      </c>
      <c r="K32" s="14">
        <f>IF(Engine!BW152="","",Engine!BW152/60)</f>
        <v/>
      </c>
      <c r="L32" s="14">
        <f>IF(Engine!BW151="","",Engine!BW151/60)</f>
        <v/>
      </c>
      <c r="N32" s="14">
        <f>IF(Engine!BX148="","",Engine!BX148/60)</f>
        <v/>
      </c>
      <c r="O32" s="14">
        <f>IF(Engine!BX149="","",Engine!BX149/60)</f>
        <v/>
      </c>
      <c r="P32" s="14">
        <f>IF(Engine!BX150="","",Engine!BX150/60)</f>
        <v/>
      </c>
      <c r="R32" s="14">
        <f>IF(Engine!BX153="","",Engine!BX153/60)</f>
        <v/>
      </c>
      <c r="S32" s="14">
        <f>IF(Engine!BX152="","",Engine!BX152/60)</f>
        <v/>
      </c>
      <c r="T32" s="14">
        <f>IF(Engine!BX151="","",Engine!BX151/60)</f>
        <v/>
      </c>
      <c r="V32" s="14">
        <f>IF(Engine!BY148="","",Engine!BY148/60)</f>
        <v/>
      </c>
      <c r="W32" s="14">
        <f>IF(Engine!BY149="","",Engine!BY149/60)</f>
        <v/>
      </c>
      <c r="X32" s="14">
        <f>IF(Engine!BY150="","",Engine!BY150/60)</f>
        <v/>
      </c>
      <c r="Z32" s="14">
        <f>IF(Engine!BY153="","",Engine!BY153/60)</f>
        <v/>
      </c>
      <c r="AA32" s="14">
        <f>IF(Engine!BY152="","",Engine!BY152/60)</f>
        <v/>
      </c>
      <c r="AB32" s="14">
        <f>IF(Engine!BY151="","",Engine!BY151/60)</f>
        <v/>
      </c>
      <c r="AD32" s="14">
        <f>IF(Engine!BZ148="","",Engine!BZ148/60)</f>
        <v/>
      </c>
      <c r="AE32" s="14">
        <f>IF(Engine!BZ149="","",Engine!BZ149/60)</f>
        <v/>
      </c>
      <c r="AF32" s="14">
        <f>IF(Engine!BZ150="","",Engine!BZ150/60)</f>
        <v/>
      </c>
      <c r="AH32" s="14">
        <f>IF(Engine!BZ153="","",Engine!BZ153/60)</f>
        <v/>
      </c>
      <c r="AI32" s="14">
        <f>IF(Engine!BZ152="","",Engine!BZ152/60)</f>
        <v/>
      </c>
      <c r="AJ32" s="14">
        <f>IF(Engine!BZ151="","",Engine!BZ151/60)</f>
        <v/>
      </c>
    </row>
    <row r="33" ht="13.5" customHeight="1">
      <c r="F33" s="14">
        <f>IF(Engine!BW154="","",Engine!BW154/60)</f>
        <v/>
      </c>
      <c r="G33" s="14">
        <f>IF(Engine!BW155="","",Engine!BW155/60)</f>
        <v/>
      </c>
      <c r="H33" s="14">
        <f>IF(Engine!BW156="","",Engine!BW156/60)</f>
        <v/>
      </c>
      <c r="J33" s="14">
        <f>IF(Engine!BW159="","",Engine!BW159/60)</f>
        <v/>
      </c>
      <c r="K33" s="14">
        <f>IF(Engine!BW158="","",Engine!BW158/60)</f>
        <v/>
      </c>
      <c r="L33" s="14">
        <f>IF(Engine!BW157="","",Engine!BW157/60)</f>
        <v/>
      </c>
      <c r="N33" s="14">
        <f>IF(Engine!BX154="","",Engine!BX154/60)</f>
        <v/>
      </c>
      <c r="O33" s="14">
        <f>IF(Engine!BX155="","",Engine!BX155/60)</f>
        <v/>
      </c>
      <c r="P33" s="14">
        <f>IF(Engine!BX156="","",Engine!BX156/60)</f>
        <v/>
      </c>
      <c r="R33" s="14">
        <f>IF(Engine!BX159="","",Engine!BX159/60)</f>
        <v/>
      </c>
      <c r="S33" s="14">
        <f>IF(Engine!BX158="","",Engine!BX158/60)</f>
        <v/>
      </c>
      <c r="T33" s="14">
        <f>IF(Engine!BX157="","",Engine!BX157/60)</f>
        <v/>
      </c>
      <c r="V33" s="14">
        <f>IF(Engine!BY154="","",Engine!BY154/60)</f>
        <v/>
      </c>
      <c r="W33" s="14">
        <f>IF(Engine!BY155="","",Engine!BY155/60)</f>
        <v/>
      </c>
      <c r="X33" s="14">
        <f>IF(Engine!BY156="","",Engine!BY156/60)</f>
        <v/>
      </c>
      <c r="Z33" s="14">
        <f>IF(Engine!BY159="","",Engine!BY159/60)</f>
        <v/>
      </c>
      <c r="AA33" s="14">
        <f>IF(Engine!BY158="","",Engine!BY158/60)</f>
        <v/>
      </c>
      <c r="AB33" s="14">
        <f>IF(Engine!BY157="","",Engine!BY157/60)</f>
        <v/>
      </c>
      <c r="AD33" s="14">
        <f>IF(Engine!BZ154="","",Engine!BZ154/60)</f>
        <v/>
      </c>
      <c r="AE33" s="14">
        <f>IF(Engine!BZ155="","",Engine!BZ155/60)</f>
        <v/>
      </c>
      <c r="AF33" s="14">
        <f>IF(Engine!BZ156="","",Engine!BZ156/60)</f>
        <v/>
      </c>
      <c r="AH33" s="14">
        <f>IF(Engine!BZ159="","",Engine!BZ159/60)</f>
        <v/>
      </c>
      <c r="AI33" s="14">
        <f>IF(Engine!BZ158="","",Engine!BZ158/60)</f>
        <v/>
      </c>
      <c r="AJ33" s="14">
        <f>IF(Engine!BZ157="","",Engine!BZ157/60)</f>
        <v/>
      </c>
    </row>
    <row r="34" ht="13.5" customHeight="1">
      <c r="F34" s="14">
        <f>IF(Engine!BW160="","",Engine!BW160/60)</f>
        <v/>
      </c>
      <c r="G34" s="14">
        <f>IF(Engine!BW161="","",Engine!BW161/60)</f>
        <v/>
      </c>
      <c r="H34" s="14">
        <f>IF(Engine!BW162="","",Engine!BW162/60)</f>
        <v/>
      </c>
      <c r="J34" s="14">
        <f>IF(Engine!BW165="","",Engine!BW165/60)</f>
        <v/>
      </c>
      <c r="K34" s="14">
        <f>IF(Engine!BW164="","",Engine!BW164/60)</f>
        <v/>
      </c>
      <c r="L34" s="14">
        <f>IF(Engine!BW163="","",Engine!BW163/60)</f>
        <v/>
      </c>
      <c r="N34" s="14">
        <f>IF(Engine!BX160="","",Engine!BX160/60)</f>
        <v/>
      </c>
      <c r="O34" s="14">
        <f>IF(Engine!BX161="","",Engine!BX161/60)</f>
        <v/>
      </c>
      <c r="P34" s="14">
        <f>IF(Engine!BX162="","",Engine!BX162/60)</f>
        <v/>
      </c>
      <c r="R34" s="14">
        <f>IF(Engine!BX165="","",Engine!BX165/60)</f>
        <v/>
      </c>
      <c r="S34" s="14">
        <f>IF(Engine!BX164="","",Engine!BX164/60)</f>
        <v/>
      </c>
      <c r="T34" s="14">
        <f>IF(Engine!BX163="","",Engine!BX163/60)</f>
        <v/>
      </c>
      <c r="V34" s="14">
        <f>IF(Engine!BY160="","",Engine!BY160/60)</f>
        <v/>
      </c>
      <c r="W34" s="14">
        <f>IF(Engine!BY161="","",Engine!BY161/60)</f>
        <v/>
      </c>
      <c r="X34" s="14">
        <f>IF(Engine!BY162="","",Engine!BY162/60)</f>
        <v/>
      </c>
      <c r="Z34" s="14">
        <f>IF(Engine!BY165="","",Engine!BY165/60)</f>
        <v/>
      </c>
      <c r="AA34" s="14">
        <f>IF(Engine!BY164="","",Engine!BY164/60)</f>
        <v/>
      </c>
      <c r="AB34" s="14">
        <f>IF(Engine!BY163="","",Engine!BY163/60)</f>
        <v/>
      </c>
      <c r="AD34" s="14">
        <f>IF(Engine!BZ160="","",Engine!BZ160/60)</f>
        <v/>
      </c>
      <c r="AE34" s="14">
        <f>IF(Engine!BZ161="","",Engine!BZ161/60)</f>
        <v/>
      </c>
      <c r="AF34" s="14">
        <f>IF(Engine!BZ162="","",Engine!BZ162/60)</f>
        <v/>
      </c>
      <c r="AH34" s="14">
        <f>IF(Engine!BZ165="","",Engine!BZ165/60)</f>
        <v/>
      </c>
      <c r="AI34" s="14">
        <f>IF(Engine!BZ164="","",Engine!BZ164/60)</f>
        <v/>
      </c>
      <c r="AJ34" s="14">
        <f>IF(Engine!BZ163="","",Engine!BZ163/60)</f>
        <v/>
      </c>
    </row>
    <row r="35" ht="13.5" customHeight="1">
      <c r="F35" s="14">
        <f>IF(Engine!BW166="","",Engine!BW166/60)</f>
        <v/>
      </c>
      <c r="G35" s="14">
        <f>IF(Engine!BW167="","",Engine!BW167/60)</f>
        <v/>
      </c>
      <c r="H35" s="14">
        <f>IF(Engine!BW168="","",Engine!BW168/60)</f>
        <v/>
      </c>
      <c r="J35" s="14">
        <f>IF(Engine!BW171="","",Engine!BW171/60)</f>
        <v/>
      </c>
      <c r="K35" s="14">
        <f>IF(Engine!BW170="","",Engine!BW170/60)</f>
        <v/>
      </c>
      <c r="L35" s="14">
        <f>IF(Engine!BW169="","",Engine!BW169/60)</f>
        <v/>
      </c>
      <c r="N35" s="14">
        <f>IF(Engine!BX166="","",Engine!BX166/60)</f>
        <v/>
      </c>
      <c r="O35" s="14">
        <f>IF(Engine!BX167="","",Engine!BX167/60)</f>
        <v/>
      </c>
      <c r="P35" s="14">
        <f>IF(Engine!BX168="","",Engine!BX168/60)</f>
        <v/>
      </c>
      <c r="R35" s="14">
        <f>IF(Engine!BX171="","",Engine!BX171/60)</f>
        <v/>
      </c>
      <c r="S35" s="14">
        <f>IF(Engine!BX170="","",Engine!BX170/60)</f>
        <v/>
      </c>
      <c r="T35" s="14">
        <f>IF(Engine!BX169="","",Engine!BX169/60)</f>
        <v/>
      </c>
      <c r="V35" s="14">
        <f>IF(Engine!BY166="","",Engine!BY166/60)</f>
        <v/>
      </c>
      <c r="W35" s="14">
        <f>IF(Engine!BY167="","",Engine!BY167/60)</f>
        <v/>
      </c>
      <c r="X35" s="14">
        <f>IF(Engine!BY168="","",Engine!BY168/60)</f>
        <v/>
      </c>
      <c r="Z35" s="14">
        <f>IF(Engine!BY171="","",Engine!BY171/60)</f>
        <v/>
      </c>
      <c r="AA35" s="14">
        <f>IF(Engine!BY170="","",Engine!BY170/60)</f>
        <v/>
      </c>
      <c r="AB35" s="14">
        <f>IF(Engine!BY169="","",Engine!BY169/60)</f>
        <v/>
      </c>
      <c r="AD35" s="14">
        <f>IF(Engine!BZ166="","",Engine!BZ166/60)</f>
        <v/>
      </c>
      <c r="AE35" s="14">
        <f>IF(Engine!BZ167="","",Engine!BZ167/60)</f>
        <v/>
      </c>
      <c r="AF35" s="14">
        <f>IF(Engine!BZ168="","",Engine!BZ168/60)</f>
        <v/>
      </c>
      <c r="AH35" s="14">
        <f>IF(Engine!BZ171="","",Engine!BZ171/60)</f>
        <v/>
      </c>
      <c r="AI35" s="14">
        <f>IF(Engine!BZ170="","",Engine!BZ170/60)</f>
        <v/>
      </c>
      <c r="AJ35" s="14">
        <f>IF(Engine!BZ169="","",Engine!BZ169/60)</f>
        <v/>
      </c>
    </row>
    <row r="36" ht="13.5" customHeight="1">
      <c r="F36" s="14">
        <f>IF(Engine!BW172="","",Engine!BW172/60)</f>
        <v/>
      </c>
      <c r="G36" s="14">
        <f>IF(Engine!BW173="","",Engine!BW173/60)</f>
        <v/>
      </c>
      <c r="H36" s="14">
        <f>IF(Engine!BW174="","",Engine!BW174/60)</f>
        <v/>
      </c>
      <c r="J36" s="14">
        <f>IF(Engine!BW177="","",Engine!BW177/60)</f>
        <v/>
      </c>
      <c r="K36" s="14">
        <f>IF(Engine!BW176="","",Engine!BW176/60)</f>
        <v/>
      </c>
      <c r="L36" s="14">
        <f>IF(Engine!BW175="","",Engine!BW175/60)</f>
        <v/>
      </c>
      <c r="N36" s="14">
        <f>IF(Engine!BX172="","",Engine!BX172/60)</f>
        <v/>
      </c>
      <c r="O36" s="14">
        <f>IF(Engine!BX173="","",Engine!BX173/60)</f>
        <v/>
      </c>
      <c r="P36" s="14">
        <f>IF(Engine!BX174="","",Engine!BX174/60)</f>
        <v/>
      </c>
      <c r="R36" s="14">
        <f>IF(Engine!BX177="","",Engine!BX177/60)</f>
        <v/>
      </c>
      <c r="S36" s="14">
        <f>IF(Engine!BX176="","",Engine!BX176/60)</f>
        <v/>
      </c>
      <c r="T36" s="14">
        <f>IF(Engine!BX175="","",Engine!BX175/60)</f>
        <v/>
      </c>
      <c r="V36" s="14">
        <f>IF(Engine!BY172="","",Engine!BY172/60)</f>
        <v/>
      </c>
      <c r="W36" s="14">
        <f>IF(Engine!BY173="","",Engine!BY173/60)</f>
        <v/>
      </c>
      <c r="X36" s="14">
        <f>IF(Engine!BY174="","",Engine!BY174/60)</f>
        <v/>
      </c>
      <c r="Z36" s="14">
        <f>IF(Engine!BY177="","",Engine!BY177/60)</f>
        <v/>
      </c>
      <c r="AA36" s="14">
        <f>IF(Engine!BY176="","",Engine!BY176/60)</f>
        <v/>
      </c>
      <c r="AB36" s="14">
        <f>IF(Engine!BY175="","",Engine!BY175/60)</f>
        <v/>
      </c>
      <c r="AD36" s="14">
        <f>IF(Engine!BZ172="","",Engine!BZ172/60)</f>
        <v/>
      </c>
      <c r="AE36" s="14">
        <f>IF(Engine!BZ173="","",Engine!BZ173/60)</f>
        <v/>
      </c>
      <c r="AF36" s="14">
        <f>IF(Engine!BZ174="","",Engine!BZ174/60)</f>
        <v/>
      </c>
      <c r="AH36" s="14">
        <f>IF(Engine!BZ177="","",Engine!BZ177/60)</f>
        <v/>
      </c>
      <c r="AI36" s="14">
        <f>IF(Engine!BZ176="","",Engine!BZ176/60)</f>
        <v/>
      </c>
      <c r="AJ36" s="14">
        <f>IF(Engine!BZ175="","",Engine!BZ175/60)</f>
        <v/>
      </c>
    </row>
    <row r="37" ht="13.5" customHeight="1">
      <c r="F37" s="14">
        <f>IF(Engine!BW178="","",Engine!BW178/60)</f>
        <v/>
      </c>
      <c r="G37" s="14">
        <f>IF(Engine!BW179="","",Engine!BW179/60)</f>
        <v/>
      </c>
      <c r="H37" s="14">
        <f>IF(Engine!BW180="","",Engine!BW180/60)</f>
        <v/>
      </c>
      <c r="J37" s="14">
        <f>IF(Engine!BW183="","",Engine!BW183/60)</f>
        <v/>
      </c>
      <c r="K37" s="14">
        <f>IF(Engine!BW182="","",Engine!BW182/60)</f>
        <v/>
      </c>
      <c r="L37" s="14">
        <f>IF(Engine!BW181="","",Engine!BW181/60)</f>
        <v/>
      </c>
      <c r="N37" s="14">
        <f>IF(Engine!BX178="","",Engine!BX178/60)</f>
        <v/>
      </c>
      <c r="O37" s="14">
        <f>IF(Engine!BX179="","",Engine!BX179/60)</f>
        <v/>
      </c>
      <c r="P37" s="14">
        <f>IF(Engine!BX180="","",Engine!BX180/60)</f>
        <v/>
      </c>
      <c r="R37" s="14">
        <f>IF(Engine!BX183="","",Engine!BX183/60)</f>
        <v/>
      </c>
      <c r="S37" s="14">
        <f>IF(Engine!BX182="","",Engine!BX182/60)</f>
        <v/>
      </c>
      <c r="T37" s="14">
        <f>IF(Engine!BX181="","",Engine!BX181/60)</f>
        <v/>
      </c>
      <c r="V37" s="14">
        <f>IF(Engine!BY178="","",Engine!BY178/60)</f>
        <v/>
      </c>
      <c r="W37" s="14">
        <f>IF(Engine!BY179="","",Engine!BY179/60)</f>
        <v/>
      </c>
      <c r="X37" s="14">
        <f>IF(Engine!BY180="","",Engine!BY180/60)</f>
        <v/>
      </c>
      <c r="Z37" s="14">
        <f>IF(Engine!BY183="","",Engine!BY183/60)</f>
        <v/>
      </c>
      <c r="AA37" s="14">
        <f>IF(Engine!BY182="","",Engine!BY182/60)</f>
        <v/>
      </c>
      <c r="AB37" s="14">
        <f>IF(Engine!BY181="","",Engine!BY181/60)</f>
        <v/>
      </c>
      <c r="AD37" s="14">
        <f>IF(Engine!BZ178="","",Engine!BZ178/60)</f>
        <v/>
      </c>
      <c r="AE37" s="14">
        <f>IF(Engine!BZ179="","",Engine!BZ179/60)</f>
        <v/>
      </c>
      <c r="AF37" s="14">
        <f>IF(Engine!BZ180="","",Engine!BZ180/60)</f>
        <v/>
      </c>
      <c r="AH37" s="14">
        <f>IF(Engine!BZ183="","",Engine!BZ183/60)</f>
        <v/>
      </c>
      <c r="AI37" s="14">
        <f>IF(Engine!BZ182="","",Engine!BZ182/60)</f>
        <v/>
      </c>
      <c r="AJ37" s="14">
        <f>IF(Engine!BZ181="","",Engine!BZ181/60)</f>
        <v/>
      </c>
    </row>
    <row r="39">
      <c r="A39" s="3" t="inlineStr">
        <is>
          <t>Press F9 to board again.</t>
        </is>
      </c>
    </row>
    <row r="40" ht="42" customHeight="1">
      <c r="A40" s="15" t="inlineStr">
        <is>
          <t>Do it ten times. Random and back-to-front swap places constantly — that gap is luck, not method. Steffen wins every time, but look at what happens to it when you drop Compliance to 50%.</t>
        </is>
      </c>
    </row>
  </sheetData>
  <mergeCells count="8">
    <mergeCell ref="V5:AB5"/>
    <mergeCell ref="F6:L6"/>
    <mergeCell ref="AD5:AJ5"/>
    <mergeCell ref="N5:T5"/>
    <mergeCell ref="V6:AB6"/>
    <mergeCell ref="N6:T6"/>
    <mergeCell ref="F5:L5"/>
    <mergeCell ref="AD6:AJ6"/>
  </mergeCells>
  <conditionalFormatting sqref="F8:H37 J8:L37">
    <cfRule type="colorScale" priority="1">
      <colorScale>
        <cfvo type="min"/>
        <cfvo type="percentile" val="50"/>
        <cfvo type="max"/>
        <color rgb="00CFE6F5"/>
        <color rgb="00FFE9A8"/>
        <color rgb="00F2A88C"/>
      </colorScale>
    </cfRule>
  </conditionalFormatting>
  <conditionalFormatting sqref="N8:P37 R8:T37">
    <cfRule type="colorScale" priority="2">
      <colorScale>
        <cfvo type="min"/>
        <cfvo type="percentile" val="50"/>
        <cfvo type="max"/>
        <color rgb="00CFE6F5"/>
        <color rgb="00FFE9A8"/>
        <color rgb="00F2A88C"/>
      </colorScale>
    </cfRule>
  </conditionalFormatting>
  <conditionalFormatting sqref="V8:X37 Z8:AB37">
    <cfRule type="colorScale" priority="3">
      <colorScale>
        <cfvo type="min"/>
        <cfvo type="percentile" val="50"/>
        <cfvo type="max"/>
        <color rgb="00CFE6F5"/>
        <color rgb="00FFE9A8"/>
        <color rgb="00F2A88C"/>
      </colorScale>
    </cfRule>
  </conditionalFormatting>
  <conditionalFormatting sqref="AD8:AF37 AH8:AJ37">
    <cfRule type="colorScale" priority="4">
      <colorScale>
        <cfvo type="min"/>
        <cfvo type="percentile" val="50"/>
        <cfvo type="max"/>
        <color rgb="00CFE6F5"/>
        <color rgb="00FFE9A8"/>
        <color rgb="00F2A88C"/>
      </colorScale>
    </cfRule>
  </conditionalFormatting>
  <dataValidations count="2">
    <dataValidation sqref="B6" showDropDown="0" showInputMessage="0" showErrorMessage="1" allowBlank="0" error="The cabin has 180 seats." type="whole" operator="between">
      <formula1>1</formula1>
      <formula2>180</formula2>
    </dataValidation>
    <dataValidation sqref="B18" showDropDown="0" showInputMessage="0" showErrorMessage="1" allowBlank="0" type="whole" operator="between">
      <formula1>1</formula1>
      <formula2>15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2"/>
  <sheetViews>
    <sheetView showGridLines="0" workbookViewId="0">
      <selection activeCell="A1" sqref="A1"/>
    </sheetView>
  </sheetViews>
  <sheetFormatPr baseColWidth="8" defaultRowHeight="15"/>
  <cols>
    <col width="34" customWidth="1" min="1" max="1"/>
    <col width="11" customWidth="1" min="2" max="2"/>
    <col width="3" customWidth="1" min="3" max="3"/>
    <col width="15" customWidth="1" min="4" max="4"/>
    <col width="15" customWidth="1" min="5" max="5"/>
    <col width="15" customWidth="1" min="6" max="6"/>
    <col width="15" customWidth="1" min="7" max="7"/>
    <col width="3" customWidth="1" min="9" max="9"/>
  </cols>
  <sheetData>
    <row r="1">
      <c r="A1" s="6" t="inlineStr">
        <is>
          <t>Run it again. And again.</t>
        </is>
      </c>
    </row>
    <row r="2">
      <c r="A2" s="2" t="inlineStr">
        <is>
          <t>Hold F9 down. Every press boards the aircraft once more and adds it to everything below. Watch the distributions separate — or fail to.</t>
        </is>
      </c>
    </row>
    <row r="4">
      <c r="A4" s="9" t="inlineStr">
        <is>
          <t>Type 1 here then 0 to clear the results</t>
        </is>
      </c>
      <c r="B4" s="10" t="n">
        <v>0</v>
      </c>
    </row>
    <row r="5">
      <c r="A5" s="5" t="inlineStr">
        <is>
          <t>settings fingerprint</t>
        </is>
      </c>
      <c r="B5" s="5">
        <f>Passengers*1000+WalkSec*3+Headway*5+DoorGap*7+BagShare*11+StowMean*13+StowSD*17+StowNoBag*19+Shuffle1*23+Shuffle2*29+Compliance*31+GroupShare*37+Zones*41+ResetFlag*10007</f>
        <v/>
      </c>
    </row>
    <row r="6">
      <c r="A6" s="5" t="inlineStr">
        <is>
          <t>previous fingerprint</t>
        </is>
      </c>
      <c r="B6" s="5">
        <f>IF($B$9=1,B5,B6)</f>
        <v/>
      </c>
    </row>
    <row r="9">
      <c r="A9" s="8" t="inlineStr">
        <is>
          <t>BOARDINGS SIMULATED</t>
        </is>
      </c>
      <c r="B9" s="16">
        <f>IF(B5&lt;&gt;B6,1,B9+1)</f>
        <v/>
      </c>
    </row>
    <row r="11">
      <c r="D11" s="17" t="inlineStr">
        <is>
          <t>Random</t>
        </is>
      </c>
      <c r="E11" s="17" t="inlineStr">
        <is>
          <t>Back-to-front</t>
        </is>
      </c>
      <c r="F11" s="17" t="inlineStr">
        <is>
          <t>WilMA</t>
        </is>
      </c>
      <c r="G11" s="17" t="inlineStr">
        <is>
          <t>Steffen</t>
        </is>
      </c>
    </row>
    <row r="12">
      <c r="A12" s="8" t="inlineStr">
        <is>
          <t>this boarding (seconds)</t>
        </is>
      </c>
      <c r="D12" s="18">
        <f>Engine!AI2</f>
        <v/>
      </c>
      <c r="E12" s="18">
        <f>Engine!AS2</f>
        <v/>
      </c>
      <c r="F12" s="18">
        <f>Engine!BC2</f>
        <v/>
      </c>
      <c r="G12" s="18">
        <f>Engine!BM2</f>
        <v/>
      </c>
    </row>
    <row r="14">
      <c r="A14" s="5" t="inlineStr">
        <is>
          <t>running totals (these are the circular cells)</t>
        </is>
      </c>
    </row>
    <row r="15">
      <c r="A15" s="5" t="inlineStr">
        <is>
          <t>sum</t>
        </is>
      </c>
      <c r="D15" s="19">
        <f>IF($B$9&lt;=1,D$12,D15+D$12)</f>
        <v/>
      </c>
      <c r="E15" s="19">
        <f>IF($B$9&lt;=1,E$12,E15+E$12)</f>
        <v/>
      </c>
      <c r="F15" s="19">
        <f>IF($B$9&lt;=1,F$12,F15+F$12)</f>
        <v/>
      </c>
      <c r="G15" s="19">
        <f>IF($B$9&lt;=1,G$12,G15+G$12)</f>
        <v/>
      </c>
    </row>
    <row r="16">
      <c r="A16" s="5" t="inlineStr">
        <is>
          <t>sumsq</t>
        </is>
      </c>
      <c r="D16" s="19">
        <f>IF($B$9&lt;=1,D$12^2,D16+D$12^2)</f>
        <v/>
      </c>
      <c r="E16" s="19">
        <f>IF($B$9&lt;=1,E$12^2,E16+E$12^2)</f>
        <v/>
      </c>
      <c r="F16" s="19">
        <f>IF($B$9&lt;=1,F$12^2,F16+F$12^2)</f>
        <v/>
      </c>
      <c r="G16" s="19">
        <f>IF($B$9&lt;=1,G$12^2,G16+G$12^2)</f>
        <v/>
      </c>
    </row>
    <row r="17">
      <c r="A17" s="5" t="inlineStr">
        <is>
          <t>fastest</t>
        </is>
      </c>
      <c r="D17" s="19">
        <f>IF(OR($B$9&lt;=1,D17&lt;=0),D$12,MIN(D17,D$12))</f>
        <v/>
      </c>
      <c r="E17" s="19">
        <f>IF(OR($B$9&lt;=1,E17&lt;=0),E$12,MIN(E17,E$12))</f>
        <v/>
      </c>
      <c r="F17" s="19">
        <f>IF(OR($B$9&lt;=1,F17&lt;=0),F$12,MIN(F17,F$12))</f>
        <v/>
      </c>
      <c r="G17" s="19">
        <f>IF(OR($B$9&lt;=1,G17&lt;=0),G$12,MIN(G17,G$12))</f>
        <v/>
      </c>
    </row>
    <row r="18">
      <c r="A18" s="5" t="inlineStr">
        <is>
          <t>slowest</t>
        </is>
      </c>
      <c r="D18" s="19">
        <f>IF(OR($B$9&lt;=1,D18&lt;=0),D$12,MAX(D18,D$12))</f>
        <v/>
      </c>
      <c r="E18" s="19">
        <f>IF(OR($B$9&lt;=1,E18&lt;=0),E$12,MAX(E18,E$12))</f>
        <v/>
      </c>
      <c r="F18" s="19">
        <f>IF(OR($B$9&lt;=1,F18&lt;=0),F$12,MAX(F18,F$12))</f>
        <v/>
      </c>
      <c r="G18" s="19">
        <f>IF(OR($B$9&lt;=1,G18&lt;=0),G$12,MAX(G18,G$12))</f>
        <v/>
      </c>
    </row>
    <row r="19">
      <c r="A19" s="5" t="inlineStr">
        <is>
          <t>wins</t>
        </is>
      </c>
      <c r="D19" s="19">
        <f>IF($B$9&lt;=1,IF(D$12=MIN($D$12:$G$12),1,0),D19+IF(D$12=MIN($D$12:$G$12),1,0))</f>
        <v/>
      </c>
      <c r="E19" s="19">
        <f>IF($B$9&lt;=1,IF(E$12=MIN($D$12:$G$12),1,0),E19+IF(E$12=MIN($D$12:$G$12),1,0))</f>
        <v/>
      </c>
      <c r="F19" s="19">
        <f>IF($B$9&lt;=1,IF(F$12=MIN($D$12:$G$12),1,0),F19+IF(F$12=MIN($D$12:$G$12),1,0))</f>
        <v/>
      </c>
      <c r="G19" s="19">
        <f>IF($B$9&lt;=1,IF(G$12=MIN($D$12:$G$12),1,0),G19+IF(G$12=MIN($D$12:$G$12),1,0))</f>
        <v/>
      </c>
    </row>
    <row r="20">
      <c r="A20" s="5" t="inlineStr">
        <is>
          <t>beat rnd</t>
        </is>
      </c>
      <c r="D20" s="19">
        <f>IF($B$9&lt;=1,IF(D$12&lt;$D$12,1,0),D20+IF(D$12&lt;$D$12,1,0))</f>
        <v/>
      </c>
      <c r="E20" s="19">
        <f>IF($B$9&lt;=1,IF(E$12&lt;$D$12,1,0),E20+IF(E$12&lt;$D$12,1,0))</f>
        <v/>
      </c>
      <c r="F20" s="19">
        <f>IF($B$9&lt;=1,IF(F$12&lt;$D$12,1,0),F20+IF(F$12&lt;$D$12,1,0))</f>
        <v/>
      </c>
      <c r="G20" s="19">
        <f>IF($B$9&lt;=1,IF(G$12&lt;$D$12,1,0),G20+IF(G$12&lt;$D$12,1,0))</f>
        <v/>
      </c>
    </row>
    <row r="21">
      <c r="A21" s="5" t="inlineStr">
        <is>
          <t>sum diff</t>
        </is>
      </c>
      <c r="D21" s="19">
        <f>IF($B$9&lt;=1,D$12-$D$12,D21+(D$12-$D$12))</f>
        <v/>
      </c>
      <c r="E21" s="19">
        <f>IF($B$9&lt;=1,E$12-$D$12,E21+(E$12-$D$12))</f>
        <v/>
      </c>
      <c r="F21" s="19">
        <f>IF($B$9&lt;=1,F$12-$D$12,F21+(F$12-$D$12))</f>
        <v/>
      </c>
      <c r="G21" s="19">
        <f>IF($B$9&lt;=1,G$12-$D$12,G21+(G$12-$D$12))</f>
        <v/>
      </c>
    </row>
    <row r="22">
      <c r="A22" s="5" t="inlineStr">
        <is>
          <t>sum diff2</t>
        </is>
      </c>
      <c r="D22" s="19">
        <f>IF($B$9&lt;=1,(D$12-$D$12)^2,D22+(D$12-$D$12)^2)</f>
        <v/>
      </c>
      <c r="E22" s="19">
        <f>IF($B$9&lt;=1,(E$12-$D$12)^2,E22+(E$12-$D$12)^2)</f>
        <v/>
      </c>
      <c r="F22" s="19">
        <f>IF($B$9&lt;=1,(F$12-$D$12)^2,F22+(F$12-$D$12)^2)</f>
        <v/>
      </c>
      <c r="G22" s="19">
        <f>IF($B$9&lt;=1,(G$12-$D$12)^2,G22+(G$12-$D$12)^2)</f>
        <v/>
      </c>
    </row>
    <row r="23">
      <c r="A23" s="8" t="inlineStr">
        <is>
          <t>WHAT THE RUNS SAY</t>
        </is>
      </c>
    </row>
    <row r="24">
      <c r="A24" s="9" t="inlineStr">
        <is>
          <t>mean boarding time</t>
        </is>
      </c>
      <c r="D24" s="20">
        <f>IF($B$9&lt;1,"",D15/$B$9/86400)</f>
        <v/>
      </c>
      <c r="E24" s="20">
        <f>IF($B$9&lt;1,"",E15/$B$9/86400)</f>
        <v/>
      </c>
      <c r="F24" s="20">
        <f>IF($B$9&lt;1,"",F15/$B$9/86400)</f>
        <v/>
      </c>
      <c r="G24" s="20">
        <f>IF($B$9&lt;1,"",G15/$B$9/86400)</f>
        <v/>
      </c>
    </row>
    <row r="25">
      <c r="A25" s="21" t="inlineStr">
        <is>
          <t>standard deviation</t>
        </is>
      </c>
      <c r="D25" s="22">
        <f>IF($B$9&lt;2,"",IF((D16-D15^2/$B$9)&lt;=0,"—",TEXT(SQRT((D16-D15^2/$B$9)/($B$9-1)),"0")&amp;" s"))</f>
        <v/>
      </c>
      <c r="E25" s="22">
        <f>IF($B$9&lt;2,"",IF((E16-E15^2/$B$9)&lt;=0,"—",TEXT(SQRT((E16-E15^2/$B$9)/($B$9-1)),"0")&amp;" s"))</f>
        <v/>
      </c>
      <c r="F25" s="22">
        <f>IF($B$9&lt;2,"",IF((F16-F15^2/$B$9)&lt;=0,"—",TEXT(SQRT((F16-F15^2/$B$9)/($B$9-1)),"0")&amp;" s"))</f>
        <v/>
      </c>
      <c r="G25" s="22">
        <f>IF($B$9&lt;2,"",IF((G16-G15^2/$B$9)&lt;=0,"—",TEXT(SQRT((G16-G15^2/$B$9)/($B$9-1)),"0")&amp;" s"))</f>
        <v/>
      </c>
    </row>
    <row r="26">
      <c r="A26" s="9" t="inlineStr">
        <is>
          <t>fastest seen</t>
        </is>
      </c>
      <c r="D26" s="23">
        <f>IF($B$9&lt;1,"",D17/86400)</f>
        <v/>
      </c>
      <c r="E26" s="23">
        <f>IF($B$9&lt;1,"",E17/86400)</f>
        <v/>
      </c>
      <c r="F26" s="23">
        <f>IF($B$9&lt;1,"",F17/86400)</f>
        <v/>
      </c>
      <c r="G26" s="23">
        <f>IF($B$9&lt;1,"",G17/86400)</f>
        <v/>
      </c>
    </row>
    <row r="27">
      <c r="A27" s="21" t="inlineStr">
        <is>
          <t>slowest seen</t>
        </is>
      </c>
      <c r="D27" s="24">
        <f>IF($B$9&lt;1,"",D18/86400)</f>
        <v/>
      </c>
      <c r="E27" s="24">
        <f>IF($B$9&lt;1,"",E18/86400)</f>
        <v/>
      </c>
      <c r="F27" s="24">
        <f>IF($B$9&lt;1,"",F18/86400)</f>
        <v/>
      </c>
      <c r="G27" s="24">
        <f>IF($B$9&lt;1,"",G18/86400)</f>
        <v/>
      </c>
    </row>
    <row r="28">
      <c r="A28" s="9" t="inlineStr">
        <is>
          <t>share of boardings won</t>
        </is>
      </c>
      <c r="D28" s="25">
        <f>IF($B$9&lt;1,"",MIN(1,D19/$B$9))</f>
        <v/>
      </c>
      <c r="E28" s="25">
        <f>IF($B$9&lt;1,"",MIN(1,E19/$B$9))</f>
        <v/>
      </c>
      <c r="F28" s="25">
        <f>IF($B$9&lt;1,"",MIN(1,F19/$B$9))</f>
        <v/>
      </c>
      <c r="G28" s="25">
        <f>IF($B$9&lt;1,"",MIN(1,G19/$B$9))</f>
        <v/>
      </c>
    </row>
    <row r="29">
      <c r="A29" s="21" t="inlineStr">
        <is>
          <t>beats random head to head</t>
        </is>
      </c>
      <c r="D29" s="26" t="inlineStr">
        <is>
          <t>—</t>
        </is>
      </c>
      <c r="E29" s="27">
        <f>IF($B$9&lt;1,"",MIN(1,E20/$B$9))</f>
        <v/>
      </c>
      <c r="F29" s="27">
        <f>IF($B$9&lt;1,"",MIN(1,F20/$B$9))</f>
        <v/>
      </c>
      <c r="G29" s="27">
        <f>IF($B$9&lt;1,"",MIN(1,G20/$B$9))</f>
        <v/>
      </c>
    </row>
    <row r="30">
      <c r="A30" s="9" t="inlineStr">
        <is>
          <t>mean gap vs random</t>
        </is>
      </c>
      <c r="D30" s="13" t="inlineStr">
        <is>
          <t>—</t>
        </is>
      </c>
      <c r="E30" s="28">
        <f>IF($B$9&lt;1,"",E21/$B$9)</f>
        <v/>
      </c>
      <c r="F30" s="28">
        <f>IF($B$9&lt;1,"",F21/$B$9)</f>
        <v/>
      </c>
      <c r="G30" s="28">
        <f>IF($B$9&lt;1,"",G21/$B$9)</f>
        <v/>
      </c>
    </row>
    <row r="32">
      <c r="A32" s="9" t="inlineStr">
        <is>
          <t>95% confidence interval on that gap</t>
        </is>
      </c>
      <c r="D32" s="13" t="inlineStr">
        <is>
          <t>—</t>
        </is>
      </c>
      <c r="E32" s="13">
        <f>IF($B$9&lt;10,"",TEXT(E21/$B$9-1.96*SQRT(MAX(0,(E22-E21^2/$B$9)/($B$9-1)))/SQRT($B$9),"+0;-0")&amp;" to "&amp;TEXT(E21/$B$9+1.96*SQRT(MAX(0,(E22-E21^2/$B$9)/($B$9-1)))/SQRT($B$9),"+0;-0")&amp;" s")</f>
        <v/>
      </c>
      <c r="F32" s="13">
        <f>IF($B$9&lt;10,"",TEXT(F21/$B$9-1.96*SQRT(MAX(0,(F22-F21^2/$B$9)/($B$9-1)))/SQRT($B$9),"+0;-0")&amp;" to "&amp;TEXT(F21/$B$9+1.96*SQRT(MAX(0,(F22-F21^2/$B$9)/($B$9-1)))/SQRT($B$9),"+0;-0")&amp;" s")</f>
        <v/>
      </c>
      <c r="G32" s="13">
        <f>IF($B$9&lt;10,"",TEXT(G21/$B$9-1.96*SQRT(MAX(0,(G22-G21^2/$B$9)/($B$9-1)))/SQRT($B$9),"+0;-0")&amp;" to "&amp;TEXT(G21/$B$9+1.96*SQRT(MAX(0,(G22-G21^2/$B$9)/($B$9-1)))/SQRT($B$9),"+0;-0")&amp;" s")</f>
        <v/>
      </c>
    </row>
    <row r="33" ht="30" customHeight="1">
      <c r="A33" s="29" t="inlineStr">
        <is>
          <t>so, is the difference real?</t>
        </is>
      </c>
      <c r="D33" s="13" t="inlineStr">
        <is>
          <t>—</t>
        </is>
      </c>
      <c r="E33" s="30">
        <f>IF($B$9&lt;10,"keep pressing F9",IF(AND(E21/$B$9-1.96*SQRT(MAX(0,(E22-E21^2/$B$9)/($B$9-1)))/SQRT($B$9)&lt;0,E21/$B$9+1.96*SQRT(MAX(0,(E22-E21^2/$B$9)/($B$9-1)))/SQRT($B$9)&gt;0),"cannot tell it apart from random","yes, real"))</f>
        <v/>
      </c>
      <c r="F33" s="30">
        <f>IF($B$9&lt;10,"keep pressing F9",IF(AND(F21/$B$9-1.96*SQRT(MAX(0,(F22-F21^2/$B$9)/($B$9-1)))/SQRT($B$9)&lt;0,F21/$B$9+1.96*SQRT(MAX(0,(F22-F21^2/$B$9)/($B$9-1)))/SQRT($B$9)&gt;0),"cannot tell it apart from random","yes, real"))</f>
        <v/>
      </c>
      <c r="G33" s="30">
        <f>IF($B$9&lt;10,"keep pressing F9",IF(AND(G21/$B$9-1.96*SQRT(MAX(0,(G22-G21^2/$B$9)/($B$9-1)))/SQRT($B$9)&lt;0,G21/$B$9+1.96*SQRT(MAX(0,(G22-G21^2/$B$9)/($B$9-1)))/SQRT($B$9)&gt;0),"cannot tell it apart from random","yes, real"))</f>
        <v/>
      </c>
    </row>
    <row r="34" ht="26" customHeight="1">
      <c r="A34" s="15" t="inlineStr">
        <is>
          <t>Watch that bottom row while you hold F9. Back-to-front starts out indistinguishable from random; after a few hundred boardings the model will finally call the difference real — all eleven seconds of it. Real and worth having are not the same question.</t>
        </is>
      </c>
    </row>
    <row r="35">
      <c r="A35" s="8" t="inlineStr">
        <is>
          <t>DISTRIBUTION OF BOARDING TIMES</t>
        </is>
      </c>
    </row>
    <row r="36">
      <c r="A36" s="5" t="inlineStr">
        <is>
          <t>minutes</t>
        </is>
      </c>
      <c r="D36" s="5" t="inlineStr">
        <is>
          <t>Random</t>
        </is>
      </c>
      <c r="E36" s="5" t="inlineStr">
        <is>
          <t>Back-to-front</t>
        </is>
      </c>
      <c r="F36" s="5" t="inlineStr">
        <is>
          <t>WilMA</t>
        </is>
      </c>
      <c r="G36" s="5" t="inlineStr">
        <is>
          <t>Steffen</t>
        </is>
      </c>
    </row>
    <row r="37">
      <c r="A37" s="5" t="n">
        <v>0</v>
      </c>
      <c r="D37" s="5">
        <f>IF($B$9&lt;=1,IF(AND(D$12&gt;=0,D$12&lt;60),1,0),D37+IF(AND(D$12&gt;=0,D$12&lt;60),1,0))</f>
        <v/>
      </c>
      <c r="E37" s="5">
        <f>IF($B$9&lt;=1,IF(AND(E$12&gt;=0,E$12&lt;60),1,0),E37+IF(AND(E$12&gt;=0,E$12&lt;60),1,0))</f>
        <v/>
      </c>
      <c r="F37" s="5">
        <f>IF($B$9&lt;=1,IF(AND(F$12&gt;=0,F$12&lt;60),1,0),F37+IF(AND(F$12&gt;=0,F$12&lt;60),1,0))</f>
        <v/>
      </c>
      <c r="G37" s="5">
        <f>IF($B$9&lt;=1,IF(AND(G$12&gt;=0,G$12&lt;60),1,0),G37+IF(AND(G$12&gt;=0,G$12&lt;60),1,0))</f>
        <v/>
      </c>
    </row>
    <row r="38">
      <c r="A38" s="5" t="n">
        <v>1</v>
      </c>
      <c r="D38" s="5">
        <f>IF($B$9&lt;=1,IF(AND(D$12&gt;=60,D$12&lt;120),1,0),D38+IF(AND(D$12&gt;=60,D$12&lt;120),1,0))</f>
        <v/>
      </c>
      <c r="E38" s="5">
        <f>IF($B$9&lt;=1,IF(AND(E$12&gt;=60,E$12&lt;120),1,0),E38+IF(AND(E$12&gt;=60,E$12&lt;120),1,0))</f>
        <v/>
      </c>
      <c r="F38" s="5">
        <f>IF($B$9&lt;=1,IF(AND(F$12&gt;=60,F$12&lt;120),1,0),F38+IF(AND(F$12&gt;=60,F$12&lt;120),1,0))</f>
        <v/>
      </c>
      <c r="G38" s="5">
        <f>IF($B$9&lt;=1,IF(AND(G$12&gt;=60,G$12&lt;120),1,0),G38+IF(AND(G$12&gt;=60,G$12&lt;120),1,0))</f>
        <v/>
      </c>
    </row>
    <row r="39">
      <c r="A39" s="5" t="n">
        <v>2</v>
      </c>
      <c r="D39" s="5">
        <f>IF($B$9&lt;=1,IF(AND(D$12&gt;=120,D$12&lt;180),1,0),D39+IF(AND(D$12&gt;=120,D$12&lt;180),1,0))</f>
        <v/>
      </c>
      <c r="E39" s="5">
        <f>IF($B$9&lt;=1,IF(AND(E$12&gt;=120,E$12&lt;180),1,0),E39+IF(AND(E$12&gt;=120,E$12&lt;180),1,0))</f>
        <v/>
      </c>
      <c r="F39" s="5">
        <f>IF($B$9&lt;=1,IF(AND(F$12&gt;=120,F$12&lt;180),1,0),F39+IF(AND(F$12&gt;=120,F$12&lt;180),1,0))</f>
        <v/>
      </c>
      <c r="G39" s="5">
        <f>IF($B$9&lt;=1,IF(AND(G$12&gt;=120,G$12&lt;180),1,0),G39+IF(AND(G$12&gt;=120,G$12&lt;180),1,0))</f>
        <v/>
      </c>
    </row>
    <row r="40">
      <c r="A40" s="5" t="n">
        <v>3</v>
      </c>
      <c r="D40" s="5">
        <f>IF($B$9&lt;=1,IF(AND(D$12&gt;=180,D$12&lt;240),1,0),D40+IF(AND(D$12&gt;=180,D$12&lt;240),1,0))</f>
        <v/>
      </c>
      <c r="E40" s="5">
        <f>IF($B$9&lt;=1,IF(AND(E$12&gt;=180,E$12&lt;240),1,0),E40+IF(AND(E$12&gt;=180,E$12&lt;240),1,0))</f>
        <v/>
      </c>
      <c r="F40" s="5">
        <f>IF($B$9&lt;=1,IF(AND(F$12&gt;=180,F$12&lt;240),1,0),F40+IF(AND(F$12&gt;=180,F$12&lt;240),1,0))</f>
        <v/>
      </c>
      <c r="G40" s="5">
        <f>IF($B$9&lt;=1,IF(AND(G$12&gt;=180,G$12&lt;240),1,0),G40+IF(AND(G$12&gt;=180,G$12&lt;240),1,0))</f>
        <v/>
      </c>
    </row>
    <row r="41">
      <c r="A41" s="5" t="n">
        <v>4</v>
      </c>
      <c r="D41" s="5">
        <f>IF($B$9&lt;=1,IF(AND(D$12&gt;=240,D$12&lt;300),1,0),D41+IF(AND(D$12&gt;=240,D$12&lt;300),1,0))</f>
        <v/>
      </c>
      <c r="E41" s="5">
        <f>IF($B$9&lt;=1,IF(AND(E$12&gt;=240,E$12&lt;300),1,0),E41+IF(AND(E$12&gt;=240,E$12&lt;300),1,0))</f>
        <v/>
      </c>
      <c r="F41" s="5">
        <f>IF($B$9&lt;=1,IF(AND(F$12&gt;=240,F$12&lt;300),1,0),F41+IF(AND(F$12&gt;=240,F$12&lt;300),1,0))</f>
        <v/>
      </c>
      <c r="G41" s="5">
        <f>IF($B$9&lt;=1,IF(AND(G$12&gt;=240,G$12&lt;300),1,0),G41+IF(AND(G$12&gt;=240,G$12&lt;300),1,0))</f>
        <v/>
      </c>
    </row>
    <row r="42">
      <c r="A42" s="5" t="n">
        <v>5</v>
      </c>
      <c r="D42" s="5">
        <f>IF($B$9&lt;=1,IF(AND(D$12&gt;=300,D$12&lt;360),1,0),D42+IF(AND(D$12&gt;=300,D$12&lt;360),1,0))</f>
        <v/>
      </c>
      <c r="E42" s="5">
        <f>IF($B$9&lt;=1,IF(AND(E$12&gt;=300,E$12&lt;360),1,0),E42+IF(AND(E$12&gt;=300,E$12&lt;360),1,0))</f>
        <v/>
      </c>
      <c r="F42" s="5">
        <f>IF($B$9&lt;=1,IF(AND(F$12&gt;=300,F$12&lt;360),1,0),F42+IF(AND(F$12&gt;=300,F$12&lt;360),1,0))</f>
        <v/>
      </c>
      <c r="G42" s="5">
        <f>IF($B$9&lt;=1,IF(AND(G$12&gt;=300,G$12&lt;360),1,0),G42+IF(AND(G$12&gt;=300,G$12&lt;360),1,0))</f>
        <v/>
      </c>
    </row>
    <row r="43">
      <c r="A43" s="5" t="n">
        <v>6</v>
      </c>
      <c r="D43" s="5">
        <f>IF($B$9&lt;=1,IF(AND(D$12&gt;=360,D$12&lt;420),1,0),D43+IF(AND(D$12&gt;=360,D$12&lt;420),1,0))</f>
        <v/>
      </c>
      <c r="E43" s="5">
        <f>IF($B$9&lt;=1,IF(AND(E$12&gt;=360,E$12&lt;420),1,0),E43+IF(AND(E$12&gt;=360,E$12&lt;420),1,0))</f>
        <v/>
      </c>
      <c r="F43" s="5">
        <f>IF($B$9&lt;=1,IF(AND(F$12&gt;=360,F$12&lt;420),1,0),F43+IF(AND(F$12&gt;=360,F$12&lt;420),1,0))</f>
        <v/>
      </c>
      <c r="G43" s="5">
        <f>IF($B$9&lt;=1,IF(AND(G$12&gt;=360,G$12&lt;420),1,0),G43+IF(AND(G$12&gt;=360,G$12&lt;420),1,0))</f>
        <v/>
      </c>
    </row>
    <row r="44">
      <c r="A44" s="5" t="n">
        <v>7</v>
      </c>
      <c r="D44" s="5">
        <f>IF($B$9&lt;=1,IF(AND(D$12&gt;=420,D$12&lt;480),1,0),D44+IF(AND(D$12&gt;=420,D$12&lt;480),1,0))</f>
        <v/>
      </c>
      <c r="E44" s="5">
        <f>IF($B$9&lt;=1,IF(AND(E$12&gt;=420,E$12&lt;480),1,0),E44+IF(AND(E$12&gt;=420,E$12&lt;480),1,0))</f>
        <v/>
      </c>
      <c r="F44" s="5">
        <f>IF($B$9&lt;=1,IF(AND(F$12&gt;=420,F$12&lt;480),1,0),F44+IF(AND(F$12&gt;=420,F$12&lt;480),1,0))</f>
        <v/>
      </c>
      <c r="G44" s="5">
        <f>IF($B$9&lt;=1,IF(AND(G$12&gt;=420,G$12&lt;480),1,0),G44+IF(AND(G$12&gt;=420,G$12&lt;480),1,0))</f>
        <v/>
      </c>
    </row>
    <row r="45">
      <c r="A45" s="5" t="n">
        <v>8</v>
      </c>
      <c r="D45" s="5">
        <f>IF($B$9&lt;=1,IF(AND(D$12&gt;=480,D$12&lt;540),1,0),D45+IF(AND(D$12&gt;=480,D$12&lt;540),1,0))</f>
        <v/>
      </c>
      <c r="E45" s="5">
        <f>IF($B$9&lt;=1,IF(AND(E$12&gt;=480,E$12&lt;540),1,0),E45+IF(AND(E$12&gt;=480,E$12&lt;540),1,0))</f>
        <v/>
      </c>
      <c r="F45" s="5">
        <f>IF($B$9&lt;=1,IF(AND(F$12&gt;=480,F$12&lt;540),1,0),F45+IF(AND(F$12&gt;=480,F$12&lt;540),1,0))</f>
        <v/>
      </c>
      <c r="G45" s="5">
        <f>IF($B$9&lt;=1,IF(AND(G$12&gt;=480,G$12&lt;540),1,0),G45+IF(AND(G$12&gt;=480,G$12&lt;540),1,0))</f>
        <v/>
      </c>
    </row>
    <row r="46">
      <c r="A46" s="5" t="n">
        <v>9</v>
      </c>
      <c r="D46" s="5">
        <f>IF($B$9&lt;=1,IF(AND(D$12&gt;=540,D$12&lt;600),1,0),D46+IF(AND(D$12&gt;=540,D$12&lt;600),1,0))</f>
        <v/>
      </c>
      <c r="E46" s="5">
        <f>IF($B$9&lt;=1,IF(AND(E$12&gt;=540,E$12&lt;600),1,0),E46+IF(AND(E$12&gt;=540,E$12&lt;600),1,0))</f>
        <v/>
      </c>
      <c r="F46" s="5">
        <f>IF($B$9&lt;=1,IF(AND(F$12&gt;=540,F$12&lt;600),1,0),F46+IF(AND(F$12&gt;=540,F$12&lt;600),1,0))</f>
        <v/>
      </c>
      <c r="G46" s="5">
        <f>IF($B$9&lt;=1,IF(AND(G$12&gt;=540,G$12&lt;600),1,0),G46+IF(AND(G$12&gt;=540,G$12&lt;600),1,0))</f>
        <v/>
      </c>
    </row>
    <row r="47">
      <c r="A47" s="5" t="n">
        <v>10</v>
      </c>
      <c r="D47" s="5">
        <f>IF($B$9&lt;=1,IF(AND(D$12&gt;=600,D$12&lt;660),1,0),D47+IF(AND(D$12&gt;=600,D$12&lt;660),1,0))</f>
        <v/>
      </c>
      <c r="E47" s="5">
        <f>IF($B$9&lt;=1,IF(AND(E$12&gt;=600,E$12&lt;660),1,0),E47+IF(AND(E$12&gt;=600,E$12&lt;660),1,0))</f>
        <v/>
      </c>
      <c r="F47" s="5">
        <f>IF($B$9&lt;=1,IF(AND(F$12&gt;=600,F$12&lt;660),1,0),F47+IF(AND(F$12&gt;=600,F$12&lt;660),1,0))</f>
        <v/>
      </c>
      <c r="G47" s="5">
        <f>IF($B$9&lt;=1,IF(AND(G$12&gt;=600,G$12&lt;660),1,0),G47+IF(AND(G$12&gt;=600,G$12&lt;660),1,0))</f>
        <v/>
      </c>
    </row>
    <row r="48">
      <c r="A48" s="5" t="n">
        <v>11</v>
      </c>
      <c r="D48" s="5">
        <f>IF($B$9&lt;=1,IF(AND(D$12&gt;=660,D$12&lt;720),1,0),D48+IF(AND(D$12&gt;=660,D$12&lt;720),1,0))</f>
        <v/>
      </c>
      <c r="E48" s="5">
        <f>IF($B$9&lt;=1,IF(AND(E$12&gt;=660,E$12&lt;720),1,0),E48+IF(AND(E$12&gt;=660,E$12&lt;720),1,0))</f>
        <v/>
      </c>
      <c r="F48" s="5">
        <f>IF($B$9&lt;=1,IF(AND(F$12&gt;=660,F$12&lt;720),1,0),F48+IF(AND(F$12&gt;=660,F$12&lt;720),1,0))</f>
        <v/>
      </c>
      <c r="G48" s="5">
        <f>IF($B$9&lt;=1,IF(AND(G$12&gt;=660,G$12&lt;720),1,0),G48+IF(AND(G$12&gt;=660,G$12&lt;720),1,0))</f>
        <v/>
      </c>
    </row>
    <row r="49">
      <c r="A49" s="5" t="n">
        <v>12</v>
      </c>
      <c r="D49" s="5">
        <f>IF($B$9&lt;=1,IF(AND(D$12&gt;=720,D$12&lt;780),1,0),D49+IF(AND(D$12&gt;=720,D$12&lt;780),1,0))</f>
        <v/>
      </c>
      <c r="E49" s="5">
        <f>IF($B$9&lt;=1,IF(AND(E$12&gt;=720,E$12&lt;780),1,0),E49+IF(AND(E$12&gt;=720,E$12&lt;780),1,0))</f>
        <v/>
      </c>
      <c r="F49" s="5">
        <f>IF($B$9&lt;=1,IF(AND(F$12&gt;=720,F$12&lt;780),1,0),F49+IF(AND(F$12&gt;=720,F$12&lt;780),1,0))</f>
        <v/>
      </c>
      <c r="G49" s="5">
        <f>IF($B$9&lt;=1,IF(AND(G$12&gt;=720,G$12&lt;780),1,0),G49+IF(AND(G$12&gt;=720,G$12&lt;780),1,0))</f>
        <v/>
      </c>
    </row>
    <row r="50">
      <c r="A50" s="5" t="n">
        <v>13</v>
      </c>
      <c r="D50" s="5">
        <f>IF($B$9&lt;=1,IF(AND(D$12&gt;=780,D$12&lt;840),1,0),D50+IF(AND(D$12&gt;=780,D$12&lt;840),1,0))</f>
        <v/>
      </c>
      <c r="E50" s="5">
        <f>IF($B$9&lt;=1,IF(AND(E$12&gt;=780,E$12&lt;840),1,0),E50+IF(AND(E$12&gt;=780,E$12&lt;840),1,0))</f>
        <v/>
      </c>
      <c r="F50" s="5">
        <f>IF($B$9&lt;=1,IF(AND(F$12&gt;=780,F$12&lt;840),1,0),F50+IF(AND(F$12&gt;=780,F$12&lt;840),1,0))</f>
        <v/>
      </c>
      <c r="G50" s="5">
        <f>IF($B$9&lt;=1,IF(AND(G$12&gt;=780,G$12&lt;840),1,0),G50+IF(AND(G$12&gt;=780,G$12&lt;840),1,0))</f>
        <v/>
      </c>
    </row>
    <row r="51">
      <c r="A51" s="5" t="n">
        <v>14</v>
      </c>
      <c r="D51" s="5">
        <f>IF($B$9&lt;=1,IF(AND(D$12&gt;=840,D$12&lt;900),1,0),D51+IF(AND(D$12&gt;=840,D$12&lt;900),1,0))</f>
        <v/>
      </c>
      <c r="E51" s="5">
        <f>IF($B$9&lt;=1,IF(AND(E$12&gt;=840,E$12&lt;900),1,0),E51+IF(AND(E$12&gt;=840,E$12&lt;900),1,0))</f>
        <v/>
      </c>
      <c r="F51" s="5">
        <f>IF($B$9&lt;=1,IF(AND(F$12&gt;=840,F$12&lt;900),1,0),F51+IF(AND(F$12&gt;=840,F$12&lt;900),1,0))</f>
        <v/>
      </c>
      <c r="G51" s="5">
        <f>IF($B$9&lt;=1,IF(AND(G$12&gt;=840,G$12&lt;900),1,0),G51+IF(AND(G$12&gt;=840,G$12&lt;900),1,0))</f>
        <v/>
      </c>
    </row>
    <row r="52">
      <c r="A52" s="5" t="n">
        <v>15</v>
      </c>
      <c r="D52" s="5">
        <f>IF($B$9&lt;=1,IF(AND(D$12&gt;=900,D$12&lt;960),1,0),D52+IF(AND(D$12&gt;=900,D$12&lt;960),1,0))</f>
        <v/>
      </c>
      <c r="E52" s="5">
        <f>IF($B$9&lt;=1,IF(AND(E$12&gt;=900,E$12&lt;960),1,0),E52+IF(AND(E$12&gt;=900,E$12&lt;960),1,0))</f>
        <v/>
      </c>
      <c r="F52" s="5">
        <f>IF($B$9&lt;=1,IF(AND(F$12&gt;=900,F$12&lt;960),1,0),F52+IF(AND(F$12&gt;=900,F$12&lt;960),1,0))</f>
        <v/>
      </c>
      <c r="G52" s="5">
        <f>IF($B$9&lt;=1,IF(AND(G$12&gt;=900,G$12&lt;960),1,0),G52+IF(AND(G$12&gt;=900,G$12&lt;960),1,0))</f>
        <v/>
      </c>
    </row>
    <row r="53">
      <c r="A53" s="5" t="n">
        <v>16</v>
      </c>
      <c r="D53" s="5">
        <f>IF($B$9&lt;=1,IF(AND(D$12&gt;=960,D$12&lt;1020),1,0),D53+IF(AND(D$12&gt;=960,D$12&lt;1020),1,0))</f>
        <v/>
      </c>
      <c r="E53" s="5">
        <f>IF($B$9&lt;=1,IF(AND(E$12&gt;=960,E$12&lt;1020),1,0),E53+IF(AND(E$12&gt;=960,E$12&lt;1020),1,0))</f>
        <v/>
      </c>
      <c r="F53" s="5">
        <f>IF($B$9&lt;=1,IF(AND(F$12&gt;=960,F$12&lt;1020),1,0),F53+IF(AND(F$12&gt;=960,F$12&lt;1020),1,0))</f>
        <v/>
      </c>
      <c r="G53" s="5">
        <f>IF($B$9&lt;=1,IF(AND(G$12&gt;=960,G$12&lt;1020),1,0),G53+IF(AND(G$12&gt;=960,G$12&lt;1020),1,0))</f>
        <v/>
      </c>
    </row>
    <row r="54">
      <c r="A54" s="5" t="n">
        <v>17</v>
      </c>
      <c r="D54" s="5">
        <f>IF($B$9&lt;=1,IF(AND(D$12&gt;=1020,D$12&lt;1080),1,0),D54+IF(AND(D$12&gt;=1020,D$12&lt;1080),1,0))</f>
        <v/>
      </c>
      <c r="E54" s="5">
        <f>IF($B$9&lt;=1,IF(AND(E$12&gt;=1020,E$12&lt;1080),1,0),E54+IF(AND(E$12&gt;=1020,E$12&lt;1080),1,0))</f>
        <v/>
      </c>
      <c r="F54" s="5">
        <f>IF($B$9&lt;=1,IF(AND(F$12&gt;=1020,F$12&lt;1080),1,0),F54+IF(AND(F$12&gt;=1020,F$12&lt;1080),1,0))</f>
        <v/>
      </c>
      <c r="G54" s="5">
        <f>IF($B$9&lt;=1,IF(AND(G$12&gt;=1020,G$12&lt;1080),1,0),G54+IF(AND(G$12&gt;=1020,G$12&lt;1080),1,0))</f>
        <v/>
      </c>
    </row>
    <row r="55">
      <c r="A55" s="5" t="n">
        <v>18</v>
      </c>
      <c r="D55" s="5">
        <f>IF($B$9&lt;=1,IF(AND(D$12&gt;=1080,D$12&lt;1140),1,0),D55+IF(AND(D$12&gt;=1080,D$12&lt;1140),1,0))</f>
        <v/>
      </c>
      <c r="E55" s="5">
        <f>IF($B$9&lt;=1,IF(AND(E$12&gt;=1080,E$12&lt;1140),1,0),E55+IF(AND(E$12&gt;=1080,E$12&lt;1140),1,0))</f>
        <v/>
      </c>
      <c r="F55" s="5">
        <f>IF($B$9&lt;=1,IF(AND(F$12&gt;=1080,F$12&lt;1140),1,0),F55+IF(AND(F$12&gt;=1080,F$12&lt;1140),1,0))</f>
        <v/>
      </c>
      <c r="G55" s="5">
        <f>IF($B$9&lt;=1,IF(AND(G$12&gt;=1080,G$12&lt;1140),1,0),G55+IF(AND(G$12&gt;=1080,G$12&lt;1140),1,0))</f>
        <v/>
      </c>
    </row>
    <row r="56">
      <c r="A56" s="5" t="n">
        <v>19</v>
      </c>
      <c r="D56" s="5">
        <f>IF($B$9&lt;=1,IF(AND(D$12&gt;=1140,D$12&lt;1200),1,0),D56+IF(AND(D$12&gt;=1140,D$12&lt;1200),1,0))</f>
        <v/>
      </c>
      <c r="E56" s="5">
        <f>IF($B$9&lt;=1,IF(AND(E$12&gt;=1140,E$12&lt;1200),1,0),E56+IF(AND(E$12&gt;=1140,E$12&lt;1200),1,0))</f>
        <v/>
      </c>
      <c r="F56" s="5">
        <f>IF($B$9&lt;=1,IF(AND(F$12&gt;=1140,F$12&lt;1200),1,0),F56+IF(AND(F$12&gt;=1140,F$12&lt;1200),1,0))</f>
        <v/>
      </c>
      <c r="G56" s="5">
        <f>IF($B$9&lt;=1,IF(AND(G$12&gt;=1140,G$12&lt;1200),1,0),G56+IF(AND(G$12&gt;=1140,G$12&lt;1200),1,0))</f>
        <v/>
      </c>
    </row>
    <row r="57">
      <c r="A57" s="5" t="n">
        <v>20</v>
      </c>
      <c r="D57" s="5">
        <f>IF($B$9&lt;=1,IF(AND(D$12&gt;=1200,D$12&lt;1260),1,0),D57+IF(AND(D$12&gt;=1200,D$12&lt;1260),1,0))</f>
        <v/>
      </c>
      <c r="E57" s="5">
        <f>IF($B$9&lt;=1,IF(AND(E$12&gt;=1200,E$12&lt;1260),1,0),E57+IF(AND(E$12&gt;=1200,E$12&lt;1260),1,0))</f>
        <v/>
      </c>
      <c r="F57" s="5">
        <f>IF($B$9&lt;=1,IF(AND(F$12&gt;=1200,F$12&lt;1260),1,0),F57+IF(AND(F$12&gt;=1200,F$12&lt;1260),1,0))</f>
        <v/>
      </c>
      <c r="G57" s="5">
        <f>IF($B$9&lt;=1,IF(AND(G$12&gt;=1200,G$12&lt;1260),1,0),G57+IF(AND(G$12&gt;=1200,G$12&lt;1260),1,0))</f>
        <v/>
      </c>
    </row>
    <row r="58">
      <c r="A58" s="5" t="n">
        <v>21</v>
      </c>
      <c r="D58" s="5">
        <f>IF($B$9&lt;=1,IF(AND(D$12&gt;=1260,D$12&lt;1320),1,0),D58+IF(AND(D$12&gt;=1260,D$12&lt;1320),1,0))</f>
        <v/>
      </c>
      <c r="E58" s="5">
        <f>IF($B$9&lt;=1,IF(AND(E$12&gt;=1260,E$12&lt;1320),1,0),E58+IF(AND(E$12&gt;=1260,E$12&lt;1320),1,0))</f>
        <v/>
      </c>
      <c r="F58" s="5">
        <f>IF($B$9&lt;=1,IF(AND(F$12&gt;=1260,F$12&lt;1320),1,0),F58+IF(AND(F$12&gt;=1260,F$12&lt;1320),1,0))</f>
        <v/>
      </c>
      <c r="G58" s="5">
        <f>IF($B$9&lt;=1,IF(AND(G$12&gt;=1260,G$12&lt;1320),1,0),G58+IF(AND(G$12&gt;=1260,G$12&lt;1320),1,0))</f>
        <v/>
      </c>
    </row>
    <row r="59">
      <c r="A59" s="5" t="n">
        <v>22</v>
      </c>
      <c r="D59" s="5">
        <f>IF($B$9&lt;=1,IF(AND(D$12&gt;=1320,D$12&lt;1380),1,0),D59+IF(AND(D$12&gt;=1320,D$12&lt;1380),1,0))</f>
        <v/>
      </c>
      <c r="E59" s="5">
        <f>IF($B$9&lt;=1,IF(AND(E$12&gt;=1320,E$12&lt;1380),1,0),E59+IF(AND(E$12&gt;=1320,E$12&lt;1380),1,0))</f>
        <v/>
      </c>
      <c r="F59" s="5">
        <f>IF($B$9&lt;=1,IF(AND(F$12&gt;=1320,F$12&lt;1380),1,0),F59+IF(AND(F$12&gt;=1320,F$12&lt;1380),1,0))</f>
        <v/>
      </c>
      <c r="G59" s="5">
        <f>IF($B$9&lt;=1,IF(AND(G$12&gt;=1320,G$12&lt;1380),1,0),G59+IF(AND(G$12&gt;=1320,G$12&lt;1380),1,0))</f>
        <v/>
      </c>
    </row>
    <row r="60">
      <c r="A60" s="5" t="n">
        <v>23</v>
      </c>
      <c r="D60" s="5">
        <f>IF($B$9&lt;=1,IF(AND(D$12&gt;=1380,D$12&lt;1440),1,0),D60+IF(AND(D$12&gt;=1380,D$12&lt;1440),1,0))</f>
        <v/>
      </c>
      <c r="E60" s="5">
        <f>IF($B$9&lt;=1,IF(AND(E$12&gt;=1380,E$12&lt;1440),1,0),E60+IF(AND(E$12&gt;=1380,E$12&lt;1440),1,0))</f>
        <v/>
      </c>
      <c r="F60" s="5">
        <f>IF($B$9&lt;=1,IF(AND(F$12&gt;=1380,F$12&lt;1440),1,0),F60+IF(AND(F$12&gt;=1380,F$12&lt;1440),1,0))</f>
        <v/>
      </c>
      <c r="G60" s="5">
        <f>IF($B$9&lt;=1,IF(AND(G$12&gt;=1380,G$12&lt;1440),1,0),G60+IF(AND(G$12&gt;=1380,G$12&lt;1440),1,0))</f>
        <v/>
      </c>
    </row>
    <row r="61">
      <c r="A61" s="5" t="n">
        <v>24</v>
      </c>
      <c r="D61" s="5">
        <f>IF($B$9&lt;=1,IF(AND(D$12&gt;=1440,D$12&lt;1500),1,0),D61+IF(AND(D$12&gt;=1440,D$12&lt;1500),1,0))</f>
        <v/>
      </c>
      <c r="E61" s="5">
        <f>IF($B$9&lt;=1,IF(AND(E$12&gt;=1440,E$12&lt;1500),1,0),E61+IF(AND(E$12&gt;=1440,E$12&lt;1500),1,0))</f>
        <v/>
      </c>
      <c r="F61" s="5">
        <f>IF($B$9&lt;=1,IF(AND(F$12&gt;=1440,F$12&lt;1500),1,0),F61+IF(AND(F$12&gt;=1440,F$12&lt;1500),1,0))</f>
        <v/>
      </c>
      <c r="G61" s="5">
        <f>IF($B$9&lt;=1,IF(AND(G$12&gt;=1440,G$12&lt;1500),1,0),G61+IF(AND(G$12&gt;=1440,G$12&lt;1500),1,0))</f>
        <v/>
      </c>
    </row>
    <row r="62">
      <c r="A62" s="5" t="n">
        <v>25</v>
      </c>
      <c r="D62" s="5">
        <f>IF($B$9&lt;=1,IF(AND(D$12&gt;=1500,D$12&lt;1560),1,0),D62+IF(AND(D$12&gt;=1500,D$12&lt;1560),1,0))</f>
        <v/>
      </c>
      <c r="E62" s="5">
        <f>IF($B$9&lt;=1,IF(AND(E$12&gt;=1500,E$12&lt;1560),1,0),E62+IF(AND(E$12&gt;=1500,E$12&lt;1560),1,0))</f>
        <v/>
      </c>
      <c r="F62" s="5">
        <f>IF($B$9&lt;=1,IF(AND(F$12&gt;=1500,F$12&lt;1560),1,0),F62+IF(AND(F$12&gt;=1500,F$12&lt;1560),1,0))</f>
        <v/>
      </c>
      <c r="G62" s="5">
        <f>IF($B$9&lt;=1,IF(AND(G$12&gt;=1500,G$12&lt;1560),1,0),G62+IF(AND(G$12&gt;=1500,G$12&lt;1560),1,0))</f>
        <v/>
      </c>
    </row>
    <row r="63">
      <c r="A63" s="5" t="n">
        <v>26</v>
      </c>
      <c r="D63" s="5">
        <f>IF($B$9&lt;=1,IF(AND(D$12&gt;=1560,D$12&lt;1620),1,0),D63+IF(AND(D$12&gt;=1560,D$12&lt;1620),1,0))</f>
        <v/>
      </c>
      <c r="E63" s="5">
        <f>IF($B$9&lt;=1,IF(AND(E$12&gt;=1560,E$12&lt;1620),1,0),E63+IF(AND(E$12&gt;=1560,E$12&lt;1620),1,0))</f>
        <v/>
      </c>
      <c r="F63" s="5">
        <f>IF($B$9&lt;=1,IF(AND(F$12&gt;=1560,F$12&lt;1620),1,0),F63+IF(AND(F$12&gt;=1560,F$12&lt;1620),1,0))</f>
        <v/>
      </c>
      <c r="G63" s="5">
        <f>IF($B$9&lt;=1,IF(AND(G$12&gt;=1560,G$12&lt;1620),1,0),G63+IF(AND(G$12&gt;=1560,G$12&lt;1620),1,0))</f>
        <v/>
      </c>
    </row>
    <row r="64">
      <c r="A64" s="5" t="n">
        <v>27</v>
      </c>
      <c r="D64" s="5">
        <f>IF($B$9&lt;=1,IF(AND(D$12&gt;=1620,D$12&lt;1680),1,0),D64+IF(AND(D$12&gt;=1620,D$12&lt;1680),1,0))</f>
        <v/>
      </c>
      <c r="E64" s="5">
        <f>IF($B$9&lt;=1,IF(AND(E$12&gt;=1620,E$12&lt;1680),1,0),E64+IF(AND(E$12&gt;=1620,E$12&lt;1680),1,0))</f>
        <v/>
      </c>
      <c r="F64" s="5">
        <f>IF($B$9&lt;=1,IF(AND(F$12&gt;=1620,F$12&lt;1680),1,0),F64+IF(AND(F$12&gt;=1620,F$12&lt;1680),1,0))</f>
        <v/>
      </c>
      <c r="G64" s="5">
        <f>IF($B$9&lt;=1,IF(AND(G$12&gt;=1620,G$12&lt;1680),1,0),G64+IF(AND(G$12&gt;=1620,G$12&lt;1680),1,0))</f>
        <v/>
      </c>
    </row>
    <row r="65">
      <c r="A65" s="5" t="n">
        <v>28</v>
      </c>
      <c r="D65" s="5">
        <f>IF($B$9&lt;=1,IF(AND(D$12&gt;=1680,D$12&lt;1740),1,0),D65+IF(AND(D$12&gt;=1680,D$12&lt;1740),1,0))</f>
        <v/>
      </c>
      <c r="E65" s="5">
        <f>IF($B$9&lt;=1,IF(AND(E$12&gt;=1680,E$12&lt;1740),1,0),E65+IF(AND(E$12&gt;=1680,E$12&lt;1740),1,0))</f>
        <v/>
      </c>
      <c r="F65" s="5">
        <f>IF($B$9&lt;=1,IF(AND(F$12&gt;=1680,F$12&lt;1740),1,0),F65+IF(AND(F$12&gt;=1680,F$12&lt;1740),1,0))</f>
        <v/>
      </c>
      <c r="G65" s="5">
        <f>IF($B$9&lt;=1,IF(AND(G$12&gt;=1680,G$12&lt;1740),1,0),G65+IF(AND(G$12&gt;=1680,G$12&lt;1740),1,0))</f>
        <v/>
      </c>
    </row>
    <row r="66">
      <c r="A66" s="5" t="n">
        <v>29</v>
      </c>
      <c r="D66" s="5">
        <f>IF($B$9&lt;=1,IF(AND(D$12&gt;=1740,D$12&lt;1800),1,0),D66+IF(AND(D$12&gt;=1740,D$12&lt;1800),1,0))</f>
        <v/>
      </c>
      <c r="E66" s="5">
        <f>IF($B$9&lt;=1,IF(AND(E$12&gt;=1740,E$12&lt;1800),1,0),E66+IF(AND(E$12&gt;=1740,E$12&lt;1800),1,0))</f>
        <v/>
      </c>
      <c r="F66" s="5">
        <f>IF($B$9&lt;=1,IF(AND(F$12&gt;=1740,F$12&lt;1800),1,0),F66+IF(AND(F$12&gt;=1740,F$12&lt;1800),1,0))</f>
        <v/>
      </c>
      <c r="G66" s="5">
        <f>IF($B$9&lt;=1,IF(AND(G$12&gt;=1740,G$12&lt;1800),1,0),G66+IF(AND(G$12&gt;=1740,G$12&lt;1800),1,0))</f>
        <v/>
      </c>
    </row>
    <row r="67">
      <c r="A67" s="5" t="n">
        <v>30</v>
      </c>
      <c r="D67" s="5">
        <f>IF($B$9&lt;=1,IF(AND(D$12&gt;=1800,D$12&lt;1860),1,0),D67+IF(AND(D$12&gt;=1800,D$12&lt;1860),1,0))</f>
        <v/>
      </c>
      <c r="E67" s="5">
        <f>IF($B$9&lt;=1,IF(AND(E$12&gt;=1800,E$12&lt;1860),1,0),E67+IF(AND(E$12&gt;=1800,E$12&lt;1860),1,0))</f>
        <v/>
      </c>
      <c r="F67" s="5">
        <f>IF($B$9&lt;=1,IF(AND(F$12&gt;=1800,F$12&lt;1860),1,0),F67+IF(AND(F$12&gt;=1800,F$12&lt;1860),1,0))</f>
        <v/>
      </c>
      <c r="G67" s="5">
        <f>IF($B$9&lt;=1,IF(AND(G$12&gt;=1800,G$12&lt;1860),1,0),G67+IF(AND(G$12&gt;=1800,G$12&lt;1860),1,0))</f>
        <v/>
      </c>
    </row>
    <row r="68">
      <c r="A68" s="5" t="n">
        <v>31</v>
      </c>
      <c r="D68" s="5">
        <f>IF($B$9&lt;=1,IF(AND(D$12&gt;=1860,D$12&lt;1920),1,0),D68+IF(AND(D$12&gt;=1860,D$12&lt;1920),1,0))</f>
        <v/>
      </c>
      <c r="E68" s="5">
        <f>IF($B$9&lt;=1,IF(AND(E$12&gt;=1860,E$12&lt;1920),1,0),E68+IF(AND(E$12&gt;=1860,E$12&lt;1920),1,0))</f>
        <v/>
      </c>
      <c r="F68" s="5">
        <f>IF($B$9&lt;=1,IF(AND(F$12&gt;=1860,F$12&lt;1920),1,0),F68+IF(AND(F$12&gt;=1860,F$12&lt;1920),1,0))</f>
        <v/>
      </c>
      <c r="G68" s="5">
        <f>IF($B$9&lt;=1,IF(AND(G$12&gt;=1860,G$12&lt;1920),1,0),G68+IF(AND(G$12&gt;=1860,G$12&lt;1920),1,0))</f>
        <v/>
      </c>
    </row>
    <row r="69">
      <c r="A69" s="5" t="n">
        <v>32</v>
      </c>
      <c r="D69" s="5">
        <f>IF($B$9&lt;=1,IF(AND(D$12&gt;=1920,D$12&lt;1980),1,0),D69+IF(AND(D$12&gt;=1920,D$12&lt;1980),1,0))</f>
        <v/>
      </c>
      <c r="E69" s="5">
        <f>IF($B$9&lt;=1,IF(AND(E$12&gt;=1920,E$12&lt;1980),1,0),E69+IF(AND(E$12&gt;=1920,E$12&lt;1980),1,0))</f>
        <v/>
      </c>
      <c r="F69" s="5">
        <f>IF($B$9&lt;=1,IF(AND(F$12&gt;=1920,F$12&lt;1980),1,0),F69+IF(AND(F$12&gt;=1920,F$12&lt;1980),1,0))</f>
        <v/>
      </c>
      <c r="G69" s="5">
        <f>IF($B$9&lt;=1,IF(AND(G$12&gt;=1920,G$12&lt;1980),1,0),G69+IF(AND(G$12&gt;=1920,G$12&lt;1980),1,0))</f>
        <v/>
      </c>
    </row>
    <row r="70">
      <c r="A70" s="5" t="n">
        <v>33</v>
      </c>
      <c r="D70" s="5">
        <f>IF($B$9&lt;=1,IF(AND(D$12&gt;=1980,D$12&lt;2040),1,0),D70+IF(AND(D$12&gt;=1980,D$12&lt;2040),1,0))</f>
        <v/>
      </c>
      <c r="E70" s="5">
        <f>IF($B$9&lt;=1,IF(AND(E$12&gt;=1980,E$12&lt;2040),1,0),E70+IF(AND(E$12&gt;=1980,E$12&lt;2040),1,0))</f>
        <v/>
      </c>
      <c r="F70" s="5">
        <f>IF($B$9&lt;=1,IF(AND(F$12&gt;=1980,F$12&lt;2040),1,0),F70+IF(AND(F$12&gt;=1980,F$12&lt;2040),1,0))</f>
        <v/>
      </c>
      <c r="G70" s="5">
        <f>IF($B$9&lt;=1,IF(AND(G$12&gt;=1980,G$12&lt;2040),1,0),G70+IF(AND(G$12&gt;=1980,G$12&lt;2040),1,0))</f>
        <v/>
      </c>
    </row>
    <row r="71">
      <c r="A71" s="5" t="n">
        <v>34</v>
      </c>
      <c r="D71" s="5">
        <f>IF($B$9&lt;=1,IF(AND(D$12&gt;=2040,D$12&lt;2100),1,0),D71+IF(AND(D$12&gt;=2040,D$12&lt;2100),1,0))</f>
        <v/>
      </c>
      <c r="E71" s="5">
        <f>IF($B$9&lt;=1,IF(AND(E$12&gt;=2040,E$12&lt;2100),1,0),E71+IF(AND(E$12&gt;=2040,E$12&lt;2100),1,0))</f>
        <v/>
      </c>
      <c r="F71" s="5">
        <f>IF($B$9&lt;=1,IF(AND(F$12&gt;=2040,F$12&lt;2100),1,0),F71+IF(AND(F$12&gt;=2040,F$12&lt;2100),1,0))</f>
        <v/>
      </c>
      <c r="G71" s="5">
        <f>IF($B$9&lt;=1,IF(AND(G$12&gt;=2040,G$12&lt;2100),1,0),G71+IF(AND(G$12&gt;=2040,G$12&lt;2100),1,0))</f>
        <v/>
      </c>
    </row>
    <row r="72">
      <c r="A72" s="5" t="n">
        <v>35</v>
      </c>
      <c r="D72" s="5">
        <f>IF($B$9&lt;=1,IF(AND(D$12&gt;=2100,D$12&lt;2160),1,0),D72+IF(AND(D$12&gt;=2100,D$12&lt;2160),1,0))</f>
        <v/>
      </c>
      <c r="E72" s="5">
        <f>IF($B$9&lt;=1,IF(AND(E$12&gt;=2100,E$12&lt;2160),1,0),E72+IF(AND(E$12&gt;=2100,E$12&lt;2160),1,0))</f>
        <v/>
      </c>
      <c r="F72" s="5">
        <f>IF($B$9&lt;=1,IF(AND(F$12&gt;=2100,F$12&lt;2160),1,0),F72+IF(AND(F$12&gt;=2100,F$12&lt;2160),1,0))</f>
        <v/>
      </c>
      <c r="G72" s="5">
        <f>IF($B$9&lt;=1,IF(AND(G$12&gt;=2100,G$12&lt;2160),1,0),G72+IF(AND(G$12&gt;=2100,G$12&lt;2160),1,0))</f>
        <v/>
      </c>
    </row>
  </sheetData>
  <mergeCells count="1">
    <mergeCell ref="A34:G34"/>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G53"/>
  <sheetViews>
    <sheetView showGridLines="0" workbookViewId="0">
      <selection activeCell="A1" sqref="A1"/>
    </sheetView>
  </sheetViews>
  <sheetFormatPr baseColWidth="8" defaultRowHeight="15"/>
  <cols>
    <col width="26" customWidth="1" min="1" max="1"/>
    <col width="44" customWidth="1" min="2" max="2"/>
    <col width="16" customWidth="1" min="3" max="3"/>
    <col width="16" customWidth="1" min="4" max="4"/>
    <col width="16" customWidth="1" min="5" max="5"/>
    <col width="16" customWidth="1" min="6" max="6"/>
    <col width="16" customWidth="1" min="7" max="7"/>
  </cols>
  <sheetData>
    <row r="1">
      <c r="A1" s="6" t="inlineStr">
        <is>
          <t>What 3,000 boardings say</t>
        </is>
      </c>
    </row>
    <row r="2" ht="30" customHeight="1">
      <c r="A2" s="2" t="inlineStr">
        <is>
          <t>Everything on this sheet came out of the model on the Engine sheet. Set the same inputs on The race, hold F9, and you will land on the same answers.</t>
        </is>
      </c>
    </row>
    <row r="5">
      <c r="A5" s="8" t="inlineStr">
        <is>
          <t>THE HEADLINE</t>
        </is>
      </c>
    </row>
    <row r="6">
      <c r="A6" s="8" t="inlineStr">
        <is>
          <t>method</t>
        </is>
      </c>
      <c r="B6" s="8" t="inlineStr"/>
      <c r="C6" s="8" t="inlineStr">
        <is>
          <t>mean</t>
        </is>
      </c>
      <c r="D6" s="8" t="inlineStr">
        <is>
          <t>vs random</t>
        </is>
      </c>
      <c r="E6" s="8" t="inlineStr">
        <is>
          <t>95% CI on the gap</t>
        </is>
      </c>
      <c r="F6" s="8" t="inlineStr">
        <is>
          <t>beats random</t>
        </is>
      </c>
      <c r="G6" s="8" t="inlineStr">
        <is>
          <t>wins the race</t>
        </is>
      </c>
    </row>
    <row r="7">
      <c r="A7" s="29" t="inlineStr">
        <is>
          <t>Random</t>
        </is>
      </c>
      <c r="C7" s="31" t="n">
        <v>0.0148262007906359</v>
      </c>
      <c r="D7" s="32" t="inlineStr">
        <is>
          <t>—</t>
        </is>
      </c>
      <c r="E7" s="32" t="inlineStr">
        <is>
          <t>—</t>
        </is>
      </c>
      <c r="F7" s="33" t="inlineStr">
        <is>
          <t>—</t>
        </is>
      </c>
      <c r="G7" s="33" t="n">
        <v>0</v>
      </c>
    </row>
    <row r="8">
      <c r="A8" s="29" t="inlineStr">
        <is>
          <t>Back-to-front</t>
        </is>
      </c>
      <c r="C8" s="31" t="n">
        <v>0.01469779528968082</v>
      </c>
      <c r="D8" s="32" t="inlineStr">
        <is>
          <t>-11 s</t>
        </is>
      </c>
      <c r="E8" s="32" t="inlineStr">
        <is>
          <t>-14 to -8 s</t>
        </is>
      </c>
      <c r="F8" s="33" t="n">
        <v>0.5570000000000001</v>
      </c>
      <c r="G8" s="33" t="n">
        <v>0</v>
      </c>
    </row>
    <row r="9">
      <c r="A9" s="29" t="inlineStr">
        <is>
          <t>WilMA</t>
        </is>
      </c>
      <c r="C9" s="31" t="n">
        <v>0.01300699560295073</v>
      </c>
      <c r="D9" s="32" t="inlineStr">
        <is>
          <t>-157 s</t>
        </is>
      </c>
      <c r="E9" s="32" t="inlineStr">
        <is>
          <t>-160 to -155 s</t>
        </is>
      </c>
      <c r="F9" s="33" t="n">
        <v>0.9866666666666667</v>
      </c>
      <c r="G9" s="33" t="n">
        <v>0</v>
      </c>
    </row>
    <row r="10">
      <c r="A10" s="29" t="inlineStr">
        <is>
          <t>Steffen</t>
        </is>
      </c>
      <c r="C10" s="31" t="n">
        <v>0.009085671719820219</v>
      </c>
      <c r="D10" s="32" t="inlineStr">
        <is>
          <t>-496 s</t>
        </is>
      </c>
      <c r="E10" s="32" t="inlineStr">
        <is>
          <t>-499 to -493 s</t>
        </is>
      </c>
      <c r="F10" s="33" t="n">
        <v>1</v>
      </c>
      <c r="G10" s="33" t="n">
        <v>1</v>
      </c>
    </row>
    <row r="12">
      <c r="A12" s="8" t="inlineStr">
        <is>
          <t>WHAT THAT MEANS</t>
        </is>
      </c>
    </row>
    <row r="13">
      <c r="A13" s="3" t="inlineStr">
        <is>
          <t>Back-to-front buys you 11 seconds.</t>
        </is>
      </c>
    </row>
    <row r="14" ht="46" customHeight="1">
      <c r="A14" s="4" t="inlineStr">
        <is>
          <t>That is the whole return on the boarding policy most airlines actually run — 11 seconds off a 21-minute job, and it takes 3,000 boardings to be sure the gain exists at all. It wins only 56% of individual boardings, and in 42% of races the margin is over a minute — in whichever direction the dice fall. So a single race between these two is a coin toss that looks like a result. That is what one run of a random process buys you: a number, with no way to know what it means.</t>
        </is>
      </c>
    </row>
    <row r="16">
      <c r="A16" s="3" t="inlineStr">
        <is>
          <t>The best method on paper is the one you cannot run.</t>
        </is>
      </c>
    </row>
    <row r="17" ht="46" customHeight="1">
      <c r="A17" s="4" t="inlineStr">
        <is>
          <t>Steffen is genuinely fast — nearly 8 minutes. But it needs 122 people to queue in an exact order. Drop Compliance from 100% to 50% on The race sheet and most of that advantage is gone. Its value is not a number, it is a number times how well you can enforce it.</t>
        </is>
      </c>
    </row>
    <row r="19">
      <c r="A19" s="3" t="inlineStr">
        <is>
          <t>Families beat algorithms.</t>
        </is>
      </c>
    </row>
    <row r="20" ht="46" customHeight="1">
      <c r="A20" s="4" t="inlineStr">
        <is>
          <t>Raise Groups from 0% to 50% and Steffen loses about four minutes. Any scheme that separates people who intend to board together degrades to the thing it replaced.</t>
        </is>
      </c>
    </row>
    <row r="22">
      <c r="A22" s="3" t="inlineStr">
        <is>
          <t>You are probably optimising the wrong variable.</t>
        </is>
      </c>
    </row>
    <row r="23" ht="46" customHeight="1">
      <c r="A23" s="4" t="inlineStr">
        <is>
          <t>Cutting the mean bag-stow time from 15 to 10 seconds saves more than switching from random to WilMA. Nobody argues about stow time at the board meeting, because nobody measures it. It is the biggest lever on the sheet.</t>
        </is>
      </c>
    </row>
    <row r="26">
      <c r="A26" s="8" t="inlineStr">
        <is>
          <t>EVERY SCENARIO</t>
        </is>
      </c>
    </row>
    <row r="27">
      <c r="A27" s="8" t="inlineStr">
        <is>
          <t>scenario</t>
        </is>
      </c>
      <c r="B27" s="8" t="inlineStr">
        <is>
          <t>what changed</t>
        </is>
      </c>
      <c r="C27" s="8" t="inlineStr">
        <is>
          <t>Random</t>
        </is>
      </c>
      <c r="D27" s="8" t="inlineStr">
        <is>
          <t>Back-to-front</t>
        </is>
      </c>
      <c r="E27" s="8" t="inlineStr">
        <is>
          <t>WilMA</t>
        </is>
      </c>
      <c r="F27" s="8" t="inlineStr">
        <is>
          <t>Steffen</t>
        </is>
      </c>
    </row>
    <row r="28">
      <c r="A28" s="9" t="inlineStr">
        <is>
          <t>Baseline</t>
        </is>
      </c>
      <c r="B28" s="5" t="inlineStr">
        <is>
          <t>as shipped: 122 pax, 85% compliance, 30% groups</t>
        </is>
      </c>
      <c r="C28" s="31" t="n">
        <v>0.01489740835208678</v>
      </c>
      <c r="D28" s="31" t="n">
        <v>0.01475043915241782</v>
      </c>
      <c r="E28" s="31" t="n">
        <v>0.01304969671893606</v>
      </c>
      <c r="F28" s="31" t="n">
        <v>0.009135182004721571</v>
      </c>
    </row>
    <row r="29">
      <c r="A29" s="21" t="inlineStr">
        <is>
          <t>Compliance 100%</t>
        </is>
      </c>
      <c r="B29" s="34" t="inlineStr">
        <is>
          <t>share who queue in the slot they were given</t>
        </is>
      </c>
      <c r="C29" s="35" t="n">
        <v>0.01485364866369248</v>
      </c>
      <c r="D29" s="35" t="n">
        <v>0.01487440774027396</v>
      </c>
      <c r="E29" s="35" t="n">
        <v>0.01263263394006146</v>
      </c>
      <c r="F29" s="35" t="n">
        <v>0.007227643425836895</v>
      </c>
    </row>
    <row r="30">
      <c r="A30" s="9" t="inlineStr">
        <is>
          <t>Compliance 95%</t>
        </is>
      </c>
      <c r="B30" s="5" t="inlineStr">
        <is>
          <t>share who queue in the slot they were given</t>
        </is>
      </c>
      <c r="C30" s="31" t="n">
        <v>0.01491199584712318</v>
      </c>
      <c r="D30" s="31" t="n">
        <v>0.01482102781742054</v>
      </c>
      <c r="E30" s="31" t="n">
        <v>0.01278835667355928</v>
      </c>
      <c r="F30" s="31" t="n">
        <v>0.007854574733818367</v>
      </c>
    </row>
    <row r="31">
      <c r="A31" s="21" t="inlineStr">
        <is>
          <t>Compliance 85%</t>
        </is>
      </c>
      <c r="B31" s="34" t="inlineStr">
        <is>
          <t>share who queue in the slot they were given</t>
        </is>
      </c>
      <c r="C31" s="35" t="n">
        <v>0.01485477726275015</v>
      </c>
      <c r="D31" s="35" t="n">
        <v>0.01471388922272487</v>
      </c>
      <c r="E31" s="35" t="n">
        <v>0.01300498286047753</v>
      </c>
      <c r="F31" s="35" t="n">
        <v>0.009074607026864207</v>
      </c>
    </row>
    <row r="32">
      <c r="A32" s="9" t="inlineStr">
        <is>
          <t>Compliance 70%</t>
        </is>
      </c>
      <c r="B32" s="5" t="inlineStr">
        <is>
          <t>share who queue in the slot they were given</t>
        </is>
      </c>
      <c r="C32" s="31" t="n">
        <v>0.0148214360986345</v>
      </c>
      <c r="D32" s="31" t="n">
        <v>0.01459872542080723</v>
      </c>
      <c r="E32" s="31" t="n">
        <v>0.01336200089902517</v>
      </c>
      <c r="F32" s="31" t="n">
        <v>0.0107214478891881</v>
      </c>
    </row>
    <row r="33">
      <c r="A33" s="21" t="inlineStr">
        <is>
          <t>Compliance 50%</t>
        </is>
      </c>
      <c r="B33" s="34" t="inlineStr">
        <is>
          <t>share who queue in the slot they were given</t>
        </is>
      </c>
      <c r="C33" s="35" t="n">
        <v>0.0148910863159037</v>
      </c>
      <c r="D33" s="35" t="n">
        <v>0.0145931082373804</v>
      </c>
      <c r="E33" s="35" t="n">
        <v>0.01385044245035077</v>
      </c>
      <c r="F33" s="35" t="n">
        <v>0.01249657035767566</v>
      </c>
    </row>
    <row r="34">
      <c r="A34" s="9" t="inlineStr">
        <is>
          <t>Groups 0%</t>
        </is>
      </c>
      <c r="B34" s="5" t="inlineStr">
        <is>
          <t>share of seat blocks travelling together</t>
        </is>
      </c>
      <c r="C34" s="31" t="n">
        <v>0.01484596154020741</v>
      </c>
      <c r="D34" s="31" t="n">
        <v>0.01479117138589407</v>
      </c>
      <c r="E34" s="31" t="n">
        <v>0.01225354629585572</v>
      </c>
      <c r="F34" s="31" t="n">
        <v>0.007460484603067307</v>
      </c>
    </row>
    <row r="35">
      <c r="A35" s="21" t="inlineStr">
        <is>
          <t>Groups 15%</t>
        </is>
      </c>
      <c r="B35" s="34" t="inlineStr">
        <is>
          <t>share of seat blocks travelling together</t>
        </is>
      </c>
      <c r="C35" s="35" t="n">
        <v>0.01486346278333782</v>
      </c>
      <c r="D35" s="35" t="n">
        <v>0.0148059113854359</v>
      </c>
      <c r="E35" s="35" t="n">
        <v>0.0126420129654614</v>
      </c>
      <c r="F35" s="35" t="n">
        <v>0.008228093033282827</v>
      </c>
    </row>
    <row r="36">
      <c r="A36" s="9" t="inlineStr">
        <is>
          <t>Groups 30%</t>
        </is>
      </c>
      <c r="B36" s="5" t="inlineStr">
        <is>
          <t>share of seat blocks travelling together</t>
        </is>
      </c>
      <c r="C36" s="31" t="n">
        <v>0.01474895123448658</v>
      </c>
      <c r="D36" s="31" t="n">
        <v>0.0146135090032976</v>
      </c>
      <c r="E36" s="31" t="n">
        <v>0.01295039211805661</v>
      </c>
      <c r="F36" s="31" t="n">
        <v>0.009026332926162596</v>
      </c>
    </row>
    <row r="37">
      <c r="A37" s="21" t="inlineStr">
        <is>
          <t>Groups 50%</t>
        </is>
      </c>
      <c r="B37" s="34" t="inlineStr">
        <is>
          <t>share of seat blocks travelling together</t>
        </is>
      </c>
      <c r="C37" s="35" t="n">
        <v>0.01480040837848108</v>
      </c>
      <c r="D37" s="35" t="n">
        <v>0.01462938405509279</v>
      </c>
      <c r="E37" s="35" t="n">
        <v>0.01348492206298218</v>
      </c>
      <c r="F37" s="35" t="n">
        <v>0.01014097430989426</v>
      </c>
    </row>
    <row r="38">
      <c r="A38" s="9" t="inlineStr">
        <is>
          <t>Load 33% (60 pax)</t>
        </is>
      </c>
      <c r="B38" s="5" t="inlineStr">
        <is>
          <t>how full the aircraft is</t>
        </is>
      </c>
      <c r="C38" s="31" t="n">
        <v>0.006769280017273522</v>
      </c>
      <c r="D38" s="31" t="n">
        <v>0.006514387495836965</v>
      </c>
      <c r="E38" s="31" t="n">
        <v>0.006265905951849759</v>
      </c>
      <c r="F38" s="31" t="n">
        <v>0.004861298326292438</v>
      </c>
    </row>
    <row r="39">
      <c r="A39" s="21" t="inlineStr">
        <is>
          <t>Load 50% (90 pax)</t>
        </is>
      </c>
      <c r="B39" s="34" t="inlineStr">
        <is>
          <t>how full the aircraft is</t>
        </is>
      </c>
      <c r="C39" s="35" t="n">
        <v>0.01048389712612244</v>
      </c>
      <c r="D39" s="35" t="n">
        <v>0.01029342393002937</v>
      </c>
      <c r="E39" s="35" t="n">
        <v>0.009456337483940308</v>
      </c>
      <c r="F39" s="35" t="n">
        <v>0.006863712032906876</v>
      </c>
    </row>
    <row r="40">
      <c r="A40" s="9" t="inlineStr">
        <is>
          <t>Load 68% (122 pax)</t>
        </is>
      </c>
      <c r="B40" s="5" t="inlineStr">
        <is>
          <t>how full the aircraft is</t>
        </is>
      </c>
      <c r="C40" s="31" t="n">
        <v>0.01486366136955714</v>
      </c>
      <c r="D40" s="31" t="n">
        <v>0.01477109728583242</v>
      </c>
      <c r="E40" s="31" t="n">
        <v>0.01301380978306641</v>
      </c>
      <c r="F40" s="31" t="n">
        <v>0.009079146475993985</v>
      </c>
    </row>
    <row r="41">
      <c r="A41" s="21" t="inlineStr">
        <is>
          <t>Load 83% (150 pax)</t>
        </is>
      </c>
      <c r="B41" s="34" t="inlineStr">
        <is>
          <t>how full the aircraft is</t>
        </is>
      </c>
      <c r="C41" s="35" t="n">
        <v>0.01885891502816184</v>
      </c>
      <c r="D41" s="35" t="n">
        <v>0.0187629531591033</v>
      </c>
      <c r="E41" s="35" t="n">
        <v>0.01623439527216619</v>
      </c>
      <c r="F41" s="35" t="n">
        <v>0.01113265648137477</v>
      </c>
    </row>
    <row r="42">
      <c r="A42" s="9" t="inlineStr">
        <is>
          <t>Load 97% (174 pax)</t>
        </is>
      </c>
      <c r="B42" s="5" t="inlineStr">
        <is>
          <t>how full the aircraft is</t>
        </is>
      </c>
      <c r="C42" s="31" t="n">
        <v>0.02254548860597096</v>
      </c>
      <c r="D42" s="31" t="n">
        <v>0.02248217251591371</v>
      </c>
      <c r="E42" s="31" t="n">
        <v>0.0190619530248514</v>
      </c>
      <c r="F42" s="31" t="n">
        <v>0.01299474367976707</v>
      </c>
    </row>
    <row r="43">
      <c r="A43" s="21" t="inlineStr">
        <is>
          <t>Stow 10s</t>
        </is>
      </c>
      <c r="B43" s="34" t="inlineStr">
        <is>
          <t>mean seconds to stow a bag</t>
        </is>
      </c>
      <c r="C43" s="35" t="n">
        <v>0.01096598711593013</v>
      </c>
      <c r="D43" s="35" t="n">
        <v>0.0107679838587694</v>
      </c>
      <c r="E43" s="35" t="n">
        <v>0.009101123450078239</v>
      </c>
      <c r="F43" s="35" t="n">
        <v>0.006503916981663881</v>
      </c>
    </row>
    <row r="44">
      <c r="A44" s="9" t="inlineStr">
        <is>
          <t>Stow 12s</t>
        </is>
      </c>
      <c r="B44" s="5" t="inlineStr">
        <is>
          <t>mean seconds to stow a bag</t>
        </is>
      </c>
      <c r="C44" s="31" t="n">
        <v>0.01256354361540569</v>
      </c>
      <c r="D44" s="31" t="n">
        <v>0.01236326526993212</v>
      </c>
      <c r="E44" s="31" t="n">
        <v>0.01066778905469125</v>
      </c>
      <c r="F44" s="31" t="n">
        <v>0.007547593037216666</v>
      </c>
    </row>
    <row r="45">
      <c r="A45" s="21" t="inlineStr">
        <is>
          <t>Stow 15s</t>
        </is>
      </c>
      <c r="B45" s="34" t="inlineStr">
        <is>
          <t>mean seconds to stow a bag</t>
        </is>
      </c>
      <c r="C45" s="35" t="n">
        <v>0.01488163618815254</v>
      </c>
      <c r="D45" s="35" t="n">
        <v>0.01469751296892644</v>
      </c>
      <c r="E45" s="35" t="n">
        <v>0.01304836492524174</v>
      </c>
      <c r="F45" s="35" t="n">
        <v>0.009068251422038869</v>
      </c>
    </row>
    <row r="46">
      <c r="A46" s="9" t="inlineStr">
        <is>
          <t>Stow 18s</t>
        </is>
      </c>
      <c r="B46" s="5" t="inlineStr">
        <is>
          <t>mean seconds to stow a bag</t>
        </is>
      </c>
      <c r="C46" s="31" t="n">
        <v>0.01717848198951845</v>
      </c>
      <c r="D46" s="31" t="n">
        <v>0.01707248254513911</v>
      </c>
      <c r="E46" s="31" t="n">
        <v>0.0153676637152615</v>
      </c>
      <c r="F46" s="31" t="n">
        <v>0.01065521321691906</v>
      </c>
    </row>
    <row r="47">
      <c r="A47" s="21" t="inlineStr">
        <is>
          <t>Stow 22s</t>
        </is>
      </c>
      <c r="B47" s="34" t="inlineStr">
        <is>
          <t>mean seconds to stow a bag</t>
        </is>
      </c>
      <c r="C47" s="35" t="n">
        <v>0.0203704763305265</v>
      </c>
      <c r="D47" s="35" t="n">
        <v>0.02035762518029226</v>
      </c>
      <c r="E47" s="35" t="n">
        <v>0.01855717635544913</v>
      </c>
      <c r="F47" s="35" t="n">
        <v>0.01277227015684206</v>
      </c>
    </row>
    <row r="48">
      <c r="A48" s="9" t="inlineStr">
        <is>
          <t>Zones 2</t>
        </is>
      </c>
      <c r="B48" s="5" t="inlineStr">
        <is>
          <t>how finely back-to-front is split</t>
        </is>
      </c>
      <c r="C48" s="31" t="n">
        <v>0.01486007780520966</v>
      </c>
      <c r="D48" s="31" t="n">
        <v>0.01470631740330531</v>
      </c>
      <c r="E48" s="31" t="n">
        <v>0.01301827112905238</v>
      </c>
      <c r="F48" s="31" t="n">
        <v>0.009079054150086315</v>
      </c>
    </row>
    <row r="49">
      <c r="A49" s="21" t="inlineStr">
        <is>
          <t>Zones 4</t>
        </is>
      </c>
      <c r="B49" s="34" t="inlineStr">
        <is>
          <t>how finely back-to-front is split</t>
        </is>
      </c>
      <c r="C49" s="35" t="n">
        <v>0.01490874658702107</v>
      </c>
      <c r="D49" s="35" t="n">
        <v>0.0147348191535223</v>
      </c>
      <c r="E49" s="35" t="n">
        <v>0.0130796406139364</v>
      </c>
      <c r="F49" s="35" t="n">
        <v>0.009101815617741774</v>
      </c>
    </row>
    <row r="50">
      <c r="A50" s="9" t="inlineStr">
        <is>
          <t>Zones 6</t>
        </is>
      </c>
      <c r="B50" s="5" t="inlineStr">
        <is>
          <t>how finely back-to-front is split</t>
        </is>
      </c>
      <c r="C50" s="31" t="n">
        <v>0.0148452441380084</v>
      </c>
      <c r="D50" s="31" t="n">
        <v>0.01477820338097348</v>
      </c>
      <c r="E50" s="31" t="n">
        <v>0.01298944884608537</v>
      </c>
      <c r="F50" s="31" t="n">
        <v>0.009086617372567963</v>
      </c>
    </row>
    <row r="51">
      <c r="A51" s="21" t="inlineStr">
        <is>
          <t>Zones 10</t>
        </is>
      </c>
      <c r="B51" s="34" t="inlineStr">
        <is>
          <t>how finely back-to-front is split</t>
        </is>
      </c>
      <c r="C51" s="35" t="n">
        <v>0.01485935509991932</v>
      </c>
      <c r="D51" s="35" t="n">
        <v>0.01500450276452048</v>
      </c>
      <c r="E51" s="35" t="n">
        <v>0.01307362117243445</v>
      </c>
      <c r="F51" s="35" t="n">
        <v>0.009127658062704479</v>
      </c>
    </row>
    <row r="53">
      <c r="A53" s="5" t="inlineStr">
        <is>
          <t>Each scenario is the mean of 900 boardings; the headline table uses 3000. Differences under about 6 seconds are inside the noise at that sample size.</t>
        </is>
      </c>
    </row>
  </sheetData>
  <mergeCells count="10">
    <mergeCell ref="A13:G13"/>
    <mergeCell ref="A14:G14"/>
    <mergeCell ref="A17:G17"/>
    <mergeCell ref="A22:G22"/>
    <mergeCell ref="A53:G53"/>
    <mergeCell ref="A20:G20"/>
    <mergeCell ref="A2:G2"/>
    <mergeCell ref="A16:G16"/>
    <mergeCell ref="A19:G19"/>
    <mergeCell ref="A23:G2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Z183"/>
  <sheetViews>
    <sheetView workbookViewId="0">
      <selection activeCell="A1" sqref="A1"/>
    </sheetView>
  </sheetViews>
  <sheetFormatPr baseColWidth="8" defaultRowHeight="15"/>
  <sheetData>
    <row r="1">
      <c r="A1" s="3" t="inlineStr">
        <is>
          <t>The model. Every intermediate value is on this sheet on purpose.</t>
        </is>
      </c>
      <c r="AI1" s="8" t="inlineStr">
        <is>
          <t>Random</t>
        </is>
      </c>
      <c r="AS1" s="8" t="inlineStr">
        <is>
          <t>Back-to-front</t>
        </is>
      </c>
      <c r="BC1" s="8" t="inlineStr">
        <is>
          <t>WilMA</t>
        </is>
      </c>
      <c r="BM1" s="8" t="inlineStr">
        <is>
          <t>Steffen</t>
        </is>
      </c>
    </row>
    <row r="2">
      <c r="A2" s="5" t="inlineStr">
        <is>
          <t>Seats 1-180 across the top block; the boarding queue for each method in the blocks to the right.</t>
        </is>
      </c>
      <c r="AI2">
        <f>MAX(AR$4:AR$183)</f>
        <v/>
      </c>
      <c r="AS2">
        <f>MAX(BB$4:BB$183)</f>
        <v/>
      </c>
      <c r="BC2">
        <f>MAX(BL$4:BL$183)</f>
        <v/>
      </c>
      <c r="BM2">
        <f>MAX(BV$4:BV$183)</f>
        <v/>
      </c>
    </row>
    <row r="3">
      <c r="A3" s="8" t="inlineStr">
        <is>
          <t>seat</t>
        </is>
      </c>
      <c r="B3" s="8" t="inlineStr">
        <is>
          <t>row</t>
        </is>
      </c>
      <c r="C3" s="8" t="inlineStr">
        <is>
          <t>side</t>
        </is>
      </c>
      <c r="D3" s="8" t="inlineStr">
        <is>
          <t>idx</t>
        </is>
      </c>
      <c r="E3" s="8" t="inlineStr">
        <is>
          <t>block</t>
        </is>
      </c>
      <c r="F3" s="8" t="inlineStr">
        <is>
          <t>rnd occ</t>
        </is>
      </c>
      <c r="G3" s="8" t="inlineStr">
        <is>
          <t>sold</t>
        </is>
      </c>
      <c r="H3" s="8" t="inlineStr">
        <is>
          <t>rnd tie</t>
        </is>
      </c>
      <c r="I3" s="8" t="inlineStr">
        <is>
          <t>rnd comply</t>
        </is>
      </c>
      <c r="J3" s="8" t="inlineStr">
        <is>
          <t>rnd noise</t>
        </is>
      </c>
      <c r="K3" s="8" t="inlineStr">
        <is>
          <t>rnd bag</t>
        </is>
      </c>
      <c r="L3" s="8" t="inlineStr">
        <is>
          <t>rnd stow</t>
        </is>
      </c>
      <c r="M3" s="8" t="inlineStr">
        <is>
          <t>stow s</t>
        </is>
      </c>
      <c r="N3" s="8" t="inlineStr">
        <is>
          <t>group?</t>
        </is>
      </c>
      <c r="P3" s="8" t="inlineStr">
        <is>
          <t>Random: key</t>
        </is>
      </c>
      <c r="Q3" s="8" t="inlineStr">
        <is>
          <t>final key</t>
        </is>
      </c>
      <c r="R3" s="8" t="inlineStr">
        <is>
          <t>position</t>
        </is>
      </c>
      <c r="T3" s="8" t="inlineStr">
        <is>
          <t>Back-to-front: key</t>
        </is>
      </c>
      <c r="U3" s="8" t="inlineStr">
        <is>
          <t>final key</t>
        </is>
      </c>
      <c r="V3" s="8" t="inlineStr">
        <is>
          <t>position</t>
        </is>
      </c>
      <c r="X3" s="8" t="inlineStr">
        <is>
          <t>WilMA: key</t>
        </is>
      </c>
      <c r="Y3" s="8" t="inlineStr">
        <is>
          <t>final key</t>
        </is>
      </c>
      <c r="Z3" s="8" t="inlineStr">
        <is>
          <t>position</t>
        </is>
      </c>
      <c r="AB3" s="8" t="inlineStr">
        <is>
          <t>Steffen: key</t>
        </is>
      </c>
      <c r="AC3" s="8" t="inlineStr">
        <is>
          <t>final key</t>
        </is>
      </c>
      <c r="AD3" s="8" t="inlineStr">
        <is>
          <t>position</t>
        </is>
      </c>
      <c r="AF3" s="8" t="inlineStr">
        <is>
          <t>block</t>
        </is>
      </c>
      <c r="AG3" s="8" t="inlineStr">
        <is>
          <t>rnd group</t>
        </is>
      </c>
      <c r="AI3" s="8" t="inlineStr">
        <is>
          <t>Random: p</t>
        </is>
      </c>
      <c r="AJ3" s="8" t="inlineStr">
        <is>
          <t>seat</t>
        </is>
      </c>
      <c r="AK3" s="8" t="inlineStr">
        <is>
          <t>row</t>
        </is>
      </c>
      <c r="AL3" s="8" t="inlineStr">
        <is>
          <t>side</t>
        </is>
      </c>
      <c r="AM3" s="8" t="inlineStr">
        <is>
          <t>idx</t>
        </is>
      </c>
      <c r="AN3" s="8" t="inlineStr">
        <is>
          <t>blockers</t>
        </is>
      </c>
      <c r="AO3" s="8" t="inlineStr">
        <is>
          <t>service</t>
        </is>
      </c>
      <c r="AP3" s="8" t="inlineStr">
        <is>
          <t>alpha</t>
        </is>
      </c>
      <c r="AQ3" s="8" t="inlineStr">
        <is>
          <t>gamma</t>
        </is>
      </c>
      <c r="AR3" s="8" t="inlineStr">
        <is>
          <t>sit</t>
        </is>
      </c>
      <c r="AS3" s="8" t="inlineStr">
        <is>
          <t>Back-to-front: p</t>
        </is>
      </c>
      <c r="AT3" s="8" t="inlineStr">
        <is>
          <t>seat</t>
        </is>
      </c>
      <c r="AU3" s="8" t="inlineStr">
        <is>
          <t>row</t>
        </is>
      </c>
      <c r="AV3" s="8" t="inlineStr">
        <is>
          <t>side</t>
        </is>
      </c>
      <c r="AW3" s="8" t="inlineStr">
        <is>
          <t>idx</t>
        </is>
      </c>
      <c r="AX3" s="8" t="inlineStr">
        <is>
          <t>blockers</t>
        </is>
      </c>
      <c r="AY3" s="8" t="inlineStr">
        <is>
          <t>service</t>
        </is>
      </c>
      <c r="AZ3" s="8" t="inlineStr">
        <is>
          <t>alpha</t>
        </is>
      </c>
      <c r="BA3" s="8" t="inlineStr">
        <is>
          <t>gamma</t>
        </is>
      </c>
      <c r="BB3" s="8" t="inlineStr">
        <is>
          <t>sit</t>
        </is>
      </c>
      <c r="BC3" s="8" t="inlineStr">
        <is>
          <t>WilMA: p</t>
        </is>
      </c>
      <c r="BD3" s="8" t="inlineStr">
        <is>
          <t>seat</t>
        </is>
      </c>
      <c r="BE3" s="8" t="inlineStr">
        <is>
          <t>row</t>
        </is>
      </c>
      <c r="BF3" s="8" t="inlineStr">
        <is>
          <t>side</t>
        </is>
      </c>
      <c r="BG3" s="8" t="inlineStr">
        <is>
          <t>idx</t>
        </is>
      </c>
      <c r="BH3" s="8" t="inlineStr">
        <is>
          <t>blockers</t>
        </is>
      </c>
      <c r="BI3" s="8" t="inlineStr">
        <is>
          <t>service</t>
        </is>
      </c>
      <c r="BJ3" s="8" t="inlineStr">
        <is>
          <t>alpha</t>
        </is>
      </c>
      <c r="BK3" s="8" t="inlineStr">
        <is>
          <t>gamma</t>
        </is>
      </c>
      <c r="BL3" s="8" t="inlineStr">
        <is>
          <t>sit</t>
        </is>
      </c>
      <c r="BM3" s="8" t="inlineStr">
        <is>
          <t>Steffen: p</t>
        </is>
      </c>
      <c r="BN3" s="8" t="inlineStr">
        <is>
          <t>seat</t>
        </is>
      </c>
      <c r="BO3" s="8" t="inlineStr">
        <is>
          <t>row</t>
        </is>
      </c>
      <c r="BP3" s="8" t="inlineStr">
        <is>
          <t>side</t>
        </is>
      </c>
      <c r="BQ3" s="8" t="inlineStr">
        <is>
          <t>idx</t>
        </is>
      </c>
      <c r="BR3" s="8" t="inlineStr">
        <is>
          <t>blockers</t>
        </is>
      </c>
      <c r="BS3" s="8" t="inlineStr">
        <is>
          <t>service</t>
        </is>
      </c>
      <c r="BT3" s="8" t="inlineStr">
        <is>
          <t>alpha</t>
        </is>
      </c>
      <c r="BU3" s="8" t="inlineStr">
        <is>
          <t>gamma</t>
        </is>
      </c>
      <c r="BV3" s="8" t="inlineStr">
        <is>
          <t>sit</t>
        </is>
      </c>
      <c r="BW3" s="8" t="inlineStr">
        <is>
          <t>Random: seat filled at</t>
        </is>
      </c>
      <c r="BX3" s="8" t="inlineStr">
        <is>
          <t>Back-to-front: seat filled at</t>
        </is>
      </c>
      <c r="BY3" s="8" t="inlineStr">
        <is>
          <t>WilMA: seat filled at</t>
        </is>
      </c>
      <c r="BZ3" s="8" t="inlineStr">
        <is>
          <t>Steffen: seat filled at</t>
        </is>
      </c>
    </row>
    <row r="4">
      <c r="A4" t="n">
        <v>1</v>
      </c>
      <c r="B4" t="n">
        <v>1</v>
      </c>
      <c r="C4" t="n">
        <v>1</v>
      </c>
      <c r="D4" t="n">
        <v>1</v>
      </c>
      <c r="E4" t="n">
        <v>1</v>
      </c>
      <c r="F4">
        <f>RAND()</f>
        <v/>
      </c>
      <c r="G4">
        <f>IF(SUMPRODUCT(($F$4:$F$183&lt;F4)*1)+SUMPRODUCT(($F$4:$F$183=F4)*($A$4:$A$183&lt;A4))&lt;Passengers,1,0)</f>
        <v/>
      </c>
      <c r="H4">
        <f>RAND()</f>
        <v/>
      </c>
      <c r="I4">
        <f>RAND()</f>
        <v/>
      </c>
      <c r="J4">
        <f>RAND()</f>
        <v/>
      </c>
      <c r="K4">
        <f>RAND()</f>
        <v/>
      </c>
      <c r="L4">
        <f>RAND()</f>
        <v/>
      </c>
      <c r="M4">
        <f>IF(K4&lt;BagShare,EXP(NORMSINV(L4)*StowSigma+StowMu),StowNoBag)</f>
        <v/>
      </c>
      <c r="N4">
        <f>IF(INDEX($AG$4:$AG$63,E4)&lt;GroupShare,1,0)</f>
        <v/>
      </c>
      <c r="P4">
        <f>IF(G4=1,IF(I4&gt;Compliance,J4,$H4),2)</f>
        <v/>
      </c>
      <c r="Q4">
        <f>IF(G4=0,2,IF(N4=0,P4,1-SUMPRODUCT(MAX(($E$4:$E$183=E4)*($G$4:$G$183=1)*(1-P$4:P$183)))+0.000000001*D4))</f>
        <v/>
      </c>
      <c r="R4">
        <f>IF(G4=0,999,SUMPRODUCT((Q$4:Q$183&lt;Q4)*($G$4:$G$183=1))+SUMPRODUCT((Q$4:Q$183=Q4)*($G$4:$G$183=1)*($A$4:$A$183&lt;A4))+1)</f>
        <v/>
      </c>
      <c r="T4">
        <f>IF(G4=1,IF(I4&gt;Compliance,J4,(INT((30-$B4)/(30/Zones))+$H4)/Zones),2)</f>
        <v/>
      </c>
      <c r="U4">
        <f>IF(G4=0,2,IF(N4=0,T4,1-SUMPRODUCT(MAX(($E$4:$E$183=E4)*($G$4:$G$183=1)*(1-T$4:T$183)))+0.000000001*D4))</f>
        <v/>
      </c>
      <c r="V4">
        <f>IF(G4=0,999,SUMPRODUCT((U$4:U$183&lt;U4)*($G$4:$G$183=1))+SUMPRODUCT((U$4:U$183=U4)*($G$4:$G$183=1)*($A$4:$A$183&lt;A4))+1)</f>
        <v/>
      </c>
      <c r="X4">
        <f>IF(G4=1,IF(I4&gt;Compliance,J4,(($D4-1)+$H4)/3),2)</f>
        <v/>
      </c>
      <c r="Y4">
        <f>IF(G4=0,2,IF(N4=0,X4,1-SUMPRODUCT(MAX(($E$4:$E$183=E4)*($G$4:$G$183=1)*(1-X$4:X$183)))+0.000000001*D4))</f>
        <v/>
      </c>
      <c r="Z4">
        <f>IF(G4=0,999,SUMPRODUCT((Y$4:Y$183&lt;Y4)*($G$4:$G$183=1))+SUMPRODUCT((Y$4:Y$183=Y4)*($G$4:$G$183=1)*($A$4:$A$183&lt;A4))+1)</f>
        <v/>
      </c>
      <c r="AB4">
        <f>IF(G4=1,IF(I4&gt;Compliance,J4,((($D4-1)*4+($C4-1)*2+MOD($B4,2))+(30-$B4)/30)/12),2)</f>
        <v/>
      </c>
      <c r="AC4">
        <f>IF(G4=0,2,IF(N4=0,AB4,1-SUMPRODUCT(MAX(($E$4:$E$183=E4)*($G$4:$G$183=1)*(1-AB$4:AB$183)))+0.000000001*D4))</f>
        <v/>
      </c>
      <c r="AD4">
        <f>IF(G4=0,999,SUMPRODUCT((AC$4:AC$183&lt;AC4)*($G$4:$G$183=1))+SUMPRODUCT((AC$4:AC$183=AC4)*($G$4:$G$183=1)*($A$4:$A$183&lt;A4))+1)</f>
        <v/>
      </c>
      <c r="AF4" t="n">
        <v>1</v>
      </c>
      <c r="AG4">
        <f>RAND()</f>
        <v/>
      </c>
      <c r="AI4" t="n">
        <v>1</v>
      </c>
      <c r="AJ4">
        <f>IF(1&gt;Passengers,"",MATCH(1,R$4:R$183,0))</f>
        <v/>
      </c>
      <c r="AK4">
        <f>IF(AJ4="","",INDEX($B$4:$B$183,AJ4))</f>
        <v/>
      </c>
      <c r="AL4">
        <f>IF(AJ4="","",INDEX($C$4:$C$183,AJ4))</f>
        <v/>
      </c>
      <c r="AM4">
        <f>IF(AJ4="","",INDEX($D$4:$D$183,AJ4))</f>
        <v/>
      </c>
      <c r="AN4">
        <f>IF(AJ4="","",COUNTIFS($B$4:$B$183,AK4,$C$4:$C$183,AL4,$D$4:$D$183,"&gt;"&amp;AM4,R$4:R$183,"&lt;"&amp;1,$G$4:$G$183,1))</f>
        <v/>
      </c>
      <c r="AO4">
        <f>IF(AJ4="","",INDEX($M$4:$M$183,AJ4)+IF(AN4=1,Shuffle1,IF(AN4&gt;=2,Shuffle2,0)))</f>
        <v/>
      </c>
      <c r="AP4">
        <f>IF(AJ4="","",0)</f>
        <v/>
      </c>
      <c r="AQ4">
        <f>IF(AJ4="","",AP4+AO4)</f>
        <v/>
      </c>
      <c r="AR4">
        <f>IF(AJ4="","",AQ4+AK4*WalkSec)</f>
        <v/>
      </c>
      <c r="AS4" t="n">
        <v>1</v>
      </c>
      <c r="AT4">
        <f>IF(1&gt;Passengers,"",MATCH(1,V$4:V$183,0))</f>
        <v/>
      </c>
      <c r="AU4">
        <f>IF(AT4="","",INDEX($B$4:$B$183,AT4))</f>
        <v/>
      </c>
      <c r="AV4">
        <f>IF(AT4="","",INDEX($C$4:$C$183,AT4))</f>
        <v/>
      </c>
      <c r="AW4">
        <f>IF(AT4="","",INDEX($D$4:$D$183,AT4))</f>
        <v/>
      </c>
      <c r="AX4">
        <f>IF(AT4="","",COUNTIFS($B$4:$B$183,AU4,$C$4:$C$183,AV4,$D$4:$D$183,"&gt;"&amp;AW4,V$4:V$183,"&lt;"&amp;1,$G$4:$G$183,1))</f>
        <v/>
      </c>
      <c r="AY4">
        <f>IF(AT4="","",INDEX($M$4:$M$183,AT4)+IF(AX4=1,Shuffle1,IF(AX4&gt;=2,Shuffle2,0)))</f>
        <v/>
      </c>
      <c r="AZ4">
        <f>IF(AT4="","",0)</f>
        <v/>
      </c>
      <c r="BA4">
        <f>IF(AT4="","",AZ4+AY4)</f>
        <v/>
      </c>
      <c r="BB4">
        <f>IF(AT4="","",BA4+AU4*WalkSec)</f>
        <v/>
      </c>
      <c r="BC4" t="n">
        <v>1</v>
      </c>
      <c r="BD4">
        <f>IF(1&gt;Passengers,"",MATCH(1,Z$4:Z$183,0))</f>
        <v/>
      </c>
      <c r="BE4">
        <f>IF(BD4="","",INDEX($B$4:$B$183,BD4))</f>
        <v/>
      </c>
      <c r="BF4">
        <f>IF(BD4="","",INDEX($C$4:$C$183,BD4))</f>
        <v/>
      </c>
      <c r="BG4">
        <f>IF(BD4="","",INDEX($D$4:$D$183,BD4))</f>
        <v/>
      </c>
      <c r="BH4">
        <f>IF(BD4="","",COUNTIFS($B$4:$B$183,BE4,$C$4:$C$183,BF4,$D$4:$D$183,"&gt;"&amp;BG4,Z$4:Z$183,"&lt;"&amp;1,$G$4:$G$183,1))</f>
        <v/>
      </c>
      <c r="BI4">
        <f>IF(BD4="","",INDEX($M$4:$M$183,BD4)+IF(BH4=1,Shuffle1,IF(BH4&gt;=2,Shuffle2,0)))</f>
        <v/>
      </c>
      <c r="BJ4">
        <f>IF(BD4="","",0)</f>
        <v/>
      </c>
      <c r="BK4">
        <f>IF(BD4="","",BJ4+BI4)</f>
        <v/>
      </c>
      <c r="BL4">
        <f>IF(BD4="","",BK4+BE4*WalkSec)</f>
        <v/>
      </c>
      <c r="BM4" t="n">
        <v>1</v>
      </c>
      <c r="BN4">
        <f>IF(1&gt;Passengers,"",MATCH(1,AD$4:AD$183,0))</f>
        <v/>
      </c>
      <c r="BO4">
        <f>IF(BN4="","",INDEX($B$4:$B$183,BN4))</f>
        <v/>
      </c>
      <c r="BP4">
        <f>IF(BN4="","",INDEX($C$4:$C$183,BN4))</f>
        <v/>
      </c>
      <c r="BQ4">
        <f>IF(BN4="","",INDEX($D$4:$D$183,BN4))</f>
        <v/>
      </c>
      <c r="BR4">
        <f>IF(BN4="","",COUNTIFS($B$4:$B$183,BO4,$C$4:$C$183,BP4,$D$4:$D$183,"&gt;"&amp;BQ4,AD$4:AD$183,"&lt;"&amp;1,$G$4:$G$183,1))</f>
        <v/>
      </c>
      <c r="BS4">
        <f>IF(BN4="","",INDEX($M$4:$M$183,BN4)+IF(BR4=1,Shuffle1,IF(BR4&gt;=2,Shuffle2,0)))</f>
        <v/>
      </c>
      <c r="BT4">
        <f>IF(BN4="","",0)</f>
        <v/>
      </c>
      <c r="BU4">
        <f>IF(BN4="","",BT4+BS4)</f>
        <v/>
      </c>
      <c r="BV4">
        <f>IF(BN4="","",BU4+BO4*WalkSec)</f>
        <v/>
      </c>
      <c r="BW4">
        <f>IF($G4=0,"",INDEX(AR$4:AR$183,R4))</f>
        <v/>
      </c>
      <c r="BX4">
        <f>IF($G4=0,"",INDEX(BB$4:BB$183,V4))</f>
        <v/>
      </c>
      <c r="BY4">
        <f>IF($G4=0,"",INDEX(BL$4:BL$183,Z4))</f>
        <v/>
      </c>
      <c r="BZ4">
        <f>IF($G4=0,"",INDEX(BV$4:BV$183,AD4))</f>
        <v/>
      </c>
    </row>
    <row r="5">
      <c r="A5" t="n">
        <v>2</v>
      </c>
      <c r="B5" t="n">
        <v>1</v>
      </c>
      <c r="C5" t="n">
        <v>1</v>
      </c>
      <c r="D5" t="n">
        <v>2</v>
      </c>
      <c r="E5" t="n">
        <v>1</v>
      </c>
      <c r="F5">
        <f>RAND()</f>
        <v/>
      </c>
      <c r="G5">
        <f>IF(SUMPRODUCT(($F$4:$F$183&lt;F5)*1)+SUMPRODUCT(($F$4:$F$183=F5)*($A$4:$A$183&lt;A5))&lt;Passengers,1,0)</f>
        <v/>
      </c>
      <c r="H5">
        <f>RAND()</f>
        <v/>
      </c>
      <c r="I5">
        <f>RAND()</f>
        <v/>
      </c>
      <c r="J5">
        <f>RAND()</f>
        <v/>
      </c>
      <c r="K5">
        <f>RAND()</f>
        <v/>
      </c>
      <c r="L5">
        <f>RAND()</f>
        <v/>
      </c>
      <c r="M5">
        <f>IF(K5&lt;BagShare,EXP(NORMSINV(L5)*StowSigma+StowMu),StowNoBag)</f>
        <v/>
      </c>
      <c r="N5">
        <f>IF(INDEX($AG$4:$AG$63,E5)&lt;GroupShare,1,0)</f>
        <v/>
      </c>
      <c r="P5">
        <f>IF(G5=1,IF(I5&gt;Compliance,J5,$H5),2)</f>
        <v/>
      </c>
      <c r="Q5">
        <f>IF(G5=0,2,IF(N5=0,P5,1-SUMPRODUCT(MAX(($E$4:$E$183=E5)*($G$4:$G$183=1)*(1-P$4:P$183)))+0.000000001*D5))</f>
        <v/>
      </c>
      <c r="R5">
        <f>IF(G5=0,999,SUMPRODUCT((Q$4:Q$183&lt;Q5)*($G$4:$G$183=1))+SUMPRODUCT((Q$4:Q$183=Q5)*($G$4:$G$183=1)*($A$4:$A$183&lt;A5))+1)</f>
        <v/>
      </c>
      <c r="T5">
        <f>IF(G5=1,IF(I5&gt;Compliance,J5,(INT((30-$B5)/(30/Zones))+$H5)/Zones),2)</f>
        <v/>
      </c>
      <c r="U5">
        <f>IF(G5=0,2,IF(N5=0,T5,1-SUMPRODUCT(MAX(($E$4:$E$183=E5)*($G$4:$G$183=1)*(1-T$4:T$183)))+0.000000001*D5))</f>
        <v/>
      </c>
      <c r="V5">
        <f>IF(G5=0,999,SUMPRODUCT((U$4:U$183&lt;U5)*($G$4:$G$183=1))+SUMPRODUCT((U$4:U$183=U5)*($G$4:$G$183=1)*($A$4:$A$183&lt;A5))+1)</f>
        <v/>
      </c>
      <c r="X5">
        <f>IF(G5=1,IF(I5&gt;Compliance,J5,(($D5-1)+$H5)/3),2)</f>
        <v/>
      </c>
      <c r="Y5">
        <f>IF(G5=0,2,IF(N5=0,X5,1-SUMPRODUCT(MAX(($E$4:$E$183=E5)*($G$4:$G$183=1)*(1-X$4:X$183)))+0.000000001*D5))</f>
        <v/>
      </c>
      <c r="Z5">
        <f>IF(G5=0,999,SUMPRODUCT((Y$4:Y$183&lt;Y5)*($G$4:$G$183=1))+SUMPRODUCT((Y$4:Y$183=Y5)*($G$4:$G$183=1)*($A$4:$A$183&lt;A5))+1)</f>
        <v/>
      </c>
      <c r="AB5">
        <f>IF(G5=1,IF(I5&gt;Compliance,J5,((($D5-1)*4+($C5-1)*2+MOD($B5,2))+(30-$B5)/30)/12),2)</f>
        <v/>
      </c>
      <c r="AC5">
        <f>IF(G5=0,2,IF(N5=0,AB5,1-SUMPRODUCT(MAX(($E$4:$E$183=E5)*($G$4:$G$183=1)*(1-AB$4:AB$183)))+0.000000001*D5))</f>
        <v/>
      </c>
      <c r="AD5">
        <f>IF(G5=0,999,SUMPRODUCT((AC$4:AC$183&lt;AC5)*($G$4:$G$183=1))+SUMPRODUCT((AC$4:AC$183=AC5)*($G$4:$G$183=1)*($A$4:$A$183&lt;A5))+1)</f>
        <v/>
      </c>
      <c r="AF5" t="n">
        <v>2</v>
      </c>
      <c r="AG5">
        <f>RAND()</f>
        <v/>
      </c>
      <c r="AI5" t="n">
        <v>2</v>
      </c>
      <c r="AJ5">
        <f>IF(2&gt;Passengers,"",MATCH(2,R$4:R$183,0))</f>
        <v/>
      </c>
      <c r="AK5">
        <f>IF(AJ5="","",INDEX($B$4:$B$183,AJ5))</f>
        <v/>
      </c>
      <c r="AL5">
        <f>IF(AJ5="","",INDEX($C$4:$C$183,AJ5))</f>
        <v/>
      </c>
      <c r="AM5">
        <f>IF(AJ5="","",INDEX($D$4:$D$183,AJ5))</f>
        <v/>
      </c>
      <c r="AN5">
        <f>IF(AJ5="","",COUNTIFS($B$4:$B$183,AK5,$C$4:$C$183,AL5,$D$4:$D$183,"&gt;"&amp;AM5,R$4:R$183,"&lt;"&amp;2,$G$4:$G$183,1))</f>
        <v/>
      </c>
      <c r="AO5">
        <f>IF(AJ5="","",INDEX($M$4:$M$183,AJ5)+IF(AN5=1,Shuffle1,IF(AN5&gt;=2,Shuffle2,0)))</f>
        <v/>
      </c>
      <c r="AP5">
        <f>IF(AJ5="","",MAX(DoorGap*1,SUMPRODUCT(MAX((AK$4:AK4&lt;=AK5)*AQ$4:AQ4)),SUMPRODUCT(MAX((AK$4:AK4&gt;AK5)*AP$4:AP4))+Headway))</f>
        <v/>
      </c>
      <c r="AQ5">
        <f>IF(AJ5="","",AP5+AO5)</f>
        <v/>
      </c>
      <c r="AR5">
        <f>IF(AJ5="","",AQ5+AK5*WalkSec)</f>
        <v/>
      </c>
      <c r="AS5" t="n">
        <v>2</v>
      </c>
      <c r="AT5">
        <f>IF(2&gt;Passengers,"",MATCH(2,V$4:V$183,0))</f>
        <v/>
      </c>
      <c r="AU5">
        <f>IF(AT5="","",INDEX($B$4:$B$183,AT5))</f>
        <v/>
      </c>
      <c r="AV5">
        <f>IF(AT5="","",INDEX($C$4:$C$183,AT5))</f>
        <v/>
      </c>
      <c r="AW5">
        <f>IF(AT5="","",INDEX($D$4:$D$183,AT5))</f>
        <v/>
      </c>
      <c r="AX5">
        <f>IF(AT5="","",COUNTIFS($B$4:$B$183,AU5,$C$4:$C$183,AV5,$D$4:$D$183,"&gt;"&amp;AW5,V$4:V$183,"&lt;"&amp;2,$G$4:$G$183,1))</f>
        <v/>
      </c>
      <c r="AY5">
        <f>IF(AT5="","",INDEX($M$4:$M$183,AT5)+IF(AX5=1,Shuffle1,IF(AX5&gt;=2,Shuffle2,0)))</f>
        <v/>
      </c>
      <c r="AZ5">
        <f>IF(AT5="","",MAX(DoorGap*1,SUMPRODUCT(MAX((AU$4:AU4&lt;=AU5)*BA$4:BA4)),SUMPRODUCT(MAX((AU$4:AU4&gt;AU5)*AZ$4:AZ4))+Headway))</f>
        <v/>
      </c>
      <c r="BA5">
        <f>IF(AT5="","",AZ5+AY5)</f>
        <v/>
      </c>
      <c r="BB5">
        <f>IF(AT5="","",BA5+AU5*WalkSec)</f>
        <v/>
      </c>
      <c r="BC5" t="n">
        <v>2</v>
      </c>
      <c r="BD5">
        <f>IF(2&gt;Passengers,"",MATCH(2,Z$4:Z$183,0))</f>
        <v/>
      </c>
      <c r="BE5">
        <f>IF(BD5="","",INDEX($B$4:$B$183,BD5))</f>
        <v/>
      </c>
      <c r="BF5">
        <f>IF(BD5="","",INDEX($C$4:$C$183,BD5))</f>
        <v/>
      </c>
      <c r="BG5">
        <f>IF(BD5="","",INDEX($D$4:$D$183,BD5))</f>
        <v/>
      </c>
      <c r="BH5">
        <f>IF(BD5="","",COUNTIFS($B$4:$B$183,BE5,$C$4:$C$183,BF5,$D$4:$D$183,"&gt;"&amp;BG5,Z$4:Z$183,"&lt;"&amp;2,$G$4:$G$183,1))</f>
        <v/>
      </c>
      <c r="BI5">
        <f>IF(BD5="","",INDEX($M$4:$M$183,BD5)+IF(BH5=1,Shuffle1,IF(BH5&gt;=2,Shuffle2,0)))</f>
        <v/>
      </c>
      <c r="BJ5">
        <f>IF(BD5="","",MAX(DoorGap*1,SUMPRODUCT(MAX((BE$4:BE4&lt;=BE5)*BK$4:BK4)),SUMPRODUCT(MAX((BE$4:BE4&gt;BE5)*BJ$4:BJ4))+Headway))</f>
        <v/>
      </c>
      <c r="BK5">
        <f>IF(BD5="","",BJ5+BI5)</f>
        <v/>
      </c>
      <c r="BL5">
        <f>IF(BD5="","",BK5+BE5*WalkSec)</f>
        <v/>
      </c>
      <c r="BM5" t="n">
        <v>2</v>
      </c>
      <c r="BN5">
        <f>IF(2&gt;Passengers,"",MATCH(2,AD$4:AD$183,0))</f>
        <v/>
      </c>
      <c r="BO5">
        <f>IF(BN5="","",INDEX($B$4:$B$183,BN5))</f>
        <v/>
      </c>
      <c r="BP5">
        <f>IF(BN5="","",INDEX($C$4:$C$183,BN5))</f>
        <v/>
      </c>
      <c r="BQ5">
        <f>IF(BN5="","",INDEX($D$4:$D$183,BN5))</f>
        <v/>
      </c>
      <c r="BR5">
        <f>IF(BN5="","",COUNTIFS($B$4:$B$183,BO5,$C$4:$C$183,BP5,$D$4:$D$183,"&gt;"&amp;BQ5,AD$4:AD$183,"&lt;"&amp;2,$G$4:$G$183,1))</f>
        <v/>
      </c>
      <c r="BS5">
        <f>IF(BN5="","",INDEX($M$4:$M$183,BN5)+IF(BR5=1,Shuffle1,IF(BR5&gt;=2,Shuffle2,0)))</f>
        <v/>
      </c>
      <c r="BT5">
        <f>IF(BN5="","",MAX(DoorGap*1,SUMPRODUCT(MAX((BO$4:BO4&lt;=BO5)*BU$4:BU4)),SUMPRODUCT(MAX((BO$4:BO4&gt;BO5)*BT$4:BT4))+Headway))</f>
        <v/>
      </c>
      <c r="BU5">
        <f>IF(BN5="","",BT5+BS5)</f>
        <v/>
      </c>
      <c r="BV5">
        <f>IF(BN5="","",BU5+BO5*WalkSec)</f>
        <v/>
      </c>
      <c r="BW5">
        <f>IF($G5=0,"",INDEX(AR$4:AR$183,R5))</f>
        <v/>
      </c>
      <c r="BX5">
        <f>IF($G5=0,"",INDEX(BB$4:BB$183,V5))</f>
        <v/>
      </c>
      <c r="BY5">
        <f>IF($G5=0,"",INDEX(BL$4:BL$183,Z5))</f>
        <v/>
      </c>
      <c r="BZ5">
        <f>IF($G5=0,"",INDEX(BV$4:BV$183,AD5))</f>
        <v/>
      </c>
    </row>
    <row r="6">
      <c r="A6" t="n">
        <v>3</v>
      </c>
      <c r="B6" t="n">
        <v>1</v>
      </c>
      <c r="C6" t="n">
        <v>1</v>
      </c>
      <c r="D6" t="n">
        <v>3</v>
      </c>
      <c r="E6" t="n">
        <v>1</v>
      </c>
      <c r="F6">
        <f>RAND()</f>
        <v/>
      </c>
      <c r="G6">
        <f>IF(SUMPRODUCT(($F$4:$F$183&lt;F6)*1)+SUMPRODUCT(($F$4:$F$183=F6)*($A$4:$A$183&lt;A6))&lt;Passengers,1,0)</f>
        <v/>
      </c>
      <c r="H6">
        <f>RAND()</f>
        <v/>
      </c>
      <c r="I6">
        <f>RAND()</f>
        <v/>
      </c>
      <c r="J6">
        <f>RAND()</f>
        <v/>
      </c>
      <c r="K6">
        <f>RAND()</f>
        <v/>
      </c>
      <c r="L6">
        <f>RAND()</f>
        <v/>
      </c>
      <c r="M6">
        <f>IF(K6&lt;BagShare,EXP(NORMSINV(L6)*StowSigma+StowMu),StowNoBag)</f>
        <v/>
      </c>
      <c r="N6">
        <f>IF(INDEX($AG$4:$AG$63,E6)&lt;GroupShare,1,0)</f>
        <v/>
      </c>
      <c r="P6">
        <f>IF(G6=1,IF(I6&gt;Compliance,J6,$H6),2)</f>
        <v/>
      </c>
      <c r="Q6">
        <f>IF(G6=0,2,IF(N6=0,P6,1-SUMPRODUCT(MAX(($E$4:$E$183=E6)*($G$4:$G$183=1)*(1-P$4:P$183)))+0.000000001*D6))</f>
        <v/>
      </c>
      <c r="R6">
        <f>IF(G6=0,999,SUMPRODUCT((Q$4:Q$183&lt;Q6)*($G$4:$G$183=1))+SUMPRODUCT((Q$4:Q$183=Q6)*($G$4:$G$183=1)*($A$4:$A$183&lt;A6))+1)</f>
        <v/>
      </c>
      <c r="T6">
        <f>IF(G6=1,IF(I6&gt;Compliance,J6,(INT((30-$B6)/(30/Zones))+$H6)/Zones),2)</f>
        <v/>
      </c>
      <c r="U6">
        <f>IF(G6=0,2,IF(N6=0,T6,1-SUMPRODUCT(MAX(($E$4:$E$183=E6)*($G$4:$G$183=1)*(1-T$4:T$183)))+0.000000001*D6))</f>
        <v/>
      </c>
      <c r="V6">
        <f>IF(G6=0,999,SUMPRODUCT((U$4:U$183&lt;U6)*($G$4:$G$183=1))+SUMPRODUCT((U$4:U$183=U6)*($G$4:$G$183=1)*($A$4:$A$183&lt;A6))+1)</f>
        <v/>
      </c>
      <c r="X6">
        <f>IF(G6=1,IF(I6&gt;Compliance,J6,(($D6-1)+$H6)/3),2)</f>
        <v/>
      </c>
      <c r="Y6">
        <f>IF(G6=0,2,IF(N6=0,X6,1-SUMPRODUCT(MAX(($E$4:$E$183=E6)*($G$4:$G$183=1)*(1-X$4:X$183)))+0.000000001*D6))</f>
        <v/>
      </c>
      <c r="Z6">
        <f>IF(G6=0,999,SUMPRODUCT((Y$4:Y$183&lt;Y6)*($G$4:$G$183=1))+SUMPRODUCT((Y$4:Y$183=Y6)*($G$4:$G$183=1)*($A$4:$A$183&lt;A6))+1)</f>
        <v/>
      </c>
      <c r="AB6">
        <f>IF(G6=1,IF(I6&gt;Compliance,J6,((($D6-1)*4+($C6-1)*2+MOD($B6,2))+(30-$B6)/30)/12),2)</f>
        <v/>
      </c>
      <c r="AC6">
        <f>IF(G6=0,2,IF(N6=0,AB6,1-SUMPRODUCT(MAX(($E$4:$E$183=E6)*($G$4:$G$183=1)*(1-AB$4:AB$183)))+0.000000001*D6))</f>
        <v/>
      </c>
      <c r="AD6">
        <f>IF(G6=0,999,SUMPRODUCT((AC$4:AC$183&lt;AC6)*($G$4:$G$183=1))+SUMPRODUCT((AC$4:AC$183=AC6)*($G$4:$G$183=1)*($A$4:$A$183&lt;A6))+1)</f>
        <v/>
      </c>
      <c r="AF6" t="n">
        <v>3</v>
      </c>
      <c r="AG6">
        <f>RAND()</f>
        <v/>
      </c>
      <c r="AI6" t="n">
        <v>3</v>
      </c>
      <c r="AJ6">
        <f>IF(3&gt;Passengers,"",MATCH(3,R$4:R$183,0))</f>
        <v/>
      </c>
      <c r="AK6">
        <f>IF(AJ6="","",INDEX($B$4:$B$183,AJ6))</f>
        <v/>
      </c>
      <c r="AL6">
        <f>IF(AJ6="","",INDEX($C$4:$C$183,AJ6))</f>
        <v/>
      </c>
      <c r="AM6">
        <f>IF(AJ6="","",INDEX($D$4:$D$183,AJ6))</f>
        <v/>
      </c>
      <c r="AN6">
        <f>IF(AJ6="","",COUNTIFS($B$4:$B$183,AK6,$C$4:$C$183,AL6,$D$4:$D$183,"&gt;"&amp;AM6,R$4:R$183,"&lt;"&amp;3,$G$4:$G$183,1))</f>
        <v/>
      </c>
      <c r="AO6">
        <f>IF(AJ6="","",INDEX($M$4:$M$183,AJ6)+IF(AN6=1,Shuffle1,IF(AN6&gt;=2,Shuffle2,0)))</f>
        <v/>
      </c>
      <c r="AP6">
        <f>IF(AJ6="","",MAX(DoorGap*2,SUMPRODUCT(MAX((AK$4:AK5&lt;=AK6)*AQ$4:AQ5)),SUMPRODUCT(MAX((AK$4:AK5&gt;AK6)*AP$4:AP5))+Headway))</f>
        <v/>
      </c>
      <c r="AQ6">
        <f>IF(AJ6="","",AP6+AO6)</f>
        <v/>
      </c>
      <c r="AR6">
        <f>IF(AJ6="","",AQ6+AK6*WalkSec)</f>
        <v/>
      </c>
      <c r="AS6" t="n">
        <v>3</v>
      </c>
      <c r="AT6">
        <f>IF(3&gt;Passengers,"",MATCH(3,V$4:V$183,0))</f>
        <v/>
      </c>
      <c r="AU6">
        <f>IF(AT6="","",INDEX($B$4:$B$183,AT6))</f>
        <v/>
      </c>
      <c r="AV6">
        <f>IF(AT6="","",INDEX($C$4:$C$183,AT6))</f>
        <v/>
      </c>
      <c r="AW6">
        <f>IF(AT6="","",INDEX($D$4:$D$183,AT6))</f>
        <v/>
      </c>
      <c r="AX6">
        <f>IF(AT6="","",COUNTIFS($B$4:$B$183,AU6,$C$4:$C$183,AV6,$D$4:$D$183,"&gt;"&amp;AW6,V$4:V$183,"&lt;"&amp;3,$G$4:$G$183,1))</f>
        <v/>
      </c>
      <c r="AY6">
        <f>IF(AT6="","",INDEX($M$4:$M$183,AT6)+IF(AX6=1,Shuffle1,IF(AX6&gt;=2,Shuffle2,0)))</f>
        <v/>
      </c>
      <c r="AZ6">
        <f>IF(AT6="","",MAX(DoorGap*2,SUMPRODUCT(MAX((AU$4:AU5&lt;=AU6)*BA$4:BA5)),SUMPRODUCT(MAX((AU$4:AU5&gt;AU6)*AZ$4:AZ5))+Headway))</f>
        <v/>
      </c>
      <c r="BA6">
        <f>IF(AT6="","",AZ6+AY6)</f>
        <v/>
      </c>
      <c r="BB6">
        <f>IF(AT6="","",BA6+AU6*WalkSec)</f>
        <v/>
      </c>
      <c r="BC6" t="n">
        <v>3</v>
      </c>
      <c r="BD6">
        <f>IF(3&gt;Passengers,"",MATCH(3,Z$4:Z$183,0))</f>
        <v/>
      </c>
      <c r="BE6">
        <f>IF(BD6="","",INDEX($B$4:$B$183,BD6))</f>
        <v/>
      </c>
      <c r="BF6">
        <f>IF(BD6="","",INDEX($C$4:$C$183,BD6))</f>
        <v/>
      </c>
      <c r="BG6">
        <f>IF(BD6="","",INDEX($D$4:$D$183,BD6))</f>
        <v/>
      </c>
      <c r="BH6">
        <f>IF(BD6="","",COUNTIFS($B$4:$B$183,BE6,$C$4:$C$183,BF6,$D$4:$D$183,"&gt;"&amp;BG6,Z$4:Z$183,"&lt;"&amp;3,$G$4:$G$183,1))</f>
        <v/>
      </c>
      <c r="BI6">
        <f>IF(BD6="","",INDEX($M$4:$M$183,BD6)+IF(BH6=1,Shuffle1,IF(BH6&gt;=2,Shuffle2,0)))</f>
        <v/>
      </c>
      <c r="BJ6">
        <f>IF(BD6="","",MAX(DoorGap*2,SUMPRODUCT(MAX((BE$4:BE5&lt;=BE6)*BK$4:BK5)),SUMPRODUCT(MAX((BE$4:BE5&gt;BE6)*BJ$4:BJ5))+Headway))</f>
        <v/>
      </c>
      <c r="BK6">
        <f>IF(BD6="","",BJ6+BI6)</f>
        <v/>
      </c>
      <c r="BL6">
        <f>IF(BD6="","",BK6+BE6*WalkSec)</f>
        <v/>
      </c>
      <c r="BM6" t="n">
        <v>3</v>
      </c>
      <c r="BN6">
        <f>IF(3&gt;Passengers,"",MATCH(3,AD$4:AD$183,0))</f>
        <v/>
      </c>
      <c r="BO6">
        <f>IF(BN6="","",INDEX($B$4:$B$183,BN6))</f>
        <v/>
      </c>
      <c r="BP6">
        <f>IF(BN6="","",INDEX($C$4:$C$183,BN6))</f>
        <v/>
      </c>
      <c r="BQ6">
        <f>IF(BN6="","",INDEX($D$4:$D$183,BN6))</f>
        <v/>
      </c>
      <c r="BR6">
        <f>IF(BN6="","",COUNTIFS($B$4:$B$183,BO6,$C$4:$C$183,BP6,$D$4:$D$183,"&gt;"&amp;BQ6,AD$4:AD$183,"&lt;"&amp;3,$G$4:$G$183,1))</f>
        <v/>
      </c>
      <c r="BS6">
        <f>IF(BN6="","",INDEX($M$4:$M$183,BN6)+IF(BR6=1,Shuffle1,IF(BR6&gt;=2,Shuffle2,0)))</f>
        <v/>
      </c>
      <c r="BT6">
        <f>IF(BN6="","",MAX(DoorGap*2,SUMPRODUCT(MAX((BO$4:BO5&lt;=BO6)*BU$4:BU5)),SUMPRODUCT(MAX((BO$4:BO5&gt;BO6)*BT$4:BT5))+Headway))</f>
        <v/>
      </c>
      <c r="BU6">
        <f>IF(BN6="","",BT6+BS6)</f>
        <v/>
      </c>
      <c r="BV6">
        <f>IF(BN6="","",BU6+BO6*WalkSec)</f>
        <v/>
      </c>
      <c r="BW6">
        <f>IF($G6=0,"",INDEX(AR$4:AR$183,R6))</f>
        <v/>
      </c>
      <c r="BX6">
        <f>IF($G6=0,"",INDEX(BB$4:BB$183,V6))</f>
        <v/>
      </c>
      <c r="BY6">
        <f>IF($G6=0,"",INDEX(BL$4:BL$183,Z6))</f>
        <v/>
      </c>
      <c r="BZ6">
        <f>IF($G6=0,"",INDEX(BV$4:BV$183,AD6))</f>
        <v/>
      </c>
    </row>
    <row r="7">
      <c r="A7" t="n">
        <v>4</v>
      </c>
      <c r="B7" t="n">
        <v>1</v>
      </c>
      <c r="C7" t="n">
        <v>2</v>
      </c>
      <c r="D7" t="n">
        <v>1</v>
      </c>
      <c r="E7" t="n">
        <v>2</v>
      </c>
      <c r="F7">
        <f>RAND()</f>
        <v/>
      </c>
      <c r="G7">
        <f>IF(SUMPRODUCT(($F$4:$F$183&lt;F7)*1)+SUMPRODUCT(($F$4:$F$183=F7)*($A$4:$A$183&lt;A7))&lt;Passengers,1,0)</f>
        <v/>
      </c>
      <c r="H7">
        <f>RAND()</f>
        <v/>
      </c>
      <c r="I7">
        <f>RAND()</f>
        <v/>
      </c>
      <c r="J7">
        <f>RAND()</f>
        <v/>
      </c>
      <c r="K7">
        <f>RAND()</f>
        <v/>
      </c>
      <c r="L7">
        <f>RAND()</f>
        <v/>
      </c>
      <c r="M7">
        <f>IF(K7&lt;BagShare,EXP(NORMSINV(L7)*StowSigma+StowMu),StowNoBag)</f>
        <v/>
      </c>
      <c r="N7">
        <f>IF(INDEX($AG$4:$AG$63,E7)&lt;GroupShare,1,0)</f>
        <v/>
      </c>
      <c r="P7">
        <f>IF(G7=1,IF(I7&gt;Compliance,J7,$H7),2)</f>
        <v/>
      </c>
      <c r="Q7">
        <f>IF(G7=0,2,IF(N7=0,P7,1-SUMPRODUCT(MAX(($E$4:$E$183=E7)*($G$4:$G$183=1)*(1-P$4:P$183)))+0.000000001*D7))</f>
        <v/>
      </c>
      <c r="R7">
        <f>IF(G7=0,999,SUMPRODUCT((Q$4:Q$183&lt;Q7)*($G$4:$G$183=1))+SUMPRODUCT((Q$4:Q$183=Q7)*($G$4:$G$183=1)*($A$4:$A$183&lt;A7))+1)</f>
        <v/>
      </c>
      <c r="T7">
        <f>IF(G7=1,IF(I7&gt;Compliance,J7,(INT((30-$B7)/(30/Zones))+$H7)/Zones),2)</f>
        <v/>
      </c>
      <c r="U7">
        <f>IF(G7=0,2,IF(N7=0,T7,1-SUMPRODUCT(MAX(($E$4:$E$183=E7)*($G$4:$G$183=1)*(1-T$4:T$183)))+0.000000001*D7))</f>
        <v/>
      </c>
      <c r="V7">
        <f>IF(G7=0,999,SUMPRODUCT((U$4:U$183&lt;U7)*($G$4:$G$183=1))+SUMPRODUCT((U$4:U$183=U7)*($G$4:$G$183=1)*($A$4:$A$183&lt;A7))+1)</f>
        <v/>
      </c>
      <c r="X7">
        <f>IF(G7=1,IF(I7&gt;Compliance,J7,(($D7-1)+$H7)/3),2)</f>
        <v/>
      </c>
      <c r="Y7">
        <f>IF(G7=0,2,IF(N7=0,X7,1-SUMPRODUCT(MAX(($E$4:$E$183=E7)*($G$4:$G$183=1)*(1-X$4:X$183)))+0.000000001*D7))</f>
        <v/>
      </c>
      <c r="Z7">
        <f>IF(G7=0,999,SUMPRODUCT((Y$4:Y$183&lt;Y7)*($G$4:$G$183=1))+SUMPRODUCT((Y$4:Y$183=Y7)*($G$4:$G$183=1)*($A$4:$A$183&lt;A7))+1)</f>
        <v/>
      </c>
      <c r="AB7">
        <f>IF(G7=1,IF(I7&gt;Compliance,J7,((($D7-1)*4+($C7-1)*2+MOD($B7,2))+(30-$B7)/30)/12),2)</f>
        <v/>
      </c>
      <c r="AC7">
        <f>IF(G7=0,2,IF(N7=0,AB7,1-SUMPRODUCT(MAX(($E$4:$E$183=E7)*($G$4:$G$183=1)*(1-AB$4:AB$183)))+0.000000001*D7))</f>
        <v/>
      </c>
      <c r="AD7">
        <f>IF(G7=0,999,SUMPRODUCT((AC$4:AC$183&lt;AC7)*($G$4:$G$183=1))+SUMPRODUCT((AC$4:AC$183=AC7)*($G$4:$G$183=1)*($A$4:$A$183&lt;A7))+1)</f>
        <v/>
      </c>
      <c r="AF7" t="n">
        <v>4</v>
      </c>
      <c r="AG7">
        <f>RAND()</f>
        <v/>
      </c>
      <c r="AI7" t="n">
        <v>4</v>
      </c>
      <c r="AJ7">
        <f>IF(4&gt;Passengers,"",MATCH(4,R$4:R$183,0))</f>
        <v/>
      </c>
      <c r="AK7">
        <f>IF(AJ7="","",INDEX($B$4:$B$183,AJ7))</f>
        <v/>
      </c>
      <c r="AL7">
        <f>IF(AJ7="","",INDEX($C$4:$C$183,AJ7))</f>
        <v/>
      </c>
      <c r="AM7">
        <f>IF(AJ7="","",INDEX($D$4:$D$183,AJ7))</f>
        <v/>
      </c>
      <c r="AN7">
        <f>IF(AJ7="","",COUNTIFS($B$4:$B$183,AK7,$C$4:$C$183,AL7,$D$4:$D$183,"&gt;"&amp;AM7,R$4:R$183,"&lt;"&amp;4,$G$4:$G$183,1))</f>
        <v/>
      </c>
      <c r="AO7">
        <f>IF(AJ7="","",INDEX($M$4:$M$183,AJ7)+IF(AN7=1,Shuffle1,IF(AN7&gt;=2,Shuffle2,0)))</f>
        <v/>
      </c>
      <c r="AP7">
        <f>IF(AJ7="","",MAX(DoorGap*3,SUMPRODUCT(MAX((AK$4:AK6&lt;=AK7)*AQ$4:AQ6)),SUMPRODUCT(MAX((AK$4:AK6&gt;AK7)*AP$4:AP6))+Headway))</f>
        <v/>
      </c>
      <c r="AQ7">
        <f>IF(AJ7="","",AP7+AO7)</f>
        <v/>
      </c>
      <c r="AR7">
        <f>IF(AJ7="","",AQ7+AK7*WalkSec)</f>
        <v/>
      </c>
      <c r="AS7" t="n">
        <v>4</v>
      </c>
      <c r="AT7">
        <f>IF(4&gt;Passengers,"",MATCH(4,V$4:V$183,0))</f>
        <v/>
      </c>
      <c r="AU7">
        <f>IF(AT7="","",INDEX($B$4:$B$183,AT7))</f>
        <v/>
      </c>
      <c r="AV7">
        <f>IF(AT7="","",INDEX($C$4:$C$183,AT7))</f>
        <v/>
      </c>
      <c r="AW7">
        <f>IF(AT7="","",INDEX($D$4:$D$183,AT7))</f>
        <v/>
      </c>
      <c r="AX7">
        <f>IF(AT7="","",COUNTIFS($B$4:$B$183,AU7,$C$4:$C$183,AV7,$D$4:$D$183,"&gt;"&amp;AW7,V$4:V$183,"&lt;"&amp;4,$G$4:$G$183,1))</f>
        <v/>
      </c>
      <c r="AY7">
        <f>IF(AT7="","",INDEX($M$4:$M$183,AT7)+IF(AX7=1,Shuffle1,IF(AX7&gt;=2,Shuffle2,0)))</f>
        <v/>
      </c>
      <c r="AZ7">
        <f>IF(AT7="","",MAX(DoorGap*3,SUMPRODUCT(MAX((AU$4:AU6&lt;=AU7)*BA$4:BA6)),SUMPRODUCT(MAX((AU$4:AU6&gt;AU7)*AZ$4:AZ6))+Headway))</f>
        <v/>
      </c>
      <c r="BA7">
        <f>IF(AT7="","",AZ7+AY7)</f>
        <v/>
      </c>
      <c r="BB7">
        <f>IF(AT7="","",BA7+AU7*WalkSec)</f>
        <v/>
      </c>
      <c r="BC7" t="n">
        <v>4</v>
      </c>
      <c r="BD7">
        <f>IF(4&gt;Passengers,"",MATCH(4,Z$4:Z$183,0))</f>
        <v/>
      </c>
      <c r="BE7">
        <f>IF(BD7="","",INDEX($B$4:$B$183,BD7))</f>
        <v/>
      </c>
      <c r="BF7">
        <f>IF(BD7="","",INDEX($C$4:$C$183,BD7))</f>
        <v/>
      </c>
      <c r="BG7">
        <f>IF(BD7="","",INDEX($D$4:$D$183,BD7))</f>
        <v/>
      </c>
      <c r="BH7">
        <f>IF(BD7="","",COUNTIFS($B$4:$B$183,BE7,$C$4:$C$183,BF7,$D$4:$D$183,"&gt;"&amp;BG7,Z$4:Z$183,"&lt;"&amp;4,$G$4:$G$183,1))</f>
        <v/>
      </c>
      <c r="BI7">
        <f>IF(BD7="","",INDEX($M$4:$M$183,BD7)+IF(BH7=1,Shuffle1,IF(BH7&gt;=2,Shuffle2,0)))</f>
        <v/>
      </c>
      <c r="BJ7">
        <f>IF(BD7="","",MAX(DoorGap*3,SUMPRODUCT(MAX((BE$4:BE6&lt;=BE7)*BK$4:BK6)),SUMPRODUCT(MAX((BE$4:BE6&gt;BE7)*BJ$4:BJ6))+Headway))</f>
        <v/>
      </c>
      <c r="BK7">
        <f>IF(BD7="","",BJ7+BI7)</f>
        <v/>
      </c>
      <c r="BL7">
        <f>IF(BD7="","",BK7+BE7*WalkSec)</f>
        <v/>
      </c>
      <c r="BM7" t="n">
        <v>4</v>
      </c>
      <c r="BN7">
        <f>IF(4&gt;Passengers,"",MATCH(4,AD$4:AD$183,0))</f>
        <v/>
      </c>
      <c r="BO7">
        <f>IF(BN7="","",INDEX($B$4:$B$183,BN7))</f>
        <v/>
      </c>
      <c r="BP7">
        <f>IF(BN7="","",INDEX($C$4:$C$183,BN7))</f>
        <v/>
      </c>
      <c r="BQ7">
        <f>IF(BN7="","",INDEX($D$4:$D$183,BN7))</f>
        <v/>
      </c>
      <c r="BR7">
        <f>IF(BN7="","",COUNTIFS($B$4:$B$183,BO7,$C$4:$C$183,BP7,$D$4:$D$183,"&gt;"&amp;BQ7,AD$4:AD$183,"&lt;"&amp;4,$G$4:$G$183,1))</f>
        <v/>
      </c>
      <c r="BS7">
        <f>IF(BN7="","",INDEX($M$4:$M$183,BN7)+IF(BR7=1,Shuffle1,IF(BR7&gt;=2,Shuffle2,0)))</f>
        <v/>
      </c>
      <c r="BT7">
        <f>IF(BN7="","",MAX(DoorGap*3,SUMPRODUCT(MAX((BO$4:BO6&lt;=BO7)*BU$4:BU6)),SUMPRODUCT(MAX((BO$4:BO6&gt;BO7)*BT$4:BT6))+Headway))</f>
        <v/>
      </c>
      <c r="BU7">
        <f>IF(BN7="","",BT7+BS7)</f>
        <v/>
      </c>
      <c r="BV7">
        <f>IF(BN7="","",BU7+BO7*WalkSec)</f>
        <v/>
      </c>
      <c r="BW7">
        <f>IF($G7=0,"",INDEX(AR$4:AR$183,R7))</f>
        <v/>
      </c>
      <c r="BX7">
        <f>IF($G7=0,"",INDEX(BB$4:BB$183,V7))</f>
        <v/>
      </c>
      <c r="BY7">
        <f>IF($G7=0,"",INDEX(BL$4:BL$183,Z7))</f>
        <v/>
      </c>
      <c r="BZ7">
        <f>IF($G7=0,"",INDEX(BV$4:BV$183,AD7))</f>
        <v/>
      </c>
    </row>
    <row r="8">
      <c r="A8" t="n">
        <v>5</v>
      </c>
      <c r="B8" t="n">
        <v>1</v>
      </c>
      <c r="C8" t="n">
        <v>2</v>
      </c>
      <c r="D8" t="n">
        <v>2</v>
      </c>
      <c r="E8" t="n">
        <v>2</v>
      </c>
      <c r="F8">
        <f>RAND()</f>
        <v/>
      </c>
      <c r="G8">
        <f>IF(SUMPRODUCT(($F$4:$F$183&lt;F8)*1)+SUMPRODUCT(($F$4:$F$183=F8)*($A$4:$A$183&lt;A8))&lt;Passengers,1,0)</f>
        <v/>
      </c>
      <c r="H8">
        <f>RAND()</f>
        <v/>
      </c>
      <c r="I8">
        <f>RAND()</f>
        <v/>
      </c>
      <c r="J8">
        <f>RAND()</f>
        <v/>
      </c>
      <c r="K8">
        <f>RAND()</f>
        <v/>
      </c>
      <c r="L8">
        <f>RAND()</f>
        <v/>
      </c>
      <c r="M8">
        <f>IF(K8&lt;BagShare,EXP(NORMSINV(L8)*StowSigma+StowMu),StowNoBag)</f>
        <v/>
      </c>
      <c r="N8">
        <f>IF(INDEX($AG$4:$AG$63,E8)&lt;GroupShare,1,0)</f>
        <v/>
      </c>
      <c r="P8">
        <f>IF(G8=1,IF(I8&gt;Compliance,J8,$H8),2)</f>
        <v/>
      </c>
      <c r="Q8">
        <f>IF(G8=0,2,IF(N8=0,P8,1-SUMPRODUCT(MAX(($E$4:$E$183=E8)*($G$4:$G$183=1)*(1-P$4:P$183)))+0.000000001*D8))</f>
        <v/>
      </c>
      <c r="R8">
        <f>IF(G8=0,999,SUMPRODUCT((Q$4:Q$183&lt;Q8)*($G$4:$G$183=1))+SUMPRODUCT((Q$4:Q$183=Q8)*($G$4:$G$183=1)*($A$4:$A$183&lt;A8))+1)</f>
        <v/>
      </c>
      <c r="T8">
        <f>IF(G8=1,IF(I8&gt;Compliance,J8,(INT((30-$B8)/(30/Zones))+$H8)/Zones),2)</f>
        <v/>
      </c>
      <c r="U8">
        <f>IF(G8=0,2,IF(N8=0,T8,1-SUMPRODUCT(MAX(($E$4:$E$183=E8)*($G$4:$G$183=1)*(1-T$4:T$183)))+0.000000001*D8))</f>
        <v/>
      </c>
      <c r="V8">
        <f>IF(G8=0,999,SUMPRODUCT((U$4:U$183&lt;U8)*($G$4:$G$183=1))+SUMPRODUCT((U$4:U$183=U8)*($G$4:$G$183=1)*($A$4:$A$183&lt;A8))+1)</f>
        <v/>
      </c>
      <c r="X8">
        <f>IF(G8=1,IF(I8&gt;Compliance,J8,(($D8-1)+$H8)/3),2)</f>
        <v/>
      </c>
      <c r="Y8">
        <f>IF(G8=0,2,IF(N8=0,X8,1-SUMPRODUCT(MAX(($E$4:$E$183=E8)*($G$4:$G$183=1)*(1-X$4:X$183)))+0.000000001*D8))</f>
        <v/>
      </c>
      <c r="Z8">
        <f>IF(G8=0,999,SUMPRODUCT((Y$4:Y$183&lt;Y8)*($G$4:$G$183=1))+SUMPRODUCT((Y$4:Y$183=Y8)*($G$4:$G$183=1)*($A$4:$A$183&lt;A8))+1)</f>
        <v/>
      </c>
      <c r="AB8">
        <f>IF(G8=1,IF(I8&gt;Compliance,J8,((($D8-1)*4+($C8-1)*2+MOD($B8,2))+(30-$B8)/30)/12),2)</f>
        <v/>
      </c>
      <c r="AC8">
        <f>IF(G8=0,2,IF(N8=0,AB8,1-SUMPRODUCT(MAX(($E$4:$E$183=E8)*($G$4:$G$183=1)*(1-AB$4:AB$183)))+0.000000001*D8))</f>
        <v/>
      </c>
      <c r="AD8">
        <f>IF(G8=0,999,SUMPRODUCT((AC$4:AC$183&lt;AC8)*($G$4:$G$183=1))+SUMPRODUCT((AC$4:AC$183=AC8)*($G$4:$G$183=1)*($A$4:$A$183&lt;A8))+1)</f>
        <v/>
      </c>
      <c r="AF8" t="n">
        <v>5</v>
      </c>
      <c r="AG8">
        <f>RAND()</f>
        <v/>
      </c>
      <c r="AI8" t="n">
        <v>5</v>
      </c>
      <c r="AJ8">
        <f>IF(5&gt;Passengers,"",MATCH(5,R$4:R$183,0))</f>
        <v/>
      </c>
      <c r="AK8">
        <f>IF(AJ8="","",INDEX($B$4:$B$183,AJ8))</f>
        <v/>
      </c>
      <c r="AL8">
        <f>IF(AJ8="","",INDEX($C$4:$C$183,AJ8))</f>
        <v/>
      </c>
      <c r="AM8">
        <f>IF(AJ8="","",INDEX($D$4:$D$183,AJ8))</f>
        <v/>
      </c>
      <c r="AN8">
        <f>IF(AJ8="","",COUNTIFS($B$4:$B$183,AK8,$C$4:$C$183,AL8,$D$4:$D$183,"&gt;"&amp;AM8,R$4:R$183,"&lt;"&amp;5,$G$4:$G$183,1))</f>
        <v/>
      </c>
      <c r="AO8">
        <f>IF(AJ8="","",INDEX($M$4:$M$183,AJ8)+IF(AN8=1,Shuffle1,IF(AN8&gt;=2,Shuffle2,0)))</f>
        <v/>
      </c>
      <c r="AP8">
        <f>IF(AJ8="","",MAX(DoorGap*4,SUMPRODUCT(MAX((AK$4:AK7&lt;=AK8)*AQ$4:AQ7)),SUMPRODUCT(MAX((AK$4:AK7&gt;AK8)*AP$4:AP7))+Headway))</f>
        <v/>
      </c>
      <c r="AQ8">
        <f>IF(AJ8="","",AP8+AO8)</f>
        <v/>
      </c>
      <c r="AR8">
        <f>IF(AJ8="","",AQ8+AK8*WalkSec)</f>
        <v/>
      </c>
      <c r="AS8" t="n">
        <v>5</v>
      </c>
      <c r="AT8">
        <f>IF(5&gt;Passengers,"",MATCH(5,V$4:V$183,0))</f>
        <v/>
      </c>
      <c r="AU8">
        <f>IF(AT8="","",INDEX($B$4:$B$183,AT8))</f>
        <v/>
      </c>
      <c r="AV8">
        <f>IF(AT8="","",INDEX($C$4:$C$183,AT8))</f>
        <v/>
      </c>
      <c r="AW8">
        <f>IF(AT8="","",INDEX($D$4:$D$183,AT8))</f>
        <v/>
      </c>
      <c r="AX8">
        <f>IF(AT8="","",COUNTIFS($B$4:$B$183,AU8,$C$4:$C$183,AV8,$D$4:$D$183,"&gt;"&amp;AW8,V$4:V$183,"&lt;"&amp;5,$G$4:$G$183,1))</f>
        <v/>
      </c>
      <c r="AY8">
        <f>IF(AT8="","",INDEX($M$4:$M$183,AT8)+IF(AX8=1,Shuffle1,IF(AX8&gt;=2,Shuffle2,0)))</f>
        <v/>
      </c>
      <c r="AZ8">
        <f>IF(AT8="","",MAX(DoorGap*4,SUMPRODUCT(MAX((AU$4:AU7&lt;=AU8)*BA$4:BA7)),SUMPRODUCT(MAX((AU$4:AU7&gt;AU8)*AZ$4:AZ7))+Headway))</f>
        <v/>
      </c>
      <c r="BA8">
        <f>IF(AT8="","",AZ8+AY8)</f>
        <v/>
      </c>
      <c r="BB8">
        <f>IF(AT8="","",BA8+AU8*WalkSec)</f>
        <v/>
      </c>
      <c r="BC8" t="n">
        <v>5</v>
      </c>
      <c r="BD8">
        <f>IF(5&gt;Passengers,"",MATCH(5,Z$4:Z$183,0))</f>
        <v/>
      </c>
      <c r="BE8">
        <f>IF(BD8="","",INDEX($B$4:$B$183,BD8))</f>
        <v/>
      </c>
      <c r="BF8">
        <f>IF(BD8="","",INDEX($C$4:$C$183,BD8))</f>
        <v/>
      </c>
      <c r="BG8">
        <f>IF(BD8="","",INDEX($D$4:$D$183,BD8))</f>
        <v/>
      </c>
      <c r="BH8">
        <f>IF(BD8="","",COUNTIFS($B$4:$B$183,BE8,$C$4:$C$183,BF8,$D$4:$D$183,"&gt;"&amp;BG8,Z$4:Z$183,"&lt;"&amp;5,$G$4:$G$183,1))</f>
        <v/>
      </c>
      <c r="BI8">
        <f>IF(BD8="","",INDEX($M$4:$M$183,BD8)+IF(BH8=1,Shuffle1,IF(BH8&gt;=2,Shuffle2,0)))</f>
        <v/>
      </c>
      <c r="BJ8">
        <f>IF(BD8="","",MAX(DoorGap*4,SUMPRODUCT(MAX((BE$4:BE7&lt;=BE8)*BK$4:BK7)),SUMPRODUCT(MAX((BE$4:BE7&gt;BE8)*BJ$4:BJ7))+Headway))</f>
        <v/>
      </c>
      <c r="BK8">
        <f>IF(BD8="","",BJ8+BI8)</f>
        <v/>
      </c>
      <c r="BL8">
        <f>IF(BD8="","",BK8+BE8*WalkSec)</f>
        <v/>
      </c>
      <c r="BM8" t="n">
        <v>5</v>
      </c>
      <c r="BN8">
        <f>IF(5&gt;Passengers,"",MATCH(5,AD$4:AD$183,0))</f>
        <v/>
      </c>
      <c r="BO8">
        <f>IF(BN8="","",INDEX($B$4:$B$183,BN8))</f>
        <v/>
      </c>
      <c r="BP8">
        <f>IF(BN8="","",INDEX($C$4:$C$183,BN8))</f>
        <v/>
      </c>
      <c r="BQ8">
        <f>IF(BN8="","",INDEX($D$4:$D$183,BN8))</f>
        <v/>
      </c>
      <c r="BR8">
        <f>IF(BN8="","",COUNTIFS($B$4:$B$183,BO8,$C$4:$C$183,BP8,$D$4:$D$183,"&gt;"&amp;BQ8,AD$4:AD$183,"&lt;"&amp;5,$G$4:$G$183,1))</f>
        <v/>
      </c>
      <c r="BS8">
        <f>IF(BN8="","",INDEX($M$4:$M$183,BN8)+IF(BR8=1,Shuffle1,IF(BR8&gt;=2,Shuffle2,0)))</f>
        <v/>
      </c>
      <c r="BT8">
        <f>IF(BN8="","",MAX(DoorGap*4,SUMPRODUCT(MAX((BO$4:BO7&lt;=BO8)*BU$4:BU7)),SUMPRODUCT(MAX((BO$4:BO7&gt;BO8)*BT$4:BT7))+Headway))</f>
        <v/>
      </c>
      <c r="BU8">
        <f>IF(BN8="","",BT8+BS8)</f>
        <v/>
      </c>
      <c r="BV8">
        <f>IF(BN8="","",BU8+BO8*WalkSec)</f>
        <v/>
      </c>
      <c r="BW8">
        <f>IF($G8=0,"",INDEX(AR$4:AR$183,R8))</f>
        <v/>
      </c>
      <c r="BX8">
        <f>IF($G8=0,"",INDEX(BB$4:BB$183,V8))</f>
        <v/>
      </c>
      <c r="BY8">
        <f>IF($G8=0,"",INDEX(BL$4:BL$183,Z8))</f>
        <v/>
      </c>
      <c r="BZ8">
        <f>IF($G8=0,"",INDEX(BV$4:BV$183,AD8))</f>
        <v/>
      </c>
    </row>
    <row r="9">
      <c r="A9" t="n">
        <v>6</v>
      </c>
      <c r="B9" t="n">
        <v>1</v>
      </c>
      <c r="C9" t="n">
        <v>2</v>
      </c>
      <c r="D9" t="n">
        <v>3</v>
      </c>
      <c r="E9" t="n">
        <v>2</v>
      </c>
      <c r="F9">
        <f>RAND()</f>
        <v/>
      </c>
      <c r="G9">
        <f>IF(SUMPRODUCT(($F$4:$F$183&lt;F9)*1)+SUMPRODUCT(($F$4:$F$183=F9)*($A$4:$A$183&lt;A9))&lt;Passengers,1,0)</f>
        <v/>
      </c>
      <c r="H9">
        <f>RAND()</f>
        <v/>
      </c>
      <c r="I9">
        <f>RAND()</f>
        <v/>
      </c>
      <c r="J9">
        <f>RAND()</f>
        <v/>
      </c>
      <c r="K9">
        <f>RAND()</f>
        <v/>
      </c>
      <c r="L9">
        <f>RAND()</f>
        <v/>
      </c>
      <c r="M9">
        <f>IF(K9&lt;BagShare,EXP(NORMSINV(L9)*StowSigma+StowMu),StowNoBag)</f>
        <v/>
      </c>
      <c r="N9">
        <f>IF(INDEX($AG$4:$AG$63,E9)&lt;GroupShare,1,0)</f>
        <v/>
      </c>
      <c r="P9">
        <f>IF(G9=1,IF(I9&gt;Compliance,J9,$H9),2)</f>
        <v/>
      </c>
      <c r="Q9">
        <f>IF(G9=0,2,IF(N9=0,P9,1-SUMPRODUCT(MAX(($E$4:$E$183=E9)*($G$4:$G$183=1)*(1-P$4:P$183)))+0.000000001*D9))</f>
        <v/>
      </c>
      <c r="R9">
        <f>IF(G9=0,999,SUMPRODUCT((Q$4:Q$183&lt;Q9)*($G$4:$G$183=1))+SUMPRODUCT((Q$4:Q$183=Q9)*($G$4:$G$183=1)*($A$4:$A$183&lt;A9))+1)</f>
        <v/>
      </c>
      <c r="T9">
        <f>IF(G9=1,IF(I9&gt;Compliance,J9,(INT((30-$B9)/(30/Zones))+$H9)/Zones),2)</f>
        <v/>
      </c>
      <c r="U9">
        <f>IF(G9=0,2,IF(N9=0,T9,1-SUMPRODUCT(MAX(($E$4:$E$183=E9)*($G$4:$G$183=1)*(1-T$4:T$183)))+0.000000001*D9))</f>
        <v/>
      </c>
      <c r="V9">
        <f>IF(G9=0,999,SUMPRODUCT((U$4:U$183&lt;U9)*($G$4:$G$183=1))+SUMPRODUCT((U$4:U$183=U9)*($G$4:$G$183=1)*($A$4:$A$183&lt;A9))+1)</f>
        <v/>
      </c>
      <c r="X9">
        <f>IF(G9=1,IF(I9&gt;Compliance,J9,(($D9-1)+$H9)/3),2)</f>
        <v/>
      </c>
      <c r="Y9">
        <f>IF(G9=0,2,IF(N9=0,X9,1-SUMPRODUCT(MAX(($E$4:$E$183=E9)*($G$4:$G$183=1)*(1-X$4:X$183)))+0.000000001*D9))</f>
        <v/>
      </c>
      <c r="Z9">
        <f>IF(G9=0,999,SUMPRODUCT((Y$4:Y$183&lt;Y9)*($G$4:$G$183=1))+SUMPRODUCT((Y$4:Y$183=Y9)*($G$4:$G$183=1)*($A$4:$A$183&lt;A9))+1)</f>
        <v/>
      </c>
      <c r="AB9">
        <f>IF(G9=1,IF(I9&gt;Compliance,J9,((($D9-1)*4+($C9-1)*2+MOD($B9,2))+(30-$B9)/30)/12),2)</f>
        <v/>
      </c>
      <c r="AC9">
        <f>IF(G9=0,2,IF(N9=0,AB9,1-SUMPRODUCT(MAX(($E$4:$E$183=E9)*($G$4:$G$183=1)*(1-AB$4:AB$183)))+0.000000001*D9))</f>
        <v/>
      </c>
      <c r="AD9">
        <f>IF(G9=0,999,SUMPRODUCT((AC$4:AC$183&lt;AC9)*($G$4:$G$183=1))+SUMPRODUCT((AC$4:AC$183=AC9)*($G$4:$G$183=1)*($A$4:$A$183&lt;A9))+1)</f>
        <v/>
      </c>
      <c r="AF9" t="n">
        <v>6</v>
      </c>
      <c r="AG9">
        <f>RAND()</f>
        <v/>
      </c>
      <c r="AI9" t="n">
        <v>6</v>
      </c>
      <c r="AJ9">
        <f>IF(6&gt;Passengers,"",MATCH(6,R$4:R$183,0))</f>
        <v/>
      </c>
      <c r="AK9">
        <f>IF(AJ9="","",INDEX($B$4:$B$183,AJ9))</f>
        <v/>
      </c>
      <c r="AL9">
        <f>IF(AJ9="","",INDEX($C$4:$C$183,AJ9))</f>
        <v/>
      </c>
      <c r="AM9">
        <f>IF(AJ9="","",INDEX($D$4:$D$183,AJ9))</f>
        <v/>
      </c>
      <c r="AN9">
        <f>IF(AJ9="","",COUNTIFS($B$4:$B$183,AK9,$C$4:$C$183,AL9,$D$4:$D$183,"&gt;"&amp;AM9,R$4:R$183,"&lt;"&amp;6,$G$4:$G$183,1))</f>
        <v/>
      </c>
      <c r="AO9">
        <f>IF(AJ9="","",INDEX($M$4:$M$183,AJ9)+IF(AN9=1,Shuffle1,IF(AN9&gt;=2,Shuffle2,0)))</f>
        <v/>
      </c>
      <c r="AP9">
        <f>IF(AJ9="","",MAX(DoorGap*5,SUMPRODUCT(MAX((AK$4:AK8&lt;=AK9)*AQ$4:AQ8)),SUMPRODUCT(MAX((AK$4:AK8&gt;AK9)*AP$4:AP8))+Headway))</f>
        <v/>
      </c>
      <c r="AQ9">
        <f>IF(AJ9="","",AP9+AO9)</f>
        <v/>
      </c>
      <c r="AR9">
        <f>IF(AJ9="","",AQ9+AK9*WalkSec)</f>
        <v/>
      </c>
      <c r="AS9" t="n">
        <v>6</v>
      </c>
      <c r="AT9">
        <f>IF(6&gt;Passengers,"",MATCH(6,V$4:V$183,0))</f>
        <v/>
      </c>
      <c r="AU9">
        <f>IF(AT9="","",INDEX($B$4:$B$183,AT9))</f>
        <v/>
      </c>
      <c r="AV9">
        <f>IF(AT9="","",INDEX($C$4:$C$183,AT9))</f>
        <v/>
      </c>
      <c r="AW9">
        <f>IF(AT9="","",INDEX($D$4:$D$183,AT9))</f>
        <v/>
      </c>
      <c r="AX9">
        <f>IF(AT9="","",COUNTIFS($B$4:$B$183,AU9,$C$4:$C$183,AV9,$D$4:$D$183,"&gt;"&amp;AW9,V$4:V$183,"&lt;"&amp;6,$G$4:$G$183,1))</f>
        <v/>
      </c>
      <c r="AY9">
        <f>IF(AT9="","",INDEX($M$4:$M$183,AT9)+IF(AX9=1,Shuffle1,IF(AX9&gt;=2,Shuffle2,0)))</f>
        <v/>
      </c>
      <c r="AZ9">
        <f>IF(AT9="","",MAX(DoorGap*5,SUMPRODUCT(MAX((AU$4:AU8&lt;=AU9)*BA$4:BA8)),SUMPRODUCT(MAX((AU$4:AU8&gt;AU9)*AZ$4:AZ8))+Headway))</f>
        <v/>
      </c>
      <c r="BA9">
        <f>IF(AT9="","",AZ9+AY9)</f>
        <v/>
      </c>
      <c r="BB9">
        <f>IF(AT9="","",BA9+AU9*WalkSec)</f>
        <v/>
      </c>
      <c r="BC9" t="n">
        <v>6</v>
      </c>
      <c r="BD9">
        <f>IF(6&gt;Passengers,"",MATCH(6,Z$4:Z$183,0))</f>
        <v/>
      </c>
      <c r="BE9">
        <f>IF(BD9="","",INDEX($B$4:$B$183,BD9))</f>
        <v/>
      </c>
      <c r="BF9">
        <f>IF(BD9="","",INDEX($C$4:$C$183,BD9))</f>
        <v/>
      </c>
      <c r="BG9">
        <f>IF(BD9="","",INDEX($D$4:$D$183,BD9))</f>
        <v/>
      </c>
      <c r="BH9">
        <f>IF(BD9="","",COUNTIFS($B$4:$B$183,BE9,$C$4:$C$183,BF9,$D$4:$D$183,"&gt;"&amp;BG9,Z$4:Z$183,"&lt;"&amp;6,$G$4:$G$183,1))</f>
        <v/>
      </c>
      <c r="BI9">
        <f>IF(BD9="","",INDEX($M$4:$M$183,BD9)+IF(BH9=1,Shuffle1,IF(BH9&gt;=2,Shuffle2,0)))</f>
        <v/>
      </c>
      <c r="BJ9">
        <f>IF(BD9="","",MAX(DoorGap*5,SUMPRODUCT(MAX((BE$4:BE8&lt;=BE9)*BK$4:BK8)),SUMPRODUCT(MAX((BE$4:BE8&gt;BE9)*BJ$4:BJ8))+Headway))</f>
        <v/>
      </c>
      <c r="BK9">
        <f>IF(BD9="","",BJ9+BI9)</f>
        <v/>
      </c>
      <c r="BL9">
        <f>IF(BD9="","",BK9+BE9*WalkSec)</f>
        <v/>
      </c>
      <c r="BM9" t="n">
        <v>6</v>
      </c>
      <c r="BN9">
        <f>IF(6&gt;Passengers,"",MATCH(6,AD$4:AD$183,0))</f>
        <v/>
      </c>
      <c r="BO9">
        <f>IF(BN9="","",INDEX($B$4:$B$183,BN9))</f>
        <v/>
      </c>
      <c r="BP9">
        <f>IF(BN9="","",INDEX($C$4:$C$183,BN9))</f>
        <v/>
      </c>
      <c r="BQ9">
        <f>IF(BN9="","",INDEX($D$4:$D$183,BN9))</f>
        <v/>
      </c>
      <c r="BR9">
        <f>IF(BN9="","",COUNTIFS($B$4:$B$183,BO9,$C$4:$C$183,BP9,$D$4:$D$183,"&gt;"&amp;BQ9,AD$4:AD$183,"&lt;"&amp;6,$G$4:$G$183,1))</f>
        <v/>
      </c>
      <c r="BS9">
        <f>IF(BN9="","",INDEX($M$4:$M$183,BN9)+IF(BR9=1,Shuffle1,IF(BR9&gt;=2,Shuffle2,0)))</f>
        <v/>
      </c>
      <c r="BT9">
        <f>IF(BN9="","",MAX(DoorGap*5,SUMPRODUCT(MAX((BO$4:BO8&lt;=BO9)*BU$4:BU8)),SUMPRODUCT(MAX((BO$4:BO8&gt;BO9)*BT$4:BT8))+Headway))</f>
        <v/>
      </c>
      <c r="BU9">
        <f>IF(BN9="","",BT9+BS9)</f>
        <v/>
      </c>
      <c r="BV9">
        <f>IF(BN9="","",BU9+BO9*WalkSec)</f>
        <v/>
      </c>
      <c r="BW9">
        <f>IF($G9=0,"",INDEX(AR$4:AR$183,R9))</f>
        <v/>
      </c>
      <c r="BX9">
        <f>IF($G9=0,"",INDEX(BB$4:BB$183,V9))</f>
        <v/>
      </c>
      <c r="BY9">
        <f>IF($G9=0,"",INDEX(BL$4:BL$183,Z9))</f>
        <v/>
      </c>
      <c r="BZ9">
        <f>IF($G9=0,"",INDEX(BV$4:BV$183,AD9))</f>
        <v/>
      </c>
    </row>
    <row r="10">
      <c r="A10" t="n">
        <v>7</v>
      </c>
      <c r="B10" t="n">
        <v>2</v>
      </c>
      <c r="C10" t="n">
        <v>1</v>
      </c>
      <c r="D10" t="n">
        <v>1</v>
      </c>
      <c r="E10" t="n">
        <v>3</v>
      </c>
      <c r="F10">
        <f>RAND()</f>
        <v/>
      </c>
      <c r="G10">
        <f>IF(SUMPRODUCT(($F$4:$F$183&lt;F10)*1)+SUMPRODUCT(($F$4:$F$183=F10)*($A$4:$A$183&lt;A10))&lt;Passengers,1,0)</f>
        <v/>
      </c>
      <c r="H10">
        <f>RAND()</f>
        <v/>
      </c>
      <c r="I10">
        <f>RAND()</f>
        <v/>
      </c>
      <c r="J10">
        <f>RAND()</f>
        <v/>
      </c>
      <c r="K10">
        <f>RAND()</f>
        <v/>
      </c>
      <c r="L10">
        <f>RAND()</f>
        <v/>
      </c>
      <c r="M10">
        <f>IF(K10&lt;BagShare,EXP(NORMSINV(L10)*StowSigma+StowMu),StowNoBag)</f>
        <v/>
      </c>
      <c r="N10">
        <f>IF(INDEX($AG$4:$AG$63,E10)&lt;GroupShare,1,0)</f>
        <v/>
      </c>
      <c r="P10">
        <f>IF(G10=1,IF(I10&gt;Compliance,J10,$H10),2)</f>
        <v/>
      </c>
      <c r="Q10">
        <f>IF(G10=0,2,IF(N10=0,P10,1-SUMPRODUCT(MAX(($E$4:$E$183=E10)*($G$4:$G$183=1)*(1-P$4:P$183)))+0.000000001*D10))</f>
        <v/>
      </c>
      <c r="R10">
        <f>IF(G10=0,999,SUMPRODUCT((Q$4:Q$183&lt;Q10)*($G$4:$G$183=1))+SUMPRODUCT((Q$4:Q$183=Q10)*($G$4:$G$183=1)*($A$4:$A$183&lt;A10))+1)</f>
        <v/>
      </c>
      <c r="T10">
        <f>IF(G10=1,IF(I10&gt;Compliance,J10,(INT((30-$B10)/(30/Zones))+$H10)/Zones),2)</f>
        <v/>
      </c>
      <c r="U10">
        <f>IF(G10=0,2,IF(N10=0,T10,1-SUMPRODUCT(MAX(($E$4:$E$183=E10)*($G$4:$G$183=1)*(1-T$4:T$183)))+0.000000001*D10))</f>
        <v/>
      </c>
      <c r="V10">
        <f>IF(G10=0,999,SUMPRODUCT((U$4:U$183&lt;U10)*($G$4:$G$183=1))+SUMPRODUCT((U$4:U$183=U10)*($G$4:$G$183=1)*($A$4:$A$183&lt;A10))+1)</f>
        <v/>
      </c>
      <c r="X10">
        <f>IF(G10=1,IF(I10&gt;Compliance,J10,(($D10-1)+$H10)/3),2)</f>
        <v/>
      </c>
      <c r="Y10">
        <f>IF(G10=0,2,IF(N10=0,X10,1-SUMPRODUCT(MAX(($E$4:$E$183=E10)*($G$4:$G$183=1)*(1-X$4:X$183)))+0.000000001*D10))</f>
        <v/>
      </c>
      <c r="Z10">
        <f>IF(G10=0,999,SUMPRODUCT((Y$4:Y$183&lt;Y10)*($G$4:$G$183=1))+SUMPRODUCT((Y$4:Y$183=Y10)*($G$4:$G$183=1)*($A$4:$A$183&lt;A10))+1)</f>
        <v/>
      </c>
      <c r="AB10">
        <f>IF(G10=1,IF(I10&gt;Compliance,J10,((($D10-1)*4+($C10-1)*2+MOD($B10,2))+(30-$B10)/30)/12),2)</f>
        <v/>
      </c>
      <c r="AC10">
        <f>IF(G10=0,2,IF(N10=0,AB10,1-SUMPRODUCT(MAX(($E$4:$E$183=E10)*($G$4:$G$183=1)*(1-AB$4:AB$183)))+0.000000001*D10))</f>
        <v/>
      </c>
      <c r="AD10">
        <f>IF(G10=0,999,SUMPRODUCT((AC$4:AC$183&lt;AC10)*($G$4:$G$183=1))+SUMPRODUCT((AC$4:AC$183=AC10)*($G$4:$G$183=1)*($A$4:$A$183&lt;A10))+1)</f>
        <v/>
      </c>
      <c r="AF10" t="n">
        <v>7</v>
      </c>
      <c r="AG10">
        <f>RAND()</f>
        <v/>
      </c>
      <c r="AI10" t="n">
        <v>7</v>
      </c>
      <c r="AJ10">
        <f>IF(7&gt;Passengers,"",MATCH(7,R$4:R$183,0))</f>
        <v/>
      </c>
      <c r="AK10">
        <f>IF(AJ10="","",INDEX($B$4:$B$183,AJ10))</f>
        <v/>
      </c>
      <c r="AL10">
        <f>IF(AJ10="","",INDEX($C$4:$C$183,AJ10))</f>
        <v/>
      </c>
      <c r="AM10">
        <f>IF(AJ10="","",INDEX($D$4:$D$183,AJ10))</f>
        <v/>
      </c>
      <c r="AN10">
        <f>IF(AJ10="","",COUNTIFS($B$4:$B$183,AK10,$C$4:$C$183,AL10,$D$4:$D$183,"&gt;"&amp;AM10,R$4:R$183,"&lt;"&amp;7,$G$4:$G$183,1))</f>
        <v/>
      </c>
      <c r="AO10">
        <f>IF(AJ10="","",INDEX($M$4:$M$183,AJ10)+IF(AN10=1,Shuffle1,IF(AN10&gt;=2,Shuffle2,0)))</f>
        <v/>
      </c>
      <c r="AP10">
        <f>IF(AJ10="","",MAX(DoorGap*6,SUMPRODUCT(MAX((AK$4:AK9&lt;=AK10)*AQ$4:AQ9)),SUMPRODUCT(MAX((AK$4:AK9&gt;AK10)*AP$4:AP9))+Headway))</f>
        <v/>
      </c>
      <c r="AQ10">
        <f>IF(AJ10="","",AP10+AO10)</f>
        <v/>
      </c>
      <c r="AR10">
        <f>IF(AJ10="","",AQ10+AK10*WalkSec)</f>
        <v/>
      </c>
      <c r="AS10" t="n">
        <v>7</v>
      </c>
      <c r="AT10">
        <f>IF(7&gt;Passengers,"",MATCH(7,V$4:V$183,0))</f>
        <v/>
      </c>
      <c r="AU10">
        <f>IF(AT10="","",INDEX($B$4:$B$183,AT10))</f>
        <v/>
      </c>
      <c r="AV10">
        <f>IF(AT10="","",INDEX($C$4:$C$183,AT10))</f>
        <v/>
      </c>
      <c r="AW10">
        <f>IF(AT10="","",INDEX($D$4:$D$183,AT10))</f>
        <v/>
      </c>
      <c r="AX10">
        <f>IF(AT10="","",COUNTIFS($B$4:$B$183,AU10,$C$4:$C$183,AV10,$D$4:$D$183,"&gt;"&amp;AW10,V$4:V$183,"&lt;"&amp;7,$G$4:$G$183,1))</f>
        <v/>
      </c>
      <c r="AY10">
        <f>IF(AT10="","",INDEX($M$4:$M$183,AT10)+IF(AX10=1,Shuffle1,IF(AX10&gt;=2,Shuffle2,0)))</f>
        <v/>
      </c>
      <c r="AZ10">
        <f>IF(AT10="","",MAX(DoorGap*6,SUMPRODUCT(MAX((AU$4:AU9&lt;=AU10)*BA$4:BA9)),SUMPRODUCT(MAX((AU$4:AU9&gt;AU10)*AZ$4:AZ9))+Headway))</f>
        <v/>
      </c>
      <c r="BA10">
        <f>IF(AT10="","",AZ10+AY10)</f>
        <v/>
      </c>
      <c r="BB10">
        <f>IF(AT10="","",BA10+AU10*WalkSec)</f>
        <v/>
      </c>
      <c r="BC10" t="n">
        <v>7</v>
      </c>
      <c r="BD10">
        <f>IF(7&gt;Passengers,"",MATCH(7,Z$4:Z$183,0))</f>
        <v/>
      </c>
      <c r="BE10">
        <f>IF(BD10="","",INDEX($B$4:$B$183,BD10))</f>
        <v/>
      </c>
      <c r="BF10">
        <f>IF(BD10="","",INDEX($C$4:$C$183,BD10))</f>
        <v/>
      </c>
      <c r="BG10">
        <f>IF(BD10="","",INDEX($D$4:$D$183,BD10))</f>
        <v/>
      </c>
      <c r="BH10">
        <f>IF(BD10="","",COUNTIFS($B$4:$B$183,BE10,$C$4:$C$183,BF10,$D$4:$D$183,"&gt;"&amp;BG10,Z$4:Z$183,"&lt;"&amp;7,$G$4:$G$183,1))</f>
        <v/>
      </c>
      <c r="BI10">
        <f>IF(BD10="","",INDEX($M$4:$M$183,BD10)+IF(BH10=1,Shuffle1,IF(BH10&gt;=2,Shuffle2,0)))</f>
        <v/>
      </c>
      <c r="BJ10">
        <f>IF(BD10="","",MAX(DoorGap*6,SUMPRODUCT(MAX((BE$4:BE9&lt;=BE10)*BK$4:BK9)),SUMPRODUCT(MAX((BE$4:BE9&gt;BE10)*BJ$4:BJ9))+Headway))</f>
        <v/>
      </c>
      <c r="BK10">
        <f>IF(BD10="","",BJ10+BI10)</f>
        <v/>
      </c>
      <c r="BL10">
        <f>IF(BD10="","",BK10+BE10*WalkSec)</f>
        <v/>
      </c>
      <c r="BM10" t="n">
        <v>7</v>
      </c>
      <c r="BN10">
        <f>IF(7&gt;Passengers,"",MATCH(7,AD$4:AD$183,0))</f>
        <v/>
      </c>
      <c r="BO10">
        <f>IF(BN10="","",INDEX($B$4:$B$183,BN10))</f>
        <v/>
      </c>
      <c r="BP10">
        <f>IF(BN10="","",INDEX($C$4:$C$183,BN10))</f>
        <v/>
      </c>
      <c r="BQ10">
        <f>IF(BN10="","",INDEX($D$4:$D$183,BN10))</f>
        <v/>
      </c>
      <c r="BR10">
        <f>IF(BN10="","",COUNTIFS($B$4:$B$183,BO10,$C$4:$C$183,BP10,$D$4:$D$183,"&gt;"&amp;BQ10,AD$4:AD$183,"&lt;"&amp;7,$G$4:$G$183,1))</f>
        <v/>
      </c>
      <c r="BS10">
        <f>IF(BN10="","",INDEX($M$4:$M$183,BN10)+IF(BR10=1,Shuffle1,IF(BR10&gt;=2,Shuffle2,0)))</f>
        <v/>
      </c>
      <c r="BT10">
        <f>IF(BN10="","",MAX(DoorGap*6,SUMPRODUCT(MAX((BO$4:BO9&lt;=BO10)*BU$4:BU9)),SUMPRODUCT(MAX((BO$4:BO9&gt;BO10)*BT$4:BT9))+Headway))</f>
        <v/>
      </c>
      <c r="BU10">
        <f>IF(BN10="","",BT10+BS10)</f>
        <v/>
      </c>
      <c r="BV10">
        <f>IF(BN10="","",BU10+BO10*WalkSec)</f>
        <v/>
      </c>
      <c r="BW10">
        <f>IF($G10=0,"",INDEX(AR$4:AR$183,R10))</f>
        <v/>
      </c>
      <c r="BX10">
        <f>IF($G10=0,"",INDEX(BB$4:BB$183,V10))</f>
        <v/>
      </c>
      <c r="BY10">
        <f>IF($G10=0,"",INDEX(BL$4:BL$183,Z10))</f>
        <v/>
      </c>
      <c r="BZ10">
        <f>IF($G10=0,"",INDEX(BV$4:BV$183,AD10))</f>
        <v/>
      </c>
    </row>
    <row r="11">
      <c r="A11" t="n">
        <v>8</v>
      </c>
      <c r="B11" t="n">
        <v>2</v>
      </c>
      <c r="C11" t="n">
        <v>1</v>
      </c>
      <c r="D11" t="n">
        <v>2</v>
      </c>
      <c r="E11" t="n">
        <v>3</v>
      </c>
      <c r="F11">
        <f>RAND()</f>
        <v/>
      </c>
      <c r="G11">
        <f>IF(SUMPRODUCT(($F$4:$F$183&lt;F11)*1)+SUMPRODUCT(($F$4:$F$183=F11)*($A$4:$A$183&lt;A11))&lt;Passengers,1,0)</f>
        <v/>
      </c>
      <c r="H11">
        <f>RAND()</f>
        <v/>
      </c>
      <c r="I11">
        <f>RAND()</f>
        <v/>
      </c>
      <c r="J11">
        <f>RAND()</f>
        <v/>
      </c>
      <c r="K11">
        <f>RAND()</f>
        <v/>
      </c>
      <c r="L11">
        <f>RAND()</f>
        <v/>
      </c>
      <c r="M11">
        <f>IF(K11&lt;BagShare,EXP(NORMSINV(L11)*StowSigma+StowMu),StowNoBag)</f>
        <v/>
      </c>
      <c r="N11">
        <f>IF(INDEX($AG$4:$AG$63,E11)&lt;GroupShare,1,0)</f>
        <v/>
      </c>
      <c r="P11">
        <f>IF(G11=1,IF(I11&gt;Compliance,J11,$H11),2)</f>
        <v/>
      </c>
      <c r="Q11">
        <f>IF(G11=0,2,IF(N11=0,P11,1-SUMPRODUCT(MAX(($E$4:$E$183=E11)*($G$4:$G$183=1)*(1-P$4:P$183)))+0.000000001*D11))</f>
        <v/>
      </c>
      <c r="R11">
        <f>IF(G11=0,999,SUMPRODUCT((Q$4:Q$183&lt;Q11)*($G$4:$G$183=1))+SUMPRODUCT((Q$4:Q$183=Q11)*($G$4:$G$183=1)*($A$4:$A$183&lt;A11))+1)</f>
        <v/>
      </c>
      <c r="T11">
        <f>IF(G11=1,IF(I11&gt;Compliance,J11,(INT((30-$B11)/(30/Zones))+$H11)/Zones),2)</f>
        <v/>
      </c>
      <c r="U11">
        <f>IF(G11=0,2,IF(N11=0,T11,1-SUMPRODUCT(MAX(($E$4:$E$183=E11)*($G$4:$G$183=1)*(1-T$4:T$183)))+0.000000001*D11))</f>
        <v/>
      </c>
      <c r="V11">
        <f>IF(G11=0,999,SUMPRODUCT((U$4:U$183&lt;U11)*($G$4:$G$183=1))+SUMPRODUCT((U$4:U$183=U11)*($G$4:$G$183=1)*($A$4:$A$183&lt;A11))+1)</f>
        <v/>
      </c>
      <c r="X11">
        <f>IF(G11=1,IF(I11&gt;Compliance,J11,(($D11-1)+$H11)/3),2)</f>
        <v/>
      </c>
      <c r="Y11">
        <f>IF(G11=0,2,IF(N11=0,X11,1-SUMPRODUCT(MAX(($E$4:$E$183=E11)*($G$4:$G$183=1)*(1-X$4:X$183)))+0.000000001*D11))</f>
        <v/>
      </c>
      <c r="Z11">
        <f>IF(G11=0,999,SUMPRODUCT((Y$4:Y$183&lt;Y11)*($G$4:$G$183=1))+SUMPRODUCT((Y$4:Y$183=Y11)*($G$4:$G$183=1)*($A$4:$A$183&lt;A11))+1)</f>
        <v/>
      </c>
      <c r="AB11">
        <f>IF(G11=1,IF(I11&gt;Compliance,J11,((($D11-1)*4+($C11-1)*2+MOD($B11,2))+(30-$B11)/30)/12),2)</f>
        <v/>
      </c>
      <c r="AC11">
        <f>IF(G11=0,2,IF(N11=0,AB11,1-SUMPRODUCT(MAX(($E$4:$E$183=E11)*($G$4:$G$183=1)*(1-AB$4:AB$183)))+0.000000001*D11))</f>
        <v/>
      </c>
      <c r="AD11">
        <f>IF(G11=0,999,SUMPRODUCT((AC$4:AC$183&lt;AC11)*($G$4:$G$183=1))+SUMPRODUCT((AC$4:AC$183=AC11)*($G$4:$G$183=1)*($A$4:$A$183&lt;A11))+1)</f>
        <v/>
      </c>
      <c r="AF11" t="n">
        <v>8</v>
      </c>
      <c r="AG11">
        <f>RAND()</f>
        <v/>
      </c>
      <c r="AI11" t="n">
        <v>8</v>
      </c>
      <c r="AJ11">
        <f>IF(8&gt;Passengers,"",MATCH(8,R$4:R$183,0))</f>
        <v/>
      </c>
      <c r="AK11">
        <f>IF(AJ11="","",INDEX($B$4:$B$183,AJ11))</f>
        <v/>
      </c>
      <c r="AL11">
        <f>IF(AJ11="","",INDEX($C$4:$C$183,AJ11))</f>
        <v/>
      </c>
      <c r="AM11">
        <f>IF(AJ11="","",INDEX($D$4:$D$183,AJ11))</f>
        <v/>
      </c>
      <c r="AN11">
        <f>IF(AJ11="","",COUNTIFS($B$4:$B$183,AK11,$C$4:$C$183,AL11,$D$4:$D$183,"&gt;"&amp;AM11,R$4:R$183,"&lt;"&amp;8,$G$4:$G$183,1))</f>
        <v/>
      </c>
      <c r="AO11">
        <f>IF(AJ11="","",INDEX($M$4:$M$183,AJ11)+IF(AN11=1,Shuffle1,IF(AN11&gt;=2,Shuffle2,0)))</f>
        <v/>
      </c>
      <c r="AP11">
        <f>IF(AJ11="","",MAX(DoorGap*7,SUMPRODUCT(MAX((AK$4:AK10&lt;=AK11)*AQ$4:AQ10)),SUMPRODUCT(MAX((AK$4:AK10&gt;AK11)*AP$4:AP10))+Headway))</f>
        <v/>
      </c>
      <c r="AQ11">
        <f>IF(AJ11="","",AP11+AO11)</f>
        <v/>
      </c>
      <c r="AR11">
        <f>IF(AJ11="","",AQ11+AK11*WalkSec)</f>
        <v/>
      </c>
      <c r="AS11" t="n">
        <v>8</v>
      </c>
      <c r="AT11">
        <f>IF(8&gt;Passengers,"",MATCH(8,V$4:V$183,0))</f>
        <v/>
      </c>
      <c r="AU11">
        <f>IF(AT11="","",INDEX($B$4:$B$183,AT11))</f>
        <v/>
      </c>
      <c r="AV11">
        <f>IF(AT11="","",INDEX($C$4:$C$183,AT11))</f>
        <v/>
      </c>
      <c r="AW11">
        <f>IF(AT11="","",INDEX($D$4:$D$183,AT11))</f>
        <v/>
      </c>
      <c r="AX11">
        <f>IF(AT11="","",COUNTIFS($B$4:$B$183,AU11,$C$4:$C$183,AV11,$D$4:$D$183,"&gt;"&amp;AW11,V$4:V$183,"&lt;"&amp;8,$G$4:$G$183,1))</f>
        <v/>
      </c>
      <c r="AY11">
        <f>IF(AT11="","",INDEX($M$4:$M$183,AT11)+IF(AX11=1,Shuffle1,IF(AX11&gt;=2,Shuffle2,0)))</f>
        <v/>
      </c>
      <c r="AZ11">
        <f>IF(AT11="","",MAX(DoorGap*7,SUMPRODUCT(MAX((AU$4:AU10&lt;=AU11)*BA$4:BA10)),SUMPRODUCT(MAX((AU$4:AU10&gt;AU11)*AZ$4:AZ10))+Headway))</f>
        <v/>
      </c>
      <c r="BA11">
        <f>IF(AT11="","",AZ11+AY11)</f>
        <v/>
      </c>
      <c r="BB11">
        <f>IF(AT11="","",BA11+AU11*WalkSec)</f>
        <v/>
      </c>
      <c r="BC11" t="n">
        <v>8</v>
      </c>
      <c r="BD11">
        <f>IF(8&gt;Passengers,"",MATCH(8,Z$4:Z$183,0))</f>
        <v/>
      </c>
      <c r="BE11">
        <f>IF(BD11="","",INDEX($B$4:$B$183,BD11))</f>
        <v/>
      </c>
      <c r="BF11">
        <f>IF(BD11="","",INDEX($C$4:$C$183,BD11))</f>
        <v/>
      </c>
      <c r="BG11">
        <f>IF(BD11="","",INDEX($D$4:$D$183,BD11))</f>
        <v/>
      </c>
      <c r="BH11">
        <f>IF(BD11="","",COUNTIFS($B$4:$B$183,BE11,$C$4:$C$183,BF11,$D$4:$D$183,"&gt;"&amp;BG11,Z$4:Z$183,"&lt;"&amp;8,$G$4:$G$183,1))</f>
        <v/>
      </c>
      <c r="BI11">
        <f>IF(BD11="","",INDEX($M$4:$M$183,BD11)+IF(BH11=1,Shuffle1,IF(BH11&gt;=2,Shuffle2,0)))</f>
        <v/>
      </c>
      <c r="BJ11">
        <f>IF(BD11="","",MAX(DoorGap*7,SUMPRODUCT(MAX((BE$4:BE10&lt;=BE11)*BK$4:BK10)),SUMPRODUCT(MAX((BE$4:BE10&gt;BE11)*BJ$4:BJ10))+Headway))</f>
        <v/>
      </c>
      <c r="BK11">
        <f>IF(BD11="","",BJ11+BI11)</f>
        <v/>
      </c>
      <c r="BL11">
        <f>IF(BD11="","",BK11+BE11*WalkSec)</f>
        <v/>
      </c>
      <c r="BM11" t="n">
        <v>8</v>
      </c>
      <c r="BN11">
        <f>IF(8&gt;Passengers,"",MATCH(8,AD$4:AD$183,0))</f>
        <v/>
      </c>
      <c r="BO11">
        <f>IF(BN11="","",INDEX($B$4:$B$183,BN11))</f>
        <v/>
      </c>
      <c r="BP11">
        <f>IF(BN11="","",INDEX($C$4:$C$183,BN11))</f>
        <v/>
      </c>
      <c r="BQ11">
        <f>IF(BN11="","",INDEX($D$4:$D$183,BN11))</f>
        <v/>
      </c>
      <c r="BR11">
        <f>IF(BN11="","",COUNTIFS($B$4:$B$183,BO11,$C$4:$C$183,BP11,$D$4:$D$183,"&gt;"&amp;BQ11,AD$4:AD$183,"&lt;"&amp;8,$G$4:$G$183,1))</f>
        <v/>
      </c>
      <c r="BS11">
        <f>IF(BN11="","",INDEX($M$4:$M$183,BN11)+IF(BR11=1,Shuffle1,IF(BR11&gt;=2,Shuffle2,0)))</f>
        <v/>
      </c>
      <c r="BT11">
        <f>IF(BN11="","",MAX(DoorGap*7,SUMPRODUCT(MAX((BO$4:BO10&lt;=BO11)*BU$4:BU10)),SUMPRODUCT(MAX((BO$4:BO10&gt;BO11)*BT$4:BT10))+Headway))</f>
        <v/>
      </c>
      <c r="BU11">
        <f>IF(BN11="","",BT11+BS11)</f>
        <v/>
      </c>
      <c r="BV11">
        <f>IF(BN11="","",BU11+BO11*WalkSec)</f>
        <v/>
      </c>
      <c r="BW11">
        <f>IF($G11=0,"",INDEX(AR$4:AR$183,R11))</f>
        <v/>
      </c>
      <c r="BX11">
        <f>IF($G11=0,"",INDEX(BB$4:BB$183,V11))</f>
        <v/>
      </c>
      <c r="BY11">
        <f>IF($G11=0,"",INDEX(BL$4:BL$183,Z11))</f>
        <v/>
      </c>
      <c r="BZ11">
        <f>IF($G11=0,"",INDEX(BV$4:BV$183,AD11))</f>
        <v/>
      </c>
    </row>
    <row r="12">
      <c r="A12" t="n">
        <v>9</v>
      </c>
      <c r="B12" t="n">
        <v>2</v>
      </c>
      <c r="C12" t="n">
        <v>1</v>
      </c>
      <c r="D12" t="n">
        <v>3</v>
      </c>
      <c r="E12" t="n">
        <v>3</v>
      </c>
      <c r="F12">
        <f>RAND()</f>
        <v/>
      </c>
      <c r="G12">
        <f>IF(SUMPRODUCT(($F$4:$F$183&lt;F12)*1)+SUMPRODUCT(($F$4:$F$183=F12)*($A$4:$A$183&lt;A12))&lt;Passengers,1,0)</f>
        <v/>
      </c>
      <c r="H12">
        <f>RAND()</f>
        <v/>
      </c>
      <c r="I12">
        <f>RAND()</f>
        <v/>
      </c>
      <c r="J12">
        <f>RAND()</f>
        <v/>
      </c>
      <c r="K12">
        <f>RAND()</f>
        <v/>
      </c>
      <c r="L12">
        <f>RAND()</f>
        <v/>
      </c>
      <c r="M12">
        <f>IF(K12&lt;BagShare,EXP(NORMSINV(L12)*StowSigma+StowMu),StowNoBag)</f>
        <v/>
      </c>
      <c r="N12">
        <f>IF(INDEX($AG$4:$AG$63,E12)&lt;GroupShare,1,0)</f>
        <v/>
      </c>
      <c r="P12">
        <f>IF(G12=1,IF(I12&gt;Compliance,J12,$H12),2)</f>
        <v/>
      </c>
      <c r="Q12">
        <f>IF(G12=0,2,IF(N12=0,P12,1-SUMPRODUCT(MAX(($E$4:$E$183=E12)*($G$4:$G$183=1)*(1-P$4:P$183)))+0.000000001*D12))</f>
        <v/>
      </c>
      <c r="R12">
        <f>IF(G12=0,999,SUMPRODUCT((Q$4:Q$183&lt;Q12)*($G$4:$G$183=1))+SUMPRODUCT((Q$4:Q$183=Q12)*($G$4:$G$183=1)*($A$4:$A$183&lt;A12))+1)</f>
        <v/>
      </c>
      <c r="T12">
        <f>IF(G12=1,IF(I12&gt;Compliance,J12,(INT((30-$B12)/(30/Zones))+$H12)/Zones),2)</f>
        <v/>
      </c>
      <c r="U12">
        <f>IF(G12=0,2,IF(N12=0,T12,1-SUMPRODUCT(MAX(($E$4:$E$183=E12)*($G$4:$G$183=1)*(1-T$4:T$183)))+0.000000001*D12))</f>
        <v/>
      </c>
      <c r="V12">
        <f>IF(G12=0,999,SUMPRODUCT((U$4:U$183&lt;U12)*($G$4:$G$183=1))+SUMPRODUCT((U$4:U$183=U12)*($G$4:$G$183=1)*($A$4:$A$183&lt;A12))+1)</f>
        <v/>
      </c>
      <c r="X12">
        <f>IF(G12=1,IF(I12&gt;Compliance,J12,(($D12-1)+$H12)/3),2)</f>
        <v/>
      </c>
      <c r="Y12">
        <f>IF(G12=0,2,IF(N12=0,X12,1-SUMPRODUCT(MAX(($E$4:$E$183=E12)*($G$4:$G$183=1)*(1-X$4:X$183)))+0.000000001*D12))</f>
        <v/>
      </c>
      <c r="Z12">
        <f>IF(G12=0,999,SUMPRODUCT((Y$4:Y$183&lt;Y12)*($G$4:$G$183=1))+SUMPRODUCT((Y$4:Y$183=Y12)*($G$4:$G$183=1)*($A$4:$A$183&lt;A12))+1)</f>
        <v/>
      </c>
      <c r="AB12">
        <f>IF(G12=1,IF(I12&gt;Compliance,J12,((($D12-1)*4+($C12-1)*2+MOD($B12,2))+(30-$B12)/30)/12),2)</f>
        <v/>
      </c>
      <c r="AC12">
        <f>IF(G12=0,2,IF(N12=0,AB12,1-SUMPRODUCT(MAX(($E$4:$E$183=E12)*($G$4:$G$183=1)*(1-AB$4:AB$183)))+0.000000001*D12))</f>
        <v/>
      </c>
      <c r="AD12">
        <f>IF(G12=0,999,SUMPRODUCT((AC$4:AC$183&lt;AC12)*($G$4:$G$183=1))+SUMPRODUCT((AC$4:AC$183=AC12)*($G$4:$G$183=1)*($A$4:$A$183&lt;A12))+1)</f>
        <v/>
      </c>
      <c r="AF12" t="n">
        <v>9</v>
      </c>
      <c r="AG12">
        <f>RAND()</f>
        <v/>
      </c>
      <c r="AI12" t="n">
        <v>9</v>
      </c>
      <c r="AJ12">
        <f>IF(9&gt;Passengers,"",MATCH(9,R$4:R$183,0))</f>
        <v/>
      </c>
      <c r="AK12">
        <f>IF(AJ12="","",INDEX($B$4:$B$183,AJ12))</f>
        <v/>
      </c>
      <c r="AL12">
        <f>IF(AJ12="","",INDEX($C$4:$C$183,AJ12))</f>
        <v/>
      </c>
      <c r="AM12">
        <f>IF(AJ12="","",INDEX($D$4:$D$183,AJ12))</f>
        <v/>
      </c>
      <c r="AN12">
        <f>IF(AJ12="","",COUNTIFS($B$4:$B$183,AK12,$C$4:$C$183,AL12,$D$4:$D$183,"&gt;"&amp;AM12,R$4:R$183,"&lt;"&amp;9,$G$4:$G$183,1))</f>
        <v/>
      </c>
      <c r="AO12">
        <f>IF(AJ12="","",INDEX($M$4:$M$183,AJ12)+IF(AN12=1,Shuffle1,IF(AN12&gt;=2,Shuffle2,0)))</f>
        <v/>
      </c>
      <c r="AP12">
        <f>IF(AJ12="","",MAX(DoorGap*8,SUMPRODUCT(MAX((AK$4:AK11&lt;=AK12)*AQ$4:AQ11)),SUMPRODUCT(MAX((AK$4:AK11&gt;AK12)*AP$4:AP11))+Headway))</f>
        <v/>
      </c>
      <c r="AQ12">
        <f>IF(AJ12="","",AP12+AO12)</f>
        <v/>
      </c>
      <c r="AR12">
        <f>IF(AJ12="","",AQ12+AK12*WalkSec)</f>
        <v/>
      </c>
      <c r="AS12" t="n">
        <v>9</v>
      </c>
      <c r="AT12">
        <f>IF(9&gt;Passengers,"",MATCH(9,V$4:V$183,0))</f>
        <v/>
      </c>
      <c r="AU12">
        <f>IF(AT12="","",INDEX($B$4:$B$183,AT12))</f>
        <v/>
      </c>
      <c r="AV12">
        <f>IF(AT12="","",INDEX($C$4:$C$183,AT12))</f>
        <v/>
      </c>
      <c r="AW12">
        <f>IF(AT12="","",INDEX($D$4:$D$183,AT12))</f>
        <v/>
      </c>
      <c r="AX12">
        <f>IF(AT12="","",COUNTIFS($B$4:$B$183,AU12,$C$4:$C$183,AV12,$D$4:$D$183,"&gt;"&amp;AW12,V$4:V$183,"&lt;"&amp;9,$G$4:$G$183,1))</f>
        <v/>
      </c>
      <c r="AY12">
        <f>IF(AT12="","",INDEX($M$4:$M$183,AT12)+IF(AX12=1,Shuffle1,IF(AX12&gt;=2,Shuffle2,0)))</f>
        <v/>
      </c>
      <c r="AZ12">
        <f>IF(AT12="","",MAX(DoorGap*8,SUMPRODUCT(MAX((AU$4:AU11&lt;=AU12)*BA$4:BA11)),SUMPRODUCT(MAX((AU$4:AU11&gt;AU12)*AZ$4:AZ11))+Headway))</f>
        <v/>
      </c>
      <c r="BA12">
        <f>IF(AT12="","",AZ12+AY12)</f>
        <v/>
      </c>
      <c r="BB12">
        <f>IF(AT12="","",BA12+AU12*WalkSec)</f>
        <v/>
      </c>
      <c r="BC12" t="n">
        <v>9</v>
      </c>
      <c r="BD12">
        <f>IF(9&gt;Passengers,"",MATCH(9,Z$4:Z$183,0))</f>
        <v/>
      </c>
      <c r="BE12">
        <f>IF(BD12="","",INDEX($B$4:$B$183,BD12))</f>
        <v/>
      </c>
      <c r="BF12">
        <f>IF(BD12="","",INDEX($C$4:$C$183,BD12))</f>
        <v/>
      </c>
      <c r="BG12">
        <f>IF(BD12="","",INDEX($D$4:$D$183,BD12))</f>
        <v/>
      </c>
      <c r="BH12">
        <f>IF(BD12="","",COUNTIFS($B$4:$B$183,BE12,$C$4:$C$183,BF12,$D$4:$D$183,"&gt;"&amp;BG12,Z$4:Z$183,"&lt;"&amp;9,$G$4:$G$183,1))</f>
        <v/>
      </c>
      <c r="BI12">
        <f>IF(BD12="","",INDEX($M$4:$M$183,BD12)+IF(BH12=1,Shuffle1,IF(BH12&gt;=2,Shuffle2,0)))</f>
        <v/>
      </c>
      <c r="BJ12">
        <f>IF(BD12="","",MAX(DoorGap*8,SUMPRODUCT(MAX((BE$4:BE11&lt;=BE12)*BK$4:BK11)),SUMPRODUCT(MAX((BE$4:BE11&gt;BE12)*BJ$4:BJ11))+Headway))</f>
        <v/>
      </c>
      <c r="BK12">
        <f>IF(BD12="","",BJ12+BI12)</f>
        <v/>
      </c>
      <c r="BL12">
        <f>IF(BD12="","",BK12+BE12*WalkSec)</f>
        <v/>
      </c>
      <c r="BM12" t="n">
        <v>9</v>
      </c>
      <c r="BN12">
        <f>IF(9&gt;Passengers,"",MATCH(9,AD$4:AD$183,0))</f>
        <v/>
      </c>
      <c r="BO12">
        <f>IF(BN12="","",INDEX($B$4:$B$183,BN12))</f>
        <v/>
      </c>
      <c r="BP12">
        <f>IF(BN12="","",INDEX($C$4:$C$183,BN12))</f>
        <v/>
      </c>
      <c r="BQ12">
        <f>IF(BN12="","",INDEX($D$4:$D$183,BN12))</f>
        <v/>
      </c>
      <c r="BR12">
        <f>IF(BN12="","",COUNTIFS($B$4:$B$183,BO12,$C$4:$C$183,BP12,$D$4:$D$183,"&gt;"&amp;BQ12,AD$4:AD$183,"&lt;"&amp;9,$G$4:$G$183,1))</f>
        <v/>
      </c>
      <c r="BS12">
        <f>IF(BN12="","",INDEX($M$4:$M$183,BN12)+IF(BR12=1,Shuffle1,IF(BR12&gt;=2,Shuffle2,0)))</f>
        <v/>
      </c>
      <c r="BT12">
        <f>IF(BN12="","",MAX(DoorGap*8,SUMPRODUCT(MAX((BO$4:BO11&lt;=BO12)*BU$4:BU11)),SUMPRODUCT(MAX((BO$4:BO11&gt;BO12)*BT$4:BT11))+Headway))</f>
        <v/>
      </c>
      <c r="BU12">
        <f>IF(BN12="","",BT12+BS12)</f>
        <v/>
      </c>
      <c r="BV12">
        <f>IF(BN12="","",BU12+BO12*WalkSec)</f>
        <v/>
      </c>
      <c r="BW12">
        <f>IF($G12=0,"",INDEX(AR$4:AR$183,R12))</f>
        <v/>
      </c>
      <c r="BX12">
        <f>IF($G12=0,"",INDEX(BB$4:BB$183,V12))</f>
        <v/>
      </c>
      <c r="BY12">
        <f>IF($G12=0,"",INDEX(BL$4:BL$183,Z12))</f>
        <v/>
      </c>
      <c r="BZ12">
        <f>IF($G12=0,"",INDEX(BV$4:BV$183,AD12))</f>
        <v/>
      </c>
    </row>
    <row r="13">
      <c r="A13" t="n">
        <v>10</v>
      </c>
      <c r="B13" t="n">
        <v>2</v>
      </c>
      <c r="C13" t="n">
        <v>2</v>
      </c>
      <c r="D13" t="n">
        <v>1</v>
      </c>
      <c r="E13" t="n">
        <v>4</v>
      </c>
      <c r="F13">
        <f>RAND()</f>
        <v/>
      </c>
      <c r="G13">
        <f>IF(SUMPRODUCT(($F$4:$F$183&lt;F13)*1)+SUMPRODUCT(($F$4:$F$183=F13)*($A$4:$A$183&lt;A13))&lt;Passengers,1,0)</f>
        <v/>
      </c>
      <c r="H13">
        <f>RAND()</f>
        <v/>
      </c>
      <c r="I13">
        <f>RAND()</f>
        <v/>
      </c>
      <c r="J13">
        <f>RAND()</f>
        <v/>
      </c>
      <c r="K13">
        <f>RAND()</f>
        <v/>
      </c>
      <c r="L13">
        <f>RAND()</f>
        <v/>
      </c>
      <c r="M13">
        <f>IF(K13&lt;BagShare,EXP(NORMSINV(L13)*StowSigma+StowMu),StowNoBag)</f>
        <v/>
      </c>
      <c r="N13">
        <f>IF(INDEX($AG$4:$AG$63,E13)&lt;GroupShare,1,0)</f>
        <v/>
      </c>
      <c r="P13">
        <f>IF(G13=1,IF(I13&gt;Compliance,J13,$H13),2)</f>
        <v/>
      </c>
      <c r="Q13">
        <f>IF(G13=0,2,IF(N13=0,P13,1-SUMPRODUCT(MAX(($E$4:$E$183=E13)*($G$4:$G$183=1)*(1-P$4:P$183)))+0.000000001*D13))</f>
        <v/>
      </c>
      <c r="R13">
        <f>IF(G13=0,999,SUMPRODUCT((Q$4:Q$183&lt;Q13)*($G$4:$G$183=1))+SUMPRODUCT((Q$4:Q$183=Q13)*($G$4:$G$183=1)*($A$4:$A$183&lt;A13))+1)</f>
        <v/>
      </c>
      <c r="T13">
        <f>IF(G13=1,IF(I13&gt;Compliance,J13,(INT((30-$B13)/(30/Zones))+$H13)/Zones),2)</f>
        <v/>
      </c>
      <c r="U13">
        <f>IF(G13=0,2,IF(N13=0,T13,1-SUMPRODUCT(MAX(($E$4:$E$183=E13)*($G$4:$G$183=1)*(1-T$4:T$183)))+0.000000001*D13))</f>
        <v/>
      </c>
      <c r="V13">
        <f>IF(G13=0,999,SUMPRODUCT((U$4:U$183&lt;U13)*($G$4:$G$183=1))+SUMPRODUCT((U$4:U$183=U13)*($G$4:$G$183=1)*($A$4:$A$183&lt;A13))+1)</f>
        <v/>
      </c>
      <c r="X13">
        <f>IF(G13=1,IF(I13&gt;Compliance,J13,(($D13-1)+$H13)/3),2)</f>
        <v/>
      </c>
      <c r="Y13">
        <f>IF(G13=0,2,IF(N13=0,X13,1-SUMPRODUCT(MAX(($E$4:$E$183=E13)*($G$4:$G$183=1)*(1-X$4:X$183)))+0.000000001*D13))</f>
        <v/>
      </c>
      <c r="Z13">
        <f>IF(G13=0,999,SUMPRODUCT((Y$4:Y$183&lt;Y13)*($G$4:$G$183=1))+SUMPRODUCT((Y$4:Y$183=Y13)*($G$4:$G$183=1)*($A$4:$A$183&lt;A13))+1)</f>
        <v/>
      </c>
      <c r="AB13">
        <f>IF(G13=1,IF(I13&gt;Compliance,J13,((($D13-1)*4+($C13-1)*2+MOD($B13,2))+(30-$B13)/30)/12),2)</f>
        <v/>
      </c>
      <c r="AC13">
        <f>IF(G13=0,2,IF(N13=0,AB13,1-SUMPRODUCT(MAX(($E$4:$E$183=E13)*($G$4:$G$183=1)*(1-AB$4:AB$183)))+0.000000001*D13))</f>
        <v/>
      </c>
      <c r="AD13">
        <f>IF(G13=0,999,SUMPRODUCT((AC$4:AC$183&lt;AC13)*($G$4:$G$183=1))+SUMPRODUCT((AC$4:AC$183=AC13)*($G$4:$G$183=1)*($A$4:$A$183&lt;A13))+1)</f>
        <v/>
      </c>
      <c r="AF13" t="n">
        <v>10</v>
      </c>
      <c r="AG13">
        <f>RAND()</f>
        <v/>
      </c>
      <c r="AI13" t="n">
        <v>10</v>
      </c>
      <c r="AJ13">
        <f>IF(10&gt;Passengers,"",MATCH(10,R$4:R$183,0))</f>
        <v/>
      </c>
      <c r="AK13">
        <f>IF(AJ13="","",INDEX($B$4:$B$183,AJ13))</f>
        <v/>
      </c>
      <c r="AL13">
        <f>IF(AJ13="","",INDEX($C$4:$C$183,AJ13))</f>
        <v/>
      </c>
      <c r="AM13">
        <f>IF(AJ13="","",INDEX($D$4:$D$183,AJ13))</f>
        <v/>
      </c>
      <c r="AN13">
        <f>IF(AJ13="","",COUNTIFS($B$4:$B$183,AK13,$C$4:$C$183,AL13,$D$4:$D$183,"&gt;"&amp;AM13,R$4:R$183,"&lt;"&amp;10,$G$4:$G$183,1))</f>
        <v/>
      </c>
      <c r="AO13">
        <f>IF(AJ13="","",INDEX($M$4:$M$183,AJ13)+IF(AN13=1,Shuffle1,IF(AN13&gt;=2,Shuffle2,0)))</f>
        <v/>
      </c>
      <c r="AP13">
        <f>IF(AJ13="","",MAX(DoorGap*9,SUMPRODUCT(MAX((AK$4:AK12&lt;=AK13)*AQ$4:AQ12)),SUMPRODUCT(MAX((AK$4:AK12&gt;AK13)*AP$4:AP12))+Headway))</f>
        <v/>
      </c>
      <c r="AQ13">
        <f>IF(AJ13="","",AP13+AO13)</f>
        <v/>
      </c>
      <c r="AR13">
        <f>IF(AJ13="","",AQ13+AK13*WalkSec)</f>
        <v/>
      </c>
      <c r="AS13" t="n">
        <v>10</v>
      </c>
      <c r="AT13">
        <f>IF(10&gt;Passengers,"",MATCH(10,V$4:V$183,0))</f>
        <v/>
      </c>
      <c r="AU13">
        <f>IF(AT13="","",INDEX($B$4:$B$183,AT13))</f>
        <v/>
      </c>
      <c r="AV13">
        <f>IF(AT13="","",INDEX($C$4:$C$183,AT13))</f>
        <v/>
      </c>
      <c r="AW13">
        <f>IF(AT13="","",INDEX($D$4:$D$183,AT13))</f>
        <v/>
      </c>
      <c r="AX13">
        <f>IF(AT13="","",COUNTIFS($B$4:$B$183,AU13,$C$4:$C$183,AV13,$D$4:$D$183,"&gt;"&amp;AW13,V$4:V$183,"&lt;"&amp;10,$G$4:$G$183,1))</f>
        <v/>
      </c>
      <c r="AY13">
        <f>IF(AT13="","",INDEX($M$4:$M$183,AT13)+IF(AX13=1,Shuffle1,IF(AX13&gt;=2,Shuffle2,0)))</f>
        <v/>
      </c>
      <c r="AZ13">
        <f>IF(AT13="","",MAX(DoorGap*9,SUMPRODUCT(MAX((AU$4:AU12&lt;=AU13)*BA$4:BA12)),SUMPRODUCT(MAX((AU$4:AU12&gt;AU13)*AZ$4:AZ12))+Headway))</f>
        <v/>
      </c>
      <c r="BA13">
        <f>IF(AT13="","",AZ13+AY13)</f>
        <v/>
      </c>
      <c r="BB13">
        <f>IF(AT13="","",BA13+AU13*WalkSec)</f>
        <v/>
      </c>
      <c r="BC13" t="n">
        <v>10</v>
      </c>
      <c r="BD13">
        <f>IF(10&gt;Passengers,"",MATCH(10,Z$4:Z$183,0))</f>
        <v/>
      </c>
      <c r="BE13">
        <f>IF(BD13="","",INDEX($B$4:$B$183,BD13))</f>
        <v/>
      </c>
      <c r="BF13">
        <f>IF(BD13="","",INDEX($C$4:$C$183,BD13))</f>
        <v/>
      </c>
      <c r="BG13">
        <f>IF(BD13="","",INDEX($D$4:$D$183,BD13))</f>
        <v/>
      </c>
      <c r="BH13">
        <f>IF(BD13="","",COUNTIFS($B$4:$B$183,BE13,$C$4:$C$183,BF13,$D$4:$D$183,"&gt;"&amp;BG13,Z$4:Z$183,"&lt;"&amp;10,$G$4:$G$183,1))</f>
        <v/>
      </c>
      <c r="BI13">
        <f>IF(BD13="","",INDEX($M$4:$M$183,BD13)+IF(BH13=1,Shuffle1,IF(BH13&gt;=2,Shuffle2,0)))</f>
        <v/>
      </c>
      <c r="BJ13">
        <f>IF(BD13="","",MAX(DoorGap*9,SUMPRODUCT(MAX((BE$4:BE12&lt;=BE13)*BK$4:BK12)),SUMPRODUCT(MAX((BE$4:BE12&gt;BE13)*BJ$4:BJ12))+Headway))</f>
        <v/>
      </c>
      <c r="BK13">
        <f>IF(BD13="","",BJ13+BI13)</f>
        <v/>
      </c>
      <c r="BL13">
        <f>IF(BD13="","",BK13+BE13*WalkSec)</f>
        <v/>
      </c>
      <c r="BM13" t="n">
        <v>10</v>
      </c>
      <c r="BN13">
        <f>IF(10&gt;Passengers,"",MATCH(10,AD$4:AD$183,0))</f>
        <v/>
      </c>
      <c r="BO13">
        <f>IF(BN13="","",INDEX($B$4:$B$183,BN13))</f>
        <v/>
      </c>
      <c r="BP13">
        <f>IF(BN13="","",INDEX($C$4:$C$183,BN13))</f>
        <v/>
      </c>
      <c r="BQ13">
        <f>IF(BN13="","",INDEX($D$4:$D$183,BN13))</f>
        <v/>
      </c>
      <c r="BR13">
        <f>IF(BN13="","",COUNTIFS($B$4:$B$183,BO13,$C$4:$C$183,BP13,$D$4:$D$183,"&gt;"&amp;BQ13,AD$4:AD$183,"&lt;"&amp;10,$G$4:$G$183,1))</f>
        <v/>
      </c>
      <c r="BS13">
        <f>IF(BN13="","",INDEX($M$4:$M$183,BN13)+IF(BR13=1,Shuffle1,IF(BR13&gt;=2,Shuffle2,0)))</f>
        <v/>
      </c>
      <c r="BT13">
        <f>IF(BN13="","",MAX(DoorGap*9,SUMPRODUCT(MAX((BO$4:BO12&lt;=BO13)*BU$4:BU12)),SUMPRODUCT(MAX((BO$4:BO12&gt;BO13)*BT$4:BT12))+Headway))</f>
        <v/>
      </c>
      <c r="BU13">
        <f>IF(BN13="","",BT13+BS13)</f>
        <v/>
      </c>
      <c r="BV13">
        <f>IF(BN13="","",BU13+BO13*WalkSec)</f>
        <v/>
      </c>
      <c r="BW13">
        <f>IF($G13=0,"",INDEX(AR$4:AR$183,R13))</f>
        <v/>
      </c>
      <c r="BX13">
        <f>IF($G13=0,"",INDEX(BB$4:BB$183,V13))</f>
        <v/>
      </c>
      <c r="BY13">
        <f>IF($G13=0,"",INDEX(BL$4:BL$183,Z13))</f>
        <v/>
      </c>
      <c r="BZ13">
        <f>IF($G13=0,"",INDEX(BV$4:BV$183,AD13))</f>
        <v/>
      </c>
    </row>
    <row r="14">
      <c r="A14" t="n">
        <v>11</v>
      </c>
      <c r="B14" t="n">
        <v>2</v>
      </c>
      <c r="C14" t="n">
        <v>2</v>
      </c>
      <c r="D14" t="n">
        <v>2</v>
      </c>
      <c r="E14" t="n">
        <v>4</v>
      </c>
      <c r="F14">
        <f>RAND()</f>
        <v/>
      </c>
      <c r="G14">
        <f>IF(SUMPRODUCT(($F$4:$F$183&lt;F14)*1)+SUMPRODUCT(($F$4:$F$183=F14)*($A$4:$A$183&lt;A14))&lt;Passengers,1,0)</f>
        <v/>
      </c>
      <c r="H14">
        <f>RAND()</f>
        <v/>
      </c>
      <c r="I14">
        <f>RAND()</f>
        <v/>
      </c>
      <c r="J14">
        <f>RAND()</f>
        <v/>
      </c>
      <c r="K14">
        <f>RAND()</f>
        <v/>
      </c>
      <c r="L14">
        <f>RAND()</f>
        <v/>
      </c>
      <c r="M14">
        <f>IF(K14&lt;BagShare,EXP(NORMSINV(L14)*StowSigma+StowMu),StowNoBag)</f>
        <v/>
      </c>
      <c r="N14">
        <f>IF(INDEX($AG$4:$AG$63,E14)&lt;GroupShare,1,0)</f>
        <v/>
      </c>
      <c r="P14">
        <f>IF(G14=1,IF(I14&gt;Compliance,J14,$H14),2)</f>
        <v/>
      </c>
      <c r="Q14">
        <f>IF(G14=0,2,IF(N14=0,P14,1-SUMPRODUCT(MAX(($E$4:$E$183=E14)*($G$4:$G$183=1)*(1-P$4:P$183)))+0.000000001*D14))</f>
        <v/>
      </c>
      <c r="R14">
        <f>IF(G14=0,999,SUMPRODUCT((Q$4:Q$183&lt;Q14)*($G$4:$G$183=1))+SUMPRODUCT((Q$4:Q$183=Q14)*($G$4:$G$183=1)*($A$4:$A$183&lt;A14))+1)</f>
        <v/>
      </c>
      <c r="T14">
        <f>IF(G14=1,IF(I14&gt;Compliance,J14,(INT((30-$B14)/(30/Zones))+$H14)/Zones),2)</f>
        <v/>
      </c>
      <c r="U14">
        <f>IF(G14=0,2,IF(N14=0,T14,1-SUMPRODUCT(MAX(($E$4:$E$183=E14)*($G$4:$G$183=1)*(1-T$4:T$183)))+0.000000001*D14))</f>
        <v/>
      </c>
      <c r="V14">
        <f>IF(G14=0,999,SUMPRODUCT((U$4:U$183&lt;U14)*($G$4:$G$183=1))+SUMPRODUCT((U$4:U$183=U14)*($G$4:$G$183=1)*($A$4:$A$183&lt;A14))+1)</f>
        <v/>
      </c>
      <c r="X14">
        <f>IF(G14=1,IF(I14&gt;Compliance,J14,(($D14-1)+$H14)/3),2)</f>
        <v/>
      </c>
      <c r="Y14">
        <f>IF(G14=0,2,IF(N14=0,X14,1-SUMPRODUCT(MAX(($E$4:$E$183=E14)*($G$4:$G$183=1)*(1-X$4:X$183)))+0.000000001*D14))</f>
        <v/>
      </c>
      <c r="Z14">
        <f>IF(G14=0,999,SUMPRODUCT((Y$4:Y$183&lt;Y14)*($G$4:$G$183=1))+SUMPRODUCT((Y$4:Y$183=Y14)*($G$4:$G$183=1)*($A$4:$A$183&lt;A14))+1)</f>
        <v/>
      </c>
      <c r="AB14">
        <f>IF(G14=1,IF(I14&gt;Compliance,J14,((($D14-1)*4+($C14-1)*2+MOD($B14,2))+(30-$B14)/30)/12),2)</f>
        <v/>
      </c>
      <c r="AC14">
        <f>IF(G14=0,2,IF(N14=0,AB14,1-SUMPRODUCT(MAX(($E$4:$E$183=E14)*($G$4:$G$183=1)*(1-AB$4:AB$183)))+0.000000001*D14))</f>
        <v/>
      </c>
      <c r="AD14">
        <f>IF(G14=0,999,SUMPRODUCT((AC$4:AC$183&lt;AC14)*($G$4:$G$183=1))+SUMPRODUCT((AC$4:AC$183=AC14)*($G$4:$G$183=1)*($A$4:$A$183&lt;A14))+1)</f>
        <v/>
      </c>
      <c r="AF14" t="n">
        <v>11</v>
      </c>
      <c r="AG14">
        <f>RAND()</f>
        <v/>
      </c>
      <c r="AI14" t="n">
        <v>11</v>
      </c>
      <c r="AJ14">
        <f>IF(11&gt;Passengers,"",MATCH(11,R$4:R$183,0))</f>
        <v/>
      </c>
      <c r="AK14">
        <f>IF(AJ14="","",INDEX($B$4:$B$183,AJ14))</f>
        <v/>
      </c>
      <c r="AL14">
        <f>IF(AJ14="","",INDEX($C$4:$C$183,AJ14))</f>
        <v/>
      </c>
      <c r="AM14">
        <f>IF(AJ14="","",INDEX($D$4:$D$183,AJ14))</f>
        <v/>
      </c>
      <c r="AN14">
        <f>IF(AJ14="","",COUNTIFS($B$4:$B$183,AK14,$C$4:$C$183,AL14,$D$4:$D$183,"&gt;"&amp;AM14,R$4:R$183,"&lt;"&amp;11,$G$4:$G$183,1))</f>
        <v/>
      </c>
      <c r="AO14">
        <f>IF(AJ14="","",INDEX($M$4:$M$183,AJ14)+IF(AN14=1,Shuffle1,IF(AN14&gt;=2,Shuffle2,0)))</f>
        <v/>
      </c>
      <c r="AP14">
        <f>IF(AJ14="","",MAX(DoorGap*10,SUMPRODUCT(MAX((AK$4:AK13&lt;=AK14)*AQ$4:AQ13)),SUMPRODUCT(MAX((AK$4:AK13&gt;AK14)*AP$4:AP13))+Headway))</f>
        <v/>
      </c>
      <c r="AQ14">
        <f>IF(AJ14="","",AP14+AO14)</f>
        <v/>
      </c>
      <c r="AR14">
        <f>IF(AJ14="","",AQ14+AK14*WalkSec)</f>
        <v/>
      </c>
      <c r="AS14" t="n">
        <v>11</v>
      </c>
      <c r="AT14">
        <f>IF(11&gt;Passengers,"",MATCH(11,V$4:V$183,0))</f>
        <v/>
      </c>
      <c r="AU14">
        <f>IF(AT14="","",INDEX($B$4:$B$183,AT14))</f>
        <v/>
      </c>
      <c r="AV14">
        <f>IF(AT14="","",INDEX($C$4:$C$183,AT14))</f>
        <v/>
      </c>
      <c r="AW14">
        <f>IF(AT14="","",INDEX($D$4:$D$183,AT14))</f>
        <v/>
      </c>
      <c r="AX14">
        <f>IF(AT14="","",COUNTIFS($B$4:$B$183,AU14,$C$4:$C$183,AV14,$D$4:$D$183,"&gt;"&amp;AW14,V$4:V$183,"&lt;"&amp;11,$G$4:$G$183,1))</f>
        <v/>
      </c>
      <c r="AY14">
        <f>IF(AT14="","",INDEX($M$4:$M$183,AT14)+IF(AX14=1,Shuffle1,IF(AX14&gt;=2,Shuffle2,0)))</f>
        <v/>
      </c>
      <c r="AZ14">
        <f>IF(AT14="","",MAX(DoorGap*10,SUMPRODUCT(MAX((AU$4:AU13&lt;=AU14)*BA$4:BA13)),SUMPRODUCT(MAX((AU$4:AU13&gt;AU14)*AZ$4:AZ13))+Headway))</f>
        <v/>
      </c>
      <c r="BA14">
        <f>IF(AT14="","",AZ14+AY14)</f>
        <v/>
      </c>
      <c r="BB14">
        <f>IF(AT14="","",BA14+AU14*WalkSec)</f>
        <v/>
      </c>
      <c r="BC14" t="n">
        <v>11</v>
      </c>
      <c r="BD14">
        <f>IF(11&gt;Passengers,"",MATCH(11,Z$4:Z$183,0))</f>
        <v/>
      </c>
      <c r="BE14">
        <f>IF(BD14="","",INDEX($B$4:$B$183,BD14))</f>
        <v/>
      </c>
      <c r="BF14">
        <f>IF(BD14="","",INDEX($C$4:$C$183,BD14))</f>
        <v/>
      </c>
      <c r="BG14">
        <f>IF(BD14="","",INDEX($D$4:$D$183,BD14))</f>
        <v/>
      </c>
      <c r="BH14">
        <f>IF(BD14="","",COUNTIFS($B$4:$B$183,BE14,$C$4:$C$183,BF14,$D$4:$D$183,"&gt;"&amp;BG14,Z$4:Z$183,"&lt;"&amp;11,$G$4:$G$183,1))</f>
        <v/>
      </c>
      <c r="BI14">
        <f>IF(BD14="","",INDEX($M$4:$M$183,BD14)+IF(BH14=1,Shuffle1,IF(BH14&gt;=2,Shuffle2,0)))</f>
        <v/>
      </c>
      <c r="BJ14">
        <f>IF(BD14="","",MAX(DoorGap*10,SUMPRODUCT(MAX((BE$4:BE13&lt;=BE14)*BK$4:BK13)),SUMPRODUCT(MAX((BE$4:BE13&gt;BE14)*BJ$4:BJ13))+Headway))</f>
        <v/>
      </c>
      <c r="BK14">
        <f>IF(BD14="","",BJ14+BI14)</f>
        <v/>
      </c>
      <c r="BL14">
        <f>IF(BD14="","",BK14+BE14*WalkSec)</f>
        <v/>
      </c>
      <c r="BM14" t="n">
        <v>11</v>
      </c>
      <c r="BN14">
        <f>IF(11&gt;Passengers,"",MATCH(11,AD$4:AD$183,0))</f>
        <v/>
      </c>
      <c r="BO14">
        <f>IF(BN14="","",INDEX($B$4:$B$183,BN14))</f>
        <v/>
      </c>
      <c r="BP14">
        <f>IF(BN14="","",INDEX($C$4:$C$183,BN14))</f>
        <v/>
      </c>
      <c r="BQ14">
        <f>IF(BN14="","",INDEX($D$4:$D$183,BN14))</f>
        <v/>
      </c>
      <c r="BR14">
        <f>IF(BN14="","",COUNTIFS($B$4:$B$183,BO14,$C$4:$C$183,BP14,$D$4:$D$183,"&gt;"&amp;BQ14,AD$4:AD$183,"&lt;"&amp;11,$G$4:$G$183,1))</f>
        <v/>
      </c>
      <c r="BS14">
        <f>IF(BN14="","",INDEX($M$4:$M$183,BN14)+IF(BR14=1,Shuffle1,IF(BR14&gt;=2,Shuffle2,0)))</f>
        <v/>
      </c>
      <c r="BT14">
        <f>IF(BN14="","",MAX(DoorGap*10,SUMPRODUCT(MAX((BO$4:BO13&lt;=BO14)*BU$4:BU13)),SUMPRODUCT(MAX((BO$4:BO13&gt;BO14)*BT$4:BT13))+Headway))</f>
        <v/>
      </c>
      <c r="BU14">
        <f>IF(BN14="","",BT14+BS14)</f>
        <v/>
      </c>
      <c r="BV14">
        <f>IF(BN14="","",BU14+BO14*WalkSec)</f>
        <v/>
      </c>
      <c r="BW14">
        <f>IF($G14=0,"",INDEX(AR$4:AR$183,R14))</f>
        <v/>
      </c>
      <c r="BX14">
        <f>IF($G14=0,"",INDEX(BB$4:BB$183,V14))</f>
        <v/>
      </c>
      <c r="BY14">
        <f>IF($G14=0,"",INDEX(BL$4:BL$183,Z14))</f>
        <v/>
      </c>
      <c r="BZ14">
        <f>IF($G14=0,"",INDEX(BV$4:BV$183,AD14))</f>
        <v/>
      </c>
    </row>
    <row r="15">
      <c r="A15" t="n">
        <v>12</v>
      </c>
      <c r="B15" t="n">
        <v>2</v>
      </c>
      <c r="C15" t="n">
        <v>2</v>
      </c>
      <c r="D15" t="n">
        <v>3</v>
      </c>
      <c r="E15" t="n">
        <v>4</v>
      </c>
      <c r="F15">
        <f>RAND()</f>
        <v/>
      </c>
      <c r="G15">
        <f>IF(SUMPRODUCT(($F$4:$F$183&lt;F15)*1)+SUMPRODUCT(($F$4:$F$183=F15)*($A$4:$A$183&lt;A15))&lt;Passengers,1,0)</f>
        <v/>
      </c>
      <c r="H15">
        <f>RAND()</f>
        <v/>
      </c>
      <c r="I15">
        <f>RAND()</f>
        <v/>
      </c>
      <c r="J15">
        <f>RAND()</f>
        <v/>
      </c>
      <c r="K15">
        <f>RAND()</f>
        <v/>
      </c>
      <c r="L15">
        <f>RAND()</f>
        <v/>
      </c>
      <c r="M15">
        <f>IF(K15&lt;BagShare,EXP(NORMSINV(L15)*StowSigma+StowMu),StowNoBag)</f>
        <v/>
      </c>
      <c r="N15">
        <f>IF(INDEX($AG$4:$AG$63,E15)&lt;GroupShare,1,0)</f>
        <v/>
      </c>
      <c r="P15">
        <f>IF(G15=1,IF(I15&gt;Compliance,J15,$H15),2)</f>
        <v/>
      </c>
      <c r="Q15">
        <f>IF(G15=0,2,IF(N15=0,P15,1-SUMPRODUCT(MAX(($E$4:$E$183=E15)*($G$4:$G$183=1)*(1-P$4:P$183)))+0.000000001*D15))</f>
        <v/>
      </c>
      <c r="R15">
        <f>IF(G15=0,999,SUMPRODUCT((Q$4:Q$183&lt;Q15)*($G$4:$G$183=1))+SUMPRODUCT((Q$4:Q$183=Q15)*($G$4:$G$183=1)*($A$4:$A$183&lt;A15))+1)</f>
        <v/>
      </c>
      <c r="T15">
        <f>IF(G15=1,IF(I15&gt;Compliance,J15,(INT((30-$B15)/(30/Zones))+$H15)/Zones),2)</f>
        <v/>
      </c>
      <c r="U15">
        <f>IF(G15=0,2,IF(N15=0,T15,1-SUMPRODUCT(MAX(($E$4:$E$183=E15)*($G$4:$G$183=1)*(1-T$4:T$183)))+0.000000001*D15))</f>
        <v/>
      </c>
      <c r="V15">
        <f>IF(G15=0,999,SUMPRODUCT((U$4:U$183&lt;U15)*($G$4:$G$183=1))+SUMPRODUCT((U$4:U$183=U15)*($G$4:$G$183=1)*($A$4:$A$183&lt;A15))+1)</f>
        <v/>
      </c>
      <c r="X15">
        <f>IF(G15=1,IF(I15&gt;Compliance,J15,(($D15-1)+$H15)/3),2)</f>
        <v/>
      </c>
      <c r="Y15">
        <f>IF(G15=0,2,IF(N15=0,X15,1-SUMPRODUCT(MAX(($E$4:$E$183=E15)*($G$4:$G$183=1)*(1-X$4:X$183)))+0.000000001*D15))</f>
        <v/>
      </c>
      <c r="Z15">
        <f>IF(G15=0,999,SUMPRODUCT((Y$4:Y$183&lt;Y15)*($G$4:$G$183=1))+SUMPRODUCT((Y$4:Y$183=Y15)*($G$4:$G$183=1)*($A$4:$A$183&lt;A15))+1)</f>
        <v/>
      </c>
      <c r="AB15">
        <f>IF(G15=1,IF(I15&gt;Compliance,J15,((($D15-1)*4+($C15-1)*2+MOD($B15,2))+(30-$B15)/30)/12),2)</f>
        <v/>
      </c>
      <c r="AC15">
        <f>IF(G15=0,2,IF(N15=0,AB15,1-SUMPRODUCT(MAX(($E$4:$E$183=E15)*($G$4:$G$183=1)*(1-AB$4:AB$183)))+0.000000001*D15))</f>
        <v/>
      </c>
      <c r="AD15">
        <f>IF(G15=0,999,SUMPRODUCT((AC$4:AC$183&lt;AC15)*($G$4:$G$183=1))+SUMPRODUCT((AC$4:AC$183=AC15)*($G$4:$G$183=1)*($A$4:$A$183&lt;A15))+1)</f>
        <v/>
      </c>
      <c r="AF15" t="n">
        <v>12</v>
      </c>
      <c r="AG15">
        <f>RAND()</f>
        <v/>
      </c>
      <c r="AI15" t="n">
        <v>12</v>
      </c>
      <c r="AJ15">
        <f>IF(12&gt;Passengers,"",MATCH(12,R$4:R$183,0))</f>
        <v/>
      </c>
      <c r="AK15">
        <f>IF(AJ15="","",INDEX($B$4:$B$183,AJ15))</f>
        <v/>
      </c>
      <c r="AL15">
        <f>IF(AJ15="","",INDEX($C$4:$C$183,AJ15))</f>
        <v/>
      </c>
      <c r="AM15">
        <f>IF(AJ15="","",INDEX($D$4:$D$183,AJ15))</f>
        <v/>
      </c>
      <c r="AN15">
        <f>IF(AJ15="","",COUNTIFS($B$4:$B$183,AK15,$C$4:$C$183,AL15,$D$4:$D$183,"&gt;"&amp;AM15,R$4:R$183,"&lt;"&amp;12,$G$4:$G$183,1))</f>
        <v/>
      </c>
      <c r="AO15">
        <f>IF(AJ15="","",INDEX($M$4:$M$183,AJ15)+IF(AN15=1,Shuffle1,IF(AN15&gt;=2,Shuffle2,0)))</f>
        <v/>
      </c>
      <c r="AP15">
        <f>IF(AJ15="","",MAX(DoorGap*11,SUMPRODUCT(MAX((AK$4:AK14&lt;=AK15)*AQ$4:AQ14)),SUMPRODUCT(MAX((AK$4:AK14&gt;AK15)*AP$4:AP14))+Headway))</f>
        <v/>
      </c>
      <c r="AQ15">
        <f>IF(AJ15="","",AP15+AO15)</f>
        <v/>
      </c>
      <c r="AR15">
        <f>IF(AJ15="","",AQ15+AK15*WalkSec)</f>
        <v/>
      </c>
      <c r="AS15" t="n">
        <v>12</v>
      </c>
      <c r="AT15">
        <f>IF(12&gt;Passengers,"",MATCH(12,V$4:V$183,0))</f>
        <v/>
      </c>
      <c r="AU15">
        <f>IF(AT15="","",INDEX($B$4:$B$183,AT15))</f>
        <v/>
      </c>
      <c r="AV15">
        <f>IF(AT15="","",INDEX($C$4:$C$183,AT15))</f>
        <v/>
      </c>
      <c r="AW15">
        <f>IF(AT15="","",INDEX($D$4:$D$183,AT15))</f>
        <v/>
      </c>
      <c r="AX15">
        <f>IF(AT15="","",COUNTIFS($B$4:$B$183,AU15,$C$4:$C$183,AV15,$D$4:$D$183,"&gt;"&amp;AW15,V$4:V$183,"&lt;"&amp;12,$G$4:$G$183,1))</f>
        <v/>
      </c>
      <c r="AY15">
        <f>IF(AT15="","",INDEX($M$4:$M$183,AT15)+IF(AX15=1,Shuffle1,IF(AX15&gt;=2,Shuffle2,0)))</f>
        <v/>
      </c>
      <c r="AZ15">
        <f>IF(AT15="","",MAX(DoorGap*11,SUMPRODUCT(MAX((AU$4:AU14&lt;=AU15)*BA$4:BA14)),SUMPRODUCT(MAX((AU$4:AU14&gt;AU15)*AZ$4:AZ14))+Headway))</f>
        <v/>
      </c>
      <c r="BA15">
        <f>IF(AT15="","",AZ15+AY15)</f>
        <v/>
      </c>
      <c r="BB15">
        <f>IF(AT15="","",BA15+AU15*WalkSec)</f>
        <v/>
      </c>
      <c r="BC15" t="n">
        <v>12</v>
      </c>
      <c r="BD15">
        <f>IF(12&gt;Passengers,"",MATCH(12,Z$4:Z$183,0))</f>
        <v/>
      </c>
      <c r="BE15">
        <f>IF(BD15="","",INDEX($B$4:$B$183,BD15))</f>
        <v/>
      </c>
      <c r="BF15">
        <f>IF(BD15="","",INDEX($C$4:$C$183,BD15))</f>
        <v/>
      </c>
      <c r="BG15">
        <f>IF(BD15="","",INDEX($D$4:$D$183,BD15))</f>
        <v/>
      </c>
      <c r="BH15">
        <f>IF(BD15="","",COUNTIFS($B$4:$B$183,BE15,$C$4:$C$183,BF15,$D$4:$D$183,"&gt;"&amp;BG15,Z$4:Z$183,"&lt;"&amp;12,$G$4:$G$183,1))</f>
        <v/>
      </c>
      <c r="BI15">
        <f>IF(BD15="","",INDEX($M$4:$M$183,BD15)+IF(BH15=1,Shuffle1,IF(BH15&gt;=2,Shuffle2,0)))</f>
        <v/>
      </c>
      <c r="BJ15">
        <f>IF(BD15="","",MAX(DoorGap*11,SUMPRODUCT(MAX((BE$4:BE14&lt;=BE15)*BK$4:BK14)),SUMPRODUCT(MAX((BE$4:BE14&gt;BE15)*BJ$4:BJ14))+Headway))</f>
        <v/>
      </c>
      <c r="BK15">
        <f>IF(BD15="","",BJ15+BI15)</f>
        <v/>
      </c>
      <c r="BL15">
        <f>IF(BD15="","",BK15+BE15*WalkSec)</f>
        <v/>
      </c>
      <c r="BM15" t="n">
        <v>12</v>
      </c>
      <c r="BN15">
        <f>IF(12&gt;Passengers,"",MATCH(12,AD$4:AD$183,0))</f>
        <v/>
      </c>
      <c r="BO15">
        <f>IF(BN15="","",INDEX($B$4:$B$183,BN15))</f>
        <v/>
      </c>
      <c r="BP15">
        <f>IF(BN15="","",INDEX($C$4:$C$183,BN15))</f>
        <v/>
      </c>
      <c r="BQ15">
        <f>IF(BN15="","",INDEX($D$4:$D$183,BN15))</f>
        <v/>
      </c>
      <c r="BR15">
        <f>IF(BN15="","",COUNTIFS($B$4:$B$183,BO15,$C$4:$C$183,BP15,$D$4:$D$183,"&gt;"&amp;BQ15,AD$4:AD$183,"&lt;"&amp;12,$G$4:$G$183,1))</f>
        <v/>
      </c>
      <c r="BS15">
        <f>IF(BN15="","",INDEX($M$4:$M$183,BN15)+IF(BR15=1,Shuffle1,IF(BR15&gt;=2,Shuffle2,0)))</f>
        <v/>
      </c>
      <c r="BT15">
        <f>IF(BN15="","",MAX(DoorGap*11,SUMPRODUCT(MAX((BO$4:BO14&lt;=BO15)*BU$4:BU14)),SUMPRODUCT(MAX((BO$4:BO14&gt;BO15)*BT$4:BT14))+Headway))</f>
        <v/>
      </c>
      <c r="BU15">
        <f>IF(BN15="","",BT15+BS15)</f>
        <v/>
      </c>
      <c r="BV15">
        <f>IF(BN15="","",BU15+BO15*WalkSec)</f>
        <v/>
      </c>
      <c r="BW15">
        <f>IF($G15=0,"",INDEX(AR$4:AR$183,R15))</f>
        <v/>
      </c>
      <c r="BX15">
        <f>IF($G15=0,"",INDEX(BB$4:BB$183,V15))</f>
        <v/>
      </c>
      <c r="BY15">
        <f>IF($G15=0,"",INDEX(BL$4:BL$183,Z15))</f>
        <v/>
      </c>
      <c r="BZ15">
        <f>IF($G15=0,"",INDEX(BV$4:BV$183,AD15))</f>
        <v/>
      </c>
    </row>
    <row r="16">
      <c r="A16" t="n">
        <v>13</v>
      </c>
      <c r="B16" t="n">
        <v>3</v>
      </c>
      <c r="C16" t="n">
        <v>1</v>
      </c>
      <c r="D16" t="n">
        <v>1</v>
      </c>
      <c r="E16" t="n">
        <v>5</v>
      </c>
      <c r="F16">
        <f>RAND()</f>
        <v/>
      </c>
      <c r="G16">
        <f>IF(SUMPRODUCT(($F$4:$F$183&lt;F16)*1)+SUMPRODUCT(($F$4:$F$183=F16)*($A$4:$A$183&lt;A16))&lt;Passengers,1,0)</f>
        <v/>
      </c>
      <c r="H16">
        <f>RAND()</f>
        <v/>
      </c>
      <c r="I16">
        <f>RAND()</f>
        <v/>
      </c>
      <c r="J16">
        <f>RAND()</f>
        <v/>
      </c>
      <c r="K16">
        <f>RAND()</f>
        <v/>
      </c>
      <c r="L16">
        <f>RAND()</f>
        <v/>
      </c>
      <c r="M16">
        <f>IF(K16&lt;BagShare,EXP(NORMSINV(L16)*StowSigma+StowMu),StowNoBag)</f>
        <v/>
      </c>
      <c r="N16">
        <f>IF(INDEX($AG$4:$AG$63,E16)&lt;GroupShare,1,0)</f>
        <v/>
      </c>
      <c r="P16">
        <f>IF(G16=1,IF(I16&gt;Compliance,J16,$H16),2)</f>
        <v/>
      </c>
      <c r="Q16">
        <f>IF(G16=0,2,IF(N16=0,P16,1-SUMPRODUCT(MAX(($E$4:$E$183=E16)*($G$4:$G$183=1)*(1-P$4:P$183)))+0.000000001*D16))</f>
        <v/>
      </c>
      <c r="R16">
        <f>IF(G16=0,999,SUMPRODUCT((Q$4:Q$183&lt;Q16)*($G$4:$G$183=1))+SUMPRODUCT((Q$4:Q$183=Q16)*($G$4:$G$183=1)*($A$4:$A$183&lt;A16))+1)</f>
        <v/>
      </c>
      <c r="T16">
        <f>IF(G16=1,IF(I16&gt;Compliance,J16,(INT((30-$B16)/(30/Zones))+$H16)/Zones),2)</f>
        <v/>
      </c>
      <c r="U16">
        <f>IF(G16=0,2,IF(N16=0,T16,1-SUMPRODUCT(MAX(($E$4:$E$183=E16)*($G$4:$G$183=1)*(1-T$4:T$183)))+0.000000001*D16))</f>
        <v/>
      </c>
      <c r="V16">
        <f>IF(G16=0,999,SUMPRODUCT((U$4:U$183&lt;U16)*($G$4:$G$183=1))+SUMPRODUCT((U$4:U$183=U16)*($G$4:$G$183=1)*($A$4:$A$183&lt;A16))+1)</f>
        <v/>
      </c>
      <c r="X16">
        <f>IF(G16=1,IF(I16&gt;Compliance,J16,(($D16-1)+$H16)/3),2)</f>
        <v/>
      </c>
      <c r="Y16">
        <f>IF(G16=0,2,IF(N16=0,X16,1-SUMPRODUCT(MAX(($E$4:$E$183=E16)*($G$4:$G$183=1)*(1-X$4:X$183)))+0.000000001*D16))</f>
        <v/>
      </c>
      <c r="Z16">
        <f>IF(G16=0,999,SUMPRODUCT((Y$4:Y$183&lt;Y16)*($G$4:$G$183=1))+SUMPRODUCT((Y$4:Y$183=Y16)*($G$4:$G$183=1)*($A$4:$A$183&lt;A16))+1)</f>
        <v/>
      </c>
      <c r="AB16">
        <f>IF(G16=1,IF(I16&gt;Compliance,J16,((($D16-1)*4+($C16-1)*2+MOD($B16,2))+(30-$B16)/30)/12),2)</f>
        <v/>
      </c>
      <c r="AC16">
        <f>IF(G16=0,2,IF(N16=0,AB16,1-SUMPRODUCT(MAX(($E$4:$E$183=E16)*($G$4:$G$183=1)*(1-AB$4:AB$183)))+0.000000001*D16))</f>
        <v/>
      </c>
      <c r="AD16">
        <f>IF(G16=0,999,SUMPRODUCT((AC$4:AC$183&lt;AC16)*($G$4:$G$183=1))+SUMPRODUCT((AC$4:AC$183=AC16)*($G$4:$G$183=1)*($A$4:$A$183&lt;A16))+1)</f>
        <v/>
      </c>
      <c r="AF16" t="n">
        <v>13</v>
      </c>
      <c r="AG16">
        <f>RAND()</f>
        <v/>
      </c>
      <c r="AI16" t="n">
        <v>13</v>
      </c>
      <c r="AJ16">
        <f>IF(13&gt;Passengers,"",MATCH(13,R$4:R$183,0))</f>
        <v/>
      </c>
      <c r="AK16">
        <f>IF(AJ16="","",INDEX($B$4:$B$183,AJ16))</f>
        <v/>
      </c>
      <c r="AL16">
        <f>IF(AJ16="","",INDEX($C$4:$C$183,AJ16))</f>
        <v/>
      </c>
      <c r="AM16">
        <f>IF(AJ16="","",INDEX($D$4:$D$183,AJ16))</f>
        <v/>
      </c>
      <c r="AN16">
        <f>IF(AJ16="","",COUNTIFS($B$4:$B$183,AK16,$C$4:$C$183,AL16,$D$4:$D$183,"&gt;"&amp;AM16,R$4:R$183,"&lt;"&amp;13,$G$4:$G$183,1))</f>
        <v/>
      </c>
      <c r="AO16">
        <f>IF(AJ16="","",INDEX($M$4:$M$183,AJ16)+IF(AN16=1,Shuffle1,IF(AN16&gt;=2,Shuffle2,0)))</f>
        <v/>
      </c>
      <c r="AP16">
        <f>IF(AJ16="","",MAX(DoorGap*12,SUMPRODUCT(MAX((AK$4:AK15&lt;=AK16)*AQ$4:AQ15)),SUMPRODUCT(MAX((AK$4:AK15&gt;AK16)*AP$4:AP15))+Headway))</f>
        <v/>
      </c>
      <c r="AQ16">
        <f>IF(AJ16="","",AP16+AO16)</f>
        <v/>
      </c>
      <c r="AR16">
        <f>IF(AJ16="","",AQ16+AK16*WalkSec)</f>
        <v/>
      </c>
      <c r="AS16" t="n">
        <v>13</v>
      </c>
      <c r="AT16">
        <f>IF(13&gt;Passengers,"",MATCH(13,V$4:V$183,0))</f>
        <v/>
      </c>
      <c r="AU16">
        <f>IF(AT16="","",INDEX($B$4:$B$183,AT16))</f>
        <v/>
      </c>
      <c r="AV16">
        <f>IF(AT16="","",INDEX($C$4:$C$183,AT16))</f>
        <v/>
      </c>
      <c r="AW16">
        <f>IF(AT16="","",INDEX($D$4:$D$183,AT16))</f>
        <v/>
      </c>
      <c r="AX16">
        <f>IF(AT16="","",COUNTIFS($B$4:$B$183,AU16,$C$4:$C$183,AV16,$D$4:$D$183,"&gt;"&amp;AW16,V$4:V$183,"&lt;"&amp;13,$G$4:$G$183,1))</f>
        <v/>
      </c>
      <c r="AY16">
        <f>IF(AT16="","",INDEX($M$4:$M$183,AT16)+IF(AX16=1,Shuffle1,IF(AX16&gt;=2,Shuffle2,0)))</f>
        <v/>
      </c>
      <c r="AZ16">
        <f>IF(AT16="","",MAX(DoorGap*12,SUMPRODUCT(MAX((AU$4:AU15&lt;=AU16)*BA$4:BA15)),SUMPRODUCT(MAX((AU$4:AU15&gt;AU16)*AZ$4:AZ15))+Headway))</f>
        <v/>
      </c>
      <c r="BA16">
        <f>IF(AT16="","",AZ16+AY16)</f>
        <v/>
      </c>
      <c r="BB16">
        <f>IF(AT16="","",BA16+AU16*WalkSec)</f>
        <v/>
      </c>
      <c r="BC16" t="n">
        <v>13</v>
      </c>
      <c r="BD16">
        <f>IF(13&gt;Passengers,"",MATCH(13,Z$4:Z$183,0))</f>
        <v/>
      </c>
      <c r="BE16">
        <f>IF(BD16="","",INDEX($B$4:$B$183,BD16))</f>
        <v/>
      </c>
      <c r="BF16">
        <f>IF(BD16="","",INDEX($C$4:$C$183,BD16))</f>
        <v/>
      </c>
      <c r="BG16">
        <f>IF(BD16="","",INDEX($D$4:$D$183,BD16))</f>
        <v/>
      </c>
      <c r="BH16">
        <f>IF(BD16="","",COUNTIFS($B$4:$B$183,BE16,$C$4:$C$183,BF16,$D$4:$D$183,"&gt;"&amp;BG16,Z$4:Z$183,"&lt;"&amp;13,$G$4:$G$183,1))</f>
        <v/>
      </c>
      <c r="BI16">
        <f>IF(BD16="","",INDEX($M$4:$M$183,BD16)+IF(BH16=1,Shuffle1,IF(BH16&gt;=2,Shuffle2,0)))</f>
        <v/>
      </c>
      <c r="BJ16">
        <f>IF(BD16="","",MAX(DoorGap*12,SUMPRODUCT(MAX((BE$4:BE15&lt;=BE16)*BK$4:BK15)),SUMPRODUCT(MAX((BE$4:BE15&gt;BE16)*BJ$4:BJ15))+Headway))</f>
        <v/>
      </c>
      <c r="BK16">
        <f>IF(BD16="","",BJ16+BI16)</f>
        <v/>
      </c>
      <c r="BL16">
        <f>IF(BD16="","",BK16+BE16*WalkSec)</f>
        <v/>
      </c>
      <c r="BM16" t="n">
        <v>13</v>
      </c>
      <c r="BN16">
        <f>IF(13&gt;Passengers,"",MATCH(13,AD$4:AD$183,0))</f>
        <v/>
      </c>
      <c r="BO16">
        <f>IF(BN16="","",INDEX($B$4:$B$183,BN16))</f>
        <v/>
      </c>
      <c r="BP16">
        <f>IF(BN16="","",INDEX($C$4:$C$183,BN16))</f>
        <v/>
      </c>
      <c r="BQ16">
        <f>IF(BN16="","",INDEX($D$4:$D$183,BN16))</f>
        <v/>
      </c>
      <c r="BR16">
        <f>IF(BN16="","",COUNTIFS($B$4:$B$183,BO16,$C$4:$C$183,BP16,$D$4:$D$183,"&gt;"&amp;BQ16,AD$4:AD$183,"&lt;"&amp;13,$G$4:$G$183,1))</f>
        <v/>
      </c>
      <c r="BS16">
        <f>IF(BN16="","",INDEX($M$4:$M$183,BN16)+IF(BR16=1,Shuffle1,IF(BR16&gt;=2,Shuffle2,0)))</f>
        <v/>
      </c>
      <c r="BT16">
        <f>IF(BN16="","",MAX(DoorGap*12,SUMPRODUCT(MAX((BO$4:BO15&lt;=BO16)*BU$4:BU15)),SUMPRODUCT(MAX((BO$4:BO15&gt;BO16)*BT$4:BT15))+Headway))</f>
        <v/>
      </c>
      <c r="BU16">
        <f>IF(BN16="","",BT16+BS16)</f>
        <v/>
      </c>
      <c r="BV16">
        <f>IF(BN16="","",BU16+BO16*WalkSec)</f>
        <v/>
      </c>
      <c r="BW16">
        <f>IF($G16=0,"",INDEX(AR$4:AR$183,R16))</f>
        <v/>
      </c>
      <c r="BX16">
        <f>IF($G16=0,"",INDEX(BB$4:BB$183,V16))</f>
        <v/>
      </c>
      <c r="BY16">
        <f>IF($G16=0,"",INDEX(BL$4:BL$183,Z16))</f>
        <v/>
      </c>
      <c r="BZ16">
        <f>IF($G16=0,"",INDEX(BV$4:BV$183,AD16))</f>
        <v/>
      </c>
    </row>
    <row r="17">
      <c r="A17" t="n">
        <v>14</v>
      </c>
      <c r="B17" t="n">
        <v>3</v>
      </c>
      <c r="C17" t="n">
        <v>1</v>
      </c>
      <c r="D17" t="n">
        <v>2</v>
      </c>
      <c r="E17" t="n">
        <v>5</v>
      </c>
      <c r="F17">
        <f>RAND()</f>
        <v/>
      </c>
      <c r="G17">
        <f>IF(SUMPRODUCT(($F$4:$F$183&lt;F17)*1)+SUMPRODUCT(($F$4:$F$183=F17)*($A$4:$A$183&lt;A17))&lt;Passengers,1,0)</f>
        <v/>
      </c>
      <c r="H17">
        <f>RAND()</f>
        <v/>
      </c>
      <c r="I17">
        <f>RAND()</f>
        <v/>
      </c>
      <c r="J17">
        <f>RAND()</f>
        <v/>
      </c>
      <c r="K17">
        <f>RAND()</f>
        <v/>
      </c>
      <c r="L17">
        <f>RAND()</f>
        <v/>
      </c>
      <c r="M17">
        <f>IF(K17&lt;BagShare,EXP(NORMSINV(L17)*StowSigma+StowMu),StowNoBag)</f>
        <v/>
      </c>
      <c r="N17">
        <f>IF(INDEX($AG$4:$AG$63,E17)&lt;GroupShare,1,0)</f>
        <v/>
      </c>
      <c r="P17">
        <f>IF(G17=1,IF(I17&gt;Compliance,J17,$H17),2)</f>
        <v/>
      </c>
      <c r="Q17">
        <f>IF(G17=0,2,IF(N17=0,P17,1-SUMPRODUCT(MAX(($E$4:$E$183=E17)*($G$4:$G$183=1)*(1-P$4:P$183)))+0.000000001*D17))</f>
        <v/>
      </c>
      <c r="R17">
        <f>IF(G17=0,999,SUMPRODUCT((Q$4:Q$183&lt;Q17)*($G$4:$G$183=1))+SUMPRODUCT((Q$4:Q$183=Q17)*($G$4:$G$183=1)*($A$4:$A$183&lt;A17))+1)</f>
        <v/>
      </c>
      <c r="T17">
        <f>IF(G17=1,IF(I17&gt;Compliance,J17,(INT((30-$B17)/(30/Zones))+$H17)/Zones),2)</f>
        <v/>
      </c>
      <c r="U17">
        <f>IF(G17=0,2,IF(N17=0,T17,1-SUMPRODUCT(MAX(($E$4:$E$183=E17)*($G$4:$G$183=1)*(1-T$4:T$183)))+0.000000001*D17))</f>
        <v/>
      </c>
      <c r="V17">
        <f>IF(G17=0,999,SUMPRODUCT((U$4:U$183&lt;U17)*($G$4:$G$183=1))+SUMPRODUCT((U$4:U$183=U17)*($G$4:$G$183=1)*($A$4:$A$183&lt;A17))+1)</f>
        <v/>
      </c>
      <c r="X17">
        <f>IF(G17=1,IF(I17&gt;Compliance,J17,(($D17-1)+$H17)/3),2)</f>
        <v/>
      </c>
      <c r="Y17">
        <f>IF(G17=0,2,IF(N17=0,X17,1-SUMPRODUCT(MAX(($E$4:$E$183=E17)*($G$4:$G$183=1)*(1-X$4:X$183)))+0.000000001*D17))</f>
        <v/>
      </c>
      <c r="Z17">
        <f>IF(G17=0,999,SUMPRODUCT((Y$4:Y$183&lt;Y17)*($G$4:$G$183=1))+SUMPRODUCT((Y$4:Y$183=Y17)*($G$4:$G$183=1)*($A$4:$A$183&lt;A17))+1)</f>
        <v/>
      </c>
      <c r="AB17">
        <f>IF(G17=1,IF(I17&gt;Compliance,J17,((($D17-1)*4+($C17-1)*2+MOD($B17,2))+(30-$B17)/30)/12),2)</f>
        <v/>
      </c>
      <c r="AC17">
        <f>IF(G17=0,2,IF(N17=0,AB17,1-SUMPRODUCT(MAX(($E$4:$E$183=E17)*($G$4:$G$183=1)*(1-AB$4:AB$183)))+0.000000001*D17))</f>
        <v/>
      </c>
      <c r="AD17">
        <f>IF(G17=0,999,SUMPRODUCT((AC$4:AC$183&lt;AC17)*($G$4:$G$183=1))+SUMPRODUCT((AC$4:AC$183=AC17)*($G$4:$G$183=1)*($A$4:$A$183&lt;A17))+1)</f>
        <v/>
      </c>
      <c r="AF17" t="n">
        <v>14</v>
      </c>
      <c r="AG17">
        <f>RAND()</f>
        <v/>
      </c>
      <c r="AI17" t="n">
        <v>14</v>
      </c>
      <c r="AJ17">
        <f>IF(14&gt;Passengers,"",MATCH(14,R$4:R$183,0))</f>
        <v/>
      </c>
      <c r="AK17">
        <f>IF(AJ17="","",INDEX($B$4:$B$183,AJ17))</f>
        <v/>
      </c>
      <c r="AL17">
        <f>IF(AJ17="","",INDEX($C$4:$C$183,AJ17))</f>
        <v/>
      </c>
      <c r="AM17">
        <f>IF(AJ17="","",INDEX($D$4:$D$183,AJ17))</f>
        <v/>
      </c>
      <c r="AN17">
        <f>IF(AJ17="","",COUNTIFS($B$4:$B$183,AK17,$C$4:$C$183,AL17,$D$4:$D$183,"&gt;"&amp;AM17,R$4:R$183,"&lt;"&amp;14,$G$4:$G$183,1))</f>
        <v/>
      </c>
      <c r="AO17">
        <f>IF(AJ17="","",INDEX($M$4:$M$183,AJ17)+IF(AN17=1,Shuffle1,IF(AN17&gt;=2,Shuffle2,0)))</f>
        <v/>
      </c>
      <c r="AP17">
        <f>IF(AJ17="","",MAX(DoorGap*13,SUMPRODUCT(MAX((AK$4:AK16&lt;=AK17)*AQ$4:AQ16)),SUMPRODUCT(MAX((AK$4:AK16&gt;AK17)*AP$4:AP16))+Headway))</f>
        <v/>
      </c>
      <c r="AQ17">
        <f>IF(AJ17="","",AP17+AO17)</f>
        <v/>
      </c>
      <c r="AR17">
        <f>IF(AJ17="","",AQ17+AK17*WalkSec)</f>
        <v/>
      </c>
      <c r="AS17" t="n">
        <v>14</v>
      </c>
      <c r="AT17">
        <f>IF(14&gt;Passengers,"",MATCH(14,V$4:V$183,0))</f>
        <v/>
      </c>
      <c r="AU17">
        <f>IF(AT17="","",INDEX($B$4:$B$183,AT17))</f>
        <v/>
      </c>
      <c r="AV17">
        <f>IF(AT17="","",INDEX($C$4:$C$183,AT17))</f>
        <v/>
      </c>
      <c r="AW17">
        <f>IF(AT17="","",INDEX($D$4:$D$183,AT17))</f>
        <v/>
      </c>
      <c r="AX17">
        <f>IF(AT17="","",COUNTIFS($B$4:$B$183,AU17,$C$4:$C$183,AV17,$D$4:$D$183,"&gt;"&amp;AW17,V$4:V$183,"&lt;"&amp;14,$G$4:$G$183,1))</f>
        <v/>
      </c>
      <c r="AY17">
        <f>IF(AT17="","",INDEX($M$4:$M$183,AT17)+IF(AX17=1,Shuffle1,IF(AX17&gt;=2,Shuffle2,0)))</f>
        <v/>
      </c>
      <c r="AZ17">
        <f>IF(AT17="","",MAX(DoorGap*13,SUMPRODUCT(MAX((AU$4:AU16&lt;=AU17)*BA$4:BA16)),SUMPRODUCT(MAX((AU$4:AU16&gt;AU17)*AZ$4:AZ16))+Headway))</f>
        <v/>
      </c>
      <c r="BA17">
        <f>IF(AT17="","",AZ17+AY17)</f>
        <v/>
      </c>
      <c r="BB17">
        <f>IF(AT17="","",BA17+AU17*WalkSec)</f>
        <v/>
      </c>
      <c r="BC17" t="n">
        <v>14</v>
      </c>
      <c r="BD17">
        <f>IF(14&gt;Passengers,"",MATCH(14,Z$4:Z$183,0))</f>
        <v/>
      </c>
      <c r="BE17">
        <f>IF(BD17="","",INDEX($B$4:$B$183,BD17))</f>
        <v/>
      </c>
      <c r="BF17">
        <f>IF(BD17="","",INDEX($C$4:$C$183,BD17))</f>
        <v/>
      </c>
      <c r="BG17">
        <f>IF(BD17="","",INDEX($D$4:$D$183,BD17))</f>
        <v/>
      </c>
      <c r="BH17">
        <f>IF(BD17="","",COUNTIFS($B$4:$B$183,BE17,$C$4:$C$183,BF17,$D$4:$D$183,"&gt;"&amp;BG17,Z$4:Z$183,"&lt;"&amp;14,$G$4:$G$183,1))</f>
        <v/>
      </c>
      <c r="BI17">
        <f>IF(BD17="","",INDEX($M$4:$M$183,BD17)+IF(BH17=1,Shuffle1,IF(BH17&gt;=2,Shuffle2,0)))</f>
        <v/>
      </c>
      <c r="BJ17">
        <f>IF(BD17="","",MAX(DoorGap*13,SUMPRODUCT(MAX((BE$4:BE16&lt;=BE17)*BK$4:BK16)),SUMPRODUCT(MAX((BE$4:BE16&gt;BE17)*BJ$4:BJ16))+Headway))</f>
        <v/>
      </c>
      <c r="BK17">
        <f>IF(BD17="","",BJ17+BI17)</f>
        <v/>
      </c>
      <c r="BL17">
        <f>IF(BD17="","",BK17+BE17*WalkSec)</f>
        <v/>
      </c>
      <c r="BM17" t="n">
        <v>14</v>
      </c>
      <c r="BN17">
        <f>IF(14&gt;Passengers,"",MATCH(14,AD$4:AD$183,0))</f>
        <v/>
      </c>
      <c r="BO17">
        <f>IF(BN17="","",INDEX($B$4:$B$183,BN17))</f>
        <v/>
      </c>
      <c r="BP17">
        <f>IF(BN17="","",INDEX($C$4:$C$183,BN17))</f>
        <v/>
      </c>
      <c r="BQ17">
        <f>IF(BN17="","",INDEX($D$4:$D$183,BN17))</f>
        <v/>
      </c>
      <c r="BR17">
        <f>IF(BN17="","",COUNTIFS($B$4:$B$183,BO17,$C$4:$C$183,BP17,$D$4:$D$183,"&gt;"&amp;BQ17,AD$4:AD$183,"&lt;"&amp;14,$G$4:$G$183,1))</f>
        <v/>
      </c>
      <c r="BS17">
        <f>IF(BN17="","",INDEX($M$4:$M$183,BN17)+IF(BR17=1,Shuffle1,IF(BR17&gt;=2,Shuffle2,0)))</f>
        <v/>
      </c>
      <c r="BT17">
        <f>IF(BN17="","",MAX(DoorGap*13,SUMPRODUCT(MAX((BO$4:BO16&lt;=BO17)*BU$4:BU16)),SUMPRODUCT(MAX((BO$4:BO16&gt;BO17)*BT$4:BT16))+Headway))</f>
        <v/>
      </c>
      <c r="BU17">
        <f>IF(BN17="","",BT17+BS17)</f>
        <v/>
      </c>
      <c r="BV17">
        <f>IF(BN17="","",BU17+BO17*WalkSec)</f>
        <v/>
      </c>
      <c r="BW17">
        <f>IF($G17=0,"",INDEX(AR$4:AR$183,R17))</f>
        <v/>
      </c>
      <c r="BX17">
        <f>IF($G17=0,"",INDEX(BB$4:BB$183,V17))</f>
        <v/>
      </c>
      <c r="BY17">
        <f>IF($G17=0,"",INDEX(BL$4:BL$183,Z17))</f>
        <v/>
      </c>
      <c r="BZ17">
        <f>IF($G17=0,"",INDEX(BV$4:BV$183,AD17))</f>
        <v/>
      </c>
    </row>
    <row r="18">
      <c r="A18" t="n">
        <v>15</v>
      </c>
      <c r="B18" t="n">
        <v>3</v>
      </c>
      <c r="C18" t="n">
        <v>1</v>
      </c>
      <c r="D18" t="n">
        <v>3</v>
      </c>
      <c r="E18" t="n">
        <v>5</v>
      </c>
      <c r="F18">
        <f>RAND()</f>
        <v/>
      </c>
      <c r="G18">
        <f>IF(SUMPRODUCT(($F$4:$F$183&lt;F18)*1)+SUMPRODUCT(($F$4:$F$183=F18)*($A$4:$A$183&lt;A18))&lt;Passengers,1,0)</f>
        <v/>
      </c>
      <c r="H18">
        <f>RAND()</f>
        <v/>
      </c>
      <c r="I18">
        <f>RAND()</f>
        <v/>
      </c>
      <c r="J18">
        <f>RAND()</f>
        <v/>
      </c>
      <c r="K18">
        <f>RAND()</f>
        <v/>
      </c>
      <c r="L18">
        <f>RAND()</f>
        <v/>
      </c>
      <c r="M18">
        <f>IF(K18&lt;BagShare,EXP(NORMSINV(L18)*StowSigma+StowMu),StowNoBag)</f>
        <v/>
      </c>
      <c r="N18">
        <f>IF(INDEX($AG$4:$AG$63,E18)&lt;GroupShare,1,0)</f>
        <v/>
      </c>
      <c r="P18">
        <f>IF(G18=1,IF(I18&gt;Compliance,J18,$H18),2)</f>
        <v/>
      </c>
      <c r="Q18">
        <f>IF(G18=0,2,IF(N18=0,P18,1-SUMPRODUCT(MAX(($E$4:$E$183=E18)*($G$4:$G$183=1)*(1-P$4:P$183)))+0.000000001*D18))</f>
        <v/>
      </c>
      <c r="R18">
        <f>IF(G18=0,999,SUMPRODUCT((Q$4:Q$183&lt;Q18)*($G$4:$G$183=1))+SUMPRODUCT((Q$4:Q$183=Q18)*($G$4:$G$183=1)*($A$4:$A$183&lt;A18))+1)</f>
        <v/>
      </c>
      <c r="T18">
        <f>IF(G18=1,IF(I18&gt;Compliance,J18,(INT((30-$B18)/(30/Zones))+$H18)/Zones),2)</f>
        <v/>
      </c>
      <c r="U18">
        <f>IF(G18=0,2,IF(N18=0,T18,1-SUMPRODUCT(MAX(($E$4:$E$183=E18)*($G$4:$G$183=1)*(1-T$4:T$183)))+0.000000001*D18))</f>
        <v/>
      </c>
      <c r="V18">
        <f>IF(G18=0,999,SUMPRODUCT((U$4:U$183&lt;U18)*($G$4:$G$183=1))+SUMPRODUCT((U$4:U$183=U18)*($G$4:$G$183=1)*($A$4:$A$183&lt;A18))+1)</f>
        <v/>
      </c>
      <c r="X18">
        <f>IF(G18=1,IF(I18&gt;Compliance,J18,(($D18-1)+$H18)/3),2)</f>
        <v/>
      </c>
      <c r="Y18">
        <f>IF(G18=0,2,IF(N18=0,X18,1-SUMPRODUCT(MAX(($E$4:$E$183=E18)*($G$4:$G$183=1)*(1-X$4:X$183)))+0.000000001*D18))</f>
        <v/>
      </c>
      <c r="Z18">
        <f>IF(G18=0,999,SUMPRODUCT((Y$4:Y$183&lt;Y18)*($G$4:$G$183=1))+SUMPRODUCT((Y$4:Y$183=Y18)*($G$4:$G$183=1)*($A$4:$A$183&lt;A18))+1)</f>
        <v/>
      </c>
      <c r="AB18">
        <f>IF(G18=1,IF(I18&gt;Compliance,J18,((($D18-1)*4+($C18-1)*2+MOD($B18,2))+(30-$B18)/30)/12),2)</f>
        <v/>
      </c>
      <c r="AC18">
        <f>IF(G18=0,2,IF(N18=0,AB18,1-SUMPRODUCT(MAX(($E$4:$E$183=E18)*($G$4:$G$183=1)*(1-AB$4:AB$183)))+0.000000001*D18))</f>
        <v/>
      </c>
      <c r="AD18">
        <f>IF(G18=0,999,SUMPRODUCT((AC$4:AC$183&lt;AC18)*($G$4:$G$183=1))+SUMPRODUCT((AC$4:AC$183=AC18)*($G$4:$G$183=1)*($A$4:$A$183&lt;A18))+1)</f>
        <v/>
      </c>
      <c r="AF18" t="n">
        <v>15</v>
      </c>
      <c r="AG18">
        <f>RAND()</f>
        <v/>
      </c>
      <c r="AI18" t="n">
        <v>15</v>
      </c>
      <c r="AJ18">
        <f>IF(15&gt;Passengers,"",MATCH(15,R$4:R$183,0))</f>
        <v/>
      </c>
      <c r="AK18">
        <f>IF(AJ18="","",INDEX($B$4:$B$183,AJ18))</f>
        <v/>
      </c>
      <c r="AL18">
        <f>IF(AJ18="","",INDEX($C$4:$C$183,AJ18))</f>
        <v/>
      </c>
      <c r="AM18">
        <f>IF(AJ18="","",INDEX($D$4:$D$183,AJ18))</f>
        <v/>
      </c>
      <c r="AN18">
        <f>IF(AJ18="","",COUNTIFS($B$4:$B$183,AK18,$C$4:$C$183,AL18,$D$4:$D$183,"&gt;"&amp;AM18,R$4:R$183,"&lt;"&amp;15,$G$4:$G$183,1))</f>
        <v/>
      </c>
      <c r="AO18">
        <f>IF(AJ18="","",INDEX($M$4:$M$183,AJ18)+IF(AN18=1,Shuffle1,IF(AN18&gt;=2,Shuffle2,0)))</f>
        <v/>
      </c>
      <c r="AP18">
        <f>IF(AJ18="","",MAX(DoorGap*14,SUMPRODUCT(MAX((AK$4:AK17&lt;=AK18)*AQ$4:AQ17)),SUMPRODUCT(MAX((AK$4:AK17&gt;AK18)*AP$4:AP17))+Headway))</f>
        <v/>
      </c>
      <c r="AQ18">
        <f>IF(AJ18="","",AP18+AO18)</f>
        <v/>
      </c>
      <c r="AR18">
        <f>IF(AJ18="","",AQ18+AK18*WalkSec)</f>
        <v/>
      </c>
      <c r="AS18" t="n">
        <v>15</v>
      </c>
      <c r="AT18">
        <f>IF(15&gt;Passengers,"",MATCH(15,V$4:V$183,0))</f>
        <v/>
      </c>
      <c r="AU18">
        <f>IF(AT18="","",INDEX($B$4:$B$183,AT18))</f>
        <v/>
      </c>
      <c r="AV18">
        <f>IF(AT18="","",INDEX($C$4:$C$183,AT18))</f>
        <v/>
      </c>
      <c r="AW18">
        <f>IF(AT18="","",INDEX($D$4:$D$183,AT18))</f>
        <v/>
      </c>
      <c r="AX18">
        <f>IF(AT18="","",COUNTIFS($B$4:$B$183,AU18,$C$4:$C$183,AV18,$D$4:$D$183,"&gt;"&amp;AW18,V$4:V$183,"&lt;"&amp;15,$G$4:$G$183,1))</f>
        <v/>
      </c>
      <c r="AY18">
        <f>IF(AT18="","",INDEX($M$4:$M$183,AT18)+IF(AX18=1,Shuffle1,IF(AX18&gt;=2,Shuffle2,0)))</f>
        <v/>
      </c>
      <c r="AZ18">
        <f>IF(AT18="","",MAX(DoorGap*14,SUMPRODUCT(MAX((AU$4:AU17&lt;=AU18)*BA$4:BA17)),SUMPRODUCT(MAX((AU$4:AU17&gt;AU18)*AZ$4:AZ17))+Headway))</f>
        <v/>
      </c>
      <c r="BA18">
        <f>IF(AT18="","",AZ18+AY18)</f>
        <v/>
      </c>
      <c r="BB18">
        <f>IF(AT18="","",BA18+AU18*WalkSec)</f>
        <v/>
      </c>
      <c r="BC18" t="n">
        <v>15</v>
      </c>
      <c r="BD18">
        <f>IF(15&gt;Passengers,"",MATCH(15,Z$4:Z$183,0))</f>
        <v/>
      </c>
      <c r="BE18">
        <f>IF(BD18="","",INDEX($B$4:$B$183,BD18))</f>
        <v/>
      </c>
      <c r="BF18">
        <f>IF(BD18="","",INDEX($C$4:$C$183,BD18))</f>
        <v/>
      </c>
      <c r="BG18">
        <f>IF(BD18="","",INDEX($D$4:$D$183,BD18))</f>
        <v/>
      </c>
      <c r="BH18">
        <f>IF(BD18="","",COUNTIFS($B$4:$B$183,BE18,$C$4:$C$183,BF18,$D$4:$D$183,"&gt;"&amp;BG18,Z$4:Z$183,"&lt;"&amp;15,$G$4:$G$183,1))</f>
        <v/>
      </c>
      <c r="BI18">
        <f>IF(BD18="","",INDEX($M$4:$M$183,BD18)+IF(BH18=1,Shuffle1,IF(BH18&gt;=2,Shuffle2,0)))</f>
        <v/>
      </c>
      <c r="BJ18">
        <f>IF(BD18="","",MAX(DoorGap*14,SUMPRODUCT(MAX((BE$4:BE17&lt;=BE18)*BK$4:BK17)),SUMPRODUCT(MAX((BE$4:BE17&gt;BE18)*BJ$4:BJ17))+Headway))</f>
        <v/>
      </c>
      <c r="BK18">
        <f>IF(BD18="","",BJ18+BI18)</f>
        <v/>
      </c>
      <c r="BL18">
        <f>IF(BD18="","",BK18+BE18*WalkSec)</f>
        <v/>
      </c>
      <c r="BM18" t="n">
        <v>15</v>
      </c>
      <c r="BN18">
        <f>IF(15&gt;Passengers,"",MATCH(15,AD$4:AD$183,0))</f>
        <v/>
      </c>
      <c r="BO18">
        <f>IF(BN18="","",INDEX($B$4:$B$183,BN18))</f>
        <v/>
      </c>
      <c r="BP18">
        <f>IF(BN18="","",INDEX($C$4:$C$183,BN18))</f>
        <v/>
      </c>
      <c r="BQ18">
        <f>IF(BN18="","",INDEX($D$4:$D$183,BN18))</f>
        <v/>
      </c>
      <c r="BR18">
        <f>IF(BN18="","",COUNTIFS($B$4:$B$183,BO18,$C$4:$C$183,BP18,$D$4:$D$183,"&gt;"&amp;BQ18,AD$4:AD$183,"&lt;"&amp;15,$G$4:$G$183,1))</f>
        <v/>
      </c>
      <c r="BS18">
        <f>IF(BN18="","",INDEX($M$4:$M$183,BN18)+IF(BR18=1,Shuffle1,IF(BR18&gt;=2,Shuffle2,0)))</f>
        <v/>
      </c>
      <c r="BT18">
        <f>IF(BN18="","",MAX(DoorGap*14,SUMPRODUCT(MAX((BO$4:BO17&lt;=BO18)*BU$4:BU17)),SUMPRODUCT(MAX((BO$4:BO17&gt;BO18)*BT$4:BT17))+Headway))</f>
        <v/>
      </c>
      <c r="BU18">
        <f>IF(BN18="","",BT18+BS18)</f>
        <v/>
      </c>
      <c r="BV18">
        <f>IF(BN18="","",BU18+BO18*WalkSec)</f>
        <v/>
      </c>
      <c r="BW18">
        <f>IF($G18=0,"",INDEX(AR$4:AR$183,R18))</f>
        <v/>
      </c>
      <c r="BX18">
        <f>IF($G18=0,"",INDEX(BB$4:BB$183,V18))</f>
        <v/>
      </c>
      <c r="BY18">
        <f>IF($G18=0,"",INDEX(BL$4:BL$183,Z18))</f>
        <v/>
      </c>
      <c r="BZ18">
        <f>IF($G18=0,"",INDEX(BV$4:BV$183,AD18))</f>
        <v/>
      </c>
    </row>
    <row r="19">
      <c r="A19" t="n">
        <v>16</v>
      </c>
      <c r="B19" t="n">
        <v>3</v>
      </c>
      <c r="C19" t="n">
        <v>2</v>
      </c>
      <c r="D19" t="n">
        <v>1</v>
      </c>
      <c r="E19" t="n">
        <v>6</v>
      </c>
      <c r="F19">
        <f>RAND()</f>
        <v/>
      </c>
      <c r="G19">
        <f>IF(SUMPRODUCT(($F$4:$F$183&lt;F19)*1)+SUMPRODUCT(($F$4:$F$183=F19)*($A$4:$A$183&lt;A19))&lt;Passengers,1,0)</f>
        <v/>
      </c>
      <c r="H19">
        <f>RAND()</f>
        <v/>
      </c>
      <c r="I19">
        <f>RAND()</f>
        <v/>
      </c>
      <c r="J19">
        <f>RAND()</f>
        <v/>
      </c>
      <c r="K19">
        <f>RAND()</f>
        <v/>
      </c>
      <c r="L19">
        <f>RAND()</f>
        <v/>
      </c>
      <c r="M19">
        <f>IF(K19&lt;BagShare,EXP(NORMSINV(L19)*StowSigma+StowMu),StowNoBag)</f>
        <v/>
      </c>
      <c r="N19">
        <f>IF(INDEX($AG$4:$AG$63,E19)&lt;GroupShare,1,0)</f>
        <v/>
      </c>
      <c r="P19">
        <f>IF(G19=1,IF(I19&gt;Compliance,J19,$H19),2)</f>
        <v/>
      </c>
      <c r="Q19">
        <f>IF(G19=0,2,IF(N19=0,P19,1-SUMPRODUCT(MAX(($E$4:$E$183=E19)*($G$4:$G$183=1)*(1-P$4:P$183)))+0.000000001*D19))</f>
        <v/>
      </c>
      <c r="R19">
        <f>IF(G19=0,999,SUMPRODUCT((Q$4:Q$183&lt;Q19)*($G$4:$G$183=1))+SUMPRODUCT((Q$4:Q$183=Q19)*($G$4:$G$183=1)*($A$4:$A$183&lt;A19))+1)</f>
        <v/>
      </c>
      <c r="T19">
        <f>IF(G19=1,IF(I19&gt;Compliance,J19,(INT((30-$B19)/(30/Zones))+$H19)/Zones),2)</f>
        <v/>
      </c>
      <c r="U19">
        <f>IF(G19=0,2,IF(N19=0,T19,1-SUMPRODUCT(MAX(($E$4:$E$183=E19)*($G$4:$G$183=1)*(1-T$4:T$183)))+0.000000001*D19))</f>
        <v/>
      </c>
      <c r="V19">
        <f>IF(G19=0,999,SUMPRODUCT((U$4:U$183&lt;U19)*($G$4:$G$183=1))+SUMPRODUCT((U$4:U$183=U19)*($G$4:$G$183=1)*($A$4:$A$183&lt;A19))+1)</f>
        <v/>
      </c>
      <c r="X19">
        <f>IF(G19=1,IF(I19&gt;Compliance,J19,(($D19-1)+$H19)/3),2)</f>
        <v/>
      </c>
      <c r="Y19">
        <f>IF(G19=0,2,IF(N19=0,X19,1-SUMPRODUCT(MAX(($E$4:$E$183=E19)*($G$4:$G$183=1)*(1-X$4:X$183)))+0.000000001*D19))</f>
        <v/>
      </c>
      <c r="Z19">
        <f>IF(G19=0,999,SUMPRODUCT((Y$4:Y$183&lt;Y19)*($G$4:$G$183=1))+SUMPRODUCT((Y$4:Y$183=Y19)*($G$4:$G$183=1)*($A$4:$A$183&lt;A19))+1)</f>
        <v/>
      </c>
      <c r="AB19">
        <f>IF(G19=1,IF(I19&gt;Compliance,J19,((($D19-1)*4+($C19-1)*2+MOD($B19,2))+(30-$B19)/30)/12),2)</f>
        <v/>
      </c>
      <c r="AC19">
        <f>IF(G19=0,2,IF(N19=0,AB19,1-SUMPRODUCT(MAX(($E$4:$E$183=E19)*($G$4:$G$183=1)*(1-AB$4:AB$183)))+0.000000001*D19))</f>
        <v/>
      </c>
      <c r="AD19">
        <f>IF(G19=0,999,SUMPRODUCT((AC$4:AC$183&lt;AC19)*($G$4:$G$183=1))+SUMPRODUCT((AC$4:AC$183=AC19)*($G$4:$G$183=1)*($A$4:$A$183&lt;A19))+1)</f>
        <v/>
      </c>
      <c r="AF19" t="n">
        <v>16</v>
      </c>
      <c r="AG19">
        <f>RAND()</f>
        <v/>
      </c>
      <c r="AI19" t="n">
        <v>16</v>
      </c>
      <c r="AJ19">
        <f>IF(16&gt;Passengers,"",MATCH(16,R$4:R$183,0))</f>
        <v/>
      </c>
      <c r="AK19">
        <f>IF(AJ19="","",INDEX($B$4:$B$183,AJ19))</f>
        <v/>
      </c>
      <c r="AL19">
        <f>IF(AJ19="","",INDEX($C$4:$C$183,AJ19))</f>
        <v/>
      </c>
      <c r="AM19">
        <f>IF(AJ19="","",INDEX($D$4:$D$183,AJ19))</f>
        <v/>
      </c>
      <c r="AN19">
        <f>IF(AJ19="","",COUNTIFS($B$4:$B$183,AK19,$C$4:$C$183,AL19,$D$4:$D$183,"&gt;"&amp;AM19,R$4:R$183,"&lt;"&amp;16,$G$4:$G$183,1))</f>
        <v/>
      </c>
      <c r="AO19">
        <f>IF(AJ19="","",INDEX($M$4:$M$183,AJ19)+IF(AN19=1,Shuffle1,IF(AN19&gt;=2,Shuffle2,0)))</f>
        <v/>
      </c>
      <c r="AP19">
        <f>IF(AJ19="","",MAX(DoorGap*15,SUMPRODUCT(MAX((AK$4:AK18&lt;=AK19)*AQ$4:AQ18)),SUMPRODUCT(MAX((AK$4:AK18&gt;AK19)*AP$4:AP18))+Headway))</f>
        <v/>
      </c>
      <c r="AQ19">
        <f>IF(AJ19="","",AP19+AO19)</f>
        <v/>
      </c>
      <c r="AR19">
        <f>IF(AJ19="","",AQ19+AK19*WalkSec)</f>
        <v/>
      </c>
      <c r="AS19" t="n">
        <v>16</v>
      </c>
      <c r="AT19">
        <f>IF(16&gt;Passengers,"",MATCH(16,V$4:V$183,0))</f>
        <v/>
      </c>
      <c r="AU19">
        <f>IF(AT19="","",INDEX($B$4:$B$183,AT19))</f>
        <v/>
      </c>
      <c r="AV19">
        <f>IF(AT19="","",INDEX($C$4:$C$183,AT19))</f>
        <v/>
      </c>
      <c r="AW19">
        <f>IF(AT19="","",INDEX($D$4:$D$183,AT19))</f>
        <v/>
      </c>
      <c r="AX19">
        <f>IF(AT19="","",COUNTIFS($B$4:$B$183,AU19,$C$4:$C$183,AV19,$D$4:$D$183,"&gt;"&amp;AW19,V$4:V$183,"&lt;"&amp;16,$G$4:$G$183,1))</f>
        <v/>
      </c>
      <c r="AY19">
        <f>IF(AT19="","",INDEX($M$4:$M$183,AT19)+IF(AX19=1,Shuffle1,IF(AX19&gt;=2,Shuffle2,0)))</f>
        <v/>
      </c>
      <c r="AZ19">
        <f>IF(AT19="","",MAX(DoorGap*15,SUMPRODUCT(MAX((AU$4:AU18&lt;=AU19)*BA$4:BA18)),SUMPRODUCT(MAX((AU$4:AU18&gt;AU19)*AZ$4:AZ18))+Headway))</f>
        <v/>
      </c>
      <c r="BA19">
        <f>IF(AT19="","",AZ19+AY19)</f>
        <v/>
      </c>
      <c r="BB19">
        <f>IF(AT19="","",BA19+AU19*WalkSec)</f>
        <v/>
      </c>
      <c r="BC19" t="n">
        <v>16</v>
      </c>
      <c r="BD19">
        <f>IF(16&gt;Passengers,"",MATCH(16,Z$4:Z$183,0))</f>
        <v/>
      </c>
      <c r="BE19">
        <f>IF(BD19="","",INDEX($B$4:$B$183,BD19))</f>
        <v/>
      </c>
      <c r="BF19">
        <f>IF(BD19="","",INDEX($C$4:$C$183,BD19))</f>
        <v/>
      </c>
      <c r="BG19">
        <f>IF(BD19="","",INDEX($D$4:$D$183,BD19))</f>
        <v/>
      </c>
      <c r="BH19">
        <f>IF(BD19="","",COUNTIFS($B$4:$B$183,BE19,$C$4:$C$183,BF19,$D$4:$D$183,"&gt;"&amp;BG19,Z$4:Z$183,"&lt;"&amp;16,$G$4:$G$183,1))</f>
        <v/>
      </c>
      <c r="BI19">
        <f>IF(BD19="","",INDEX($M$4:$M$183,BD19)+IF(BH19=1,Shuffle1,IF(BH19&gt;=2,Shuffle2,0)))</f>
        <v/>
      </c>
      <c r="BJ19">
        <f>IF(BD19="","",MAX(DoorGap*15,SUMPRODUCT(MAX((BE$4:BE18&lt;=BE19)*BK$4:BK18)),SUMPRODUCT(MAX((BE$4:BE18&gt;BE19)*BJ$4:BJ18))+Headway))</f>
        <v/>
      </c>
      <c r="BK19">
        <f>IF(BD19="","",BJ19+BI19)</f>
        <v/>
      </c>
      <c r="BL19">
        <f>IF(BD19="","",BK19+BE19*WalkSec)</f>
        <v/>
      </c>
      <c r="BM19" t="n">
        <v>16</v>
      </c>
      <c r="BN19">
        <f>IF(16&gt;Passengers,"",MATCH(16,AD$4:AD$183,0))</f>
        <v/>
      </c>
      <c r="BO19">
        <f>IF(BN19="","",INDEX($B$4:$B$183,BN19))</f>
        <v/>
      </c>
      <c r="BP19">
        <f>IF(BN19="","",INDEX($C$4:$C$183,BN19))</f>
        <v/>
      </c>
      <c r="BQ19">
        <f>IF(BN19="","",INDEX($D$4:$D$183,BN19))</f>
        <v/>
      </c>
      <c r="BR19">
        <f>IF(BN19="","",COUNTIFS($B$4:$B$183,BO19,$C$4:$C$183,BP19,$D$4:$D$183,"&gt;"&amp;BQ19,AD$4:AD$183,"&lt;"&amp;16,$G$4:$G$183,1))</f>
        <v/>
      </c>
      <c r="BS19">
        <f>IF(BN19="","",INDEX($M$4:$M$183,BN19)+IF(BR19=1,Shuffle1,IF(BR19&gt;=2,Shuffle2,0)))</f>
        <v/>
      </c>
      <c r="BT19">
        <f>IF(BN19="","",MAX(DoorGap*15,SUMPRODUCT(MAX((BO$4:BO18&lt;=BO19)*BU$4:BU18)),SUMPRODUCT(MAX((BO$4:BO18&gt;BO19)*BT$4:BT18))+Headway))</f>
        <v/>
      </c>
      <c r="BU19">
        <f>IF(BN19="","",BT19+BS19)</f>
        <v/>
      </c>
      <c r="BV19">
        <f>IF(BN19="","",BU19+BO19*WalkSec)</f>
        <v/>
      </c>
      <c r="BW19">
        <f>IF($G19=0,"",INDEX(AR$4:AR$183,R19))</f>
        <v/>
      </c>
      <c r="BX19">
        <f>IF($G19=0,"",INDEX(BB$4:BB$183,V19))</f>
        <v/>
      </c>
      <c r="BY19">
        <f>IF($G19=0,"",INDEX(BL$4:BL$183,Z19))</f>
        <v/>
      </c>
      <c r="BZ19">
        <f>IF($G19=0,"",INDEX(BV$4:BV$183,AD19))</f>
        <v/>
      </c>
    </row>
    <row r="20">
      <c r="A20" t="n">
        <v>17</v>
      </c>
      <c r="B20" t="n">
        <v>3</v>
      </c>
      <c r="C20" t="n">
        <v>2</v>
      </c>
      <c r="D20" t="n">
        <v>2</v>
      </c>
      <c r="E20" t="n">
        <v>6</v>
      </c>
      <c r="F20">
        <f>RAND()</f>
        <v/>
      </c>
      <c r="G20">
        <f>IF(SUMPRODUCT(($F$4:$F$183&lt;F20)*1)+SUMPRODUCT(($F$4:$F$183=F20)*($A$4:$A$183&lt;A20))&lt;Passengers,1,0)</f>
        <v/>
      </c>
      <c r="H20">
        <f>RAND()</f>
        <v/>
      </c>
      <c r="I20">
        <f>RAND()</f>
        <v/>
      </c>
      <c r="J20">
        <f>RAND()</f>
        <v/>
      </c>
      <c r="K20">
        <f>RAND()</f>
        <v/>
      </c>
      <c r="L20">
        <f>RAND()</f>
        <v/>
      </c>
      <c r="M20">
        <f>IF(K20&lt;BagShare,EXP(NORMSINV(L20)*StowSigma+StowMu),StowNoBag)</f>
        <v/>
      </c>
      <c r="N20">
        <f>IF(INDEX($AG$4:$AG$63,E20)&lt;GroupShare,1,0)</f>
        <v/>
      </c>
      <c r="P20">
        <f>IF(G20=1,IF(I20&gt;Compliance,J20,$H20),2)</f>
        <v/>
      </c>
      <c r="Q20">
        <f>IF(G20=0,2,IF(N20=0,P20,1-SUMPRODUCT(MAX(($E$4:$E$183=E20)*($G$4:$G$183=1)*(1-P$4:P$183)))+0.000000001*D20))</f>
        <v/>
      </c>
      <c r="R20">
        <f>IF(G20=0,999,SUMPRODUCT((Q$4:Q$183&lt;Q20)*($G$4:$G$183=1))+SUMPRODUCT((Q$4:Q$183=Q20)*($G$4:$G$183=1)*($A$4:$A$183&lt;A20))+1)</f>
        <v/>
      </c>
      <c r="T20">
        <f>IF(G20=1,IF(I20&gt;Compliance,J20,(INT((30-$B20)/(30/Zones))+$H20)/Zones),2)</f>
        <v/>
      </c>
      <c r="U20">
        <f>IF(G20=0,2,IF(N20=0,T20,1-SUMPRODUCT(MAX(($E$4:$E$183=E20)*($G$4:$G$183=1)*(1-T$4:T$183)))+0.000000001*D20))</f>
        <v/>
      </c>
      <c r="V20">
        <f>IF(G20=0,999,SUMPRODUCT((U$4:U$183&lt;U20)*($G$4:$G$183=1))+SUMPRODUCT((U$4:U$183=U20)*($G$4:$G$183=1)*($A$4:$A$183&lt;A20))+1)</f>
        <v/>
      </c>
      <c r="X20">
        <f>IF(G20=1,IF(I20&gt;Compliance,J20,(($D20-1)+$H20)/3),2)</f>
        <v/>
      </c>
      <c r="Y20">
        <f>IF(G20=0,2,IF(N20=0,X20,1-SUMPRODUCT(MAX(($E$4:$E$183=E20)*($G$4:$G$183=1)*(1-X$4:X$183)))+0.000000001*D20))</f>
        <v/>
      </c>
      <c r="Z20">
        <f>IF(G20=0,999,SUMPRODUCT((Y$4:Y$183&lt;Y20)*($G$4:$G$183=1))+SUMPRODUCT((Y$4:Y$183=Y20)*($G$4:$G$183=1)*($A$4:$A$183&lt;A20))+1)</f>
        <v/>
      </c>
      <c r="AB20">
        <f>IF(G20=1,IF(I20&gt;Compliance,J20,((($D20-1)*4+($C20-1)*2+MOD($B20,2))+(30-$B20)/30)/12),2)</f>
        <v/>
      </c>
      <c r="AC20">
        <f>IF(G20=0,2,IF(N20=0,AB20,1-SUMPRODUCT(MAX(($E$4:$E$183=E20)*($G$4:$G$183=1)*(1-AB$4:AB$183)))+0.000000001*D20))</f>
        <v/>
      </c>
      <c r="AD20">
        <f>IF(G20=0,999,SUMPRODUCT((AC$4:AC$183&lt;AC20)*($G$4:$G$183=1))+SUMPRODUCT((AC$4:AC$183=AC20)*($G$4:$G$183=1)*($A$4:$A$183&lt;A20))+1)</f>
        <v/>
      </c>
      <c r="AF20" t="n">
        <v>17</v>
      </c>
      <c r="AG20">
        <f>RAND()</f>
        <v/>
      </c>
      <c r="AI20" t="n">
        <v>17</v>
      </c>
      <c r="AJ20">
        <f>IF(17&gt;Passengers,"",MATCH(17,R$4:R$183,0))</f>
        <v/>
      </c>
      <c r="AK20">
        <f>IF(AJ20="","",INDEX($B$4:$B$183,AJ20))</f>
        <v/>
      </c>
      <c r="AL20">
        <f>IF(AJ20="","",INDEX($C$4:$C$183,AJ20))</f>
        <v/>
      </c>
      <c r="AM20">
        <f>IF(AJ20="","",INDEX($D$4:$D$183,AJ20))</f>
        <v/>
      </c>
      <c r="AN20">
        <f>IF(AJ20="","",COUNTIFS($B$4:$B$183,AK20,$C$4:$C$183,AL20,$D$4:$D$183,"&gt;"&amp;AM20,R$4:R$183,"&lt;"&amp;17,$G$4:$G$183,1))</f>
        <v/>
      </c>
      <c r="AO20">
        <f>IF(AJ20="","",INDEX($M$4:$M$183,AJ20)+IF(AN20=1,Shuffle1,IF(AN20&gt;=2,Shuffle2,0)))</f>
        <v/>
      </c>
      <c r="AP20">
        <f>IF(AJ20="","",MAX(DoorGap*16,SUMPRODUCT(MAX((AK$4:AK19&lt;=AK20)*AQ$4:AQ19)),SUMPRODUCT(MAX((AK$4:AK19&gt;AK20)*AP$4:AP19))+Headway))</f>
        <v/>
      </c>
      <c r="AQ20">
        <f>IF(AJ20="","",AP20+AO20)</f>
        <v/>
      </c>
      <c r="AR20">
        <f>IF(AJ20="","",AQ20+AK20*WalkSec)</f>
        <v/>
      </c>
      <c r="AS20" t="n">
        <v>17</v>
      </c>
      <c r="AT20">
        <f>IF(17&gt;Passengers,"",MATCH(17,V$4:V$183,0))</f>
        <v/>
      </c>
      <c r="AU20">
        <f>IF(AT20="","",INDEX($B$4:$B$183,AT20))</f>
        <v/>
      </c>
      <c r="AV20">
        <f>IF(AT20="","",INDEX($C$4:$C$183,AT20))</f>
        <v/>
      </c>
      <c r="AW20">
        <f>IF(AT20="","",INDEX($D$4:$D$183,AT20))</f>
        <v/>
      </c>
      <c r="AX20">
        <f>IF(AT20="","",COUNTIFS($B$4:$B$183,AU20,$C$4:$C$183,AV20,$D$4:$D$183,"&gt;"&amp;AW20,V$4:V$183,"&lt;"&amp;17,$G$4:$G$183,1))</f>
        <v/>
      </c>
      <c r="AY20">
        <f>IF(AT20="","",INDEX($M$4:$M$183,AT20)+IF(AX20=1,Shuffle1,IF(AX20&gt;=2,Shuffle2,0)))</f>
        <v/>
      </c>
      <c r="AZ20">
        <f>IF(AT20="","",MAX(DoorGap*16,SUMPRODUCT(MAX((AU$4:AU19&lt;=AU20)*BA$4:BA19)),SUMPRODUCT(MAX((AU$4:AU19&gt;AU20)*AZ$4:AZ19))+Headway))</f>
        <v/>
      </c>
      <c r="BA20">
        <f>IF(AT20="","",AZ20+AY20)</f>
        <v/>
      </c>
      <c r="BB20">
        <f>IF(AT20="","",BA20+AU20*WalkSec)</f>
        <v/>
      </c>
      <c r="BC20" t="n">
        <v>17</v>
      </c>
      <c r="BD20">
        <f>IF(17&gt;Passengers,"",MATCH(17,Z$4:Z$183,0))</f>
        <v/>
      </c>
      <c r="BE20">
        <f>IF(BD20="","",INDEX($B$4:$B$183,BD20))</f>
        <v/>
      </c>
      <c r="BF20">
        <f>IF(BD20="","",INDEX($C$4:$C$183,BD20))</f>
        <v/>
      </c>
      <c r="BG20">
        <f>IF(BD20="","",INDEX($D$4:$D$183,BD20))</f>
        <v/>
      </c>
      <c r="BH20">
        <f>IF(BD20="","",COUNTIFS($B$4:$B$183,BE20,$C$4:$C$183,BF20,$D$4:$D$183,"&gt;"&amp;BG20,Z$4:Z$183,"&lt;"&amp;17,$G$4:$G$183,1))</f>
        <v/>
      </c>
      <c r="BI20">
        <f>IF(BD20="","",INDEX($M$4:$M$183,BD20)+IF(BH20=1,Shuffle1,IF(BH20&gt;=2,Shuffle2,0)))</f>
        <v/>
      </c>
      <c r="BJ20">
        <f>IF(BD20="","",MAX(DoorGap*16,SUMPRODUCT(MAX((BE$4:BE19&lt;=BE20)*BK$4:BK19)),SUMPRODUCT(MAX((BE$4:BE19&gt;BE20)*BJ$4:BJ19))+Headway))</f>
        <v/>
      </c>
      <c r="BK20">
        <f>IF(BD20="","",BJ20+BI20)</f>
        <v/>
      </c>
      <c r="BL20">
        <f>IF(BD20="","",BK20+BE20*WalkSec)</f>
        <v/>
      </c>
      <c r="BM20" t="n">
        <v>17</v>
      </c>
      <c r="BN20">
        <f>IF(17&gt;Passengers,"",MATCH(17,AD$4:AD$183,0))</f>
        <v/>
      </c>
      <c r="BO20">
        <f>IF(BN20="","",INDEX($B$4:$B$183,BN20))</f>
        <v/>
      </c>
      <c r="BP20">
        <f>IF(BN20="","",INDEX($C$4:$C$183,BN20))</f>
        <v/>
      </c>
      <c r="BQ20">
        <f>IF(BN20="","",INDEX($D$4:$D$183,BN20))</f>
        <v/>
      </c>
      <c r="BR20">
        <f>IF(BN20="","",COUNTIFS($B$4:$B$183,BO20,$C$4:$C$183,BP20,$D$4:$D$183,"&gt;"&amp;BQ20,AD$4:AD$183,"&lt;"&amp;17,$G$4:$G$183,1))</f>
        <v/>
      </c>
      <c r="BS20">
        <f>IF(BN20="","",INDEX($M$4:$M$183,BN20)+IF(BR20=1,Shuffle1,IF(BR20&gt;=2,Shuffle2,0)))</f>
        <v/>
      </c>
      <c r="BT20">
        <f>IF(BN20="","",MAX(DoorGap*16,SUMPRODUCT(MAX((BO$4:BO19&lt;=BO20)*BU$4:BU19)),SUMPRODUCT(MAX((BO$4:BO19&gt;BO20)*BT$4:BT19))+Headway))</f>
        <v/>
      </c>
      <c r="BU20">
        <f>IF(BN20="","",BT20+BS20)</f>
        <v/>
      </c>
      <c r="BV20">
        <f>IF(BN20="","",BU20+BO20*WalkSec)</f>
        <v/>
      </c>
      <c r="BW20">
        <f>IF($G20=0,"",INDEX(AR$4:AR$183,R20))</f>
        <v/>
      </c>
      <c r="BX20">
        <f>IF($G20=0,"",INDEX(BB$4:BB$183,V20))</f>
        <v/>
      </c>
      <c r="BY20">
        <f>IF($G20=0,"",INDEX(BL$4:BL$183,Z20))</f>
        <v/>
      </c>
      <c r="BZ20">
        <f>IF($G20=0,"",INDEX(BV$4:BV$183,AD20))</f>
        <v/>
      </c>
    </row>
    <row r="21">
      <c r="A21" t="n">
        <v>18</v>
      </c>
      <c r="B21" t="n">
        <v>3</v>
      </c>
      <c r="C21" t="n">
        <v>2</v>
      </c>
      <c r="D21" t="n">
        <v>3</v>
      </c>
      <c r="E21" t="n">
        <v>6</v>
      </c>
      <c r="F21">
        <f>RAND()</f>
        <v/>
      </c>
      <c r="G21">
        <f>IF(SUMPRODUCT(($F$4:$F$183&lt;F21)*1)+SUMPRODUCT(($F$4:$F$183=F21)*($A$4:$A$183&lt;A21))&lt;Passengers,1,0)</f>
        <v/>
      </c>
      <c r="H21">
        <f>RAND()</f>
        <v/>
      </c>
      <c r="I21">
        <f>RAND()</f>
        <v/>
      </c>
      <c r="J21">
        <f>RAND()</f>
        <v/>
      </c>
      <c r="K21">
        <f>RAND()</f>
        <v/>
      </c>
      <c r="L21">
        <f>RAND()</f>
        <v/>
      </c>
      <c r="M21">
        <f>IF(K21&lt;BagShare,EXP(NORMSINV(L21)*StowSigma+StowMu),StowNoBag)</f>
        <v/>
      </c>
      <c r="N21">
        <f>IF(INDEX($AG$4:$AG$63,E21)&lt;GroupShare,1,0)</f>
        <v/>
      </c>
      <c r="P21">
        <f>IF(G21=1,IF(I21&gt;Compliance,J21,$H21),2)</f>
        <v/>
      </c>
      <c r="Q21">
        <f>IF(G21=0,2,IF(N21=0,P21,1-SUMPRODUCT(MAX(($E$4:$E$183=E21)*($G$4:$G$183=1)*(1-P$4:P$183)))+0.000000001*D21))</f>
        <v/>
      </c>
      <c r="R21">
        <f>IF(G21=0,999,SUMPRODUCT((Q$4:Q$183&lt;Q21)*($G$4:$G$183=1))+SUMPRODUCT((Q$4:Q$183=Q21)*($G$4:$G$183=1)*($A$4:$A$183&lt;A21))+1)</f>
        <v/>
      </c>
      <c r="T21">
        <f>IF(G21=1,IF(I21&gt;Compliance,J21,(INT((30-$B21)/(30/Zones))+$H21)/Zones),2)</f>
        <v/>
      </c>
      <c r="U21">
        <f>IF(G21=0,2,IF(N21=0,T21,1-SUMPRODUCT(MAX(($E$4:$E$183=E21)*($G$4:$G$183=1)*(1-T$4:T$183)))+0.000000001*D21))</f>
        <v/>
      </c>
      <c r="V21">
        <f>IF(G21=0,999,SUMPRODUCT((U$4:U$183&lt;U21)*($G$4:$G$183=1))+SUMPRODUCT((U$4:U$183=U21)*($G$4:$G$183=1)*($A$4:$A$183&lt;A21))+1)</f>
        <v/>
      </c>
      <c r="X21">
        <f>IF(G21=1,IF(I21&gt;Compliance,J21,(($D21-1)+$H21)/3),2)</f>
        <v/>
      </c>
      <c r="Y21">
        <f>IF(G21=0,2,IF(N21=0,X21,1-SUMPRODUCT(MAX(($E$4:$E$183=E21)*($G$4:$G$183=1)*(1-X$4:X$183)))+0.000000001*D21))</f>
        <v/>
      </c>
      <c r="Z21">
        <f>IF(G21=0,999,SUMPRODUCT((Y$4:Y$183&lt;Y21)*($G$4:$G$183=1))+SUMPRODUCT((Y$4:Y$183=Y21)*($G$4:$G$183=1)*($A$4:$A$183&lt;A21))+1)</f>
        <v/>
      </c>
      <c r="AB21">
        <f>IF(G21=1,IF(I21&gt;Compliance,J21,((($D21-1)*4+($C21-1)*2+MOD($B21,2))+(30-$B21)/30)/12),2)</f>
        <v/>
      </c>
      <c r="AC21">
        <f>IF(G21=0,2,IF(N21=0,AB21,1-SUMPRODUCT(MAX(($E$4:$E$183=E21)*($G$4:$G$183=1)*(1-AB$4:AB$183)))+0.000000001*D21))</f>
        <v/>
      </c>
      <c r="AD21">
        <f>IF(G21=0,999,SUMPRODUCT((AC$4:AC$183&lt;AC21)*($G$4:$G$183=1))+SUMPRODUCT((AC$4:AC$183=AC21)*($G$4:$G$183=1)*($A$4:$A$183&lt;A21))+1)</f>
        <v/>
      </c>
      <c r="AF21" t="n">
        <v>18</v>
      </c>
      <c r="AG21">
        <f>RAND()</f>
        <v/>
      </c>
      <c r="AI21" t="n">
        <v>18</v>
      </c>
      <c r="AJ21">
        <f>IF(18&gt;Passengers,"",MATCH(18,R$4:R$183,0))</f>
        <v/>
      </c>
      <c r="AK21">
        <f>IF(AJ21="","",INDEX($B$4:$B$183,AJ21))</f>
        <v/>
      </c>
      <c r="AL21">
        <f>IF(AJ21="","",INDEX($C$4:$C$183,AJ21))</f>
        <v/>
      </c>
      <c r="AM21">
        <f>IF(AJ21="","",INDEX($D$4:$D$183,AJ21))</f>
        <v/>
      </c>
      <c r="AN21">
        <f>IF(AJ21="","",COUNTIFS($B$4:$B$183,AK21,$C$4:$C$183,AL21,$D$4:$D$183,"&gt;"&amp;AM21,R$4:R$183,"&lt;"&amp;18,$G$4:$G$183,1))</f>
        <v/>
      </c>
      <c r="AO21">
        <f>IF(AJ21="","",INDEX($M$4:$M$183,AJ21)+IF(AN21=1,Shuffle1,IF(AN21&gt;=2,Shuffle2,0)))</f>
        <v/>
      </c>
      <c r="AP21">
        <f>IF(AJ21="","",MAX(DoorGap*17,SUMPRODUCT(MAX((AK$4:AK20&lt;=AK21)*AQ$4:AQ20)),SUMPRODUCT(MAX((AK$4:AK20&gt;AK21)*AP$4:AP20))+Headway))</f>
        <v/>
      </c>
      <c r="AQ21">
        <f>IF(AJ21="","",AP21+AO21)</f>
        <v/>
      </c>
      <c r="AR21">
        <f>IF(AJ21="","",AQ21+AK21*WalkSec)</f>
        <v/>
      </c>
      <c r="AS21" t="n">
        <v>18</v>
      </c>
      <c r="AT21">
        <f>IF(18&gt;Passengers,"",MATCH(18,V$4:V$183,0))</f>
        <v/>
      </c>
      <c r="AU21">
        <f>IF(AT21="","",INDEX($B$4:$B$183,AT21))</f>
        <v/>
      </c>
      <c r="AV21">
        <f>IF(AT21="","",INDEX($C$4:$C$183,AT21))</f>
        <v/>
      </c>
      <c r="AW21">
        <f>IF(AT21="","",INDEX($D$4:$D$183,AT21))</f>
        <v/>
      </c>
      <c r="AX21">
        <f>IF(AT21="","",COUNTIFS($B$4:$B$183,AU21,$C$4:$C$183,AV21,$D$4:$D$183,"&gt;"&amp;AW21,V$4:V$183,"&lt;"&amp;18,$G$4:$G$183,1))</f>
        <v/>
      </c>
      <c r="AY21">
        <f>IF(AT21="","",INDEX($M$4:$M$183,AT21)+IF(AX21=1,Shuffle1,IF(AX21&gt;=2,Shuffle2,0)))</f>
        <v/>
      </c>
      <c r="AZ21">
        <f>IF(AT21="","",MAX(DoorGap*17,SUMPRODUCT(MAX((AU$4:AU20&lt;=AU21)*BA$4:BA20)),SUMPRODUCT(MAX((AU$4:AU20&gt;AU21)*AZ$4:AZ20))+Headway))</f>
        <v/>
      </c>
      <c r="BA21">
        <f>IF(AT21="","",AZ21+AY21)</f>
        <v/>
      </c>
      <c r="BB21">
        <f>IF(AT21="","",BA21+AU21*WalkSec)</f>
        <v/>
      </c>
      <c r="BC21" t="n">
        <v>18</v>
      </c>
      <c r="BD21">
        <f>IF(18&gt;Passengers,"",MATCH(18,Z$4:Z$183,0))</f>
        <v/>
      </c>
      <c r="BE21">
        <f>IF(BD21="","",INDEX($B$4:$B$183,BD21))</f>
        <v/>
      </c>
      <c r="BF21">
        <f>IF(BD21="","",INDEX($C$4:$C$183,BD21))</f>
        <v/>
      </c>
      <c r="BG21">
        <f>IF(BD21="","",INDEX($D$4:$D$183,BD21))</f>
        <v/>
      </c>
      <c r="BH21">
        <f>IF(BD21="","",COUNTIFS($B$4:$B$183,BE21,$C$4:$C$183,BF21,$D$4:$D$183,"&gt;"&amp;BG21,Z$4:Z$183,"&lt;"&amp;18,$G$4:$G$183,1))</f>
        <v/>
      </c>
      <c r="BI21">
        <f>IF(BD21="","",INDEX($M$4:$M$183,BD21)+IF(BH21=1,Shuffle1,IF(BH21&gt;=2,Shuffle2,0)))</f>
        <v/>
      </c>
      <c r="BJ21">
        <f>IF(BD21="","",MAX(DoorGap*17,SUMPRODUCT(MAX((BE$4:BE20&lt;=BE21)*BK$4:BK20)),SUMPRODUCT(MAX((BE$4:BE20&gt;BE21)*BJ$4:BJ20))+Headway))</f>
        <v/>
      </c>
      <c r="BK21">
        <f>IF(BD21="","",BJ21+BI21)</f>
        <v/>
      </c>
      <c r="BL21">
        <f>IF(BD21="","",BK21+BE21*WalkSec)</f>
        <v/>
      </c>
      <c r="BM21" t="n">
        <v>18</v>
      </c>
      <c r="BN21">
        <f>IF(18&gt;Passengers,"",MATCH(18,AD$4:AD$183,0))</f>
        <v/>
      </c>
      <c r="BO21">
        <f>IF(BN21="","",INDEX($B$4:$B$183,BN21))</f>
        <v/>
      </c>
      <c r="BP21">
        <f>IF(BN21="","",INDEX($C$4:$C$183,BN21))</f>
        <v/>
      </c>
      <c r="BQ21">
        <f>IF(BN21="","",INDEX($D$4:$D$183,BN21))</f>
        <v/>
      </c>
      <c r="BR21">
        <f>IF(BN21="","",COUNTIFS($B$4:$B$183,BO21,$C$4:$C$183,BP21,$D$4:$D$183,"&gt;"&amp;BQ21,AD$4:AD$183,"&lt;"&amp;18,$G$4:$G$183,1))</f>
        <v/>
      </c>
      <c r="BS21">
        <f>IF(BN21="","",INDEX($M$4:$M$183,BN21)+IF(BR21=1,Shuffle1,IF(BR21&gt;=2,Shuffle2,0)))</f>
        <v/>
      </c>
      <c r="BT21">
        <f>IF(BN21="","",MAX(DoorGap*17,SUMPRODUCT(MAX((BO$4:BO20&lt;=BO21)*BU$4:BU20)),SUMPRODUCT(MAX((BO$4:BO20&gt;BO21)*BT$4:BT20))+Headway))</f>
        <v/>
      </c>
      <c r="BU21">
        <f>IF(BN21="","",BT21+BS21)</f>
        <v/>
      </c>
      <c r="BV21">
        <f>IF(BN21="","",BU21+BO21*WalkSec)</f>
        <v/>
      </c>
      <c r="BW21">
        <f>IF($G21=0,"",INDEX(AR$4:AR$183,R21))</f>
        <v/>
      </c>
      <c r="BX21">
        <f>IF($G21=0,"",INDEX(BB$4:BB$183,V21))</f>
        <v/>
      </c>
      <c r="BY21">
        <f>IF($G21=0,"",INDEX(BL$4:BL$183,Z21))</f>
        <v/>
      </c>
      <c r="BZ21">
        <f>IF($G21=0,"",INDEX(BV$4:BV$183,AD21))</f>
        <v/>
      </c>
    </row>
    <row r="22">
      <c r="A22" t="n">
        <v>19</v>
      </c>
      <c r="B22" t="n">
        <v>4</v>
      </c>
      <c r="C22" t="n">
        <v>1</v>
      </c>
      <c r="D22" t="n">
        <v>1</v>
      </c>
      <c r="E22" t="n">
        <v>7</v>
      </c>
      <c r="F22">
        <f>RAND()</f>
        <v/>
      </c>
      <c r="G22">
        <f>IF(SUMPRODUCT(($F$4:$F$183&lt;F22)*1)+SUMPRODUCT(($F$4:$F$183=F22)*($A$4:$A$183&lt;A22))&lt;Passengers,1,0)</f>
        <v/>
      </c>
      <c r="H22">
        <f>RAND()</f>
        <v/>
      </c>
      <c r="I22">
        <f>RAND()</f>
        <v/>
      </c>
      <c r="J22">
        <f>RAND()</f>
        <v/>
      </c>
      <c r="K22">
        <f>RAND()</f>
        <v/>
      </c>
      <c r="L22">
        <f>RAND()</f>
        <v/>
      </c>
      <c r="M22">
        <f>IF(K22&lt;BagShare,EXP(NORMSINV(L22)*StowSigma+StowMu),StowNoBag)</f>
        <v/>
      </c>
      <c r="N22">
        <f>IF(INDEX($AG$4:$AG$63,E22)&lt;GroupShare,1,0)</f>
        <v/>
      </c>
      <c r="P22">
        <f>IF(G22=1,IF(I22&gt;Compliance,J22,$H22),2)</f>
        <v/>
      </c>
      <c r="Q22">
        <f>IF(G22=0,2,IF(N22=0,P22,1-SUMPRODUCT(MAX(($E$4:$E$183=E22)*($G$4:$G$183=1)*(1-P$4:P$183)))+0.000000001*D22))</f>
        <v/>
      </c>
      <c r="R22">
        <f>IF(G22=0,999,SUMPRODUCT((Q$4:Q$183&lt;Q22)*($G$4:$G$183=1))+SUMPRODUCT((Q$4:Q$183=Q22)*($G$4:$G$183=1)*($A$4:$A$183&lt;A22))+1)</f>
        <v/>
      </c>
      <c r="T22">
        <f>IF(G22=1,IF(I22&gt;Compliance,J22,(INT((30-$B22)/(30/Zones))+$H22)/Zones),2)</f>
        <v/>
      </c>
      <c r="U22">
        <f>IF(G22=0,2,IF(N22=0,T22,1-SUMPRODUCT(MAX(($E$4:$E$183=E22)*($G$4:$G$183=1)*(1-T$4:T$183)))+0.000000001*D22))</f>
        <v/>
      </c>
      <c r="V22">
        <f>IF(G22=0,999,SUMPRODUCT((U$4:U$183&lt;U22)*($G$4:$G$183=1))+SUMPRODUCT((U$4:U$183=U22)*($G$4:$G$183=1)*($A$4:$A$183&lt;A22))+1)</f>
        <v/>
      </c>
      <c r="X22">
        <f>IF(G22=1,IF(I22&gt;Compliance,J22,(($D22-1)+$H22)/3),2)</f>
        <v/>
      </c>
      <c r="Y22">
        <f>IF(G22=0,2,IF(N22=0,X22,1-SUMPRODUCT(MAX(($E$4:$E$183=E22)*($G$4:$G$183=1)*(1-X$4:X$183)))+0.000000001*D22))</f>
        <v/>
      </c>
      <c r="Z22">
        <f>IF(G22=0,999,SUMPRODUCT((Y$4:Y$183&lt;Y22)*($G$4:$G$183=1))+SUMPRODUCT((Y$4:Y$183=Y22)*($G$4:$G$183=1)*($A$4:$A$183&lt;A22))+1)</f>
        <v/>
      </c>
      <c r="AB22">
        <f>IF(G22=1,IF(I22&gt;Compliance,J22,((($D22-1)*4+($C22-1)*2+MOD($B22,2))+(30-$B22)/30)/12),2)</f>
        <v/>
      </c>
      <c r="AC22">
        <f>IF(G22=0,2,IF(N22=0,AB22,1-SUMPRODUCT(MAX(($E$4:$E$183=E22)*($G$4:$G$183=1)*(1-AB$4:AB$183)))+0.000000001*D22))</f>
        <v/>
      </c>
      <c r="AD22">
        <f>IF(G22=0,999,SUMPRODUCT((AC$4:AC$183&lt;AC22)*($G$4:$G$183=1))+SUMPRODUCT((AC$4:AC$183=AC22)*($G$4:$G$183=1)*($A$4:$A$183&lt;A22))+1)</f>
        <v/>
      </c>
      <c r="AF22" t="n">
        <v>19</v>
      </c>
      <c r="AG22">
        <f>RAND()</f>
        <v/>
      </c>
      <c r="AI22" t="n">
        <v>19</v>
      </c>
      <c r="AJ22">
        <f>IF(19&gt;Passengers,"",MATCH(19,R$4:R$183,0))</f>
        <v/>
      </c>
      <c r="AK22">
        <f>IF(AJ22="","",INDEX($B$4:$B$183,AJ22))</f>
        <v/>
      </c>
      <c r="AL22">
        <f>IF(AJ22="","",INDEX($C$4:$C$183,AJ22))</f>
        <v/>
      </c>
      <c r="AM22">
        <f>IF(AJ22="","",INDEX($D$4:$D$183,AJ22))</f>
        <v/>
      </c>
      <c r="AN22">
        <f>IF(AJ22="","",COUNTIFS($B$4:$B$183,AK22,$C$4:$C$183,AL22,$D$4:$D$183,"&gt;"&amp;AM22,R$4:R$183,"&lt;"&amp;19,$G$4:$G$183,1))</f>
        <v/>
      </c>
      <c r="AO22">
        <f>IF(AJ22="","",INDEX($M$4:$M$183,AJ22)+IF(AN22=1,Shuffle1,IF(AN22&gt;=2,Shuffle2,0)))</f>
        <v/>
      </c>
      <c r="AP22">
        <f>IF(AJ22="","",MAX(DoorGap*18,SUMPRODUCT(MAX((AK$4:AK21&lt;=AK22)*AQ$4:AQ21)),SUMPRODUCT(MAX((AK$4:AK21&gt;AK22)*AP$4:AP21))+Headway))</f>
        <v/>
      </c>
      <c r="AQ22">
        <f>IF(AJ22="","",AP22+AO22)</f>
        <v/>
      </c>
      <c r="AR22">
        <f>IF(AJ22="","",AQ22+AK22*WalkSec)</f>
        <v/>
      </c>
      <c r="AS22" t="n">
        <v>19</v>
      </c>
      <c r="AT22">
        <f>IF(19&gt;Passengers,"",MATCH(19,V$4:V$183,0))</f>
        <v/>
      </c>
      <c r="AU22">
        <f>IF(AT22="","",INDEX($B$4:$B$183,AT22))</f>
        <v/>
      </c>
      <c r="AV22">
        <f>IF(AT22="","",INDEX($C$4:$C$183,AT22))</f>
        <v/>
      </c>
      <c r="AW22">
        <f>IF(AT22="","",INDEX($D$4:$D$183,AT22))</f>
        <v/>
      </c>
      <c r="AX22">
        <f>IF(AT22="","",COUNTIFS($B$4:$B$183,AU22,$C$4:$C$183,AV22,$D$4:$D$183,"&gt;"&amp;AW22,V$4:V$183,"&lt;"&amp;19,$G$4:$G$183,1))</f>
        <v/>
      </c>
      <c r="AY22">
        <f>IF(AT22="","",INDEX($M$4:$M$183,AT22)+IF(AX22=1,Shuffle1,IF(AX22&gt;=2,Shuffle2,0)))</f>
        <v/>
      </c>
      <c r="AZ22">
        <f>IF(AT22="","",MAX(DoorGap*18,SUMPRODUCT(MAX((AU$4:AU21&lt;=AU22)*BA$4:BA21)),SUMPRODUCT(MAX((AU$4:AU21&gt;AU22)*AZ$4:AZ21))+Headway))</f>
        <v/>
      </c>
      <c r="BA22">
        <f>IF(AT22="","",AZ22+AY22)</f>
        <v/>
      </c>
      <c r="BB22">
        <f>IF(AT22="","",BA22+AU22*WalkSec)</f>
        <v/>
      </c>
      <c r="BC22" t="n">
        <v>19</v>
      </c>
      <c r="BD22">
        <f>IF(19&gt;Passengers,"",MATCH(19,Z$4:Z$183,0))</f>
        <v/>
      </c>
      <c r="BE22">
        <f>IF(BD22="","",INDEX($B$4:$B$183,BD22))</f>
        <v/>
      </c>
      <c r="BF22">
        <f>IF(BD22="","",INDEX($C$4:$C$183,BD22))</f>
        <v/>
      </c>
      <c r="BG22">
        <f>IF(BD22="","",INDEX($D$4:$D$183,BD22))</f>
        <v/>
      </c>
      <c r="BH22">
        <f>IF(BD22="","",COUNTIFS($B$4:$B$183,BE22,$C$4:$C$183,BF22,$D$4:$D$183,"&gt;"&amp;BG22,Z$4:Z$183,"&lt;"&amp;19,$G$4:$G$183,1))</f>
        <v/>
      </c>
      <c r="BI22">
        <f>IF(BD22="","",INDEX($M$4:$M$183,BD22)+IF(BH22=1,Shuffle1,IF(BH22&gt;=2,Shuffle2,0)))</f>
        <v/>
      </c>
      <c r="BJ22">
        <f>IF(BD22="","",MAX(DoorGap*18,SUMPRODUCT(MAX((BE$4:BE21&lt;=BE22)*BK$4:BK21)),SUMPRODUCT(MAX((BE$4:BE21&gt;BE22)*BJ$4:BJ21))+Headway))</f>
        <v/>
      </c>
      <c r="BK22">
        <f>IF(BD22="","",BJ22+BI22)</f>
        <v/>
      </c>
      <c r="BL22">
        <f>IF(BD22="","",BK22+BE22*WalkSec)</f>
        <v/>
      </c>
      <c r="BM22" t="n">
        <v>19</v>
      </c>
      <c r="BN22">
        <f>IF(19&gt;Passengers,"",MATCH(19,AD$4:AD$183,0))</f>
        <v/>
      </c>
      <c r="BO22">
        <f>IF(BN22="","",INDEX($B$4:$B$183,BN22))</f>
        <v/>
      </c>
      <c r="BP22">
        <f>IF(BN22="","",INDEX($C$4:$C$183,BN22))</f>
        <v/>
      </c>
      <c r="BQ22">
        <f>IF(BN22="","",INDEX($D$4:$D$183,BN22))</f>
        <v/>
      </c>
      <c r="BR22">
        <f>IF(BN22="","",COUNTIFS($B$4:$B$183,BO22,$C$4:$C$183,BP22,$D$4:$D$183,"&gt;"&amp;BQ22,AD$4:AD$183,"&lt;"&amp;19,$G$4:$G$183,1))</f>
        <v/>
      </c>
      <c r="BS22">
        <f>IF(BN22="","",INDEX($M$4:$M$183,BN22)+IF(BR22=1,Shuffle1,IF(BR22&gt;=2,Shuffle2,0)))</f>
        <v/>
      </c>
      <c r="BT22">
        <f>IF(BN22="","",MAX(DoorGap*18,SUMPRODUCT(MAX((BO$4:BO21&lt;=BO22)*BU$4:BU21)),SUMPRODUCT(MAX((BO$4:BO21&gt;BO22)*BT$4:BT21))+Headway))</f>
        <v/>
      </c>
      <c r="BU22">
        <f>IF(BN22="","",BT22+BS22)</f>
        <v/>
      </c>
      <c r="BV22">
        <f>IF(BN22="","",BU22+BO22*WalkSec)</f>
        <v/>
      </c>
      <c r="BW22">
        <f>IF($G22=0,"",INDEX(AR$4:AR$183,R22))</f>
        <v/>
      </c>
      <c r="BX22">
        <f>IF($G22=0,"",INDEX(BB$4:BB$183,V22))</f>
        <v/>
      </c>
      <c r="BY22">
        <f>IF($G22=0,"",INDEX(BL$4:BL$183,Z22))</f>
        <v/>
      </c>
      <c r="BZ22">
        <f>IF($G22=0,"",INDEX(BV$4:BV$183,AD22))</f>
        <v/>
      </c>
    </row>
    <row r="23">
      <c r="A23" t="n">
        <v>20</v>
      </c>
      <c r="B23" t="n">
        <v>4</v>
      </c>
      <c r="C23" t="n">
        <v>1</v>
      </c>
      <c r="D23" t="n">
        <v>2</v>
      </c>
      <c r="E23" t="n">
        <v>7</v>
      </c>
      <c r="F23">
        <f>RAND()</f>
        <v/>
      </c>
      <c r="G23">
        <f>IF(SUMPRODUCT(($F$4:$F$183&lt;F23)*1)+SUMPRODUCT(($F$4:$F$183=F23)*($A$4:$A$183&lt;A23))&lt;Passengers,1,0)</f>
        <v/>
      </c>
      <c r="H23">
        <f>RAND()</f>
        <v/>
      </c>
      <c r="I23">
        <f>RAND()</f>
        <v/>
      </c>
      <c r="J23">
        <f>RAND()</f>
        <v/>
      </c>
      <c r="K23">
        <f>RAND()</f>
        <v/>
      </c>
      <c r="L23">
        <f>RAND()</f>
        <v/>
      </c>
      <c r="M23">
        <f>IF(K23&lt;BagShare,EXP(NORMSINV(L23)*StowSigma+StowMu),StowNoBag)</f>
        <v/>
      </c>
      <c r="N23">
        <f>IF(INDEX($AG$4:$AG$63,E23)&lt;GroupShare,1,0)</f>
        <v/>
      </c>
      <c r="P23">
        <f>IF(G23=1,IF(I23&gt;Compliance,J23,$H23),2)</f>
        <v/>
      </c>
      <c r="Q23">
        <f>IF(G23=0,2,IF(N23=0,P23,1-SUMPRODUCT(MAX(($E$4:$E$183=E23)*($G$4:$G$183=1)*(1-P$4:P$183)))+0.000000001*D23))</f>
        <v/>
      </c>
      <c r="R23">
        <f>IF(G23=0,999,SUMPRODUCT((Q$4:Q$183&lt;Q23)*($G$4:$G$183=1))+SUMPRODUCT((Q$4:Q$183=Q23)*($G$4:$G$183=1)*($A$4:$A$183&lt;A23))+1)</f>
        <v/>
      </c>
      <c r="T23">
        <f>IF(G23=1,IF(I23&gt;Compliance,J23,(INT((30-$B23)/(30/Zones))+$H23)/Zones),2)</f>
        <v/>
      </c>
      <c r="U23">
        <f>IF(G23=0,2,IF(N23=0,T23,1-SUMPRODUCT(MAX(($E$4:$E$183=E23)*($G$4:$G$183=1)*(1-T$4:T$183)))+0.000000001*D23))</f>
        <v/>
      </c>
      <c r="V23">
        <f>IF(G23=0,999,SUMPRODUCT((U$4:U$183&lt;U23)*($G$4:$G$183=1))+SUMPRODUCT((U$4:U$183=U23)*($G$4:$G$183=1)*($A$4:$A$183&lt;A23))+1)</f>
        <v/>
      </c>
      <c r="X23">
        <f>IF(G23=1,IF(I23&gt;Compliance,J23,(($D23-1)+$H23)/3),2)</f>
        <v/>
      </c>
      <c r="Y23">
        <f>IF(G23=0,2,IF(N23=0,X23,1-SUMPRODUCT(MAX(($E$4:$E$183=E23)*($G$4:$G$183=1)*(1-X$4:X$183)))+0.000000001*D23))</f>
        <v/>
      </c>
      <c r="Z23">
        <f>IF(G23=0,999,SUMPRODUCT((Y$4:Y$183&lt;Y23)*($G$4:$G$183=1))+SUMPRODUCT((Y$4:Y$183=Y23)*($G$4:$G$183=1)*($A$4:$A$183&lt;A23))+1)</f>
        <v/>
      </c>
      <c r="AB23">
        <f>IF(G23=1,IF(I23&gt;Compliance,J23,((($D23-1)*4+($C23-1)*2+MOD($B23,2))+(30-$B23)/30)/12),2)</f>
        <v/>
      </c>
      <c r="AC23">
        <f>IF(G23=0,2,IF(N23=0,AB23,1-SUMPRODUCT(MAX(($E$4:$E$183=E23)*($G$4:$G$183=1)*(1-AB$4:AB$183)))+0.000000001*D23))</f>
        <v/>
      </c>
      <c r="AD23">
        <f>IF(G23=0,999,SUMPRODUCT((AC$4:AC$183&lt;AC23)*($G$4:$G$183=1))+SUMPRODUCT((AC$4:AC$183=AC23)*($G$4:$G$183=1)*($A$4:$A$183&lt;A23))+1)</f>
        <v/>
      </c>
      <c r="AF23" t="n">
        <v>20</v>
      </c>
      <c r="AG23">
        <f>RAND()</f>
        <v/>
      </c>
      <c r="AI23" t="n">
        <v>20</v>
      </c>
      <c r="AJ23">
        <f>IF(20&gt;Passengers,"",MATCH(20,R$4:R$183,0))</f>
        <v/>
      </c>
      <c r="AK23">
        <f>IF(AJ23="","",INDEX($B$4:$B$183,AJ23))</f>
        <v/>
      </c>
      <c r="AL23">
        <f>IF(AJ23="","",INDEX($C$4:$C$183,AJ23))</f>
        <v/>
      </c>
      <c r="AM23">
        <f>IF(AJ23="","",INDEX($D$4:$D$183,AJ23))</f>
        <v/>
      </c>
      <c r="AN23">
        <f>IF(AJ23="","",COUNTIFS($B$4:$B$183,AK23,$C$4:$C$183,AL23,$D$4:$D$183,"&gt;"&amp;AM23,R$4:R$183,"&lt;"&amp;20,$G$4:$G$183,1))</f>
        <v/>
      </c>
      <c r="AO23">
        <f>IF(AJ23="","",INDEX($M$4:$M$183,AJ23)+IF(AN23=1,Shuffle1,IF(AN23&gt;=2,Shuffle2,0)))</f>
        <v/>
      </c>
      <c r="AP23">
        <f>IF(AJ23="","",MAX(DoorGap*19,SUMPRODUCT(MAX((AK$4:AK22&lt;=AK23)*AQ$4:AQ22)),SUMPRODUCT(MAX((AK$4:AK22&gt;AK23)*AP$4:AP22))+Headway))</f>
        <v/>
      </c>
      <c r="AQ23">
        <f>IF(AJ23="","",AP23+AO23)</f>
        <v/>
      </c>
      <c r="AR23">
        <f>IF(AJ23="","",AQ23+AK23*WalkSec)</f>
        <v/>
      </c>
      <c r="AS23" t="n">
        <v>20</v>
      </c>
      <c r="AT23">
        <f>IF(20&gt;Passengers,"",MATCH(20,V$4:V$183,0))</f>
        <v/>
      </c>
      <c r="AU23">
        <f>IF(AT23="","",INDEX($B$4:$B$183,AT23))</f>
        <v/>
      </c>
      <c r="AV23">
        <f>IF(AT23="","",INDEX($C$4:$C$183,AT23))</f>
        <v/>
      </c>
      <c r="AW23">
        <f>IF(AT23="","",INDEX($D$4:$D$183,AT23))</f>
        <v/>
      </c>
      <c r="AX23">
        <f>IF(AT23="","",COUNTIFS($B$4:$B$183,AU23,$C$4:$C$183,AV23,$D$4:$D$183,"&gt;"&amp;AW23,V$4:V$183,"&lt;"&amp;20,$G$4:$G$183,1))</f>
        <v/>
      </c>
      <c r="AY23">
        <f>IF(AT23="","",INDEX($M$4:$M$183,AT23)+IF(AX23=1,Shuffle1,IF(AX23&gt;=2,Shuffle2,0)))</f>
        <v/>
      </c>
      <c r="AZ23">
        <f>IF(AT23="","",MAX(DoorGap*19,SUMPRODUCT(MAX((AU$4:AU22&lt;=AU23)*BA$4:BA22)),SUMPRODUCT(MAX((AU$4:AU22&gt;AU23)*AZ$4:AZ22))+Headway))</f>
        <v/>
      </c>
      <c r="BA23">
        <f>IF(AT23="","",AZ23+AY23)</f>
        <v/>
      </c>
      <c r="BB23">
        <f>IF(AT23="","",BA23+AU23*WalkSec)</f>
        <v/>
      </c>
      <c r="BC23" t="n">
        <v>20</v>
      </c>
      <c r="BD23">
        <f>IF(20&gt;Passengers,"",MATCH(20,Z$4:Z$183,0))</f>
        <v/>
      </c>
      <c r="BE23">
        <f>IF(BD23="","",INDEX($B$4:$B$183,BD23))</f>
        <v/>
      </c>
      <c r="BF23">
        <f>IF(BD23="","",INDEX($C$4:$C$183,BD23))</f>
        <v/>
      </c>
      <c r="BG23">
        <f>IF(BD23="","",INDEX($D$4:$D$183,BD23))</f>
        <v/>
      </c>
      <c r="BH23">
        <f>IF(BD23="","",COUNTIFS($B$4:$B$183,BE23,$C$4:$C$183,BF23,$D$4:$D$183,"&gt;"&amp;BG23,Z$4:Z$183,"&lt;"&amp;20,$G$4:$G$183,1))</f>
        <v/>
      </c>
      <c r="BI23">
        <f>IF(BD23="","",INDEX($M$4:$M$183,BD23)+IF(BH23=1,Shuffle1,IF(BH23&gt;=2,Shuffle2,0)))</f>
        <v/>
      </c>
      <c r="BJ23">
        <f>IF(BD23="","",MAX(DoorGap*19,SUMPRODUCT(MAX((BE$4:BE22&lt;=BE23)*BK$4:BK22)),SUMPRODUCT(MAX((BE$4:BE22&gt;BE23)*BJ$4:BJ22))+Headway))</f>
        <v/>
      </c>
      <c r="BK23">
        <f>IF(BD23="","",BJ23+BI23)</f>
        <v/>
      </c>
      <c r="BL23">
        <f>IF(BD23="","",BK23+BE23*WalkSec)</f>
        <v/>
      </c>
      <c r="BM23" t="n">
        <v>20</v>
      </c>
      <c r="BN23">
        <f>IF(20&gt;Passengers,"",MATCH(20,AD$4:AD$183,0))</f>
        <v/>
      </c>
      <c r="BO23">
        <f>IF(BN23="","",INDEX($B$4:$B$183,BN23))</f>
        <v/>
      </c>
      <c r="BP23">
        <f>IF(BN23="","",INDEX($C$4:$C$183,BN23))</f>
        <v/>
      </c>
      <c r="BQ23">
        <f>IF(BN23="","",INDEX($D$4:$D$183,BN23))</f>
        <v/>
      </c>
      <c r="BR23">
        <f>IF(BN23="","",COUNTIFS($B$4:$B$183,BO23,$C$4:$C$183,BP23,$D$4:$D$183,"&gt;"&amp;BQ23,AD$4:AD$183,"&lt;"&amp;20,$G$4:$G$183,1))</f>
        <v/>
      </c>
      <c r="BS23">
        <f>IF(BN23="","",INDEX($M$4:$M$183,BN23)+IF(BR23=1,Shuffle1,IF(BR23&gt;=2,Shuffle2,0)))</f>
        <v/>
      </c>
      <c r="BT23">
        <f>IF(BN23="","",MAX(DoorGap*19,SUMPRODUCT(MAX((BO$4:BO22&lt;=BO23)*BU$4:BU22)),SUMPRODUCT(MAX((BO$4:BO22&gt;BO23)*BT$4:BT22))+Headway))</f>
        <v/>
      </c>
      <c r="BU23">
        <f>IF(BN23="","",BT23+BS23)</f>
        <v/>
      </c>
      <c r="BV23">
        <f>IF(BN23="","",BU23+BO23*WalkSec)</f>
        <v/>
      </c>
      <c r="BW23">
        <f>IF($G23=0,"",INDEX(AR$4:AR$183,R23))</f>
        <v/>
      </c>
      <c r="BX23">
        <f>IF($G23=0,"",INDEX(BB$4:BB$183,V23))</f>
        <v/>
      </c>
      <c r="BY23">
        <f>IF($G23=0,"",INDEX(BL$4:BL$183,Z23))</f>
        <v/>
      </c>
      <c r="BZ23">
        <f>IF($G23=0,"",INDEX(BV$4:BV$183,AD23))</f>
        <v/>
      </c>
    </row>
    <row r="24">
      <c r="A24" t="n">
        <v>21</v>
      </c>
      <c r="B24" t="n">
        <v>4</v>
      </c>
      <c r="C24" t="n">
        <v>1</v>
      </c>
      <c r="D24" t="n">
        <v>3</v>
      </c>
      <c r="E24" t="n">
        <v>7</v>
      </c>
      <c r="F24">
        <f>RAND()</f>
        <v/>
      </c>
      <c r="G24">
        <f>IF(SUMPRODUCT(($F$4:$F$183&lt;F24)*1)+SUMPRODUCT(($F$4:$F$183=F24)*($A$4:$A$183&lt;A24))&lt;Passengers,1,0)</f>
        <v/>
      </c>
      <c r="H24">
        <f>RAND()</f>
        <v/>
      </c>
      <c r="I24">
        <f>RAND()</f>
        <v/>
      </c>
      <c r="J24">
        <f>RAND()</f>
        <v/>
      </c>
      <c r="K24">
        <f>RAND()</f>
        <v/>
      </c>
      <c r="L24">
        <f>RAND()</f>
        <v/>
      </c>
      <c r="M24">
        <f>IF(K24&lt;BagShare,EXP(NORMSINV(L24)*StowSigma+StowMu),StowNoBag)</f>
        <v/>
      </c>
      <c r="N24">
        <f>IF(INDEX($AG$4:$AG$63,E24)&lt;GroupShare,1,0)</f>
        <v/>
      </c>
      <c r="P24">
        <f>IF(G24=1,IF(I24&gt;Compliance,J24,$H24),2)</f>
        <v/>
      </c>
      <c r="Q24">
        <f>IF(G24=0,2,IF(N24=0,P24,1-SUMPRODUCT(MAX(($E$4:$E$183=E24)*($G$4:$G$183=1)*(1-P$4:P$183)))+0.000000001*D24))</f>
        <v/>
      </c>
      <c r="R24">
        <f>IF(G24=0,999,SUMPRODUCT((Q$4:Q$183&lt;Q24)*($G$4:$G$183=1))+SUMPRODUCT((Q$4:Q$183=Q24)*($G$4:$G$183=1)*($A$4:$A$183&lt;A24))+1)</f>
        <v/>
      </c>
      <c r="T24">
        <f>IF(G24=1,IF(I24&gt;Compliance,J24,(INT((30-$B24)/(30/Zones))+$H24)/Zones),2)</f>
        <v/>
      </c>
      <c r="U24">
        <f>IF(G24=0,2,IF(N24=0,T24,1-SUMPRODUCT(MAX(($E$4:$E$183=E24)*($G$4:$G$183=1)*(1-T$4:T$183)))+0.000000001*D24))</f>
        <v/>
      </c>
      <c r="V24">
        <f>IF(G24=0,999,SUMPRODUCT((U$4:U$183&lt;U24)*($G$4:$G$183=1))+SUMPRODUCT((U$4:U$183=U24)*($G$4:$G$183=1)*($A$4:$A$183&lt;A24))+1)</f>
        <v/>
      </c>
      <c r="X24">
        <f>IF(G24=1,IF(I24&gt;Compliance,J24,(($D24-1)+$H24)/3),2)</f>
        <v/>
      </c>
      <c r="Y24">
        <f>IF(G24=0,2,IF(N24=0,X24,1-SUMPRODUCT(MAX(($E$4:$E$183=E24)*($G$4:$G$183=1)*(1-X$4:X$183)))+0.000000001*D24))</f>
        <v/>
      </c>
      <c r="Z24">
        <f>IF(G24=0,999,SUMPRODUCT((Y$4:Y$183&lt;Y24)*($G$4:$G$183=1))+SUMPRODUCT((Y$4:Y$183=Y24)*($G$4:$G$183=1)*($A$4:$A$183&lt;A24))+1)</f>
        <v/>
      </c>
      <c r="AB24">
        <f>IF(G24=1,IF(I24&gt;Compliance,J24,((($D24-1)*4+($C24-1)*2+MOD($B24,2))+(30-$B24)/30)/12),2)</f>
        <v/>
      </c>
      <c r="AC24">
        <f>IF(G24=0,2,IF(N24=0,AB24,1-SUMPRODUCT(MAX(($E$4:$E$183=E24)*($G$4:$G$183=1)*(1-AB$4:AB$183)))+0.000000001*D24))</f>
        <v/>
      </c>
      <c r="AD24">
        <f>IF(G24=0,999,SUMPRODUCT((AC$4:AC$183&lt;AC24)*($G$4:$G$183=1))+SUMPRODUCT((AC$4:AC$183=AC24)*($G$4:$G$183=1)*($A$4:$A$183&lt;A24))+1)</f>
        <v/>
      </c>
      <c r="AF24" t="n">
        <v>21</v>
      </c>
      <c r="AG24">
        <f>RAND()</f>
        <v/>
      </c>
      <c r="AI24" t="n">
        <v>21</v>
      </c>
      <c r="AJ24">
        <f>IF(21&gt;Passengers,"",MATCH(21,R$4:R$183,0))</f>
        <v/>
      </c>
      <c r="AK24">
        <f>IF(AJ24="","",INDEX($B$4:$B$183,AJ24))</f>
        <v/>
      </c>
      <c r="AL24">
        <f>IF(AJ24="","",INDEX($C$4:$C$183,AJ24))</f>
        <v/>
      </c>
      <c r="AM24">
        <f>IF(AJ24="","",INDEX($D$4:$D$183,AJ24))</f>
        <v/>
      </c>
      <c r="AN24">
        <f>IF(AJ24="","",COUNTIFS($B$4:$B$183,AK24,$C$4:$C$183,AL24,$D$4:$D$183,"&gt;"&amp;AM24,R$4:R$183,"&lt;"&amp;21,$G$4:$G$183,1))</f>
        <v/>
      </c>
      <c r="AO24">
        <f>IF(AJ24="","",INDEX($M$4:$M$183,AJ24)+IF(AN24=1,Shuffle1,IF(AN24&gt;=2,Shuffle2,0)))</f>
        <v/>
      </c>
      <c r="AP24">
        <f>IF(AJ24="","",MAX(DoorGap*20,SUMPRODUCT(MAX((AK$4:AK23&lt;=AK24)*AQ$4:AQ23)),SUMPRODUCT(MAX((AK$4:AK23&gt;AK24)*AP$4:AP23))+Headway))</f>
        <v/>
      </c>
      <c r="AQ24">
        <f>IF(AJ24="","",AP24+AO24)</f>
        <v/>
      </c>
      <c r="AR24">
        <f>IF(AJ24="","",AQ24+AK24*WalkSec)</f>
        <v/>
      </c>
      <c r="AS24" t="n">
        <v>21</v>
      </c>
      <c r="AT24">
        <f>IF(21&gt;Passengers,"",MATCH(21,V$4:V$183,0))</f>
        <v/>
      </c>
      <c r="AU24">
        <f>IF(AT24="","",INDEX($B$4:$B$183,AT24))</f>
        <v/>
      </c>
      <c r="AV24">
        <f>IF(AT24="","",INDEX($C$4:$C$183,AT24))</f>
        <v/>
      </c>
      <c r="AW24">
        <f>IF(AT24="","",INDEX($D$4:$D$183,AT24))</f>
        <v/>
      </c>
      <c r="AX24">
        <f>IF(AT24="","",COUNTIFS($B$4:$B$183,AU24,$C$4:$C$183,AV24,$D$4:$D$183,"&gt;"&amp;AW24,V$4:V$183,"&lt;"&amp;21,$G$4:$G$183,1))</f>
        <v/>
      </c>
      <c r="AY24">
        <f>IF(AT24="","",INDEX($M$4:$M$183,AT24)+IF(AX24=1,Shuffle1,IF(AX24&gt;=2,Shuffle2,0)))</f>
        <v/>
      </c>
      <c r="AZ24">
        <f>IF(AT24="","",MAX(DoorGap*20,SUMPRODUCT(MAX((AU$4:AU23&lt;=AU24)*BA$4:BA23)),SUMPRODUCT(MAX((AU$4:AU23&gt;AU24)*AZ$4:AZ23))+Headway))</f>
        <v/>
      </c>
      <c r="BA24">
        <f>IF(AT24="","",AZ24+AY24)</f>
        <v/>
      </c>
      <c r="BB24">
        <f>IF(AT24="","",BA24+AU24*WalkSec)</f>
        <v/>
      </c>
      <c r="BC24" t="n">
        <v>21</v>
      </c>
      <c r="BD24">
        <f>IF(21&gt;Passengers,"",MATCH(21,Z$4:Z$183,0))</f>
        <v/>
      </c>
      <c r="BE24">
        <f>IF(BD24="","",INDEX($B$4:$B$183,BD24))</f>
        <v/>
      </c>
      <c r="BF24">
        <f>IF(BD24="","",INDEX($C$4:$C$183,BD24))</f>
        <v/>
      </c>
      <c r="BG24">
        <f>IF(BD24="","",INDEX($D$4:$D$183,BD24))</f>
        <v/>
      </c>
      <c r="BH24">
        <f>IF(BD24="","",COUNTIFS($B$4:$B$183,BE24,$C$4:$C$183,BF24,$D$4:$D$183,"&gt;"&amp;BG24,Z$4:Z$183,"&lt;"&amp;21,$G$4:$G$183,1))</f>
        <v/>
      </c>
      <c r="BI24">
        <f>IF(BD24="","",INDEX($M$4:$M$183,BD24)+IF(BH24=1,Shuffle1,IF(BH24&gt;=2,Shuffle2,0)))</f>
        <v/>
      </c>
      <c r="BJ24">
        <f>IF(BD24="","",MAX(DoorGap*20,SUMPRODUCT(MAX((BE$4:BE23&lt;=BE24)*BK$4:BK23)),SUMPRODUCT(MAX((BE$4:BE23&gt;BE24)*BJ$4:BJ23))+Headway))</f>
        <v/>
      </c>
      <c r="BK24">
        <f>IF(BD24="","",BJ24+BI24)</f>
        <v/>
      </c>
      <c r="BL24">
        <f>IF(BD24="","",BK24+BE24*WalkSec)</f>
        <v/>
      </c>
      <c r="BM24" t="n">
        <v>21</v>
      </c>
      <c r="BN24">
        <f>IF(21&gt;Passengers,"",MATCH(21,AD$4:AD$183,0))</f>
        <v/>
      </c>
      <c r="BO24">
        <f>IF(BN24="","",INDEX($B$4:$B$183,BN24))</f>
        <v/>
      </c>
      <c r="BP24">
        <f>IF(BN24="","",INDEX($C$4:$C$183,BN24))</f>
        <v/>
      </c>
      <c r="BQ24">
        <f>IF(BN24="","",INDEX($D$4:$D$183,BN24))</f>
        <v/>
      </c>
      <c r="BR24">
        <f>IF(BN24="","",COUNTIFS($B$4:$B$183,BO24,$C$4:$C$183,BP24,$D$4:$D$183,"&gt;"&amp;BQ24,AD$4:AD$183,"&lt;"&amp;21,$G$4:$G$183,1))</f>
        <v/>
      </c>
      <c r="BS24">
        <f>IF(BN24="","",INDEX($M$4:$M$183,BN24)+IF(BR24=1,Shuffle1,IF(BR24&gt;=2,Shuffle2,0)))</f>
        <v/>
      </c>
      <c r="BT24">
        <f>IF(BN24="","",MAX(DoorGap*20,SUMPRODUCT(MAX((BO$4:BO23&lt;=BO24)*BU$4:BU23)),SUMPRODUCT(MAX((BO$4:BO23&gt;BO24)*BT$4:BT23))+Headway))</f>
        <v/>
      </c>
      <c r="BU24">
        <f>IF(BN24="","",BT24+BS24)</f>
        <v/>
      </c>
      <c r="BV24">
        <f>IF(BN24="","",BU24+BO24*WalkSec)</f>
        <v/>
      </c>
      <c r="BW24">
        <f>IF($G24=0,"",INDEX(AR$4:AR$183,R24))</f>
        <v/>
      </c>
      <c r="BX24">
        <f>IF($G24=0,"",INDEX(BB$4:BB$183,V24))</f>
        <v/>
      </c>
      <c r="BY24">
        <f>IF($G24=0,"",INDEX(BL$4:BL$183,Z24))</f>
        <v/>
      </c>
      <c r="BZ24">
        <f>IF($G24=0,"",INDEX(BV$4:BV$183,AD24))</f>
        <v/>
      </c>
    </row>
    <row r="25">
      <c r="A25" t="n">
        <v>22</v>
      </c>
      <c r="B25" t="n">
        <v>4</v>
      </c>
      <c r="C25" t="n">
        <v>2</v>
      </c>
      <c r="D25" t="n">
        <v>1</v>
      </c>
      <c r="E25" t="n">
        <v>8</v>
      </c>
      <c r="F25">
        <f>RAND()</f>
        <v/>
      </c>
      <c r="G25">
        <f>IF(SUMPRODUCT(($F$4:$F$183&lt;F25)*1)+SUMPRODUCT(($F$4:$F$183=F25)*($A$4:$A$183&lt;A25))&lt;Passengers,1,0)</f>
        <v/>
      </c>
      <c r="H25">
        <f>RAND()</f>
        <v/>
      </c>
      <c r="I25">
        <f>RAND()</f>
        <v/>
      </c>
      <c r="J25">
        <f>RAND()</f>
        <v/>
      </c>
      <c r="K25">
        <f>RAND()</f>
        <v/>
      </c>
      <c r="L25">
        <f>RAND()</f>
        <v/>
      </c>
      <c r="M25">
        <f>IF(K25&lt;BagShare,EXP(NORMSINV(L25)*StowSigma+StowMu),StowNoBag)</f>
        <v/>
      </c>
      <c r="N25">
        <f>IF(INDEX($AG$4:$AG$63,E25)&lt;GroupShare,1,0)</f>
        <v/>
      </c>
      <c r="P25">
        <f>IF(G25=1,IF(I25&gt;Compliance,J25,$H25),2)</f>
        <v/>
      </c>
      <c r="Q25">
        <f>IF(G25=0,2,IF(N25=0,P25,1-SUMPRODUCT(MAX(($E$4:$E$183=E25)*($G$4:$G$183=1)*(1-P$4:P$183)))+0.000000001*D25))</f>
        <v/>
      </c>
      <c r="R25">
        <f>IF(G25=0,999,SUMPRODUCT((Q$4:Q$183&lt;Q25)*($G$4:$G$183=1))+SUMPRODUCT((Q$4:Q$183=Q25)*($G$4:$G$183=1)*($A$4:$A$183&lt;A25))+1)</f>
        <v/>
      </c>
      <c r="T25">
        <f>IF(G25=1,IF(I25&gt;Compliance,J25,(INT((30-$B25)/(30/Zones))+$H25)/Zones),2)</f>
        <v/>
      </c>
      <c r="U25">
        <f>IF(G25=0,2,IF(N25=0,T25,1-SUMPRODUCT(MAX(($E$4:$E$183=E25)*($G$4:$G$183=1)*(1-T$4:T$183)))+0.000000001*D25))</f>
        <v/>
      </c>
      <c r="V25">
        <f>IF(G25=0,999,SUMPRODUCT((U$4:U$183&lt;U25)*($G$4:$G$183=1))+SUMPRODUCT((U$4:U$183=U25)*($G$4:$G$183=1)*($A$4:$A$183&lt;A25))+1)</f>
        <v/>
      </c>
      <c r="X25">
        <f>IF(G25=1,IF(I25&gt;Compliance,J25,(($D25-1)+$H25)/3),2)</f>
        <v/>
      </c>
      <c r="Y25">
        <f>IF(G25=0,2,IF(N25=0,X25,1-SUMPRODUCT(MAX(($E$4:$E$183=E25)*($G$4:$G$183=1)*(1-X$4:X$183)))+0.000000001*D25))</f>
        <v/>
      </c>
      <c r="Z25">
        <f>IF(G25=0,999,SUMPRODUCT((Y$4:Y$183&lt;Y25)*($G$4:$G$183=1))+SUMPRODUCT((Y$4:Y$183=Y25)*($G$4:$G$183=1)*($A$4:$A$183&lt;A25))+1)</f>
        <v/>
      </c>
      <c r="AB25">
        <f>IF(G25=1,IF(I25&gt;Compliance,J25,((($D25-1)*4+($C25-1)*2+MOD($B25,2))+(30-$B25)/30)/12),2)</f>
        <v/>
      </c>
      <c r="AC25">
        <f>IF(G25=0,2,IF(N25=0,AB25,1-SUMPRODUCT(MAX(($E$4:$E$183=E25)*($G$4:$G$183=1)*(1-AB$4:AB$183)))+0.000000001*D25))</f>
        <v/>
      </c>
      <c r="AD25">
        <f>IF(G25=0,999,SUMPRODUCT((AC$4:AC$183&lt;AC25)*($G$4:$G$183=1))+SUMPRODUCT((AC$4:AC$183=AC25)*($G$4:$G$183=1)*($A$4:$A$183&lt;A25))+1)</f>
        <v/>
      </c>
      <c r="AF25" t="n">
        <v>22</v>
      </c>
      <c r="AG25">
        <f>RAND()</f>
        <v/>
      </c>
      <c r="AI25" t="n">
        <v>22</v>
      </c>
      <c r="AJ25">
        <f>IF(22&gt;Passengers,"",MATCH(22,R$4:R$183,0))</f>
        <v/>
      </c>
      <c r="AK25">
        <f>IF(AJ25="","",INDEX($B$4:$B$183,AJ25))</f>
        <v/>
      </c>
      <c r="AL25">
        <f>IF(AJ25="","",INDEX($C$4:$C$183,AJ25))</f>
        <v/>
      </c>
      <c r="AM25">
        <f>IF(AJ25="","",INDEX($D$4:$D$183,AJ25))</f>
        <v/>
      </c>
      <c r="AN25">
        <f>IF(AJ25="","",COUNTIFS($B$4:$B$183,AK25,$C$4:$C$183,AL25,$D$4:$D$183,"&gt;"&amp;AM25,R$4:R$183,"&lt;"&amp;22,$G$4:$G$183,1))</f>
        <v/>
      </c>
      <c r="AO25">
        <f>IF(AJ25="","",INDEX($M$4:$M$183,AJ25)+IF(AN25=1,Shuffle1,IF(AN25&gt;=2,Shuffle2,0)))</f>
        <v/>
      </c>
      <c r="AP25">
        <f>IF(AJ25="","",MAX(DoorGap*21,SUMPRODUCT(MAX((AK$4:AK24&lt;=AK25)*AQ$4:AQ24)),SUMPRODUCT(MAX((AK$4:AK24&gt;AK25)*AP$4:AP24))+Headway))</f>
        <v/>
      </c>
      <c r="AQ25">
        <f>IF(AJ25="","",AP25+AO25)</f>
        <v/>
      </c>
      <c r="AR25">
        <f>IF(AJ25="","",AQ25+AK25*WalkSec)</f>
        <v/>
      </c>
      <c r="AS25" t="n">
        <v>22</v>
      </c>
      <c r="AT25">
        <f>IF(22&gt;Passengers,"",MATCH(22,V$4:V$183,0))</f>
        <v/>
      </c>
      <c r="AU25">
        <f>IF(AT25="","",INDEX($B$4:$B$183,AT25))</f>
        <v/>
      </c>
      <c r="AV25">
        <f>IF(AT25="","",INDEX($C$4:$C$183,AT25))</f>
        <v/>
      </c>
      <c r="AW25">
        <f>IF(AT25="","",INDEX($D$4:$D$183,AT25))</f>
        <v/>
      </c>
      <c r="AX25">
        <f>IF(AT25="","",COUNTIFS($B$4:$B$183,AU25,$C$4:$C$183,AV25,$D$4:$D$183,"&gt;"&amp;AW25,V$4:V$183,"&lt;"&amp;22,$G$4:$G$183,1))</f>
        <v/>
      </c>
      <c r="AY25">
        <f>IF(AT25="","",INDEX($M$4:$M$183,AT25)+IF(AX25=1,Shuffle1,IF(AX25&gt;=2,Shuffle2,0)))</f>
        <v/>
      </c>
      <c r="AZ25">
        <f>IF(AT25="","",MAX(DoorGap*21,SUMPRODUCT(MAX((AU$4:AU24&lt;=AU25)*BA$4:BA24)),SUMPRODUCT(MAX((AU$4:AU24&gt;AU25)*AZ$4:AZ24))+Headway))</f>
        <v/>
      </c>
      <c r="BA25">
        <f>IF(AT25="","",AZ25+AY25)</f>
        <v/>
      </c>
      <c r="BB25">
        <f>IF(AT25="","",BA25+AU25*WalkSec)</f>
        <v/>
      </c>
      <c r="BC25" t="n">
        <v>22</v>
      </c>
      <c r="BD25">
        <f>IF(22&gt;Passengers,"",MATCH(22,Z$4:Z$183,0))</f>
        <v/>
      </c>
      <c r="BE25">
        <f>IF(BD25="","",INDEX($B$4:$B$183,BD25))</f>
        <v/>
      </c>
      <c r="BF25">
        <f>IF(BD25="","",INDEX($C$4:$C$183,BD25))</f>
        <v/>
      </c>
      <c r="BG25">
        <f>IF(BD25="","",INDEX($D$4:$D$183,BD25))</f>
        <v/>
      </c>
      <c r="BH25">
        <f>IF(BD25="","",COUNTIFS($B$4:$B$183,BE25,$C$4:$C$183,BF25,$D$4:$D$183,"&gt;"&amp;BG25,Z$4:Z$183,"&lt;"&amp;22,$G$4:$G$183,1))</f>
        <v/>
      </c>
      <c r="BI25">
        <f>IF(BD25="","",INDEX($M$4:$M$183,BD25)+IF(BH25=1,Shuffle1,IF(BH25&gt;=2,Shuffle2,0)))</f>
        <v/>
      </c>
      <c r="BJ25">
        <f>IF(BD25="","",MAX(DoorGap*21,SUMPRODUCT(MAX((BE$4:BE24&lt;=BE25)*BK$4:BK24)),SUMPRODUCT(MAX((BE$4:BE24&gt;BE25)*BJ$4:BJ24))+Headway))</f>
        <v/>
      </c>
      <c r="BK25">
        <f>IF(BD25="","",BJ25+BI25)</f>
        <v/>
      </c>
      <c r="BL25">
        <f>IF(BD25="","",BK25+BE25*WalkSec)</f>
        <v/>
      </c>
      <c r="BM25" t="n">
        <v>22</v>
      </c>
      <c r="BN25">
        <f>IF(22&gt;Passengers,"",MATCH(22,AD$4:AD$183,0))</f>
        <v/>
      </c>
      <c r="BO25">
        <f>IF(BN25="","",INDEX($B$4:$B$183,BN25))</f>
        <v/>
      </c>
      <c r="BP25">
        <f>IF(BN25="","",INDEX($C$4:$C$183,BN25))</f>
        <v/>
      </c>
      <c r="BQ25">
        <f>IF(BN25="","",INDEX($D$4:$D$183,BN25))</f>
        <v/>
      </c>
      <c r="BR25">
        <f>IF(BN25="","",COUNTIFS($B$4:$B$183,BO25,$C$4:$C$183,BP25,$D$4:$D$183,"&gt;"&amp;BQ25,AD$4:AD$183,"&lt;"&amp;22,$G$4:$G$183,1))</f>
        <v/>
      </c>
      <c r="BS25">
        <f>IF(BN25="","",INDEX($M$4:$M$183,BN25)+IF(BR25=1,Shuffle1,IF(BR25&gt;=2,Shuffle2,0)))</f>
        <v/>
      </c>
      <c r="BT25">
        <f>IF(BN25="","",MAX(DoorGap*21,SUMPRODUCT(MAX((BO$4:BO24&lt;=BO25)*BU$4:BU24)),SUMPRODUCT(MAX((BO$4:BO24&gt;BO25)*BT$4:BT24))+Headway))</f>
        <v/>
      </c>
      <c r="BU25">
        <f>IF(BN25="","",BT25+BS25)</f>
        <v/>
      </c>
      <c r="BV25">
        <f>IF(BN25="","",BU25+BO25*WalkSec)</f>
        <v/>
      </c>
      <c r="BW25">
        <f>IF($G25=0,"",INDEX(AR$4:AR$183,R25))</f>
        <v/>
      </c>
      <c r="BX25">
        <f>IF($G25=0,"",INDEX(BB$4:BB$183,V25))</f>
        <v/>
      </c>
      <c r="BY25">
        <f>IF($G25=0,"",INDEX(BL$4:BL$183,Z25))</f>
        <v/>
      </c>
      <c r="BZ25">
        <f>IF($G25=0,"",INDEX(BV$4:BV$183,AD25))</f>
        <v/>
      </c>
    </row>
    <row r="26">
      <c r="A26" t="n">
        <v>23</v>
      </c>
      <c r="B26" t="n">
        <v>4</v>
      </c>
      <c r="C26" t="n">
        <v>2</v>
      </c>
      <c r="D26" t="n">
        <v>2</v>
      </c>
      <c r="E26" t="n">
        <v>8</v>
      </c>
      <c r="F26">
        <f>RAND()</f>
        <v/>
      </c>
      <c r="G26">
        <f>IF(SUMPRODUCT(($F$4:$F$183&lt;F26)*1)+SUMPRODUCT(($F$4:$F$183=F26)*($A$4:$A$183&lt;A26))&lt;Passengers,1,0)</f>
        <v/>
      </c>
      <c r="H26">
        <f>RAND()</f>
        <v/>
      </c>
      <c r="I26">
        <f>RAND()</f>
        <v/>
      </c>
      <c r="J26">
        <f>RAND()</f>
        <v/>
      </c>
      <c r="K26">
        <f>RAND()</f>
        <v/>
      </c>
      <c r="L26">
        <f>RAND()</f>
        <v/>
      </c>
      <c r="M26">
        <f>IF(K26&lt;BagShare,EXP(NORMSINV(L26)*StowSigma+StowMu),StowNoBag)</f>
        <v/>
      </c>
      <c r="N26">
        <f>IF(INDEX($AG$4:$AG$63,E26)&lt;GroupShare,1,0)</f>
        <v/>
      </c>
      <c r="P26">
        <f>IF(G26=1,IF(I26&gt;Compliance,J26,$H26),2)</f>
        <v/>
      </c>
      <c r="Q26">
        <f>IF(G26=0,2,IF(N26=0,P26,1-SUMPRODUCT(MAX(($E$4:$E$183=E26)*($G$4:$G$183=1)*(1-P$4:P$183)))+0.000000001*D26))</f>
        <v/>
      </c>
      <c r="R26">
        <f>IF(G26=0,999,SUMPRODUCT((Q$4:Q$183&lt;Q26)*($G$4:$G$183=1))+SUMPRODUCT((Q$4:Q$183=Q26)*($G$4:$G$183=1)*($A$4:$A$183&lt;A26))+1)</f>
        <v/>
      </c>
      <c r="T26">
        <f>IF(G26=1,IF(I26&gt;Compliance,J26,(INT((30-$B26)/(30/Zones))+$H26)/Zones),2)</f>
        <v/>
      </c>
      <c r="U26">
        <f>IF(G26=0,2,IF(N26=0,T26,1-SUMPRODUCT(MAX(($E$4:$E$183=E26)*($G$4:$G$183=1)*(1-T$4:T$183)))+0.000000001*D26))</f>
        <v/>
      </c>
      <c r="V26">
        <f>IF(G26=0,999,SUMPRODUCT((U$4:U$183&lt;U26)*($G$4:$G$183=1))+SUMPRODUCT((U$4:U$183=U26)*($G$4:$G$183=1)*($A$4:$A$183&lt;A26))+1)</f>
        <v/>
      </c>
      <c r="X26">
        <f>IF(G26=1,IF(I26&gt;Compliance,J26,(($D26-1)+$H26)/3),2)</f>
        <v/>
      </c>
      <c r="Y26">
        <f>IF(G26=0,2,IF(N26=0,X26,1-SUMPRODUCT(MAX(($E$4:$E$183=E26)*($G$4:$G$183=1)*(1-X$4:X$183)))+0.000000001*D26))</f>
        <v/>
      </c>
      <c r="Z26">
        <f>IF(G26=0,999,SUMPRODUCT((Y$4:Y$183&lt;Y26)*($G$4:$G$183=1))+SUMPRODUCT((Y$4:Y$183=Y26)*($G$4:$G$183=1)*($A$4:$A$183&lt;A26))+1)</f>
        <v/>
      </c>
      <c r="AB26">
        <f>IF(G26=1,IF(I26&gt;Compliance,J26,((($D26-1)*4+($C26-1)*2+MOD($B26,2))+(30-$B26)/30)/12),2)</f>
        <v/>
      </c>
      <c r="AC26">
        <f>IF(G26=0,2,IF(N26=0,AB26,1-SUMPRODUCT(MAX(($E$4:$E$183=E26)*($G$4:$G$183=1)*(1-AB$4:AB$183)))+0.000000001*D26))</f>
        <v/>
      </c>
      <c r="AD26">
        <f>IF(G26=0,999,SUMPRODUCT((AC$4:AC$183&lt;AC26)*($G$4:$G$183=1))+SUMPRODUCT((AC$4:AC$183=AC26)*($G$4:$G$183=1)*($A$4:$A$183&lt;A26))+1)</f>
        <v/>
      </c>
      <c r="AF26" t="n">
        <v>23</v>
      </c>
      <c r="AG26">
        <f>RAND()</f>
        <v/>
      </c>
      <c r="AI26" t="n">
        <v>23</v>
      </c>
      <c r="AJ26">
        <f>IF(23&gt;Passengers,"",MATCH(23,R$4:R$183,0))</f>
        <v/>
      </c>
      <c r="AK26">
        <f>IF(AJ26="","",INDEX($B$4:$B$183,AJ26))</f>
        <v/>
      </c>
      <c r="AL26">
        <f>IF(AJ26="","",INDEX($C$4:$C$183,AJ26))</f>
        <v/>
      </c>
      <c r="AM26">
        <f>IF(AJ26="","",INDEX($D$4:$D$183,AJ26))</f>
        <v/>
      </c>
      <c r="AN26">
        <f>IF(AJ26="","",COUNTIFS($B$4:$B$183,AK26,$C$4:$C$183,AL26,$D$4:$D$183,"&gt;"&amp;AM26,R$4:R$183,"&lt;"&amp;23,$G$4:$G$183,1))</f>
        <v/>
      </c>
      <c r="AO26">
        <f>IF(AJ26="","",INDEX($M$4:$M$183,AJ26)+IF(AN26=1,Shuffle1,IF(AN26&gt;=2,Shuffle2,0)))</f>
        <v/>
      </c>
      <c r="AP26">
        <f>IF(AJ26="","",MAX(DoorGap*22,SUMPRODUCT(MAX((AK$4:AK25&lt;=AK26)*AQ$4:AQ25)),SUMPRODUCT(MAX((AK$4:AK25&gt;AK26)*AP$4:AP25))+Headway))</f>
        <v/>
      </c>
      <c r="AQ26">
        <f>IF(AJ26="","",AP26+AO26)</f>
        <v/>
      </c>
      <c r="AR26">
        <f>IF(AJ26="","",AQ26+AK26*WalkSec)</f>
        <v/>
      </c>
      <c r="AS26" t="n">
        <v>23</v>
      </c>
      <c r="AT26">
        <f>IF(23&gt;Passengers,"",MATCH(23,V$4:V$183,0))</f>
        <v/>
      </c>
      <c r="AU26">
        <f>IF(AT26="","",INDEX($B$4:$B$183,AT26))</f>
        <v/>
      </c>
      <c r="AV26">
        <f>IF(AT26="","",INDEX($C$4:$C$183,AT26))</f>
        <v/>
      </c>
      <c r="AW26">
        <f>IF(AT26="","",INDEX($D$4:$D$183,AT26))</f>
        <v/>
      </c>
      <c r="AX26">
        <f>IF(AT26="","",COUNTIFS($B$4:$B$183,AU26,$C$4:$C$183,AV26,$D$4:$D$183,"&gt;"&amp;AW26,V$4:V$183,"&lt;"&amp;23,$G$4:$G$183,1))</f>
        <v/>
      </c>
      <c r="AY26">
        <f>IF(AT26="","",INDEX($M$4:$M$183,AT26)+IF(AX26=1,Shuffle1,IF(AX26&gt;=2,Shuffle2,0)))</f>
        <v/>
      </c>
      <c r="AZ26">
        <f>IF(AT26="","",MAX(DoorGap*22,SUMPRODUCT(MAX((AU$4:AU25&lt;=AU26)*BA$4:BA25)),SUMPRODUCT(MAX((AU$4:AU25&gt;AU26)*AZ$4:AZ25))+Headway))</f>
        <v/>
      </c>
      <c r="BA26">
        <f>IF(AT26="","",AZ26+AY26)</f>
        <v/>
      </c>
      <c r="BB26">
        <f>IF(AT26="","",BA26+AU26*WalkSec)</f>
        <v/>
      </c>
      <c r="BC26" t="n">
        <v>23</v>
      </c>
      <c r="BD26">
        <f>IF(23&gt;Passengers,"",MATCH(23,Z$4:Z$183,0))</f>
        <v/>
      </c>
      <c r="BE26">
        <f>IF(BD26="","",INDEX($B$4:$B$183,BD26))</f>
        <v/>
      </c>
      <c r="BF26">
        <f>IF(BD26="","",INDEX($C$4:$C$183,BD26))</f>
        <v/>
      </c>
      <c r="BG26">
        <f>IF(BD26="","",INDEX($D$4:$D$183,BD26))</f>
        <v/>
      </c>
      <c r="BH26">
        <f>IF(BD26="","",COUNTIFS($B$4:$B$183,BE26,$C$4:$C$183,BF26,$D$4:$D$183,"&gt;"&amp;BG26,Z$4:Z$183,"&lt;"&amp;23,$G$4:$G$183,1))</f>
        <v/>
      </c>
      <c r="BI26">
        <f>IF(BD26="","",INDEX($M$4:$M$183,BD26)+IF(BH26=1,Shuffle1,IF(BH26&gt;=2,Shuffle2,0)))</f>
        <v/>
      </c>
      <c r="BJ26">
        <f>IF(BD26="","",MAX(DoorGap*22,SUMPRODUCT(MAX((BE$4:BE25&lt;=BE26)*BK$4:BK25)),SUMPRODUCT(MAX((BE$4:BE25&gt;BE26)*BJ$4:BJ25))+Headway))</f>
        <v/>
      </c>
      <c r="BK26">
        <f>IF(BD26="","",BJ26+BI26)</f>
        <v/>
      </c>
      <c r="BL26">
        <f>IF(BD26="","",BK26+BE26*WalkSec)</f>
        <v/>
      </c>
      <c r="BM26" t="n">
        <v>23</v>
      </c>
      <c r="BN26">
        <f>IF(23&gt;Passengers,"",MATCH(23,AD$4:AD$183,0))</f>
        <v/>
      </c>
      <c r="BO26">
        <f>IF(BN26="","",INDEX($B$4:$B$183,BN26))</f>
        <v/>
      </c>
      <c r="BP26">
        <f>IF(BN26="","",INDEX($C$4:$C$183,BN26))</f>
        <v/>
      </c>
      <c r="BQ26">
        <f>IF(BN26="","",INDEX($D$4:$D$183,BN26))</f>
        <v/>
      </c>
      <c r="BR26">
        <f>IF(BN26="","",COUNTIFS($B$4:$B$183,BO26,$C$4:$C$183,BP26,$D$4:$D$183,"&gt;"&amp;BQ26,AD$4:AD$183,"&lt;"&amp;23,$G$4:$G$183,1))</f>
        <v/>
      </c>
      <c r="BS26">
        <f>IF(BN26="","",INDEX($M$4:$M$183,BN26)+IF(BR26=1,Shuffle1,IF(BR26&gt;=2,Shuffle2,0)))</f>
        <v/>
      </c>
      <c r="BT26">
        <f>IF(BN26="","",MAX(DoorGap*22,SUMPRODUCT(MAX((BO$4:BO25&lt;=BO26)*BU$4:BU25)),SUMPRODUCT(MAX((BO$4:BO25&gt;BO26)*BT$4:BT25))+Headway))</f>
        <v/>
      </c>
      <c r="BU26">
        <f>IF(BN26="","",BT26+BS26)</f>
        <v/>
      </c>
      <c r="BV26">
        <f>IF(BN26="","",BU26+BO26*WalkSec)</f>
        <v/>
      </c>
      <c r="BW26">
        <f>IF($G26=0,"",INDEX(AR$4:AR$183,R26))</f>
        <v/>
      </c>
      <c r="BX26">
        <f>IF($G26=0,"",INDEX(BB$4:BB$183,V26))</f>
        <v/>
      </c>
      <c r="BY26">
        <f>IF($G26=0,"",INDEX(BL$4:BL$183,Z26))</f>
        <v/>
      </c>
      <c r="BZ26">
        <f>IF($G26=0,"",INDEX(BV$4:BV$183,AD26))</f>
        <v/>
      </c>
    </row>
    <row r="27">
      <c r="A27" t="n">
        <v>24</v>
      </c>
      <c r="B27" t="n">
        <v>4</v>
      </c>
      <c r="C27" t="n">
        <v>2</v>
      </c>
      <c r="D27" t="n">
        <v>3</v>
      </c>
      <c r="E27" t="n">
        <v>8</v>
      </c>
      <c r="F27">
        <f>RAND()</f>
        <v/>
      </c>
      <c r="G27">
        <f>IF(SUMPRODUCT(($F$4:$F$183&lt;F27)*1)+SUMPRODUCT(($F$4:$F$183=F27)*($A$4:$A$183&lt;A27))&lt;Passengers,1,0)</f>
        <v/>
      </c>
      <c r="H27">
        <f>RAND()</f>
        <v/>
      </c>
      <c r="I27">
        <f>RAND()</f>
        <v/>
      </c>
      <c r="J27">
        <f>RAND()</f>
        <v/>
      </c>
      <c r="K27">
        <f>RAND()</f>
        <v/>
      </c>
      <c r="L27">
        <f>RAND()</f>
        <v/>
      </c>
      <c r="M27">
        <f>IF(K27&lt;BagShare,EXP(NORMSINV(L27)*StowSigma+StowMu),StowNoBag)</f>
        <v/>
      </c>
      <c r="N27">
        <f>IF(INDEX($AG$4:$AG$63,E27)&lt;GroupShare,1,0)</f>
        <v/>
      </c>
      <c r="P27">
        <f>IF(G27=1,IF(I27&gt;Compliance,J27,$H27),2)</f>
        <v/>
      </c>
      <c r="Q27">
        <f>IF(G27=0,2,IF(N27=0,P27,1-SUMPRODUCT(MAX(($E$4:$E$183=E27)*($G$4:$G$183=1)*(1-P$4:P$183)))+0.000000001*D27))</f>
        <v/>
      </c>
      <c r="R27">
        <f>IF(G27=0,999,SUMPRODUCT((Q$4:Q$183&lt;Q27)*($G$4:$G$183=1))+SUMPRODUCT((Q$4:Q$183=Q27)*($G$4:$G$183=1)*($A$4:$A$183&lt;A27))+1)</f>
        <v/>
      </c>
      <c r="T27">
        <f>IF(G27=1,IF(I27&gt;Compliance,J27,(INT((30-$B27)/(30/Zones))+$H27)/Zones),2)</f>
        <v/>
      </c>
      <c r="U27">
        <f>IF(G27=0,2,IF(N27=0,T27,1-SUMPRODUCT(MAX(($E$4:$E$183=E27)*($G$4:$G$183=1)*(1-T$4:T$183)))+0.000000001*D27))</f>
        <v/>
      </c>
      <c r="V27">
        <f>IF(G27=0,999,SUMPRODUCT((U$4:U$183&lt;U27)*($G$4:$G$183=1))+SUMPRODUCT((U$4:U$183=U27)*($G$4:$G$183=1)*($A$4:$A$183&lt;A27))+1)</f>
        <v/>
      </c>
      <c r="X27">
        <f>IF(G27=1,IF(I27&gt;Compliance,J27,(($D27-1)+$H27)/3),2)</f>
        <v/>
      </c>
      <c r="Y27">
        <f>IF(G27=0,2,IF(N27=0,X27,1-SUMPRODUCT(MAX(($E$4:$E$183=E27)*($G$4:$G$183=1)*(1-X$4:X$183)))+0.000000001*D27))</f>
        <v/>
      </c>
      <c r="Z27">
        <f>IF(G27=0,999,SUMPRODUCT((Y$4:Y$183&lt;Y27)*($G$4:$G$183=1))+SUMPRODUCT((Y$4:Y$183=Y27)*($G$4:$G$183=1)*($A$4:$A$183&lt;A27))+1)</f>
        <v/>
      </c>
      <c r="AB27">
        <f>IF(G27=1,IF(I27&gt;Compliance,J27,((($D27-1)*4+($C27-1)*2+MOD($B27,2))+(30-$B27)/30)/12),2)</f>
        <v/>
      </c>
      <c r="AC27">
        <f>IF(G27=0,2,IF(N27=0,AB27,1-SUMPRODUCT(MAX(($E$4:$E$183=E27)*($G$4:$G$183=1)*(1-AB$4:AB$183)))+0.000000001*D27))</f>
        <v/>
      </c>
      <c r="AD27">
        <f>IF(G27=0,999,SUMPRODUCT((AC$4:AC$183&lt;AC27)*($G$4:$G$183=1))+SUMPRODUCT((AC$4:AC$183=AC27)*($G$4:$G$183=1)*($A$4:$A$183&lt;A27))+1)</f>
        <v/>
      </c>
      <c r="AF27" t="n">
        <v>24</v>
      </c>
      <c r="AG27">
        <f>RAND()</f>
        <v/>
      </c>
      <c r="AI27" t="n">
        <v>24</v>
      </c>
      <c r="AJ27">
        <f>IF(24&gt;Passengers,"",MATCH(24,R$4:R$183,0))</f>
        <v/>
      </c>
      <c r="AK27">
        <f>IF(AJ27="","",INDEX($B$4:$B$183,AJ27))</f>
        <v/>
      </c>
      <c r="AL27">
        <f>IF(AJ27="","",INDEX($C$4:$C$183,AJ27))</f>
        <v/>
      </c>
      <c r="AM27">
        <f>IF(AJ27="","",INDEX($D$4:$D$183,AJ27))</f>
        <v/>
      </c>
      <c r="AN27">
        <f>IF(AJ27="","",COUNTIFS($B$4:$B$183,AK27,$C$4:$C$183,AL27,$D$4:$D$183,"&gt;"&amp;AM27,R$4:R$183,"&lt;"&amp;24,$G$4:$G$183,1))</f>
        <v/>
      </c>
      <c r="AO27">
        <f>IF(AJ27="","",INDEX($M$4:$M$183,AJ27)+IF(AN27=1,Shuffle1,IF(AN27&gt;=2,Shuffle2,0)))</f>
        <v/>
      </c>
      <c r="AP27">
        <f>IF(AJ27="","",MAX(DoorGap*23,SUMPRODUCT(MAX((AK$4:AK26&lt;=AK27)*AQ$4:AQ26)),SUMPRODUCT(MAX((AK$4:AK26&gt;AK27)*AP$4:AP26))+Headway))</f>
        <v/>
      </c>
      <c r="AQ27">
        <f>IF(AJ27="","",AP27+AO27)</f>
        <v/>
      </c>
      <c r="AR27">
        <f>IF(AJ27="","",AQ27+AK27*WalkSec)</f>
        <v/>
      </c>
      <c r="AS27" t="n">
        <v>24</v>
      </c>
      <c r="AT27">
        <f>IF(24&gt;Passengers,"",MATCH(24,V$4:V$183,0))</f>
        <v/>
      </c>
      <c r="AU27">
        <f>IF(AT27="","",INDEX($B$4:$B$183,AT27))</f>
        <v/>
      </c>
      <c r="AV27">
        <f>IF(AT27="","",INDEX($C$4:$C$183,AT27))</f>
        <v/>
      </c>
      <c r="AW27">
        <f>IF(AT27="","",INDEX($D$4:$D$183,AT27))</f>
        <v/>
      </c>
      <c r="AX27">
        <f>IF(AT27="","",COUNTIFS($B$4:$B$183,AU27,$C$4:$C$183,AV27,$D$4:$D$183,"&gt;"&amp;AW27,V$4:V$183,"&lt;"&amp;24,$G$4:$G$183,1))</f>
        <v/>
      </c>
      <c r="AY27">
        <f>IF(AT27="","",INDEX($M$4:$M$183,AT27)+IF(AX27=1,Shuffle1,IF(AX27&gt;=2,Shuffle2,0)))</f>
        <v/>
      </c>
      <c r="AZ27">
        <f>IF(AT27="","",MAX(DoorGap*23,SUMPRODUCT(MAX((AU$4:AU26&lt;=AU27)*BA$4:BA26)),SUMPRODUCT(MAX((AU$4:AU26&gt;AU27)*AZ$4:AZ26))+Headway))</f>
        <v/>
      </c>
      <c r="BA27">
        <f>IF(AT27="","",AZ27+AY27)</f>
        <v/>
      </c>
      <c r="BB27">
        <f>IF(AT27="","",BA27+AU27*WalkSec)</f>
        <v/>
      </c>
      <c r="BC27" t="n">
        <v>24</v>
      </c>
      <c r="BD27">
        <f>IF(24&gt;Passengers,"",MATCH(24,Z$4:Z$183,0))</f>
        <v/>
      </c>
      <c r="BE27">
        <f>IF(BD27="","",INDEX($B$4:$B$183,BD27))</f>
        <v/>
      </c>
      <c r="BF27">
        <f>IF(BD27="","",INDEX($C$4:$C$183,BD27))</f>
        <v/>
      </c>
      <c r="BG27">
        <f>IF(BD27="","",INDEX($D$4:$D$183,BD27))</f>
        <v/>
      </c>
      <c r="BH27">
        <f>IF(BD27="","",COUNTIFS($B$4:$B$183,BE27,$C$4:$C$183,BF27,$D$4:$D$183,"&gt;"&amp;BG27,Z$4:Z$183,"&lt;"&amp;24,$G$4:$G$183,1))</f>
        <v/>
      </c>
      <c r="BI27">
        <f>IF(BD27="","",INDEX($M$4:$M$183,BD27)+IF(BH27=1,Shuffle1,IF(BH27&gt;=2,Shuffle2,0)))</f>
        <v/>
      </c>
      <c r="BJ27">
        <f>IF(BD27="","",MAX(DoorGap*23,SUMPRODUCT(MAX((BE$4:BE26&lt;=BE27)*BK$4:BK26)),SUMPRODUCT(MAX((BE$4:BE26&gt;BE27)*BJ$4:BJ26))+Headway))</f>
        <v/>
      </c>
      <c r="BK27">
        <f>IF(BD27="","",BJ27+BI27)</f>
        <v/>
      </c>
      <c r="BL27">
        <f>IF(BD27="","",BK27+BE27*WalkSec)</f>
        <v/>
      </c>
      <c r="BM27" t="n">
        <v>24</v>
      </c>
      <c r="BN27">
        <f>IF(24&gt;Passengers,"",MATCH(24,AD$4:AD$183,0))</f>
        <v/>
      </c>
      <c r="BO27">
        <f>IF(BN27="","",INDEX($B$4:$B$183,BN27))</f>
        <v/>
      </c>
      <c r="BP27">
        <f>IF(BN27="","",INDEX($C$4:$C$183,BN27))</f>
        <v/>
      </c>
      <c r="BQ27">
        <f>IF(BN27="","",INDEX($D$4:$D$183,BN27))</f>
        <v/>
      </c>
      <c r="BR27">
        <f>IF(BN27="","",COUNTIFS($B$4:$B$183,BO27,$C$4:$C$183,BP27,$D$4:$D$183,"&gt;"&amp;BQ27,AD$4:AD$183,"&lt;"&amp;24,$G$4:$G$183,1))</f>
        <v/>
      </c>
      <c r="BS27">
        <f>IF(BN27="","",INDEX($M$4:$M$183,BN27)+IF(BR27=1,Shuffle1,IF(BR27&gt;=2,Shuffle2,0)))</f>
        <v/>
      </c>
      <c r="BT27">
        <f>IF(BN27="","",MAX(DoorGap*23,SUMPRODUCT(MAX((BO$4:BO26&lt;=BO27)*BU$4:BU26)),SUMPRODUCT(MAX((BO$4:BO26&gt;BO27)*BT$4:BT26))+Headway))</f>
        <v/>
      </c>
      <c r="BU27">
        <f>IF(BN27="","",BT27+BS27)</f>
        <v/>
      </c>
      <c r="BV27">
        <f>IF(BN27="","",BU27+BO27*WalkSec)</f>
        <v/>
      </c>
      <c r="BW27">
        <f>IF($G27=0,"",INDEX(AR$4:AR$183,R27))</f>
        <v/>
      </c>
      <c r="BX27">
        <f>IF($G27=0,"",INDEX(BB$4:BB$183,V27))</f>
        <v/>
      </c>
      <c r="BY27">
        <f>IF($G27=0,"",INDEX(BL$4:BL$183,Z27))</f>
        <v/>
      </c>
      <c r="BZ27">
        <f>IF($G27=0,"",INDEX(BV$4:BV$183,AD27))</f>
        <v/>
      </c>
    </row>
    <row r="28">
      <c r="A28" t="n">
        <v>25</v>
      </c>
      <c r="B28" t="n">
        <v>5</v>
      </c>
      <c r="C28" t="n">
        <v>1</v>
      </c>
      <c r="D28" t="n">
        <v>1</v>
      </c>
      <c r="E28" t="n">
        <v>9</v>
      </c>
      <c r="F28">
        <f>RAND()</f>
        <v/>
      </c>
      <c r="G28">
        <f>IF(SUMPRODUCT(($F$4:$F$183&lt;F28)*1)+SUMPRODUCT(($F$4:$F$183=F28)*($A$4:$A$183&lt;A28))&lt;Passengers,1,0)</f>
        <v/>
      </c>
      <c r="H28">
        <f>RAND()</f>
        <v/>
      </c>
      <c r="I28">
        <f>RAND()</f>
        <v/>
      </c>
      <c r="J28">
        <f>RAND()</f>
        <v/>
      </c>
      <c r="K28">
        <f>RAND()</f>
        <v/>
      </c>
      <c r="L28">
        <f>RAND()</f>
        <v/>
      </c>
      <c r="M28">
        <f>IF(K28&lt;BagShare,EXP(NORMSINV(L28)*StowSigma+StowMu),StowNoBag)</f>
        <v/>
      </c>
      <c r="N28">
        <f>IF(INDEX($AG$4:$AG$63,E28)&lt;GroupShare,1,0)</f>
        <v/>
      </c>
      <c r="P28">
        <f>IF(G28=1,IF(I28&gt;Compliance,J28,$H28),2)</f>
        <v/>
      </c>
      <c r="Q28">
        <f>IF(G28=0,2,IF(N28=0,P28,1-SUMPRODUCT(MAX(($E$4:$E$183=E28)*($G$4:$G$183=1)*(1-P$4:P$183)))+0.000000001*D28))</f>
        <v/>
      </c>
      <c r="R28">
        <f>IF(G28=0,999,SUMPRODUCT((Q$4:Q$183&lt;Q28)*($G$4:$G$183=1))+SUMPRODUCT((Q$4:Q$183=Q28)*($G$4:$G$183=1)*($A$4:$A$183&lt;A28))+1)</f>
        <v/>
      </c>
      <c r="T28">
        <f>IF(G28=1,IF(I28&gt;Compliance,J28,(INT((30-$B28)/(30/Zones))+$H28)/Zones),2)</f>
        <v/>
      </c>
      <c r="U28">
        <f>IF(G28=0,2,IF(N28=0,T28,1-SUMPRODUCT(MAX(($E$4:$E$183=E28)*($G$4:$G$183=1)*(1-T$4:T$183)))+0.000000001*D28))</f>
        <v/>
      </c>
      <c r="V28">
        <f>IF(G28=0,999,SUMPRODUCT((U$4:U$183&lt;U28)*($G$4:$G$183=1))+SUMPRODUCT((U$4:U$183=U28)*($G$4:$G$183=1)*($A$4:$A$183&lt;A28))+1)</f>
        <v/>
      </c>
      <c r="X28">
        <f>IF(G28=1,IF(I28&gt;Compliance,J28,(($D28-1)+$H28)/3),2)</f>
        <v/>
      </c>
      <c r="Y28">
        <f>IF(G28=0,2,IF(N28=0,X28,1-SUMPRODUCT(MAX(($E$4:$E$183=E28)*($G$4:$G$183=1)*(1-X$4:X$183)))+0.000000001*D28))</f>
        <v/>
      </c>
      <c r="Z28">
        <f>IF(G28=0,999,SUMPRODUCT((Y$4:Y$183&lt;Y28)*($G$4:$G$183=1))+SUMPRODUCT((Y$4:Y$183=Y28)*($G$4:$G$183=1)*($A$4:$A$183&lt;A28))+1)</f>
        <v/>
      </c>
      <c r="AB28">
        <f>IF(G28=1,IF(I28&gt;Compliance,J28,((($D28-1)*4+($C28-1)*2+MOD($B28,2))+(30-$B28)/30)/12),2)</f>
        <v/>
      </c>
      <c r="AC28">
        <f>IF(G28=0,2,IF(N28=0,AB28,1-SUMPRODUCT(MAX(($E$4:$E$183=E28)*($G$4:$G$183=1)*(1-AB$4:AB$183)))+0.000000001*D28))</f>
        <v/>
      </c>
      <c r="AD28">
        <f>IF(G28=0,999,SUMPRODUCT((AC$4:AC$183&lt;AC28)*($G$4:$G$183=1))+SUMPRODUCT((AC$4:AC$183=AC28)*($G$4:$G$183=1)*($A$4:$A$183&lt;A28))+1)</f>
        <v/>
      </c>
      <c r="AF28" t="n">
        <v>25</v>
      </c>
      <c r="AG28">
        <f>RAND()</f>
        <v/>
      </c>
      <c r="AI28" t="n">
        <v>25</v>
      </c>
      <c r="AJ28">
        <f>IF(25&gt;Passengers,"",MATCH(25,R$4:R$183,0))</f>
        <v/>
      </c>
      <c r="AK28">
        <f>IF(AJ28="","",INDEX($B$4:$B$183,AJ28))</f>
        <v/>
      </c>
      <c r="AL28">
        <f>IF(AJ28="","",INDEX($C$4:$C$183,AJ28))</f>
        <v/>
      </c>
      <c r="AM28">
        <f>IF(AJ28="","",INDEX($D$4:$D$183,AJ28))</f>
        <v/>
      </c>
      <c r="AN28">
        <f>IF(AJ28="","",COUNTIFS($B$4:$B$183,AK28,$C$4:$C$183,AL28,$D$4:$D$183,"&gt;"&amp;AM28,R$4:R$183,"&lt;"&amp;25,$G$4:$G$183,1))</f>
        <v/>
      </c>
      <c r="AO28">
        <f>IF(AJ28="","",INDEX($M$4:$M$183,AJ28)+IF(AN28=1,Shuffle1,IF(AN28&gt;=2,Shuffle2,0)))</f>
        <v/>
      </c>
      <c r="AP28">
        <f>IF(AJ28="","",MAX(DoorGap*24,SUMPRODUCT(MAX((AK$4:AK27&lt;=AK28)*AQ$4:AQ27)),SUMPRODUCT(MAX((AK$4:AK27&gt;AK28)*AP$4:AP27))+Headway))</f>
        <v/>
      </c>
      <c r="AQ28">
        <f>IF(AJ28="","",AP28+AO28)</f>
        <v/>
      </c>
      <c r="AR28">
        <f>IF(AJ28="","",AQ28+AK28*WalkSec)</f>
        <v/>
      </c>
      <c r="AS28" t="n">
        <v>25</v>
      </c>
      <c r="AT28">
        <f>IF(25&gt;Passengers,"",MATCH(25,V$4:V$183,0))</f>
        <v/>
      </c>
      <c r="AU28">
        <f>IF(AT28="","",INDEX($B$4:$B$183,AT28))</f>
        <v/>
      </c>
      <c r="AV28">
        <f>IF(AT28="","",INDEX($C$4:$C$183,AT28))</f>
        <v/>
      </c>
      <c r="AW28">
        <f>IF(AT28="","",INDEX($D$4:$D$183,AT28))</f>
        <v/>
      </c>
      <c r="AX28">
        <f>IF(AT28="","",COUNTIFS($B$4:$B$183,AU28,$C$4:$C$183,AV28,$D$4:$D$183,"&gt;"&amp;AW28,V$4:V$183,"&lt;"&amp;25,$G$4:$G$183,1))</f>
        <v/>
      </c>
      <c r="AY28">
        <f>IF(AT28="","",INDEX($M$4:$M$183,AT28)+IF(AX28=1,Shuffle1,IF(AX28&gt;=2,Shuffle2,0)))</f>
        <v/>
      </c>
      <c r="AZ28">
        <f>IF(AT28="","",MAX(DoorGap*24,SUMPRODUCT(MAX((AU$4:AU27&lt;=AU28)*BA$4:BA27)),SUMPRODUCT(MAX((AU$4:AU27&gt;AU28)*AZ$4:AZ27))+Headway))</f>
        <v/>
      </c>
      <c r="BA28">
        <f>IF(AT28="","",AZ28+AY28)</f>
        <v/>
      </c>
      <c r="BB28">
        <f>IF(AT28="","",BA28+AU28*WalkSec)</f>
        <v/>
      </c>
      <c r="BC28" t="n">
        <v>25</v>
      </c>
      <c r="BD28">
        <f>IF(25&gt;Passengers,"",MATCH(25,Z$4:Z$183,0))</f>
        <v/>
      </c>
      <c r="BE28">
        <f>IF(BD28="","",INDEX($B$4:$B$183,BD28))</f>
        <v/>
      </c>
      <c r="BF28">
        <f>IF(BD28="","",INDEX($C$4:$C$183,BD28))</f>
        <v/>
      </c>
      <c r="BG28">
        <f>IF(BD28="","",INDEX($D$4:$D$183,BD28))</f>
        <v/>
      </c>
      <c r="BH28">
        <f>IF(BD28="","",COUNTIFS($B$4:$B$183,BE28,$C$4:$C$183,BF28,$D$4:$D$183,"&gt;"&amp;BG28,Z$4:Z$183,"&lt;"&amp;25,$G$4:$G$183,1))</f>
        <v/>
      </c>
      <c r="BI28">
        <f>IF(BD28="","",INDEX($M$4:$M$183,BD28)+IF(BH28=1,Shuffle1,IF(BH28&gt;=2,Shuffle2,0)))</f>
        <v/>
      </c>
      <c r="BJ28">
        <f>IF(BD28="","",MAX(DoorGap*24,SUMPRODUCT(MAX((BE$4:BE27&lt;=BE28)*BK$4:BK27)),SUMPRODUCT(MAX((BE$4:BE27&gt;BE28)*BJ$4:BJ27))+Headway))</f>
        <v/>
      </c>
      <c r="BK28">
        <f>IF(BD28="","",BJ28+BI28)</f>
        <v/>
      </c>
      <c r="BL28">
        <f>IF(BD28="","",BK28+BE28*WalkSec)</f>
        <v/>
      </c>
      <c r="BM28" t="n">
        <v>25</v>
      </c>
      <c r="BN28">
        <f>IF(25&gt;Passengers,"",MATCH(25,AD$4:AD$183,0))</f>
        <v/>
      </c>
      <c r="BO28">
        <f>IF(BN28="","",INDEX($B$4:$B$183,BN28))</f>
        <v/>
      </c>
      <c r="BP28">
        <f>IF(BN28="","",INDEX($C$4:$C$183,BN28))</f>
        <v/>
      </c>
      <c r="BQ28">
        <f>IF(BN28="","",INDEX($D$4:$D$183,BN28))</f>
        <v/>
      </c>
      <c r="BR28">
        <f>IF(BN28="","",COUNTIFS($B$4:$B$183,BO28,$C$4:$C$183,BP28,$D$4:$D$183,"&gt;"&amp;BQ28,AD$4:AD$183,"&lt;"&amp;25,$G$4:$G$183,1))</f>
        <v/>
      </c>
      <c r="BS28">
        <f>IF(BN28="","",INDEX($M$4:$M$183,BN28)+IF(BR28=1,Shuffle1,IF(BR28&gt;=2,Shuffle2,0)))</f>
        <v/>
      </c>
      <c r="BT28">
        <f>IF(BN28="","",MAX(DoorGap*24,SUMPRODUCT(MAX((BO$4:BO27&lt;=BO28)*BU$4:BU27)),SUMPRODUCT(MAX((BO$4:BO27&gt;BO28)*BT$4:BT27))+Headway))</f>
        <v/>
      </c>
      <c r="BU28">
        <f>IF(BN28="","",BT28+BS28)</f>
        <v/>
      </c>
      <c r="BV28">
        <f>IF(BN28="","",BU28+BO28*WalkSec)</f>
        <v/>
      </c>
      <c r="BW28">
        <f>IF($G28=0,"",INDEX(AR$4:AR$183,R28))</f>
        <v/>
      </c>
      <c r="BX28">
        <f>IF($G28=0,"",INDEX(BB$4:BB$183,V28))</f>
        <v/>
      </c>
      <c r="BY28">
        <f>IF($G28=0,"",INDEX(BL$4:BL$183,Z28))</f>
        <v/>
      </c>
      <c r="BZ28">
        <f>IF($G28=0,"",INDEX(BV$4:BV$183,AD28))</f>
        <v/>
      </c>
    </row>
    <row r="29">
      <c r="A29" t="n">
        <v>26</v>
      </c>
      <c r="B29" t="n">
        <v>5</v>
      </c>
      <c r="C29" t="n">
        <v>1</v>
      </c>
      <c r="D29" t="n">
        <v>2</v>
      </c>
      <c r="E29" t="n">
        <v>9</v>
      </c>
      <c r="F29">
        <f>RAND()</f>
        <v/>
      </c>
      <c r="G29">
        <f>IF(SUMPRODUCT(($F$4:$F$183&lt;F29)*1)+SUMPRODUCT(($F$4:$F$183=F29)*($A$4:$A$183&lt;A29))&lt;Passengers,1,0)</f>
        <v/>
      </c>
      <c r="H29">
        <f>RAND()</f>
        <v/>
      </c>
      <c r="I29">
        <f>RAND()</f>
        <v/>
      </c>
      <c r="J29">
        <f>RAND()</f>
        <v/>
      </c>
      <c r="K29">
        <f>RAND()</f>
        <v/>
      </c>
      <c r="L29">
        <f>RAND()</f>
        <v/>
      </c>
      <c r="M29">
        <f>IF(K29&lt;BagShare,EXP(NORMSINV(L29)*StowSigma+StowMu),StowNoBag)</f>
        <v/>
      </c>
      <c r="N29">
        <f>IF(INDEX($AG$4:$AG$63,E29)&lt;GroupShare,1,0)</f>
        <v/>
      </c>
      <c r="P29">
        <f>IF(G29=1,IF(I29&gt;Compliance,J29,$H29),2)</f>
        <v/>
      </c>
      <c r="Q29">
        <f>IF(G29=0,2,IF(N29=0,P29,1-SUMPRODUCT(MAX(($E$4:$E$183=E29)*($G$4:$G$183=1)*(1-P$4:P$183)))+0.000000001*D29))</f>
        <v/>
      </c>
      <c r="R29">
        <f>IF(G29=0,999,SUMPRODUCT((Q$4:Q$183&lt;Q29)*($G$4:$G$183=1))+SUMPRODUCT((Q$4:Q$183=Q29)*($G$4:$G$183=1)*($A$4:$A$183&lt;A29))+1)</f>
        <v/>
      </c>
      <c r="T29">
        <f>IF(G29=1,IF(I29&gt;Compliance,J29,(INT((30-$B29)/(30/Zones))+$H29)/Zones),2)</f>
        <v/>
      </c>
      <c r="U29">
        <f>IF(G29=0,2,IF(N29=0,T29,1-SUMPRODUCT(MAX(($E$4:$E$183=E29)*($G$4:$G$183=1)*(1-T$4:T$183)))+0.000000001*D29))</f>
        <v/>
      </c>
      <c r="V29">
        <f>IF(G29=0,999,SUMPRODUCT((U$4:U$183&lt;U29)*($G$4:$G$183=1))+SUMPRODUCT((U$4:U$183=U29)*($G$4:$G$183=1)*($A$4:$A$183&lt;A29))+1)</f>
        <v/>
      </c>
      <c r="X29">
        <f>IF(G29=1,IF(I29&gt;Compliance,J29,(($D29-1)+$H29)/3),2)</f>
        <v/>
      </c>
      <c r="Y29">
        <f>IF(G29=0,2,IF(N29=0,X29,1-SUMPRODUCT(MAX(($E$4:$E$183=E29)*($G$4:$G$183=1)*(1-X$4:X$183)))+0.000000001*D29))</f>
        <v/>
      </c>
      <c r="Z29">
        <f>IF(G29=0,999,SUMPRODUCT((Y$4:Y$183&lt;Y29)*($G$4:$G$183=1))+SUMPRODUCT((Y$4:Y$183=Y29)*($G$4:$G$183=1)*($A$4:$A$183&lt;A29))+1)</f>
        <v/>
      </c>
      <c r="AB29">
        <f>IF(G29=1,IF(I29&gt;Compliance,J29,((($D29-1)*4+($C29-1)*2+MOD($B29,2))+(30-$B29)/30)/12),2)</f>
        <v/>
      </c>
      <c r="AC29">
        <f>IF(G29=0,2,IF(N29=0,AB29,1-SUMPRODUCT(MAX(($E$4:$E$183=E29)*($G$4:$G$183=1)*(1-AB$4:AB$183)))+0.000000001*D29))</f>
        <v/>
      </c>
      <c r="AD29">
        <f>IF(G29=0,999,SUMPRODUCT((AC$4:AC$183&lt;AC29)*($G$4:$G$183=1))+SUMPRODUCT((AC$4:AC$183=AC29)*($G$4:$G$183=1)*($A$4:$A$183&lt;A29))+1)</f>
        <v/>
      </c>
      <c r="AF29" t="n">
        <v>26</v>
      </c>
      <c r="AG29">
        <f>RAND()</f>
        <v/>
      </c>
      <c r="AI29" t="n">
        <v>26</v>
      </c>
      <c r="AJ29">
        <f>IF(26&gt;Passengers,"",MATCH(26,R$4:R$183,0))</f>
        <v/>
      </c>
      <c r="AK29">
        <f>IF(AJ29="","",INDEX($B$4:$B$183,AJ29))</f>
        <v/>
      </c>
      <c r="AL29">
        <f>IF(AJ29="","",INDEX($C$4:$C$183,AJ29))</f>
        <v/>
      </c>
      <c r="AM29">
        <f>IF(AJ29="","",INDEX($D$4:$D$183,AJ29))</f>
        <v/>
      </c>
      <c r="AN29">
        <f>IF(AJ29="","",COUNTIFS($B$4:$B$183,AK29,$C$4:$C$183,AL29,$D$4:$D$183,"&gt;"&amp;AM29,R$4:R$183,"&lt;"&amp;26,$G$4:$G$183,1))</f>
        <v/>
      </c>
      <c r="AO29">
        <f>IF(AJ29="","",INDEX($M$4:$M$183,AJ29)+IF(AN29=1,Shuffle1,IF(AN29&gt;=2,Shuffle2,0)))</f>
        <v/>
      </c>
      <c r="AP29">
        <f>IF(AJ29="","",MAX(DoorGap*25,SUMPRODUCT(MAX((AK$4:AK28&lt;=AK29)*AQ$4:AQ28)),SUMPRODUCT(MAX((AK$4:AK28&gt;AK29)*AP$4:AP28))+Headway))</f>
        <v/>
      </c>
      <c r="AQ29">
        <f>IF(AJ29="","",AP29+AO29)</f>
        <v/>
      </c>
      <c r="AR29">
        <f>IF(AJ29="","",AQ29+AK29*WalkSec)</f>
        <v/>
      </c>
      <c r="AS29" t="n">
        <v>26</v>
      </c>
      <c r="AT29">
        <f>IF(26&gt;Passengers,"",MATCH(26,V$4:V$183,0))</f>
        <v/>
      </c>
      <c r="AU29">
        <f>IF(AT29="","",INDEX($B$4:$B$183,AT29))</f>
        <v/>
      </c>
      <c r="AV29">
        <f>IF(AT29="","",INDEX($C$4:$C$183,AT29))</f>
        <v/>
      </c>
      <c r="AW29">
        <f>IF(AT29="","",INDEX($D$4:$D$183,AT29))</f>
        <v/>
      </c>
      <c r="AX29">
        <f>IF(AT29="","",COUNTIFS($B$4:$B$183,AU29,$C$4:$C$183,AV29,$D$4:$D$183,"&gt;"&amp;AW29,V$4:V$183,"&lt;"&amp;26,$G$4:$G$183,1))</f>
        <v/>
      </c>
      <c r="AY29">
        <f>IF(AT29="","",INDEX($M$4:$M$183,AT29)+IF(AX29=1,Shuffle1,IF(AX29&gt;=2,Shuffle2,0)))</f>
        <v/>
      </c>
      <c r="AZ29">
        <f>IF(AT29="","",MAX(DoorGap*25,SUMPRODUCT(MAX((AU$4:AU28&lt;=AU29)*BA$4:BA28)),SUMPRODUCT(MAX((AU$4:AU28&gt;AU29)*AZ$4:AZ28))+Headway))</f>
        <v/>
      </c>
      <c r="BA29">
        <f>IF(AT29="","",AZ29+AY29)</f>
        <v/>
      </c>
      <c r="BB29">
        <f>IF(AT29="","",BA29+AU29*WalkSec)</f>
        <v/>
      </c>
      <c r="BC29" t="n">
        <v>26</v>
      </c>
      <c r="BD29">
        <f>IF(26&gt;Passengers,"",MATCH(26,Z$4:Z$183,0))</f>
        <v/>
      </c>
      <c r="BE29">
        <f>IF(BD29="","",INDEX($B$4:$B$183,BD29))</f>
        <v/>
      </c>
      <c r="BF29">
        <f>IF(BD29="","",INDEX($C$4:$C$183,BD29))</f>
        <v/>
      </c>
      <c r="BG29">
        <f>IF(BD29="","",INDEX($D$4:$D$183,BD29))</f>
        <v/>
      </c>
      <c r="BH29">
        <f>IF(BD29="","",COUNTIFS($B$4:$B$183,BE29,$C$4:$C$183,BF29,$D$4:$D$183,"&gt;"&amp;BG29,Z$4:Z$183,"&lt;"&amp;26,$G$4:$G$183,1))</f>
        <v/>
      </c>
      <c r="BI29">
        <f>IF(BD29="","",INDEX($M$4:$M$183,BD29)+IF(BH29=1,Shuffle1,IF(BH29&gt;=2,Shuffle2,0)))</f>
        <v/>
      </c>
      <c r="BJ29">
        <f>IF(BD29="","",MAX(DoorGap*25,SUMPRODUCT(MAX((BE$4:BE28&lt;=BE29)*BK$4:BK28)),SUMPRODUCT(MAX((BE$4:BE28&gt;BE29)*BJ$4:BJ28))+Headway))</f>
        <v/>
      </c>
      <c r="BK29">
        <f>IF(BD29="","",BJ29+BI29)</f>
        <v/>
      </c>
      <c r="BL29">
        <f>IF(BD29="","",BK29+BE29*WalkSec)</f>
        <v/>
      </c>
      <c r="BM29" t="n">
        <v>26</v>
      </c>
      <c r="BN29">
        <f>IF(26&gt;Passengers,"",MATCH(26,AD$4:AD$183,0))</f>
        <v/>
      </c>
      <c r="BO29">
        <f>IF(BN29="","",INDEX($B$4:$B$183,BN29))</f>
        <v/>
      </c>
      <c r="BP29">
        <f>IF(BN29="","",INDEX($C$4:$C$183,BN29))</f>
        <v/>
      </c>
      <c r="BQ29">
        <f>IF(BN29="","",INDEX($D$4:$D$183,BN29))</f>
        <v/>
      </c>
      <c r="BR29">
        <f>IF(BN29="","",COUNTIFS($B$4:$B$183,BO29,$C$4:$C$183,BP29,$D$4:$D$183,"&gt;"&amp;BQ29,AD$4:AD$183,"&lt;"&amp;26,$G$4:$G$183,1))</f>
        <v/>
      </c>
      <c r="BS29">
        <f>IF(BN29="","",INDEX($M$4:$M$183,BN29)+IF(BR29=1,Shuffle1,IF(BR29&gt;=2,Shuffle2,0)))</f>
        <v/>
      </c>
      <c r="BT29">
        <f>IF(BN29="","",MAX(DoorGap*25,SUMPRODUCT(MAX((BO$4:BO28&lt;=BO29)*BU$4:BU28)),SUMPRODUCT(MAX((BO$4:BO28&gt;BO29)*BT$4:BT28))+Headway))</f>
        <v/>
      </c>
      <c r="BU29">
        <f>IF(BN29="","",BT29+BS29)</f>
        <v/>
      </c>
      <c r="BV29">
        <f>IF(BN29="","",BU29+BO29*WalkSec)</f>
        <v/>
      </c>
      <c r="BW29">
        <f>IF($G29=0,"",INDEX(AR$4:AR$183,R29))</f>
        <v/>
      </c>
      <c r="BX29">
        <f>IF($G29=0,"",INDEX(BB$4:BB$183,V29))</f>
        <v/>
      </c>
      <c r="BY29">
        <f>IF($G29=0,"",INDEX(BL$4:BL$183,Z29))</f>
        <v/>
      </c>
      <c r="BZ29">
        <f>IF($G29=0,"",INDEX(BV$4:BV$183,AD29))</f>
        <v/>
      </c>
    </row>
    <row r="30">
      <c r="A30" t="n">
        <v>27</v>
      </c>
      <c r="B30" t="n">
        <v>5</v>
      </c>
      <c r="C30" t="n">
        <v>1</v>
      </c>
      <c r="D30" t="n">
        <v>3</v>
      </c>
      <c r="E30" t="n">
        <v>9</v>
      </c>
      <c r="F30">
        <f>RAND()</f>
        <v/>
      </c>
      <c r="G30">
        <f>IF(SUMPRODUCT(($F$4:$F$183&lt;F30)*1)+SUMPRODUCT(($F$4:$F$183=F30)*($A$4:$A$183&lt;A30))&lt;Passengers,1,0)</f>
        <v/>
      </c>
      <c r="H30">
        <f>RAND()</f>
        <v/>
      </c>
      <c r="I30">
        <f>RAND()</f>
        <v/>
      </c>
      <c r="J30">
        <f>RAND()</f>
        <v/>
      </c>
      <c r="K30">
        <f>RAND()</f>
        <v/>
      </c>
      <c r="L30">
        <f>RAND()</f>
        <v/>
      </c>
      <c r="M30">
        <f>IF(K30&lt;BagShare,EXP(NORMSINV(L30)*StowSigma+StowMu),StowNoBag)</f>
        <v/>
      </c>
      <c r="N30">
        <f>IF(INDEX($AG$4:$AG$63,E30)&lt;GroupShare,1,0)</f>
        <v/>
      </c>
      <c r="P30">
        <f>IF(G30=1,IF(I30&gt;Compliance,J30,$H30),2)</f>
        <v/>
      </c>
      <c r="Q30">
        <f>IF(G30=0,2,IF(N30=0,P30,1-SUMPRODUCT(MAX(($E$4:$E$183=E30)*($G$4:$G$183=1)*(1-P$4:P$183)))+0.000000001*D30))</f>
        <v/>
      </c>
      <c r="R30">
        <f>IF(G30=0,999,SUMPRODUCT((Q$4:Q$183&lt;Q30)*($G$4:$G$183=1))+SUMPRODUCT((Q$4:Q$183=Q30)*($G$4:$G$183=1)*($A$4:$A$183&lt;A30))+1)</f>
        <v/>
      </c>
      <c r="T30">
        <f>IF(G30=1,IF(I30&gt;Compliance,J30,(INT((30-$B30)/(30/Zones))+$H30)/Zones),2)</f>
        <v/>
      </c>
      <c r="U30">
        <f>IF(G30=0,2,IF(N30=0,T30,1-SUMPRODUCT(MAX(($E$4:$E$183=E30)*($G$4:$G$183=1)*(1-T$4:T$183)))+0.000000001*D30))</f>
        <v/>
      </c>
      <c r="V30">
        <f>IF(G30=0,999,SUMPRODUCT((U$4:U$183&lt;U30)*($G$4:$G$183=1))+SUMPRODUCT((U$4:U$183=U30)*($G$4:$G$183=1)*($A$4:$A$183&lt;A30))+1)</f>
        <v/>
      </c>
      <c r="X30">
        <f>IF(G30=1,IF(I30&gt;Compliance,J30,(($D30-1)+$H30)/3),2)</f>
        <v/>
      </c>
      <c r="Y30">
        <f>IF(G30=0,2,IF(N30=0,X30,1-SUMPRODUCT(MAX(($E$4:$E$183=E30)*($G$4:$G$183=1)*(1-X$4:X$183)))+0.000000001*D30))</f>
        <v/>
      </c>
      <c r="Z30">
        <f>IF(G30=0,999,SUMPRODUCT((Y$4:Y$183&lt;Y30)*($G$4:$G$183=1))+SUMPRODUCT((Y$4:Y$183=Y30)*($G$4:$G$183=1)*($A$4:$A$183&lt;A30))+1)</f>
        <v/>
      </c>
      <c r="AB30">
        <f>IF(G30=1,IF(I30&gt;Compliance,J30,((($D30-1)*4+($C30-1)*2+MOD($B30,2))+(30-$B30)/30)/12),2)</f>
        <v/>
      </c>
      <c r="AC30">
        <f>IF(G30=0,2,IF(N30=0,AB30,1-SUMPRODUCT(MAX(($E$4:$E$183=E30)*($G$4:$G$183=1)*(1-AB$4:AB$183)))+0.000000001*D30))</f>
        <v/>
      </c>
      <c r="AD30">
        <f>IF(G30=0,999,SUMPRODUCT((AC$4:AC$183&lt;AC30)*($G$4:$G$183=1))+SUMPRODUCT((AC$4:AC$183=AC30)*($G$4:$G$183=1)*($A$4:$A$183&lt;A30))+1)</f>
        <v/>
      </c>
      <c r="AF30" t="n">
        <v>27</v>
      </c>
      <c r="AG30">
        <f>RAND()</f>
        <v/>
      </c>
      <c r="AI30" t="n">
        <v>27</v>
      </c>
      <c r="AJ30">
        <f>IF(27&gt;Passengers,"",MATCH(27,R$4:R$183,0))</f>
        <v/>
      </c>
      <c r="AK30">
        <f>IF(AJ30="","",INDEX($B$4:$B$183,AJ30))</f>
        <v/>
      </c>
      <c r="AL30">
        <f>IF(AJ30="","",INDEX($C$4:$C$183,AJ30))</f>
        <v/>
      </c>
      <c r="AM30">
        <f>IF(AJ30="","",INDEX($D$4:$D$183,AJ30))</f>
        <v/>
      </c>
      <c r="AN30">
        <f>IF(AJ30="","",COUNTIFS($B$4:$B$183,AK30,$C$4:$C$183,AL30,$D$4:$D$183,"&gt;"&amp;AM30,R$4:R$183,"&lt;"&amp;27,$G$4:$G$183,1))</f>
        <v/>
      </c>
      <c r="AO30">
        <f>IF(AJ30="","",INDEX($M$4:$M$183,AJ30)+IF(AN30=1,Shuffle1,IF(AN30&gt;=2,Shuffle2,0)))</f>
        <v/>
      </c>
      <c r="AP30">
        <f>IF(AJ30="","",MAX(DoorGap*26,SUMPRODUCT(MAX((AK$4:AK29&lt;=AK30)*AQ$4:AQ29)),SUMPRODUCT(MAX((AK$4:AK29&gt;AK30)*AP$4:AP29))+Headway))</f>
        <v/>
      </c>
      <c r="AQ30">
        <f>IF(AJ30="","",AP30+AO30)</f>
        <v/>
      </c>
      <c r="AR30">
        <f>IF(AJ30="","",AQ30+AK30*WalkSec)</f>
        <v/>
      </c>
      <c r="AS30" t="n">
        <v>27</v>
      </c>
      <c r="AT30">
        <f>IF(27&gt;Passengers,"",MATCH(27,V$4:V$183,0))</f>
        <v/>
      </c>
      <c r="AU30">
        <f>IF(AT30="","",INDEX($B$4:$B$183,AT30))</f>
        <v/>
      </c>
      <c r="AV30">
        <f>IF(AT30="","",INDEX($C$4:$C$183,AT30))</f>
        <v/>
      </c>
      <c r="AW30">
        <f>IF(AT30="","",INDEX($D$4:$D$183,AT30))</f>
        <v/>
      </c>
      <c r="AX30">
        <f>IF(AT30="","",COUNTIFS($B$4:$B$183,AU30,$C$4:$C$183,AV30,$D$4:$D$183,"&gt;"&amp;AW30,V$4:V$183,"&lt;"&amp;27,$G$4:$G$183,1))</f>
        <v/>
      </c>
      <c r="AY30">
        <f>IF(AT30="","",INDEX($M$4:$M$183,AT30)+IF(AX30=1,Shuffle1,IF(AX30&gt;=2,Shuffle2,0)))</f>
        <v/>
      </c>
      <c r="AZ30">
        <f>IF(AT30="","",MAX(DoorGap*26,SUMPRODUCT(MAX((AU$4:AU29&lt;=AU30)*BA$4:BA29)),SUMPRODUCT(MAX((AU$4:AU29&gt;AU30)*AZ$4:AZ29))+Headway))</f>
        <v/>
      </c>
      <c r="BA30">
        <f>IF(AT30="","",AZ30+AY30)</f>
        <v/>
      </c>
      <c r="BB30">
        <f>IF(AT30="","",BA30+AU30*WalkSec)</f>
        <v/>
      </c>
      <c r="BC30" t="n">
        <v>27</v>
      </c>
      <c r="BD30">
        <f>IF(27&gt;Passengers,"",MATCH(27,Z$4:Z$183,0))</f>
        <v/>
      </c>
      <c r="BE30">
        <f>IF(BD30="","",INDEX($B$4:$B$183,BD30))</f>
        <v/>
      </c>
      <c r="BF30">
        <f>IF(BD30="","",INDEX($C$4:$C$183,BD30))</f>
        <v/>
      </c>
      <c r="BG30">
        <f>IF(BD30="","",INDEX($D$4:$D$183,BD30))</f>
        <v/>
      </c>
      <c r="BH30">
        <f>IF(BD30="","",COUNTIFS($B$4:$B$183,BE30,$C$4:$C$183,BF30,$D$4:$D$183,"&gt;"&amp;BG30,Z$4:Z$183,"&lt;"&amp;27,$G$4:$G$183,1))</f>
        <v/>
      </c>
      <c r="BI30">
        <f>IF(BD30="","",INDEX($M$4:$M$183,BD30)+IF(BH30=1,Shuffle1,IF(BH30&gt;=2,Shuffle2,0)))</f>
        <v/>
      </c>
      <c r="BJ30">
        <f>IF(BD30="","",MAX(DoorGap*26,SUMPRODUCT(MAX((BE$4:BE29&lt;=BE30)*BK$4:BK29)),SUMPRODUCT(MAX((BE$4:BE29&gt;BE30)*BJ$4:BJ29))+Headway))</f>
        <v/>
      </c>
      <c r="BK30">
        <f>IF(BD30="","",BJ30+BI30)</f>
        <v/>
      </c>
      <c r="BL30">
        <f>IF(BD30="","",BK30+BE30*WalkSec)</f>
        <v/>
      </c>
      <c r="BM30" t="n">
        <v>27</v>
      </c>
      <c r="BN30">
        <f>IF(27&gt;Passengers,"",MATCH(27,AD$4:AD$183,0))</f>
        <v/>
      </c>
      <c r="BO30">
        <f>IF(BN30="","",INDEX($B$4:$B$183,BN30))</f>
        <v/>
      </c>
      <c r="BP30">
        <f>IF(BN30="","",INDEX($C$4:$C$183,BN30))</f>
        <v/>
      </c>
      <c r="BQ30">
        <f>IF(BN30="","",INDEX($D$4:$D$183,BN30))</f>
        <v/>
      </c>
      <c r="BR30">
        <f>IF(BN30="","",COUNTIFS($B$4:$B$183,BO30,$C$4:$C$183,BP30,$D$4:$D$183,"&gt;"&amp;BQ30,AD$4:AD$183,"&lt;"&amp;27,$G$4:$G$183,1))</f>
        <v/>
      </c>
      <c r="BS30">
        <f>IF(BN30="","",INDEX($M$4:$M$183,BN30)+IF(BR30=1,Shuffle1,IF(BR30&gt;=2,Shuffle2,0)))</f>
        <v/>
      </c>
      <c r="BT30">
        <f>IF(BN30="","",MAX(DoorGap*26,SUMPRODUCT(MAX((BO$4:BO29&lt;=BO30)*BU$4:BU29)),SUMPRODUCT(MAX((BO$4:BO29&gt;BO30)*BT$4:BT29))+Headway))</f>
        <v/>
      </c>
      <c r="BU30">
        <f>IF(BN30="","",BT30+BS30)</f>
        <v/>
      </c>
      <c r="BV30">
        <f>IF(BN30="","",BU30+BO30*WalkSec)</f>
        <v/>
      </c>
      <c r="BW30">
        <f>IF($G30=0,"",INDEX(AR$4:AR$183,R30))</f>
        <v/>
      </c>
      <c r="BX30">
        <f>IF($G30=0,"",INDEX(BB$4:BB$183,V30))</f>
        <v/>
      </c>
      <c r="BY30">
        <f>IF($G30=0,"",INDEX(BL$4:BL$183,Z30))</f>
        <v/>
      </c>
      <c r="BZ30">
        <f>IF($G30=0,"",INDEX(BV$4:BV$183,AD30))</f>
        <v/>
      </c>
    </row>
    <row r="31">
      <c r="A31" t="n">
        <v>28</v>
      </c>
      <c r="B31" t="n">
        <v>5</v>
      </c>
      <c r="C31" t="n">
        <v>2</v>
      </c>
      <c r="D31" t="n">
        <v>1</v>
      </c>
      <c r="E31" t="n">
        <v>10</v>
      </c>
      <c r="F31">
        <f>RAND()</f>
        <v/>
      </c>
      <c r="G31">
        <f>IF(SUMPRODUCT(($F$4:$F$183&lt;F31)*1)+SUMPRODUCT(($F$4:$F$183=F31)*($A$4:$A$183&lt;A31))&lt;Passengers,1,0)</f>
        <v/>
      </c>
      <c r="H31">
        <f>RAND()</f>
        <v/>
      </c>
      <c r="I31">
        <f>RAND()</f>
        <v/>
      </c>
      <c r="J31">
        <f>RAND()</f>
        <v/>
      </c>
      <c r="K31">
        <f>RAND()</f>
        <v/>
      </c>
      <c r="L31">
        <f>RAND()</f>
        <v/>
      </c>
      <c r="M31">
        <f>IF(K31&lt;BagShare,EXP(NORMSINV(L31)*StowSigma+StowMu),StowNoBag)</f>
        <v/>
      </c>
      <c r="N31">
        <f>IF(INDEX($AG$4:$AG$63,E31)&lt;GroupShare,1,0)</f>
        <v/>
      </c>
      <c r="P31">
        <f>IF(G31=1,IF(I31&gt;Compliance,J31,$H31),2)</f>
        <v/>
      </c>
      <c r="Q31">
        <f>IF(G31=0,2,IF(N31=0,P31,1-SUMPRODUCT(MAX(($E$4:$E$183=E31)*($G$4:$G$183=1)*(1-P$4:P$183)))+0.000000001*D31))</f>
        <v/>
      </c>
      <c r="R31">
        <f>IF(G31=0,999,SUMPRODUCT((Q$4:Q$183&lt;Q31)*($G$4:$G$183=1))+SUMPRODUCT((Q$4:Q$183=Q31)*($G$4:$G$183=1)*($A$4:$A$183&lt;A31))+1)</f>
        <v/>
      </c>
      <c r="T31">
        <f>IF(G31=1,IF(I31&gt;Compliance,J31,(INT((30-$B31)/(30/Zones))+$H31)/Zones),2)</f>
        <v/>
      </c>
      <c r="U31">
        <f>IF(G31=0,2,IF(N31=0,T31,1-SUMPRODUCT(MAX(($E$4:$E$183=E31)*($G$4:$G$183=1)*(1-T$4:T$183)))+0.000000001*D31))</f>
        <v/>
      </c>
      <c r="V31">
        <f>IF(G31=0,999,SUMPRODUCT((U$4:U$183&lt;U31)*($G$4:$G$183=1))+SUMPRODUCT((U$4:U$183=U31)*($G$4:$G$183=1)*($A$4:$A$183&lt;A31))+1)</f>
        <v/>
      </c>
      <c r="X31">
        <f>IF(G31=1,IF(I31&gt;Compliance,J31,(($D31-1)+$H31)/3),2)</f>
        <v/>
      </c>
      <c r="Y31">
        <f>IF(G31=0,2,IF(N31=0,X31,1-SUMPRODUCT(MAX(($E$4:$E$183=E31)*($G$4:$G$183=1)*(1-X$4:X$183)))+0.000000001*D31))</f>
        <v/>
      </c>
      <c r="Z31">
        <f>IF(G31=0,999,SUMPRODUCT((Y$4:Y$183&lt;Y31)*($G$4:$G$183=1))+SUMPRODUCT((Y$4:Y$183=Y31)*($G$4:$G$183=1)*($A$4:$A$183&lt;A31))+1)</f>
        <v/>
      </c>
      <c r="AB31">
        <f>IF(G31=1,IF(I31&gt;Compliance,J31,((($D31-1)*4+($C31-1)*2+MOD($B31,2))+(30-$B31)/30)/12),2)</f>
        <v/>
      </c>
      <c r="AC31">
        <f>IF(G31=0,2,IF(N31=0,AB31,1-SUMPRODUCT(MAX(($E$4:$E$183=E31)*($G$4:$G$183=1)*(1-AB$4:AB$183)))+0.000000001*D31))</f>
        <v/>
      </c>
      <c r="AD31">
        <f>IF(G31=0,999,SUMPRODUCT((AC$4:AC$183&lt;AC31)*($G$4:$G$183=1))+SUMPRODUCT((AC$4:AC$183=AC31)*($G$4:$G$183=1)*($A$4:$A$183&lt;A31))+1)</f>
        <v/>
      </c>
      <c r="AF31" t="n">
        <v>28</v>
      </c>
      <c r="AG31">
        <f>RAND()</f>
        <v/>
      </c>
      <c r="AI31" t="n">
        <v>28</v>
      </c>
      <c r="AJ31">
        <f>IF(28&gt;Passengers,"",MATCH(28,R$4:R$183,0))</f>
        <v/>
      </c>
      <c r="AK31">
        <f>IF(AJ31="","",INDEX($B$4:$B$183,AJ31))</f>
        <v/>
      </c>
      <c r="AL31">
        <f>IF(AJ31="","",INDEX($C$4:$C$183,AJ31))</f>
        <v/>
      </c>
      <c r="AM31">
        <f>IF(AJ31="","",INDEX($D$4:$D$183,AJ31))</f>
        <v/>
      </c>
      <c r="AN31">
        <f>IF(AJ31="","",COUNTIFS($B$4:$B$183,AK31,$C$4:$C$183,AL31,$D$4:$D$183,"&gt;"&amp;AM31,R$4:R$183,"&lt;"&amp;28,$G$4:$G$183,1))</f>
        <v/>
      </c>
      <c r="AO31">
        <f>IF(AJ31="","",INDEX($M$4:$M$183,AJ31)+IF(AN31=1,Shuffle1,IF(AN31&gt;=2,Shuffle2,0)))</f>
        <v/>
      </c>
      <c r="AP31">
        <f>IF(AJ31="","",MAX(DoorGap*27,SUMPRODUCT(MAX((AK$4:AK30&lt;=AK31)*AQ$4:AQ30)),SUMPRODUCT(MAX((AK$4:AK30&gt;AK31)*AP$4:AP30))+Headway))</f>
        <v/>
      </c>
      <c r="AQ31">
        <f>IF(AJ31="","",AP31+AO31)</f>
        <v/>
      </c>
      <c r="AR31">
        <f>IF(AJ31="","",AQ31+AK31*WalkSec)</f>
        <v/>
      </c>
      <c r="AS31" t="n">
        <v>28</v>
      </c>
      <c r="AT31">
        <f>IF(28&gt;Passengers,"",MATCH(28,V$4:V$183,0))</f>
        <v/>
      </c>
      <c r="AU31">
        <f>IF(AT31="","",INDEX($B$4:$B$183,AT31))</f>
        <v/>
      </c>
      <c r="AV31">
        <f>IF(AT31="","",INDEX($C$4:$C$183,AT31))</f>
        <v/>
      </c>
      <c r="AW31">
        <f>IF(AT31="","",INDEX($D$4:$D$183,AT31))</f>
        <v/>
      </c>
      <c r="AX31">
        <f>IF(AT31="","",COUNTIFS($B$4:$B$183,AU31,$C$4:$C$183,AV31,$D$4:$D$183,"&gt;"&amp;AW31,V$4:V$183,"&lt;"&amp;28,$G$4:$G$183,1))</f>
        <v/>
      </c>
      <c r="AY31">
        <f>IF(AT31="","",INDEX($M$4:$M$183,AT31)+IF(AX31=1,Shuffle1,IF(AX31&gt;=2,Shuffle2,0)))</f>
        <v/>
      </c>
      <c r="AZ31">
        <f>IF(AT31="","",MAX(DoorGap*27,SUMPRODUCT(MAX((AU$4:AU30&lt;=AU31)*BA$4:BA30)),SUMPRODUCT(MAX((AU$4:AU30&gt;AU31)*AZ$4:AZ30))+Headway))</f>
        <v/>
      </c>
      <c r="BA31">
        <f>IF(AT31="","",AZ31+AY31)</f>
        <v/>
      </c>
      <c r="BB31">
        <f>IF(AT31="","",BA31+AU31*WalkSec)</f>
        <v/>
      </c>
      <c r="BC31" t="n">
        <v>28</v>
      </c>
      <c r="BD31">
        <f>IF(28&gt;Passengers,"",MATCH(28,Z$4:Z$183,0))</f>
        <v/>
      </c>
      <c r="BE31">
        <f>IF(BD31="","",INDEX($B$4:$B$183,BD31))</f>
        <v/>
      </c>
      <c r="BF31">
        <f>IF(BD31="","",INDEX($C$4:$C$183,BD31))</f>
        <v/>
      </c>
      <c r="BG31">
        <f>IF(BD31="","",INDEX($D$4:$D$183,BD31))</f>
        <v/>
      </c>
      <c r="BH31">
        <f>IF(BD31="","",COUNTIFS($B$4:$B$183,BE31,$C$4:$C$183,BF31,$D$4:$D$183,"&gt;"&amp;BG31,Z$4:Z$183,"&lt;"&amp;28,$G$4:$G$183,1))</f>
        <v/>
      </c>
      <c r="BI31">
        <f>IF(BD31="","",INDEX($M$4:$M$183,BD31)+IF(BH31=1,Shuffle1,IF(BH31&gt;=2,Shuffle2,0)))</f>
        <v/>
      </c>
      <c r="BJ31">
        <f>IF(BD31="","",MAX(DoorGap*27,SUMPRODUCT(MAX((BE$4:BE30&lt;=BE31)*BK$4:BK30)),SUMPRODUCT(MAX((BE$4:BE30&gt;BE31)*BJ$4:BJ30))+Headway))</f>
        <v/>
      </c>
      <c r="BK31">
        <f>IF(BD31="","",BJ31+BI31)</f>
        <v/>
      </c>
      <c r="BL31">
        <f>IF(BD31="","",BK31+BE31*WalkSec)</f>
        <v/>
      </c>
      <c r="BM31" t="n">
        <v>28</v>
      </c>
      <c r="BN31">
        <f>IF(28&gt;Passengers,"",MATCH(28,AD$4:AD$183,0))</f>
        <v/>
      </c>
      <c r="BO31">
        <f>IF(BN31="","",INDEX($B$4:$B$183,BN31))</f>
        <v/>
      </c>
      <c r="BP31">
        <f>IF(BN31="","",INDEX($C$4:$C$183,BN31))</f>
        <v/>
      </c>
      <c r="BQ31">
        <f>IF(BN31="","",INDEX($D$4:$D$183,BN31))</f>
        <v/>
      </c>
      <c r="BR31">
        <f>IF(BN31="","",COUNTIFS($B$4:$B$183,BO31,$C$4:$C$183,BP31,$D$4:$D$183,"&gt;"&amp;BQ31,AD$4:AD$183,"&lt;"&amp;28,$G$4:$G$183,1))</f>
        <v/>
      </c>
      <c r="BS31">
        <f>IF(BN31="","",INDEX($M$4:$M$183,BN31)+IF(BR31=1,Shuffle1,IF(BR31&gt;=2,Shuffle2,0)))</f>
        <v/>
      </c>
      <c r="BT31">
        <f>IF(BN31="","",MAX(DoorGap*27,SUMPRODUCT(MAX((BO$4:BO30&lt;=BO31)*BU$4:BU30)),SUMPRODUCT(MAX((BO$4:BO30&gt;BO31)*BT$4:BT30))+Headway))</f>
        <v/>
      </c>
      <c r="BU31">
        <f>IF(BN31="","",BT31+BS31)</f>
        <v/>
      </c>
      <c r="BV31">
        <f>IF(BN31="","",BU31+BO31*WalkSec)</f>
        <v/>
      </c>
      <c r="BW31">
        <f>IF($G31=0,"",INDEX(AR$4:AR$183,R31))</f>
        <v/>
      </c>
      <c r="BX31">
        <f>IF($G31=0,"",INDEX(BB$4:BB$183,V31))</f>
        <v/>
      </c>
      <c r="BY31">
        <f>IF($G31=0,"",INDEX(BL$4:BL$183,Z31))</f>
        <v/>
      </c>
      <c r="BZ31">
        <f>IF($G31=0,"",INDEX(BV$4:BV$183,AD31))</f>
        <v/>
      </c>
    </row>
    <row r="32">
      <c r="A32" t="n">
        <v>29</v>
      </c>
      <c r="B32" t="n">
        <v>5</v>
      </c>
      <c r="C32" t="n">
        <v>2</v>
      </c>
      <c r="D32" t="n">
        <v>2</v>
      </c>
      <c r="E32" t="n">
        <v>10</v>
      </c>
      <c r="F32">
        <f>RAND()</f>
        <v/>
      </c>
      <c r="G32">
        <f>IF(SUMPRODUCT(($F$4:$F$183&lt;F32)*1)+SUMPRODUCT(($F$4:$F$183=F32)*($A$4:$A$183&lt;A32))&lt;Passengers,1,0)</f>
        <v/>
      </c>
      <c r="H32">
        <f>RAND()</f>
        <v/>
      </c>
      <c r="I32">
        <f>RAND()</f>
        <v/>
      </c>
      <c r="J32">
        <f>RAND()</f>
        <v/>
      </c>
      <c r="K32">
        <f>RAND()</f>
        <v/>
      </c>
      <c r="L32">
        <f>RAND()</f>
        <v/>
      </c>
      <c r="M32">
        <f>IF(K32&lt;BagShare,EXP(NORMSINV(L32)*StowSigma+StowMu),StowNoBag)</f>
        <v/>
      </c>
      <c r="N32">
        <f>IF(INDEX($AG$4:$AG$63,E32)&lt;GroupShare,1,0)</f>
        <v/>
      </c>
      <c r="P32">
        <f>IF(G32=1,IF(I32&gt;Compliance,J32,$H32),2)</f>
        <v/>
      </c>
      <c r="Q32">
        <f>IF(G32=0,2,IF(N32=0,P32,1-SUMPRODUCT(MAX(($E$4:$E$183=E32)*($G$4:$G$183=1)*(1-P$4:P$183)))+0.000000001*D32))</f>
        <v/>
      </c>
      <c r="R32">
        <f>IF(G32=0,999,SUMPRODUCT((Q$4:Q$183&lt;Q32)*($G$4:$G$183=1))+SUMPRODUCT((Q$4:Q$183=Q32)*($G$4:$G$183=1)*($A$4:$A$183&lt;A32))+1)</f>
        <v/>
      </c>
      <c r="T32">
        <f>IF(G32=1,IF(I32&gt;Compliance,J32,(INT((30-$B32)/(30/Zones))+$H32)/Zones),2)</f>
        <v/>
      </c>
      <c r="U32">
        <f>IF(G32=0,2,IF(N32=0,T32,1-SUMPRODUCT(MAX(($E$4:$E$183=E32)*($G$4:$G$183=1)*(1-T$4:T$183)))+0.000000001*D32))</f>
        <v/>
      </c>
      <c r="V32">
        <f>IF(G32=0,999,SUMPRODUCT((U$4:U$183&lt;U32)*($G$4:$G$183=1))+SUMPRODUCT((U$4:U$183=U32)*($G$4:$G$183=1)*($A$4:$A$183&lt;A32))+1)</f>
        <v/>
      </c>
      <c r="X32">
        <f>IF(G32=1,IF(I32&gt;Compliance,J32,(($D32-1)+$H32)/3),2)</f>
        <v/>
      </c>
      <c r="Y32">
        <f>IF(G32=0,2,IF(N32=0,X32,1-SUMPRODUCT(MAX(($E$4:$E$183=E32)*($G$4:$G$183=1)*(1-X$4:X$183)))+0.000000001*D32))</f>
        <v/>
      </c>
      <c r="Z32">
        <f>IF(G32=0,999,SUMPRODUCT((Y$4:Y$183&lt;Y32)*($G$4:$G$183=1))+SUMPRODUCT((Y$4:Y$183=Y32)*($G$4:$G$183=1)*($A$4:$A$183&lt;A32))+1)</f>
        <v/>
      </c>
      <c r="AB32">
        <f>IF(G32=1,IF(I32&gt;Compliance,J32,((($D32-1)*4+($C32-1)*2+MOD($B32,2))+(30-$B32)/30)/12),2)</f>
        <v/>
      </c>
      <c r="AC32">
        <f>IF(G32=0,2,IF(N32=0,AB32,1-SUMPRODUCT(MAX(($E$4:$E$183=E32)*($G$4:$G$183=1)*(1-AB$4:AB$183)))+0.000000001*D32))</f>
        <v/>
      </c>
      <c r="AD32">
        <f>IF(G32=0,999,SUMPRODUCT((AC$4:AC$183&lt;AC32)*($G$4:$G$183=1))+SUMPRODUCT((AC$4:AC$183=AC32)*($G$4:$G$183=1)*($A$4:$A$183&lt;A32))+1)</f>
        <v/>
      </c>
      <c r="AF32" t="n">
        <v>29</v>
      </c>
      <c r="AG32">
        <f>RAND()</f>
        <v/>
      </c>
      <c r="AI32" t="n">
        <v>29</v>
      </c>
      <c r="AJ32">
        <f>IF(29&gt;Passengers,"",MATCH(29,R$4:R$183,0))</f>
        <v/>
      </c>
      <c r="AK32">
        <f>IF(AJ32="","",INDEX($B$4:$B$183,AJ32))</f>
        <v/>
      </c>
      <c r="AL32">
        <f>IF(AJ32="","",INDEX($C$4:$C$183,AJ32))</f>
        <v/>
      </c>
      <c r="AM32">
        <f>IF(AJ32="","",INDEX($D$4:$D$183,AJ32))</f>
        <v/>
      </c>
      <c r="AN32">
        <f>IF(AJ32="","",COUNTIFS($B$4:$B$183,AK32,$C$4:$C$183,AL32,$D$4:$D$183,"&gt;"&amp;AM32,R$4:R$183,"&lt;"&amp;29,$G$4:$G$183,1))</f>
        <v/>
      </c>
      <c r="AO32">
        <f>IF(AJ32="","",INDEX($M$4:$M$183,AJ32)+IF(AN32=1,Shuffle1,IF(AN32&gt;=2,Shuffle2,0)))</f>
        <v/>
      </c>
      <c r="AP32">
        <f>IF(AJ32="","",MAX(DoorGap*28,SUMPRODUCT(MAX((AK$4:AK31&lt;=AK32)*AQ$4:AQ31)),SUMPRODUCT(MAX((AK$4:AK31&gt;AK32)*AP$4:AP31))+Headway))</f>
        <v/>
      </c>
      <c r="AQ32">
        <f>IF(AJ32="","",AP32+AO32)</f>
        <v/>
      </c>
      <c r="AR32">
        <f>IF(AJ32="","",AQ32+AK32*WalkSec)</f>
        <v/>
      </c>
      <c r="AS32" t="n">
        <v>29</v>
      </c>
      <c r="AT32">
        <f>IF(29&gt;Passengers,"",MATCH(29,V$4:V$183,0))</f>
        <v/>
      </c>
      <c r="AU32">
        <f>IF(AT32="","",INDEX($B$4:$B$183,AT32))</f>
        <v/>
      </c>
      <c r="AV32">
        <f>IF(AT32="","",INDEX($C$4:$C$183,AT32))</f>
        <v/>
      </c>
      <c r="AW32">
        <f>IF(AT32="","",INDEX($D$4:$D$183,AT32))</f>
        <v/>
      </c>
      <c r="AX32">
        <f>IF(AT32="","",COUNTIFS($B$4:$B$183,AU32,$C$4:$C$183,AV32,$D$4:$D$183,"&gt;"&amp;AW32,V$4:V$183,"&lt;"&amp;29,$G$4:$G$183,1))</f>
        <v/>
      </c>
      <c r="AY32">
        <f>IF(AT32="","",INDEX($M$4:$M$183,AT32)+IF(AX32=1,Shuffle1,IF(AX32&gt;=2,Shuffle2,0)))</f>
        <v/>
      </c>
      <c r="AZ32">
        <f>IF(AT32="","",MAX(DoorGap*28,SUMPRODUCT(MAX((AU$4:AU31&lt;=AU32)*BA$4:BA31)),SUMPRODUCT(MAX((AU$4:AU31&gt;AU32)*AZ$4:AZ31))+Headway))</f>
        <v/>
      </c>
      <c r="BA32">
        <f>IF(AT32="","",AZ32+AY32)</f>
        <v/>
      </c>
      <c r="BB32">
        <f>IF(AT32="","",BA32+AU32*WalkSec)</f>
        <v/>
      </c>
      <c r="BC32" t="n">
        <v>29</v>
      </c>
      <c r="BD32">
        <f>IF(29&gt;Passengers,"",MATCH(29,Z$4:Z$183,0))</f>
        <v/>
      </c>
      <c r="BE32">
        <f>IF(BD32="","",INDEX($B$4:$B$183,BD32))</f>
        <v/>
      </c>
      <c r="BF32">
        <f>IF(BD32="","",INDEX($C$4:$C$183,BD32))</f>
        <v/>
      </c>
      <c r="BG32">
        <f>IF(BD32="","",INDEX($D$4:$D$183,BD32))</f>
        <v/>
      </c>
      <c r="BH32">
        <f>IF(BD32="","",COUNTIFS($B$4:$B$183,BE32,$C$4:$C$183,BF32,$D$4:$D$183,"&gt;"&amp;BG32,Z$4:Z$183,"&lt;"&amp;29,$G$4:$G$183,1))</f>
        <v/>
      </c>
      <c r="BI32">
        <f>IF(BD32="","",INDEX($M$4:$M$183,BD32)+IF(BH32=1,Shuffle1,IF(BH32&gt;=2,Shuffle2,0)))</f>
        <v/>
      </c>
      <c r="BJ32">
        <f>IF(BD32="","",MAX(DoorGap*28,SUMPRODUCT(MAX((BE$4:BE31&lt;=BE32)*BK$4:BK31)),SUMPRODUCT(MAX((BE$4:BE31&gt;BE32)*BJ$4:BJ31))+Headway))</f>
        <v/>
      </c>
      <c r="BK32">
        <f>IF(BD32="","",BJ32+BI32)</f>
        <v/>
      </c>
      <c r="BL32">
        <f>IF(BD32="","",BK32+BE32*WalkSec)</f>
        <v/>
      </c>
      <c r="BM32" t="n">
        <v>29</v>
      </c>
      <c r="BN32">
        <f>IF(29&gt;Passengers,"",MATCH(29,AD$4:AD$183,0))</f>
        <v/>
      </c>
      <c r="BO32">
        <f>IF(BN32="","",INDEX($B$4:$B$183,BN32))</f>
        <v/>
      </c>
      <c r="BP32">
        <f>IF(BN32="","",INDEX($C$4:$C$183,BN32))</f>
        <v/>
      </c>
      <c r="BQ32">
        <f>IF(BN32="","",INDEX($D$4:$D$183,BN32))</f>
        <v/>
      </c>
      <c r="BR32">
        <f>IF(BN32="","",COUNTIFS($B$4:$B$183,BO32,$C$4:$C$183,BP32,$D$4:$D$183,"&gt;"&amp;BQ32,AD$4:AD$183,"&lt;"&amp;29,$G$4:$G$183,1))</f>
        <v/>
      </c>
      <c r="BS32">
        <f>IF(BN32="","",INDEX($M$4:$M$183,BN32)+IF(BR32=1,Shuffle1,IF(BR32&gt;=2,Shuffle2,0)))</f>
        <v/>
      </c>
      <c r="BT32">
        <f>IF(BN32="","",MAX(DoorGap*28,SUMPRODUCT(MAX((BO$4:BO31&lt;=BO32)*BU$4:BU31)),SUMPRODUCT(MAX((BO$4:BO31&gt;BO32)*BT$4:BT31))+Headway))</f>
        <v/>
      </c>
      <c r="BU32">
        <f>IF(BN32="","",BT32+BS32)</f>
        <v/>
      </c>
      <c r="BV32">
        <f>IF(BN32="","",BU32+BO32*WalkSec)</f>
        <v/>
      </c>
      <c r="BW32">
        <f>IF($G32=0,"",INDEX(AR$4:AR$183,R32))</f>
        <v/>
      </c>
      <c r="BX32">
        <f>IF($G32=0,"",INDEX(BB$4:BB$183,V32))</f>
        <v/>
      </c>
      <c r="BY32">
        <f>IF($G32=0,"",INDEX(BL$4:BL$183,Z32))</f>
        <v/>
      </c>
      <c r="BZ32">
        <f>IF($G32=0,"",INDEX(BV$4:BV$183,AD32))</f>
        <v/>
      </c>
    </row>
    <row r="33">
      <c r="A33" t="n">
        <v>30</v>
      </c>
      <c r="B33" t="n">
        <v>5</v>
      </c>
      <c r="C33" t="n">
        <v>2</v>
      </c>
      <c r="D33" t="n">
        <v>3</v>
      </c>
      <c r="E33" t="n">
        <v>10</v>
      </c>
      <c r="F33">
        <f>RAND()</f>
        <v/>
      </c>
      <c r="G33">
        <f>IF(SUMPRODUCT(($F$4:$F$183&lt;F33)*1)+SUMPRODUCT(($F$4:$F$183=F33)*($A$4:$A$183&lt;A33))&lt;Passengers,1,0)</f>
        <v/>
      </c>
      <c r="H33">
        <f>RAND()</f>
        <v/>
      </c>
      <c r="I33">
        <f>RAND()</f>
        <v/>
      </c>
      <c r="J33">
        <f>RAND()</f>
        <v/>
      </c>
      <c r="K33">
        <f>RAND()</f>
        <v/>
      </c>
      <c r="L33">
        <f>RAND()</f>
        <v/>
      </c>
      <c r="M33">
        <f>IF(K33&lt;BagShare,EXP(NORMSINV(L33)*StowSigma+StowMu),StowNoBag)</f>
        <v/>
      </c>
      <c r="N33">
        <f>IF(INDEX($AG$4:$AG$63,E33)&lt;GroupShare,1,0)</f>
        <v/>
      </c>
      <c r="P33">
        <f>IF(G33=1,IF(I33&gt;Compliance,J33,$H33),2)</f>
        <v/>
      </c>
      <c r="Q33">
        <f>IF(G33=0,2,IF(N33=0,P33,1-SUMPRODUCT(MAX(($E$4:$E$183=E33)*($G$4:$G$183=1)*(1-P$4:P$183)))+0.000000001*D33))</f>
        <v/>
      </c>
      <c r="R33">
        <f>IF(G33=0,999,SUMPRODUCT((Q$4:Q$183&lt;Q33)*($G$4:$G$183=1))+SUMPRODUCT((Q$4:Q$183=Q33)*($G$4:$G$183=1)*($A$4:$A$183&lt;A33))+1)</f>
        <v/>
      </c>
      <c r="T33">
        <f>IF(G33=1,IF(I33&gt;Compliance,J33,(INT((30-$B33)/(30/Zones))+$H33)/Zones),2)</f>
        <v/>
      </c>
      <c r="U33">
        <f>IF(G33=0,2,IF(N33=0,T33,1-SUMPRODUCT(MAX(($E$4:$E$183=E33)*($G$4:$G$183=1)*(1-T$4:T$183)))+0.000000001*D33))</f>
        <v/>
      </c>
      <c r="V33">
        <f>IF(G33=0,999,SUMPRODUCT((U$4:U$183&lt;U33)*($G$4:$G$183=1))+SUMPRODUCT((U$4:U$183=U33)*($G$4:$G$183=1)*($A$4:$A$183&lt;A33))+1)</f>
        <v/>
      </c>
      <c r="X33">
        <f>IF(G33=1,IF(I33&gt;Compliance,J33,(($D33-1)+$H33)/3),2)</f>
        <v/>
      </c>
      <c r="Y33">
        <f>IF(G33=0,2,IF(N33=0,X33,1-SUMPRODUCT(MAX(($E$4:$E$183=E33)*($G$4:$G$183=1)*(1-X$4:X$183)))+0.000000001*D33))</f>
        <v/>
      </c>
      <c r="Z33">
        <f>IF(G33=0,999,SUMPRODUCT((Y$4:Y$183&lt;Y33)*($G$4:$G$183=1))+SUMPRODUCT((Y$4:Y$183=Y33)*($G$4:$G$183=1)*($A$4:$A$183&lt;A33))+1)</f>
        <v/>
      </c>
      <c r="AB33">
        <f>IF(G33=1,IF(I33&gt;Compliance,J33,((($D33-1)*4+($C33-1)*2+MOD($B33,2))+(30-$B33)/30)/12),2)</f>
        <v/>
      </c>
      <c r="AC33">
        <f>IF(G33=0,2,IF(N33=0,AB33,1-SUMPRODUCT(MAX(($E$4:$E$183=E33)*($G$4:$G$183=1)*(1-AB$4:AB$183)))+0.000000001*D33))</f>
        <v/>
      </c>
      <c r="AD33">
        <f>IF(G33=0,999,SUMPRODUCT((AC$4:AC$183&lt;AC33)*($G$4:$G$183=1))+SUMPRODUCT((AC$4:AC$183=AC33)*($G$4:$G$183=1)*($A$4:$A$183&lt;A33))+1)</f>
        <v/>
      </c>
      <c r="AF33" t="n">
        <v>30</v>
      </c>
      <c r="AG33">
        <f>RAND()</f>
        <v/>
      </c>
      <c r="AI33" t="n">
        <v>30</v>
      </c>
      <c r="AJ33">
        <f>IF(30&gt;Passengers,"",MATCH(30,R$4:R$183,0))</f>
        <v/>
      </c>
      <c r="AK33">
        <f>IF(AJ33="","",INDEX($B$4:$B$183,AJ33))</f>
        <v/>
      </c>
      <c r="AL33">
        <f>IF(AJ33="","",INDEX($C$4:$C$183,AJ33))</f>
        <v/>
      </c>
      <c r="AM33">
        <f>IF(AJ33="","",INDEX($D$4:$D$183,AJ33))</f>
        <v/>
      </c>
      <c r="AN33">
        <f>IF(AJ33="","",COUNTIFS($B$4:$B$183,AK33,$C$4:$C$183,AL33,$D$4:$D$183,"&gt;"&amp;AM33,R$4:R$183,"&lt;"&amp;30,$G$4:$G$183,1))</f>
        <v/>
      </c>
      <c r="AO33">
        <f>IF(AJ33="","",INDEX($M$4:$M$183,AJ33)+IF(AN33=1,Shuffle1,IF(AN33&gt;=2,Shuffle2,0)))</f>
        <v/>
      </c>
      <c r="AP33">
        <f>IF(AJ33="","",MAX(DoorGap*29,SUMPRODUCT(MAX((AK$4:AK32&lt;=AK33)*AQ$4:AQ32)),SUMPRODUCT(MAX((AK$4:AK32&gt;AK33)*AP$4:AP32))+Headway))</f>
        <v/>
      </c>
      <c r="AQ33">
        <f>IF(AJ33="","",AP33+AO33)</f>
        <v/>
      </c>
      <c r="AR33">
        <f>IF(AJ33="","",AQ33+AK33*WalkSec)</f>
        <v/>
      </c>
      <c r="AS33" t="n">
        <v>30</v>
      </c>
      <c r="AT33">
        <f>IF(30&gt;Passengers,"",MATCH(30,V$4:V$183,0))</f>
        <v/>
      </c>
      <c r="AU33">
        <f>IF(AT33="","",INDEX($B$4:$B$183,AT33))</f>
        <v/>
      </c>
      <c r="AV33">
        <f>IF(AT33="","",INDEX($C$4:$C$183,AT33))</f>
        <v/>
      </c>
      <c r="AW33">
        <f>IF(AT33="","",INDEX($D$4:$D$183,AT33))</f>
        <v/>
      </c>
      <c r="AX33">
        <f>IF(AT33="","",COUNTIFS($B$4:$B$183,AU33,$C$4:$C$183,AV33,$D$4:$D$183,"&gt;"&amp;AW33,V$4:V$183,"&lt;"&amp;30,$G$4:$G$183,1))</f>
        <v/>
      </c>
      <c r="AY33">
        <f>IF(AT33="","",INDEX($M$4:$M$183,AT33)+IF(AX33=1,Shuffle1,IF(AX33&gt;=2,Shuffle2,0)))</f>
        <v/>
      </c>
      <c r="AZ33">
        <f>IF(AT33="","",MAX(DoorGap*29,SUMPRODUCT(MAX((AU$4:AU32&lt;=AU33)*BA$4:BA32)),SUMPRODUCT(MAX((AU$4:AU32&gt;AU33)*AZ$4:AZ32))+Headway))</f>
        <v/>
      </c>
      <c r="BA33">
        <f>IF(AT33="","",AZ33+AY33)</f>
        <v/>
      </c>
      <c r="BB33">
        <f>IF(AT33="","",BA33+AU33*WalkSec)</f>
        <v/>
      </c>
      <c r="BC33" t="n">
        <v>30</v>
      </c>
      <c r="BD33">
        <f>IF(30&gt;Passengers,"",MATCH(30,Z$4:Z$183,0))</f>
        <v/>
      </c>
      <c r="BE33">
        <f>IF(BD33="","",INDEX($B$4:$B$183,BD33))</f>
        <v/>
      </c>
      <c r="BF33">
        <f>IF(BD33="","",INDEX($C$4:$C$183,BD33))</f>
        <v/>
      </c>
      <c r="BG33">
        <f>IF(BD33="","",INDEX($D$4:$D$183,BD33))</f>
        <v/>
      </c>
      <c r="BH33">
        <f>IF(BD33="","",COUNTIFS($B$4:$B$183,BE33,$C$4:$C$183,BF33,$D$4:$D$183,"&gt;"&amp;BG33,Z$4:Z$183,"&lt;"&amp;30,$G$4:$G$183,1))</f>
        <v/>
      </c>
      <c r="BI33">
        <f>IF(BD33="","",INDEX($M$4:$M$183,BD33)+IF(BH33=1,Shuffle1,IF(BH33&gt;=2,Shuffle2,0)))</f>
        <v/>
      </c>
      <c r="BJ33">
        <f>IF(BD33="","",MAX(DoorGap*29,SUMPRODUCT(MAX((BE$4:BE32&lt;=BE33)*BK$4:BK32)),SUMPRODUCT(MAX((BE$4:BE32&gt;BE33)*BJ$4:BJ32))+Headway))</f>
        <v/>
      </c>
      <c r="BK33">
        <f>IF(BD33="","",BJ33+BI33)</f>
        <v/>
      </c>
      <c r="BL33">
        <f>IF(BD33="","",BK33+BE33*WalkSec)</f>
        <v/>
      </c>
      <c r="BM33" t="n">
        <v>30</v>
      </c>
      <c r="BN33">
        <f>IF(30&gt;Passengers,"",MATCH(30,AD$4:AD$183,0))</f>
        <v/>
      </c>
      <c r="BO33">
        <f>IF(BN33="","",INDEX($B$4:$B$183,BN33))</f>
        <v/>
      </c>
      <c r="BP33">
        <f>IF(BN33="","",INDEX($C$4:$C$183,BN33))</f>
        <v/>
      </c>
      <c r="BQ33">
        <f>IF(BN33="","",INDEX($D$4:$D$183,BN33))</f>
        <v/>
      </c>
      <c r="BR33">
        <f>IF(BN33="","",COUNTIFS($B$4:$B$183,BO33,$C$4:$C$183,BP33,$D$4:$D$183,"&gt;"&amp;BQ33,AD$4:AD$183,"&lt;"&amp;30,$G$4:$G$183,1))</f>
        <v/>
      </c>
      <c r="BS33">
        <f>IF(BN33="","",INDEX($M$4:$M$183,BN33)+IF(BR33=1,Shuffle1,IF(BR33&gt;=2,Shuffle2,0)))</f>
        <v/>
      </c>
      <c r="BT33">
        <f>IF(BN33="","",MAX(DoorGap*29,SUMPRODUCT(MAX((BO$4:BO32&lt;=BO33)*BU$4:BU32)),SUMPRODUCT(MAX((BO$4:BO32&gt;BO33)*BT$4:BT32))+Headway))</f>
        <v/>
      </c>
      <c r="BU33">
        <f>IF(BN33="","",BT33+BS33)</f>
        <v/>
      </c>
      <c r="BV33">
        <f>IF(BN33="","",BU33+BO33*WalkSec)</f>
        <v/>
      </c>
      <c r="BW33">
        <f>IF($G33=0,"",INDEX(AR$4:AR$183,R33))</f>
        <v/>
      </c>
      <c r="BX33">
        <f>IF($G33=0,"",INDEX(BB$4:BB$183,V33))</f>
        <v/>
      </c>
      <c r="BY33">
        <f>IF($G33=0,"",INDEX(BL$4:BL$183,Z33))</f>
        <v/>
      </c>
      <c r="BZ33">
        <f>IF($G33=0,"",INDEX(BV$4:BV$183,AD33))</f>
        <v/>
      </c>
    </row>
    <row r="34">
      <c r="A34" t="n">
        <v>31</v>
      </c>
      <c r="B34" t="n">
        <v>6</v>
      </c>
      <c r="C34" t="n">
        <v>1</v>
      </c>
      <c r="D34" t="n">
        <v>1</v>
      </c>
      <c r="E34" t="n">
        <v>11</v>
      </c>
      <c r="F34">
        <f>RAND()</f>
        <v/>
      </c>
      <c r="G34">
        <f>IF(SUMPRODUCT(($F$4:$F$183&lt;F34)*1)+SUMPRODUCT(($F$4:$F$183=F34)*($A$4:$A$183&lt;A34))&lt;Passengers,1,0)</f>
        <v/>
      </c>
      <c r="H34">
        <f>RAND()</f>
        <v/>
      </c>
      <c r="I34">
        <f>RAND()</f>
        <v/>
      </c>
      <c r="J34">
        <f>RAND()</f>
        <v/>
      </c>
      <c r="K34">
        <f>RAND()</f>
        <v/>
      </c>
      <c r="L34">
        <f>RAND()</f>
        <v/>
      </c>
      <c r="M34">
        <f>IF(K34&lt;BagShare,EXP(NORMSINV(L34)*StowSigma+StowMu),StowNoBag)</f>
        <v/>
      </c>
      <c r="N34">
        <f>IF(INDEX($AG$4:$AG$63,E34)&lt;GroupShare,1,0)</f>
        <v/>
      </c>
      <c r="P34">
        <f>IF(G34=1,IF(I34&gt;Compliance,J34,$H34),2)</f>
        <v/>
      </c>
      <c r="Q34">
        <f>IF(G34=0,2,IF(N34=0,P34,1-SUMPRODUCT(MAX(($E$4:$E$183=E34)*($G$4:$G$183=1)*(1-P$4:P$183)))+0.000000001*D34))</f>
        <v/>
      </c>
      <c r="R34">
        <f>IF(G34=0,999,SUMPRODUCT((Q$4:Q$183&lt;Q34)*($G$4:$G$183=1))+SUMPRODUCT((Q$4:Q$183=Q34)*($G$4:$G$183=1)*($A$4:$A$183&lt;A34))+1)</f>
        <v/>
      </c>
      <c r="T34">
        <f>IF(G34=1,IF(I34&gt;Compliance,J34,(INT((30-$B34)/(30/Zones))+$H34)/Zones),2)</f>
        <v/>
      </c>
      <c r="U34">
        <f>IF(G34=0,2,IF(N34=0,T34,1-SUMPRODUCT(MAX(($E$4:$E$183=E34)*($G$4:$G$183=1)*(1-T$4:T$183)))+0.000000001*D34))</f>
        <v/>
      </c>
      <c r="V34">
        <f>IF(G34=0,999,SUMPRODUCT((U$4:U$183&lt;U34)*($G$4:$G$183=1))+SUMPRODUCT((U$4:U$183=U34)*($G$4:$G$183=1)*($A$4:$A$183&lt;A34))+1)</f>
        <v/>
      </c>
      <c r="X34">
        <f>IF(G34=1,IF(I34&gt;Compliance,J34,(($D34-1)+$H34)/3),2)</f>
        <v/>
      </c>
      <c r="Y34">
        <f>IF(G34=0,2,IF(N34=0,X34,1-SUMPRODUCT(MAX(($E$4:$E$183=E34)*($G$4:$G$183=1)*(1-X$4:X$183)))+0.000000001*D34))</f>
        <v/>
      </c>
      <c r="Z34">
        <f>IF(G34=0,999,SUMPRODUCT((Y$4:Y$183&lt;Y34)*($G$4:$G$183=1))+SUMPRODUCT((Y$4:Y$183=Y34)*($G$4:$G$183=1)*($A$4:$A$183&lt;A34))+1)</f>
        <v/>
      </c>
      <c r="AB34">
        <f>IF(G34=1,IF(I34&gt;Compliance,J34,((($D34-1)*4+($C34-1)*2+MOD($B34,2))+(30-$B34)/30)/12),2)</f>
        <v/>
      </c>
      <c r="AC34">
        <f>IF(G34=0,2,IF(N34=0,AB34,1-SUMPRODUCT(MAX(($E$4:$E$183=E34)*($G$4:$G$183=1)*(1-AB$4:AB$183)))+0.000000001*D34))</f>
        <v/>
      </c>
      <c r="AD34">
        <f>IF(G34=0,999,SUMPRODUCT((AC$4:AC$183&lt;AC34)*($G$4:$G$183=1))+SUMPRODUCT((AC$4:AC$183=AC34)*($G$4:$G$183=1)*($A$4:$A$183&lt;A34))+1)</f>
        <v/>
      </c>
      <c r="AF34" t="n">
        <v>31</v>
      </c>
      <c r="AG34">
        <f>RAND()</f>
        <v/>
      </c>
      <c r="AI34" t="n">
        <v>31</v>
      </c>
      <c r="AJ34">
        <f>IF(31&gt;Passengers,"",MATCH(31,R$4:R$183,0))</f>
        <v/>
      </c>
      <c r="AK34">
        <f>IF(AJ34="","",INDEX($B$4:$B$183,AJ34))</f>
        <v/>
      </c>
      <c r="AL34">
        <f>IF(AJ34="","",INDEX($C$4:$C$183,AJ34))</f>
        <v/>
      </c>
      <c r="AM34">
        <f>IF(AJ34="","",INDEX($D$4:$D$183,AJ34))</f>
        <v/>
      </c>
      <c r="AN34">
        <f>IF(AJ34="","",COUNTIFS($B$4:$B$183,AK34,$C$4:$C$183,AL34,$D$4:$D$183,"&gt;"&amp;AM34,R$4:R$183,"&lt;"&amp;31,$G$4:$G$183,1))</f>
        <v/>
      </c>
      <c r="AO34">
        <f>IF(AJ34="","",INDEX($M$4:$M$183,AJ34)+IF(AN34=1,Shuffle1,IF(AN34&gt;=2,Shuffle2,0)))</f>
        <v/>
      </c>
      <c r="AP34">
        <f>IF(AJ34="","",MAX(DoorGap*30,SUMPRODUCT(MAX((AK$4:AK33&lt;=AK34)*AQ$4:AQ33)),SUMPRODUCT(MAX((AK$4:AK33&gt;AK34)*AP$4:AP33))+Headway))</f>
        <v/>
      </c>
      <c r="AQ34">
        <f>IF(AJ34="","",AP34+AO34)</f>
        <v/>
      </c>
      <c r="AR34">
        <f>IF(AJ34="","",AQ34+AK34*WalkSec)</f>
        <v/>
      </c>
      <c r="AS34" t="n">
        <v>31</v>
      </c>
      <c r="AT34">
        <f>IF(31&gt;Passengers,"",MATCH(31,V$4:V$183,0))</f>
        <v/>
      </c>
      <c r="AU34">
        <f>IF(AT34="","",INDEX($B$4:$B$183,AT34))</f>
        <v/>
      </c>
      <c r="AV34">
        <f>IF(AT34="","",INDEX($C$4:$C$183,AT34))</f>
        <v/>
      </c>
      <c r="AW34">
        <f>IF(AT34="","",INDEX($D$4:$D$183,AT34))</f>
        <v/>
      </c>
      <c r="AX34">
        <f>IF(AT34="","",COUNTIFS($B$4:$B$183,AU34,$C$4:$C$183,AV34,$D$4:$D$183,"&gt;"&amp;AW34,V$4:V$183,"&lt;"&amp;31,$G$4:$G$183,1))</f>
        <v/>
      </c>
      <c r="AY34">
        <f>IF(AT34="","",INDEX($M$4:$M$183,AT34)+IF(AX34=1,Shuffle1,IF(AX34&gt;=2,Shuffle2,0)))</f>
        <v/>
      </c>
      <c r="AZ34">
        <f>IF(AT34="","",MAX(DoorGap*30,SUMPRODUCT(MAX((AU$4:AU33&lt;=AU34)*BA$4:BA33)),SUMPRODUCT(MAX((AU$4:AU33&gt;AU34)*AZ$4:AZ33))+Headway))</f>
        <v/>
      </c>
      <c r="BA34">
        <f>IF(AT34="","",AZ34+AY34)</f>
        <v/>
      </c>
      <c r="BB34">
        <f>IF(AT34="","",BA34+AU34*WalkSec)</f>
        <v/>
      </c>
      <c r="BC34" t="n">
        <v>31</v>
      </c>
      <c r="BD34">
        <f>IF(31&gt;Passengers,"",MATCH(31,Z$4:Z$183,0))</f>
        <v/>
      </c>
      <c r="BE34">
        <f>IF(BD34="","",INDEX($B$4:$B$183,BD34))</f>
        <v/>
      </c>
      <c r="BF34">
        <f>IF(BD34="","",INDEX($C$4:$C$183,BD34))</f>
        <v/>
      </c>
      <c r="BG34">
        <f>IF(BD34="","",INDEX($D$4:$D$183,BD34))</f>
        <v/>
      </c>
      <c r="BH34">
        <f>IF(BD34="","",COUNTIFS($B$4:$B$183,BE34,$C$4:$C$183,BF34,$D$4:$D$183,"&gt;"&amp;BG34,Z$4:Z$183,"&lt;"&amp;31,$G$4:$G$183,1))</f>
        <v/>
      </c>
      <c r="BI34">
        <f>IF(BD34="","",INDEX($M$4:$M$183,BD34)+IF(BH34=1,Shuffle1,IF(BH34&gt;=2,Shuffle2,0)))</f>
        <v/>
      </c>
      <c r="BJ34">
        <f>IF(BD34="","",MAX(DoorGap*30,SUMPRODUCT(MAX((BE$4:BE33&lt;=BE34)*BK$4:BK33)),SUMPRODUCT(MAX((BE$4:BE33&gt;BE34)*BJ$4:BJ33))+Headway))</f>
        <v/>
      </c>
      <c r="BK34">
        <f>IF(BD34="","",BJ34+BI34)</f>
        <v/>
      </c>
      <c r="BL34">
        <f>IF(BD34="","",BK34+BE34*WalkSec)</f>
        <v/>
      </c>
      <c r="BM34" t="n">
        <v>31</v>
      </c>
      <c r="BN34">
        <f>IF(31&gt;Passengers,"",MATCH(31,AD$4:AD$183,0))</f>
        <v/>
      </c>
      <c r="BO34">
        <f>IF(BN34="","",INDEX($B$4:$B$183,BN34))</f>
        <v/>
      </c>
      <c r="BP34">
        <f>IF(BN34="","",INDEX($C$4:$C$183,BN34))</f>
        <v/>
      </c>
      <c r="BQ34">
        <f>IF(BN34="","",INDEX($D$4:$D$183,BN34))</f>
        <v/>
      </c>
      <c r="BR34">
        <f>IF(BN34="","",COUNTIFS($B$4:$B$183,BO34,$C$4:$C$183,BP34,$D$4:$D$183,"&gt;"&amp;BQ34,AD$4:AD$183,"&lt;"&amp;31,$G$4:$G$183,1))</f>
        <v/>
      </c>
      <c r="BS34">
        <f>IF(BN34="","",INDEX($M$4:$M$183,BN34)+IF(BR34=1,Shuffle1,IF(BR34&gt;=2,Shuffle2,0)))</f>
        <v/>
      </c>
      <c r="BT34">
        <f>IF(BN34="","",MAX(DoorGap*30,SUMPRODUCT(MAX((BO$4:BO33&lt;=BO34)*BU$4:BU33)),SUMPRODUCT(MAX((BO$4:BO33&gt;BO34)*BT$4:BT33))+Headway))</f>
        <v/>
      </c>
      <c r="BU34">
        <f>IF(BN34="","",BT34+BS34)</f>
        <v/>
      </c>
      <c r="BV34">
        <f>IF(BN34="","",BU34+BO34*WalkSec)</f>
        <v/>
      </c>
      <c r="BW34">
        <f>IF($G34=0,"",INDEX(AR$4:AR$183,R34))</f>
        <v/>
      </c>
      <c r="BX34">
        <f>IF($G34=0,"",INDEX(BB$4:BB$183,V34))</f>
        <v/>
      </c>
      <c r="BY34">
        <f>IF($G34=0,"",INDEX(BL$4:BL$183,Z34))</f>
        <v/>
      </c>
      <c r="BZ34">
        <f>IF($G34=0,"",INDEX(BV$4:BV$183,AD34))</f>
        <v/>
      </c>
    </row>
    <row r="35">
      <c r="A35" t="n">
        <v>32</v>
      </c>
      <c r="B35" t="n">
        <v>6</v>
      </c>
      <c r="C35" t="n">
        <v>1</v>
      </c>
      <c r="D35" t="n">
        <v>2</v>
      </c>
      <c r="E35" t="n">
        <v>11</v>
      </c>
      <c r="F35">
        <f>RAND()</f>
        <v/>
      </c>
      <c r="G35">
        <f>IF(SUMPRODUCT(($F$4:$F$183&lt;F35)*1)+SUMPRODUCT(($F$4:$F$183=F35)*($A$4:$A$183&lt;A35))&lt;Passengers,1,0)</f>
        <v/>
      </c>
      <c r="H35">
        <f>RAND()</f>
        <v/>
      </c>
      <c r="I35">
        <f>RAND()</f>
        <v/>
      </c>
      <c r="J35">
        <f>RAND()</f>
        <v/>
      </c>
      <c r="K35">
        <f>RAND()</f>
        <v/>
      </c>
      <c r="L35">
        <f>RAND()</f>
        <v/>
      </c>
      <c r="M35">
        <f>IF(K35&lt;BagShare,EXP(NORMSINV(L35)*StowSigma+StowMu),StowNoBag)</f>
        <v/>
      </c>
      <c r="N35">
        <f>IF(INDEX($AG$4:$AG$63,E35)&lt;GroupShare,1,0)</f>
        <v/>
      </c>
      <c r="P35">
        <f>IF(G35=1,IF(I35&gt;Compliance,J35,$H35),2)</f>
        <v/>
      </c>
      <c r="Q35">
        <f>IF(G35=0,2,IF(N35=0,P35,1-SUMPRODUCT(MAX(($E$4:$E$183=E35)*($G$4:$G$183=1)*(1-P$4:P$183)))+0.000000001*D35))</f>
        <v/>
      </c>
      <c r="R35">
        <f>IF(G35=0,999,SUMPRODUCT((Q$4:Q$183&lt;Q35)*($G$4:$G$183=1))+SUMPRODUCT((Q$4:Q$183=Q35)*($G$4:$G$183=1)*($A$4:$A$183&lt;A35))+1)</f>
        <v/>
      </c>
      <c r="T35">
        <f>IF(G35=1,IF(I35&gt;Compliance,J35,(INT((30-$B35)/(30/Zones))+$H35)/Zones),2)</f>
        <v/>
      </c>
      <c r="U35">
        <f>IF(G35=0,2,IF(N35=0,T35,1-SUMPRODUCT(MAX(($E$4:$E$183=E35)*($G$4:$G$183=1)*(1-T$4:T$183)))+0.000000001*D35))</f>
        <v/>
      </c>
      <c r="V35">
        <f>IF(G35=0,999,SUMPRODUCT((U$4:U$183&lt;U35)*($G$4:$G$183=1))+SUMPRODUCT((U$4:U$183=U35)*($G$4:$G$183=1)*($A$4:$A$183&lt;A35))+1)</f>
        <v/>
      </c>
      <c r="X35">
        <f>IF(G35=1,IF(I35&gt;Compliance,J35,(($D35-1)+$H35)/3),2)</f>
        <v/>
      </c>
      <c r="Y35">
        <f>IF(G35=0,2,IF(N35=0,X35,1-SUMPRODUCT(MAX(($E$4:$E$183=E35)*($G$4:$G$183=1)*(1-X$4:X$183)))+0.000000001*D35))</f>
        <v/>
      </c>
      <c r="Z35">
        <f>IF(G35=0,999,SUMPRODUCT((Y$4:Y$183&lt;Y35)*($G$4:$G$183=1))+SUMPRODUCT((Y$4:Y$183=Y35)*($G$4:$G$183=1)*($A$4:$A$183&lt;A35))+1)</f>
        <v/>
      </c>
      <c r="AB35">
        <f>IF(G35=1,IF(I35&gt;Compliance,J35,((($D35-1)*4+($C35-1)*2+MOD($B35,2))+(30-$B35)/30)/12),2)</f>
        <v/>
      </c>
      <c r="AC35">
        <f>IF(G35=0,2,IF(N35=0,AB35,1-SUMPRODUCT(MAX(($E$4:$E$183=E35)*($G$4:$G$183=1)*(1-AB$4:AB$183)))+0.000000001*D35))</f>
        <v/>
      </c>
      <c r="AD35">
        <f>IF(G35=0,999,SUMPRODUCT((AC$4:AC$183&lt;AC35)*($G$4:$G$183=1))+SUMPRODUCT((AC$4:AC$183=AC35)*($G$4:$G$183=1)*($A$4:$A$183&lt;A35))+1)</f>
        <v/>
      </c>
      <c r="AF35" t="n">
        <v>32</v>
      </c>
      <c r="AG35">
        <f>RAND()</f>
        <v/>
      </c>
      <c r="AI35" t="n">
        <v>32</v>
      </c>
      <c r="AJ35">
        <f>IF(32&gt;Passengers,"",MATCH(32,R$4:R$183,0))</f>
        <v/>
      </c>
      <c r="AK35">
        <f>IF(AJ35="","",INDEX($B$4:$B$183,AJ35))</f>
        <v/>
      </c>
      <c r="AL35">
        <f>IF(AJ35="","",INDEX($C$4:$C$183,AJ35))</f>
        <v/>
      </c>
      <c r="AM35">
        <f>IF(AJ35="","",INDEX($D$4:$D$183,AJ35))</f>
        <v/>
      </c>
      <c r="AN35">
        <f>IF(AJ35="","",COUNTIFS($B$4:$B$183,AK35,$C$4:$C$183,AL35,$D$4:$D$183,"&gt;"&amp;AM35,R$4:R$183,"&lt;"&amp;32,$G$4:$G$183,1))</f>
        <v/>
      </c>
      <c r="AO35">
        <f>IF(AJ35="","",INDEX($M$4:$M$183,AJ35)+IF(AN35=1,Shuffle1,IF(AN35&gt;=2,Shuffle2,0)))</f>
        <v/>
      </c>
      <c r="AP35">
        <f>IF(AJ35="","",MAX(DoorGap*31,SUMPRODUCT(MAX((AK$4:AK34&lt;=AK35)*AQ$4:AQ34)),SUMPRODUCT(MAX((AK$4:AK34&gt;AK35)*AP$4:AP34))+Headway))</f>
        <v/>
      </c>
      <c r="AQ35">
        <f>IF(AJ35="","",AP35+AO35)</f>
        <v/>
      </c>
      <c r="AR35">
        <f>IF(AJ35="","",AQ35+AK35*WalkSec)</f>
        <v/>
      </c>
      <c r="AS35" t="n">
        <v>32</v>
      </c>
      <c r="AT35">
        <f>IF(32&gt;Passengers,"",MATCH(32,V$4:V$183,0))</f>
        <v/>
      </c>
      <c r="AU35">
        <f>IF(AT35="","",INDEX($B$4:$B$183,AT35))</f>
        <v/>
      </c>
      <c r="AV35">
        <f>IF(AT35="","",INDEX($C$4:$C$183,AT35))</f>
        <v/>
      </c>
      <c r="AW35">
        <f>IF(AT35="","",INDEX($D$4:$D$183,AT35))</f>
        <v/>
      </c>
      <c r="AX35">
        <f>IF(AT35="","",COUNTIFS($B$4:$B$183,AU35,$C$4:$C$183,AV35,$D$4:$D$183,"&gt;"&amp;AW35,V$4:V$183,"&lt;"&amp;32,$G$4:$G$183,1))</f>
        <v/>
      </c>
      <c r="AY35">
        <f>IF(AT35="","",INDEX($M$4:$M$183,AT35)+IF(AX35=1,Shuffle1,IF(AX35&gt;=2,Shuffle2,0)))</f>
        <v/>
      </c>
      <c r="AZ35">
        <f>IF(AT35="","",MAX(DoorGap*31,SUMPRODUCT(MAX((AU$4:AU34&lt;=AU35)*BA$4:BA34)),SUMPRODUCT(MAX((AU$4:AU34&gt;AU35)*AZ$4:AZ34))+Headway))</f>
        <v/>
      </c>
      <c r="BA35">
        <f>IF(AT35="","",AZ35+AY35)</f>
        <v/>
      </c>
      <c r="BB35">
        <f>IF(AT35="","",BA35+AU35*WalkSec)</f>
        <v/>
      </c>
      <c r="BC35" t="n">
        <v>32</v>
      </c>
      <c r="BD35">
        <f>IF(32&gt;Passengers,"",MATCH(32,Z$4:Z$183,0))</f>
        <v/>
      </c>
      <c r="BE35">
        <f>IF(BD35="","",INDEX($B$4:$B$183,BD35))</f>
        <v/>
      </c>
      <c r="BF35">
        <f>IF(BD35="","",INDEX($C$4:$C$183,BD35))</f>
        <v/>
      </c>
      <c r="BG35">
        <f>IF(BD35="","",INDEX($D$4:$D$183,BD35))</f>
        <v/>
      </c>
      <c r="BH35">
        <f>IF(BD35="","",COUNTIFS($B$4:$B$183,BE35,$C$4:$C$183,BF35,$D$4:$D$183,"&gt;"&amp;BG35,Z$4:Z$183,"&lt;"&amp;32,$G$4:$G$183,1))</f>
        <v/>
      </c>
      <c r="BI35">
        <f>IF(BD35="","",INDEX($M$4:$M$183,BD35)+IF(BH35=1,Shuffle1,IF(BH35&gt;=2,Shuffle2,0)))</f>
        <v/>
      </c>
      <c r="BJ35">
        <f>IF(BD35="","",MAX(DoorGap*31,SUMPRODUCT(MAX((BE$4:BE34&lt;=BE35)*BK$4:BK34)),SUMPRODUCT(MAX((BE$4:BE34&gt;BE35)*BJ$4:BJ34))+Headway))</f>
        <v/>
      </c>
      <c r="BK35">
        <f>IF(BD35="","",BJ35+BI35)</f>
        <v/>
      </c>
      <c r="BL35">
        <f>IF(BD35="","",BK35+BE35*WalkSec)</f>
        <v/>
      </c>
      <c r="BM35" t="n">
        <v>32</v>
      </c>
      <c r="BN35">
        <f>IF(32&gt;Passengers,"",MATCH(32,AD$4:AD$183,0))</f>
        <v/>
      </c>
      <c r="BO35">
        <f>IF(BN35="","",INDEX($B$4:$B$183,BN35))</f>
        <v/>
      </c>
      <c r="BP35">
        <f>IF(BN35="","",INDEX($C$4:$C$183,BN35))</f>
        <v/>
      </c>
      <c r="BQ35">
        <f>IF(BN35="","",INDEX($D$4:$D$183,BN35))</f>
        <v/>
      </c>
      <c r="BR35">
        <f>IF(BN35="","",COUNTIFS($B$4:$B$183,BO35,$C$4:$C$183,BP35,$D$4:$D$183,"&gt;"&amp;BQ35,AD$4:AD$183,"&lt;"&amp;32,$G$4:$G$183,1))</f>
        <v/>
      </c>
      <c r="BS35">
        <f>IF(BN35="","",INDEX($M$4:$M$183,BN35)+IF(BR35=1,Shuffle1,IF(BR35&gt;=2,Shuffle2,0)))</f>
        <v/>
      </c>
      <c r="BT35">
        <f>IF(BN35="","",MAX(DoorGap*31,SUMPRODUCT(MAX((BO$4:BO34&lt;=BO35)*BU$4:BU34)),SUMPRODUCT(MAX((BO$4:BO34&gt;BO35)*BT$4:BT34))+Headway))</f>
        <v/>
      </c>
      <c r="BU35">
        <f>IF(BN35="","",BT35+BS35)</f>
        <v/>
      </c>
      <c r="BV35">
        <f>IF(BN35="","",BU35+BO35*WalkSec)</f>
        <v/>
      </c>
      <c r="BW35">
        <f>IF($G35=0,"",INDEX(AR$4:AR$183,R35))</f>
        <v/>
      </c>
      <c r="BX35">
        <f>IF($G35=0,"",INDEX(BB$4:BB$183,V35))</f>
        <v/>
      </c>
      <c r="BY35">
        <f>IF($G35=0,"",INDEX(BL$4:BL$183,Z35))</f>
        <v/>
      </c>
      <c r="BZ35">
        <f>IF($G35=0,"",INDEX(BV$4:BV$183,AD35))</f>
        <v/>
      </c>
    </row>
    <row r="36">
      <c r="A36" t="n">
        <v>33</v>
      </c>
      <c r="B36" t="n">
        <v>6</v>
      </c>
      <c r="C36" t="n">
        <v>1</v>
      </c>
      <c r="D36" t="n">
        <v>3</v>
      </c>
      <c r="E36" t="n">
        <v>11</v>
      </c>
      <c r="F36">
        <f>RAND()</f>
        <v/>
      </c>
      <c r="G36">
        <f>IF(SUMPRODUCT(($F$4:$F$183&lt;F36)*1)+SUMPRODUCT(($F$4:$F$183=F36)*($A$4:$A$183&lt;A36))&lt;Passengers,1,0)</f>
        <v/>
      </c>
      <c r="H36">
        <f>RAND()</f>
        <v/>
      </c>
      <c r="I36">
        <f>RAND()</f>
        <v/>
      </c>
      <c r="J36">
        <f>RAND()</f>
        <v/>
      </c>
      <c r="K36">
        <f>RAND()</f>
        <v/>
      </c>
      <c r="L36">
        <f>RAND()</f>
        <v/>
      </c>
      <c r="M36">
        <f>IF(K36&lt;BagShare,EXP(NORMSINV(L36)*StowSigma+StowMu),StowNoBag)</f>
        <v/>
      </c>
      <c r="N36">
        <f>IF(INDEX($AG$4:$AG$63,E36)&lt;GroupShare,1,0)</f>
        <v/>
      </c>
      <c r="P36">
        <f>IF(G36=1,IF(I36&gt;Compliance,J36,$H36),2)</f>
        <v/>
      </c>
      <c r="Q36">
        <f>IF(G36=0,2,IF(N36=0,P36,1-SUMPRODUCT(MAX(($E$4:$E$183=E36)*($G$4:$G$183=1)*(1-P$4:P$183)))+0.000000001*D36))</f>
        <v/>
      </c>
      <c r="R36">
        <f>IF(G36=0,999,SUMPRODUCT((Q$4:Q$183&lt;Q36)*($G$4:$G$183=1))+SUMPRODUCT((Q$4:Q$183=Q36)*($G$4:$G$183=1)*($A$4:$A$183&lt;A36))+1)</f>
        <v/>
      </c>
      <c r="T36">
        <f>IF(G36=1,IF(I36&gt;Compliance,J36,(INT((30-$B36)/(30/Zones))+$H36)/Zones),2)</f>
        <v/>
      </c>
      <c r="U36">
        <f>IF(G36=0,2,IF(N36=0,T36,1-SUMPRODUCT(MAX(($E$4:$E$183=E36)*($G$4:$G$183=1)*(1-T$4:T$183)))+0.000000001*D36))</f>
        <v/>
      </c>
      <c r="V36">
        <f>IF(G36=0,999,SUMPRODUCT((U$4:U$183&lt;U36)*($G$4:$G$183=1))+SUMPRODUCT((U$4:U$183=U36)*($G$4:$G$183=1)*($A$4:$A$183&lt;A36))+1)</f>
        <v/>
      </c>
      <c r="X36">
        <f>IF(G36=1,IF(I36&gt;Compliance,J36,(($D36-1)+$H36)/3),2)</f>
        <v/>
      </c>
      <c r="Y36">
        <f>IF(G36=0,2,IF(N36=0,X36,1-SUMPRODUCT(MAX(($E$4:$E$183=E36)*($G$4:$G$183=1)*(1-X$4:X$183)))+0.000000001*D36))</f>
        <v/>
      </c>
      <c r="Z36">
        <f>IF(G36=0,999,SUMPRODUCT((Y$4:Y$183&lt;Y36)*($G$4:$G$183=1))+SUMPRODUCT((Y$4:Y$183=Y36)*($G$4:$G$183=1)*($A$4:$A$183&lt;A36))+1)</f>
        <v/>
      </c>
      <c r="AB36">
        <f>IF(G36=1,IF(I36&gt;Compliance,J36,((($D36-1)*4+($C36-1)*2+MOD($B36,2))+(30-$B36)/30)/12),2)</f>
        <v/>
      </c>
      <c r="AC36">
        <f>IF(G36=0,2,IF(N36=0,AB36,1-SUMPRODUCT(MAX(($E$4:$E$183=E36)*($G$4:$G$183=1)*(1-AB$4:AB$183)))+0.000000001*D36))</f>
        <v/>
      </c>
      <c r="AD36">
        <f>IF(G36=0,999,SUMPRODUCT((AC$4:AC$183&lt;AC36)*($G$4:$G$183=1))+SUMPRODUCT((AC$4:AC$183=AC36)*($G$4:$G$183=1)*($A$4:$A$183&lt;A36))+1)</f>
        <v/>
      </c>
      <c r="AF36" t="n">
        <v>33</v>
      </c>
      <c r="AG36">
        <f>RAND()</f>
        <v/>
      </c>
      <c r="AI36" t="n">
        <v>33</v>
      </c>
      <c r="AJ36">
        <f>IF(33&gt;Passengers,"",MATCH(33,R$4:R$183,0))</f>
        <v/>
      </c>
      <c r="AK36">
        <f>IF(AJ36="","",INDEX($B$4:$B$183,AJ36))</f>
        <v/>
      </c>
      <c r="AL36">
        <f>IF(AJ36="","",INDEX($C$4:$C$183,AJ36))</f>
        <v/>
      </c>
      <c r="AM36">
        <f>IF(AJ36="","",INDEX($D$4:$D$183,AJ36))</f>
        <v/>
      </c>
      <c r="AN36">
        <f>IF(AJ36="","",COUNTIFS($B$4:$B$183,AK36,$C$4:$C$183,AL36,$D$4:$D$183,"&gt;"&amp;AM36,R$4:R$183,"&lt;"&amp;33,$G$4:$G$183,1))</f>
        <v/>
      </c>
      <c r="AO36">
        <f>IF(AJ36="","",INDEX($M$4:$M$183,AJ36)+IF(AN36=1,Shuffle1,IF(AN36&gt;=2,Shuffle2,0)))</f>
        <v/>
      </c>
      <c r="AP36">
        <f>IF(AJ36="","",MAX(DoorGap*32,SUMPRODUCT(MAX((AK$4:AK35&lt;=AK36)*AQ$4:AQ35)),SUMPRODUCT(MAX((AK$4:AK35&gt;AK36)*AP$4:AP35))+Headway))</f>
        <v/>
      </c>
      <c r="AQ36">
        <f>IF(AJ36="","",AP36+AO36)</f>
        <v/>
      </c>
      <c r="AR36">
        <f>IF(AJ36="","",AQ36+AK36*WalkSec)</f>
        <v/>
      </c>
      <c r="AS36" t="n">
        <v>33</v>
      </c>
      <c r="AT36">
        <f>IF(33&gt;Passengers,"",MATCH(33,V$4:V$183,0))</f>
        <v/>
      </c>
      <c r="AU36">
        <f>IF(AT36="","",INDEX($B$4:$B$183,AT36))</f>
        <v/>
      </c>
      <c r="AV36">
        <f>IF(AT36="","",INDEX($C$4:$C$183,AT36))</f>
        <v/>
      </c>
      <c r="AW36">
        <f>IF(AT36="","",INDEX($D$4:$D$183,AT36))</f>
        <v/>
      </c>
      <c r="AX36">
        <f>IF(AT36="","",COUNTIFS($B$4:$B$183,AU36,$C$4:$C$183,AV36,$D$4:$D$183,"&gt;"&amp;AW36,V$4:V$183,"&lt;"&amp;33,$G$4:$G$183,1))</f>
        <v/>
      </c>
      <c r="AY36">
        <f>IF(AT36="","",INDEX($M$4:$M$183,AT36)+IF(AX36=1,Shuffle1,IF(AX36&gt;=2,Shuffle2,0)))</f>
        <v/>
      </c>
      <c r="AZ36">
        <f>IF(AT36="","",MAX(DoorGap*32,SUMPRODUCT(MAX((AU$4:AU35&lt;=AU36)*BA$4:BA35)),SUMPRODUCT(MAX((AU$4:AU35&gt;AU36)*AZ$4:AZ35))+Headway))</f>
        <v/>
      </c>
      <c r="BA36">
        <f>IF(AT36="","",AZ36+AY36)</f>
        <v/>
      </c>
      <c r="BB36">
        <f>IF(AT36="","",BA36+AU36*WalkSec)</f>
        <v/>
      </c>
      <c r="BC36" t="n">
        <v>33</v>
      </c>
      <c r="BD36">
        <f>IF(33&gt;Passengers,"",MATCH(33,Z$4:Z$183,0))</f>
        <v/>
      </c>
      <c r="BE36">
        <f>IF(BD36="","",INDEX($B$4:$B$183,BD36))</f>
        <v/>
      </c>
      <c r="BF36">
        <f>IF(BD36="","",INDEX($C$4:$C$183,BD36))</f>
        <v/>
      </c>
      <c r="BG36">
        <f>IF(BD36="","",INDEX($D$4:$D$183,BD36))</f>
        <v/>
      </c>
      <c r="BH36">
        <f>IF(BD36="","",COUNTIFS($B$4:$B$183,BE36,$C$4:$C$183,BF36,$D$4:$D$183,"&gt;"&amp;BG36,Z$4:Z$183,"&lt;"&amp;33,$G$4:$G$183,1))</f>
        <v/>
      </c>
      <c r="BI36">
        <f>IF(BD36="","",INDEX($M$4:$M$183,BD36)+IF(BH36=1,Shuffle1,IF(BH36&gt;=2,Shuffle2,0)))</f>
        <v/>
      </c>
      <c r="BJ36">
        <f>IF(BD36="","",MAX(DoorGap*32,SUMPRODUCT(MAX((BE$4:BE35&lt;=BE36)*BK$4:BK35)),SUMPRODUCT(MAX((BE$4:BE35&gt;BE36)*BJ$4:BJ35))+Headway))</f>
        <v/>
      </c>
      <c r="BK36">
        <f>IF(BD36="","",BJ36+BI36)</f>
        <v/>
      </c>
      <c r="BL36">
        <f>IF(BD36="","",BK36+BE36*WalkSec)</f>
        <v/>
      </c>
      <c r="BM36" t="n">
        <v>33</v>
      </c>
      <c r="BN36">
        <f>IF(33&gt;Passengers,"",MATCH(33,AD$4:AD$183,0))</f>
        <v/>
      </c>
      <c r="BO36">
        <f>IF(BN36="","",INDEX($B$4:$B$183,BN36))</f>
        <v/>
      </c>
      <c r="BP36">
        <f>IF(BN36="","",INDEX($C$4:$C$183,BN36))</f>
        <v/>
      </c>
      <c r="BQ36">
        <f>IF(BN36="","",INDEX($D$4:$D$183,BN36))</f>
        <v/>
      </c>
      <c r="BR36">
        <f>IF(BN36="","",COUNTIFS($B$4:$B$183,BO36,$C$4:$C$183,BP36,$D$4:$D$183,"&gt;"&amp;BQ36,AD$4:AD$183,"&lt;"&amp;33,$G$4:$G$183,1))</f>
        <v/>
      </c>
      <c r="BS36">
        <f>IF(BN36="","",INDEX($M$4:$M$183,BN36)+IF(BR36=1,Shuffle1,IF(BR36&gt;=2,Shuffle2,0)))</f>
        <v/>
      </c>
      <c r="BT36">
        <f>IF(BN36="","",MAX(DoorGap*32,SUMPRODUCT(MAX((BO$4:BO35&lt;=BO36)*BU$4:BU35)),SUMPRODUCT(MAX((BO$4:BO35&gt;BO36)*BT$4:BT35))+Headway))</f>
        <v/>
      </c>
      <c r="BU36">
        <f>IF(BN36="","",BT36+BS36)</f>
        <v/>
      </c>
      <c r="BV36">
        <f>IF(BN36="","",BU36+BO36*WalkSec)</f>
        <v/>
      </c>
      <c r="BW36">
        <f>IF($G36=0,"",INDEX(AR$4:AR$183,R36))</f>
        <v/>
      </c>
      <c r="BX36">
        <f>IF($G36=0,"",INDEX(BB$4:BB$183,V36))</f>
        <v/>
      </c>
      <c r="BY36">
        <f>IF($G36=0,"",INDEX(BL$4:BL$183,Z36))</f>
        <v/>
      </c>
      <c r="BZ36">
        <f>IF($G36=0,"",INDEX(BV$4:BV$183,AD36))</f>
        <v/>
      </c>
    </row>
    <row r="37">
      <c r="A37" t="n">
        <v>34</v>
      </c>
      <c r="B37" t="n">
        <v>6</v>
      </c>
      <c r="C37" t="n">
        <v>2</v>
      </c>
      <c r="D37" t="n">
        <v>1</v>
      </c>
      <c r="E37" t="n">
        <v>12</v>
      </c>
      <c r="F37">
        <f>RAND()</f>
        <v/>
      </c>
      <c r="G37">
        <f>IF(SUMPRODUCT(($F$4:$F$183&lt;F37)*1)+SUMPRODUCT(($F$4:$F$183=F37)*($A$4:$A$183&lt;A37))&lt;Passengers,1,0)</f>
        <v/>
      </c>
      <c r="H37">
        <f>RAND()</f>
        <v/>
      </c>
      <c r="I37">
        <f>RAND()</f>
        <v/>
      </c>
      <c r="J37">
        <f>RAND()</f>
        <v/>
      </c>
      <c r="K37">
        <f>RAND()</f>
        <v/>
      </c>
      <c r="L37">
        <f>RAND()</f>
        <v/>
      </c>
      <c r="M37">
        <f>IF(K37&lt;BagShare,EXP(NORMSINV(L37)*StowSigma+StowMu),StowNoBag)</f>
        <v/>
      </c>
      <c r="N37">
        <f>IF(INDEX($AG$4:$AG$63,E37)&lt;GroupShare,1,0)</f>
        <v/>
      </c>
      <c r="P37">
        <f>IF(G37=1,IF(I37&gt;Compliance,J37,$H37),2)</f>
        <v/>
      </c>
      <c r="Q37">
        <f>IF(G37=0,2,IF(N37=0,P37,1-SUMPRODUCT(MAX(($E$4:$E$183=E37)*($G$4:$G$183=1)*(1-P$4:P$183)))+0.000000001*D37))</f>
        <v/>
      </c>
      <c r="R37">
        <f>IF(G37=0,999,SUMPRODUCT((Q$4:Q$183&lt;Q37)*($G$4:$G$183=1))+SUMPRODUCT((Q$4:Q$183=Q37)*($G$4:$G$183=1)*($A$4:$A$183&lt;A37))+1)</f>
        <v/>
      </c>
      <c r="T37">
        <f>IF(G37=1,IF(I37&gt;Compliance,J37,(INT((30-$B37)/(30/Zones))+$H37)/Zones),2)</f>
        <v/>
      </c>
      <c r="U37">
        <f>IF(G37=0,2,IF(N37=0,T37,1-SUMPRODUCT(MAX(($E$4:$E$183=E37)*($G$4:$G$183=1)*(1-T$4:T$183)))+0.000000001*D37))</f>
        <v/>
      </c>
      <c r="V37">
        <f>IF(G37=0,999,SUMPRODUCT((U$4:U$183&lt;U37)*($G$4:$G$183=1))+SUMPRODUCT((U$4:U$183=U37)*($G$4:$G$183=1)*($A$4:$A$183&lt;A37))+1)</f>
        <v/>
      </c>
      <c r="X37">
        <f>IF(G37=1,IF(I37&gt;Compliance,J37,(($D37-1)+$H37)/3),2)</f>
        <v/>
      </c>
      <c r="Y37">
        <f>IF(G37=0,2,IF(N37=0,X37,1-SUMPRODUCT(MAX(($E$4:$E$183=E37)*($G$4:$G$183=1)*(1-X$4:X$183)))+0.000000001*D37))</f>
        <v/>
      </c>
      <c r="Z37">
        <f>IF(G37=0,999,SUMPRODUCT((Y$4:Y$183&lt;Y37)*($G$4:$G$183=1))+SUMPRODUCT((Y$4:Y$183=Y37)*($G$4:$G$183=1)*($A$4:$A$183&lt;A37))+1)</f>
        <v/>
      </c>
      <c r="AB37">
        <f>IF(G37=1,IF(I37&gt;Compliance,J37,((($D37-1)*4+($C37-1)*2+MOD($B37,2))+(30-$B37)/30)/12),2)</f>
        <v/>
      </c>
      <c r="AC37">
        <f>IF(G37=0,2,IF(N37=0,AB37,1-SUMPRODUCT(MAX(($E$4:$E$183=E37)*($G$4:$G$183=1)*(1-AB$4:AB$183)))+0.000000001*D37))</f>
        <v/>
      </c>
      <c r="AD37">
        <f>IF(G37=0,999,SUMPRODUCT((AC$4:AC$183&lt;AC37)*($G$4:$G$183=1))+SUMPRODUCT((AC$4:AC$183=AC37)*($G$4:$G$183=1)*($A$4:$A$183&lt;A37))+1)</f>
        <v/>
      </c>
      <c r="AF37" t="n">
        <v>34</v>
      </c>
      <c r="AG37">
        <f>RAND()</f>
        <v/>
      </c>
      <c r="AI37" t="n">
        <v>34</v>
      </c>
      <c r="AJ37">
        <f>IF(34&gt;Passengers,"",MATCH(34,R$4:R$183,0))</f>
        <v/>
      </c>
      <c r="AK37">
        <f>IF(AJ37="","",INDEX($B$4:$B$183,AJ37))</f>
        <v/>
      </c>
      <c r="AL37">
        <f>IF(AJ37="","",INDEX($C$4:$C$183,AJ37))</f>
        <v/>
      </c>
      <c r="AM37">
        <f>IF(AJ37="","",INDEX($D$4:$D$183,AJ37))</f>
        <v/>
      </c>
      <c r="AN37">
        <f>IF(AJ37="","",COUNTIFS($B$4:$B$183,AK37,$C$4:$C$183,AL37,$D$4:$D$183,"&gt;"&amp;AM37,R$4:R$183,"&lt;"&amp;34,$G$4:$G$183,1))</f>
        <v/>
      </c>
      <c r="AO37">
        <f>IF(AJ37="","",INDEX($M$4:$M$183,AJ37)+IF(AN37=1,Shuffle1,IF(AN37&gt;=2,Shuffle2,0)))</f>
        <v/>
      </c>
      <c r="AP37">
        <f>IF(AJ37="","",MAX(DoorGap*33,SUMPRODUCT(MAX((AK$4:AK36&lt;=AK37)*AQ$4:AQ36)),SUMPRODUCT(MAX((AK$4:AK36&gt;AK37)*AP$4:AP36))+Headway))</f>
        <v/>
      </c>
      <c r="AQ37">
        <f>IF(AJ37="","",AP37+AO37)</f>
        <v/>
      </c>
      <c r="AR37">
        <f>IF(AJ37="","",AQ37+AK37*WalkSec)</f>
        <v/>
      </c>
      <c r="AS37" t="n">
        <v>34</v>
      </c>
      <c r="AT37">
        <f>IF(34&gt;Passengers,"",MATCH(34,V$4:V$183,0))</f>
        <v/>
      </c>
      <c r="AU37">
        <f>IF(AT37="","",INDEX($B$4:$B$183,AT37))</f>
        <v/>
      </c>
      <c r="AV37">
        <f>IF(AT37="","",INDEX($C$4:$C$183,AT37))</f>
        <v/>
      </c>
      <c r="AW37">
        <f>IF(AT37="","",INDEX($D$4:$D$183,AT37))</f>
        <v/>
      </c>
      <c r="AX37">
        <f>IF(AT37="","",COUNTIFS($B$4:$B$183,AU37,$C$4:$C$183,AV37,$D$4:$D$183,"&gt;"&amp;AW37,V$4:V$183,"&lt;"&amp;34,$G$4:$G$183,1))</f>
        <v/>
      </c>
      <c r="AY37">
        <f>IF(AT37="","",INDEX($M$4:$M$183,AT37)+IF(AX37=1,Shuffle1,IF(AX37&gt;=2,Shuffle2,0)))</f>
        <v/>
      </c>
      <c r="AZ37">
        <f>IF(AT37="","",MAX(DoorGap*33,SUMPRODUCT(MAX((AU$4:AU36&lt;=AU37)*BA$4:BA36)),SUMPRODUCT(MAX((AU$4:AU36&gt;AU37)*AZ$4:AZ36))+Headway))</f>
        <v/>
      </c>
      <c r="BA37">
        <f>IF(AT37="","",AZ37+AY37)</f>
        <v/>
      </c>
      <c r="BB37">
        <f>IF(AT37="","",BA37+AU37*WalkSec)</f>
        <v/>
      </c>
      <c r="BC37" t="n">
        <v>34</v>
      </c>
      <c r="BD37">
        <f>IF(34&gt;Passengers,"",MATCH(34,Z$4:Z$183,0))</f>
        <v/>
      </c>
      <c r="BE37">
        <f>IF(BD37="","",INDEX($B$4:$B$183,BD37))</f>
        <v/>
      </c>
      <c r="BF37">
        <f>IF(BD37="","",INDEX($C$4:$C$183,BD37))</f>
        <v/>
      </c>
      <c r="BG37">
        <f>IF(BD37="","",INDEX($D$4:$D$183,BD37))</f>
        <v/>
      </c>
      <c r="BH37">
        <f>IF(BD37="","",COUNTIFS($B$4:$B$183,BE37,$C$4:$C$183,BF37,$D$4:$D$183,"&gt;"&amp;BG37,Z$4:Z$183,"&lt;"&amp;34,$G$4:$G$183,1))</f>
        <v/>
      </c>
      <c r="BI37">
        <f>IF(BD37="","",INDEX($M$4:$M$183,BD37)+IF(BH37=1,Shuffle1,IF(BH37&gt;=2,Shuffle2,0)))</f>
        <v/>
      </c>
      <c r="BJ37">
        <f>IF(BD37="","",MAX(DoorGap*33,SUMPRODUCT(MAX((BE$4:BE36&lt;=BE37)*BK$4:BK36)),SUMPRODUCT(MAX((BE$4:BE36&gt;BE37)*BJ$4:BJ36))+Headway))</f>
        <v/>
      </c>
      <c r="BK37">
        <f>IF(BD37="","",BJ37+BI37)</f>
        <v/>
      </c>
      <c r="BL37">
        <f>IF(BD37="","",BK37+BE37*WalkSec)</f>
        <v/>
      </c>
      <c r="BM37" t="n">
        <v>34</v>
      </c>
      <c r="BN37">
        <f>IF(34&gt;Passengers,"",MATCH(34,AD$4:AD$183,0))</f>
        <v/>
      </c>
      <c r="BO37">
        <f>IF(BN37="","",INDEX($B$4:$B$183,BN37))</f>
        <v/>
      </c>
      <c r="BP37">
        <f>IF(BN37="","",INDEX($C$4:$C$183,BN37))</f>
        <v/>
      </c>
      <c r="BQ37">
        <f>IF(BN37="","",INDEX($D$4:$D$183,BN37))</f>
        <v/>
      </c>
      <c r="BR37">
        <f>IF(BN37="","",COUNTIFS($B$4:$B$183,BO37,$C$4:$C$183,BP37,$D$4:$D$183,"&gt;"&amp;BQ37,AD$4:AD$183,"&lt;"&amp;34,$G$4:$G$183,1))</f>
        <v/>
      </c>
      <c r="BS37">
        <f>IF(BN37="","",INDEX($M$4:$M$183,BN37)+IF(BR37=1,Shuffle1,IF(BR37&gt;=2,Shuffle2,0)))</f>
        <v/>
      </c>
      <c r="BT37">
        <f>IF(BN37="","",MAX(DoorGap*33,SUMPRODUCT(MAX((BO$4:BO36&lt;=BO37)*BU$4:BU36)),SUMPRODUCT(MAX((BO$4:BO36&gt;BO37)*BT$4:BT36))+Headway))</f>
        <v/>
      </c>
      <c r="BU37">
        <f>IF(BN37="","",BT37+BS37)</f>
        <v/>
      </c>
      <c r="BV37">
        <f>IF(BN37="","",BU37+BO37*WalkSec)</f>
        <v/>
      </c>
      <c r="BW37">
        <f>IF($G37=0,"",INDEX(AR$4:AR$183,R37))</f>
        <v/>
      </c>
      <c r="BX37">
        <f>IF($G37=0,"",INDEX(BB$4:BB$183,V37))</f>
        <v/>
      </c>
      <c r="BY37">
        <f>IF($G37=0,"",INDEX(BL$4:BL$183,Z37))</f>
        <v/>
      </c>
      <c r="BZ37">
        <f>IF($G37=0,"",INDEX(BV$4:BV$183,AD37))</f>
        <v/>
      </c>
    </row>
    <row r="38">
      <c r="A38" t="n">
        <v>35</v>
      </c>
      <c r="B38" t="n">
        <v>6</v>
      </c>
      <c r="C38" t="n">
        <v>2</v>
      </c>
      <c r="D38" t="n">
        <v>2</v>
      </c>
      <c r="E38" t="n">
        <v>12</v>
      </c>
      <c r="F38">
        <f>RAND()</f>
        <v/>
      </c>
      <c r="G38">
        <f>IF(SUMPRODUCT(($F$4:$F$183&lt;F38)*1)+SUMPRODUCT(($F$4:$F$183=F38)*($A$4:$A$183&lt;A38))&lt;Passengers,1,0)</f>
        <v/>
      </c>
      <c r="H38">
        <f>RAND()</f>
        <v/>
      </c>
      <c r="I38">
        <f>RAND()</f>
        <v/>
      </c>
      <c r="J38">
        <f>RAND()</f>
        <v/>
      </c>
      <c r="K38">
        <f>RAND()</f>
        <v/>
      </c>
      <c r="L38">
        <f>RAND()</f>
        <v/>
      </c>
      <c r="M38">
        <f>IF(K38&lt;BagShare,EXP(NORMSINV(L38)*StowSigma+StowMu),StowNoBag)</f>
        <v/>
      </c>
      <c r="N38">
        <f>IF(INDEX($AG$4:$AG$63,E38)&lt;GroupShare,1,0)</f>
        <v/>
      </c>
      <c r="P38">
        <f>IF(G38=1,IF(I38&gt;Compliance,J38,$H38),2)</f>
        <v/>
      </c>
      <c r="Q38">
        <f>IF(G38=0,2,IF(N38=0,P38,1-SUMPRODUCT(MAX(($E$4:$E$183=E38)*($G$4:$G$183=1)*(1-P$4:P$183)))+0.000000001*D38))</f>
        <v/>
      </c>
      <c r="R38">
        <f>IF(G38=0,999,SUMPRODUCT((Q$4:Q$183&lt;Q38)*($G$4:$G$183=1))+SUMPRODUCT((Q$4:Q$183=Q38)*($G$4:$G$183=1)*($A$4:$A$183&lt;A38))+1)</f>
        <v/>
      </c>
      <c r="T38">
        <f>IF(G38=1,IF(I38&gt;Compliance,J38,(INT((30-$B38)/(30/Zones))+$H38)/Zones),2)</f>
        <v/>
      </c>
      <c r="U38">
        <f>IF(G38=0,2,IF(N38=0,T38,1-SUMPRODUCT(MAX(($E$4:$E$183=E38)*($G$4:$G$183=1)*(1-T$4:T$183)))+0.000000001*D38))</f>
        <v/>
      </c>
      <c r="V38">
        <f>IF(G38=0,999,SUMPRODUCT((U$4:U$183&lt;U38)*($G$4:$G$183=1))+SUMPRODUCT((U$4:U$183=U38)*($G$4:$G$183=1)*($A$4:$A$183&lt;A38))+1)</f>
        <v/>
      </c>
      <c r="X38">
        <f>IF(G38=1,IF(I38&gt;Compliance,J38,(($D38-1)+$H38)/3),2)</f>
        <v/>
      </c>
      <c r="Y38">
        <f>IF(G38=0,2,IF(N38=0,X38,1-SUMPRODUCT(MAX(($E$4:$E$183=E38)*($G$4:$G$183=1)*(1-X$4:X$183)))+0.000000001*D38))</f>
        <v/>
      </c>
      <c r="Z38">
        <f>IF(G38=0,999,SUMPRODUCT((Y$4:Y$183&lt;Y38)*($G$4:$G$183=1))+SUMPRODUCT((Y$4:Y$183=Y38)*($G$4:$G$183=1)*($A$4:$A$183&lt;A38))+1)</f>
        <v/>
      </c>
      <c r="AB38">
        <f>IF(G38=1,IF(I38&gt;Compliance,J38,((($D38-1)*4+($C38-1)*2+MOD($B38,2))+(30-$B38)/30)/12),2)</f>
        <v/>
      </c>
      <c r="AC38">
        <f>IF(G38=0,2,IF(N38=0,AB38,1-SUMPRODUCT(MAX(($E$4:$E$183=E38)*($G$4:$G$183=1)*(1-AB$4:AB$183)))+0.000000001*D38))</f>
        <v/>
      </c>
      <c r="AD38">
        <f>IF(G38=0,999,SUMPRODUCT((AC$4:AC$183&lt;AC38)*($G$4:$G$183=1))+SUMPRODUCT((AC$4:AC$183=AC38)*($G$4:$G$183=1)*($A$4:$A$183&lt;A38))+1)</f>
        <v/>
      </c>
      <c r="AF38" t="n">
        <v>35</v>
      </c>
      <c r="AG38">
        <f>RAND()</f>
        <v/>
      </c>
      <c r="AI38" t="n">
        <v>35</v>
      </c>
      <c r="AJ38">
        <f>IF(35&gt;Passengers,"",MATCH(35,R$4:R$183,0))</f>
        <v/>
      </c>
      <c r="AK38">
        <f>IF(AJ38="","",INDEX($B$4:$B$183,AJ38))</f>
        <v/>
      </c>
      <c r="AL38">
        <f>IF(AJ38="","",INDEX($C$4:$C$183,AJ38))</f>
        <v/>
      </c>
      <c r="AM38">
        <f>IF(AJ38="","",INDEX($D$4:$D$183,AJ38))</f>
        <v/>
      </c>
      <c r="AN38">
        <f>IF(AJ38="","",COUNTIFS($B$4:$B$183,AK38,$C$4:$C$183,AL38,$D$4:$D$183,"&gt;"&amp;AM38,R$4:R$183,"&lt;"&amp;35,$G$4:$G$183,1))</f>
        <v/>
      </c>
      <c r="AO38">
        <f>IF(AJ38="","",INDEX($M$4:$M$183,AJ38)+IF(AN38=1,Shuffle1,IF(AN38&gt;=2,Shuffle2,0)))</f>
        <v/>
      </c>
      <c r="AP38">
        <f>IF(AJ38="","",MAX(DoorGap*34,SUMPRODUCT(MAX((AK$4:AK37&lt;=AK38)*AQ$4:AQ37)),SUMPRODUCT(MAX((AK$4:AK37&gt;AK38)*AP$4:AP37))+Headway))</f>
        <v/>
      </c>
      <c r="AQ38">
        <f>IF(AJ38="","",AP38+AO38)</f>
        <v/>
      </c>
      <c r="AR38">
        <f>IF(AJ38="","",AQ38+AK38*WalkSec)</f>
        <v/>
      </c>
      <c r="AS38" t="n">
        <v>35</v>
      </c>
      <c r="AT38">
        <f>IF(35&gt;Passengers,"",MATCH(35,V$4:V$183,0))</f>
        <v/>
      </c>
      <c r="AU38">
        <f>IF(AT38="","",INDEX($B$4:$B$183,AT38))</f>
        <v/>
      </c>
      <c r="AV38">
        <f>IF(AT38="","",INDEX($C$4:$C$183,AT38))</f>
        <v/>
      </c>
      <c r="AW38">
        <f>IF(AT38="","",INDEX($D$4:$D$183,AT38))</f>
        <v/>
      </c>
      <c r="AX38">
        <f>IF(AT38="","",COUNTIFS($B$4:$B$183,AU38,$C$4:$C$183,AV38,$D$4:$D$183,"&gt;"&amp;AW38,V$4:V$183,"&lt;"&amp;35,$G$4:$G$183,1))</f>
        <v/>
      </c>
      <c r="AY38">
        <f>IF(AT38="","",INDEX($M$4:$M$183,AT38)+IF(AX38=1,Shuffle1,IF(AX38&gt;=2,Shuffle2,0)))</f>
        <v/>
      </c>
      <c r="AZ38">
        <f>IF(AT38="","",MAX(DoorGap*34,SUMPRODUCT(MAX((AU$4:AU37&lt;=AU38)*BA$4:BA37)),SUMPRODUCT(MAX((AU$4:AU37&gt;AU38)*AZ$4:AZ37))+Headway))</f>
        <v/>
      </c>
      <c r="BA38">
        <f>IF(AT38="","",AZ38+AY38)</f>
        <v/>
      </c>
      <c r="BB38">
        <f>IF(AT38="","",BA38+AU38*WalkSec)</f>
        <v/>
      </c>
      <c r="BC38" t="n">
        <v>35</v>
      </c>
      <c r="BD38">
        <f>IF(35&gt;Passengers,"",MATCH(35,Z$4:Z$183,0))</f>
        <v/>
      </c>
      <c r="BE38">
        <f>IF(BD38="","",INDEX($B$4:$B$183,BD38))</f>
        <v/>
      </c>
      <c r="BF38">
        <f>IF(BD38="","",INDEX($C$4:$C$183,BD38))</f>
        <v/>
      </c>
      <c r="BG38">
        <f>IF(BD38="","",INDEX($D$4:$D$183,BD38))</f>
        <v/>
      </c>
      <c r="BH38">
        <f>IF(BD38="","",COUNTIFS($B$4:$B$183,BE38,$C$4:$C$183,BF38,$D$4:$D$183,"&gt;"&amp;BG38,Z$4:Z$183,"&lt;"&amp;35,$G$4:$G$183,1))</f>
        <v/>
      </c>
      <c r="BI38">
        <f>IF(BD38="","",INDEX($M$4:$M$183,BD38)+IF(BH38=1,Shuffle1,IF(BH38&gt;=2,Shuffle2,0)))</f>
        <v/>
      </c>
      <c r="BJ38">
        <f>IF(BD38="","",MAX(DoorGap*34,SUMPRODUCT(MAX((BE$4:BE37&lt;=BE38)*BK$4:BK37)),SUMPRODUCT(MAX((BE$4:BE37&gt;BE38)*BJ$4:BJ37))+Headway))</f>
        <v/>
      </c>
      <c r="BK38">
        <f>IF(BD38="","",BJ38+BI38)</f>
        <v/>
      </c>
      <c r="BL38">
        <f>IF(BD38="","",BK38+BE38*WalkSec)</f>
        <v/>
      </c>
      <c r="BM38" t="n">
        <v>35</v>
      </c>
      <c r="BN38">
        <f>IF(35&gt;Passengers,"",MATCH(35,AD$4:AD$183,0))</f>
        <v/>
      </c>
      <c r="BO38">
        <f>IF(BN38="","",INDEX($B$4:$B$183,BN38))</f>
        <v/>
      </c>
      <c r="BP38">
        <f>IF(BN38="","",INDEX($C$4:$C$183,BN38))</f>
        <v/>
      </c>
      <c r="BQ38">
        <f>IF(BN38="","",INDEX($D$4:$D$183,BN38))</f>
        <v/>
      </c>
      <c r="BR38">
        <f>IF(BN38="","",COUNTIFS($B$4:$B$183,BO38,$C$4:$C$183,BP38,$D$4:$D$183,"&gt;"&amp;BQ38,AD$4:AD$183,"&lt;"&amp;35,$G$4:$G$183,1))</f>
        <v/>
      </c>
      <c r="BS38">
        <f>IF(BN38="","",INDEX($M$4:$M$183,BN38)+IF(BR38=1,Shuffle1,IF(BR38&gt;=2,Shuffle2,0)))</f>
        <v/>
      </c>
      <c r="BT38">
        <f>IF(BN38="","",MAX(DoorGap*34,SUMPRODUCT(MAX((BO$4:BO37&lt;=BO38)*BU$4:BU37)),SUMPRODUCT(MAX((BO$4:BO37&gt;BO38)*BT$4:BT37))+Headway))</f>
        <v/>
      </c>
      <c r="BU38">
        <f>IF(BN38="","",BT38+BS38)</f>
        <v/>
      </c>
      <c r="BV38">
        <f>IF(BN38="","",BU38+BO38*WalkSec)</f>
        <v/>
      </c>
      <c r="BW38">
        <f>IF($G38=0,"",INDEX(AR$4:AR$183,R38))</f>
        <v/>
      </c>
      <c r="BX38">
        <f>IF($G38=0,"",INDEX(BB$4:BB$183,V38))</f>
        <v/>
      </c>
      <c r="BY38">
        <f>IF($G38=0,"",INDEX(BL$4:BL$183,Z38))</f>
        <v/>
      </c>
      <c r="BZ38">
        <f>IF($G38=0,"",INDEX(BV$4:BV$183,AD38))</f>
        <v/>
      </c>
    </row>
    <row r="39">
      <c r="A39" t="n">
        <v>36</v>
      </c>
      <c r="B39" t="n">
        <v>6</v>
      </c>
      <c r="C39" t="n">
        <v>2</v>
      </c>
      <c r="D39" t="n">
        <v>3</v>
      </c>
      <c r="E39" t="n">
        <v>12</v>
      </c>
      <c r="F39">
        <f>RAND()</f>
        <v/>
      </c>
      <c r="G39">
        <f>IF(SUMPRODUCT(($F$4:$F$183&lt;F39)*1)+SUMPRODUCT(($F$4:$F$183=F39)*($A$4:$A$183&lt;A39))&lt;Passengers,1,0)</f>
        <v/>
      </c>
      <c r="H39">
        <f>RAND()</f>
        <v/>
      </c>
      <c r="I39">
        <f>RAND()</f>
        <v/>
      </c>
      <c r="J39">
        <f>RAND()</f>
        <v/>
      </c>
      <c r="K39">
        <f>RAND()</f>
        <v/>
      </c>
      <c r="L39">
        <f>RAND()</f>
        <v/>
      </c>
      <c r="M39">
        <f>IF(K39&lt;BagShare,EXP(NORMSINV(L39)*StowSigma+StowMu),StowNoBag)</f>
        <v/>
      </c>
      <c r="N39">
        <f>IF(INDEX($AG$4:$AG$63,E39)&lt;GroupShare,1,0)</f>
        <v/>
      </c>
      <c r="P39">
        <f>IF(G39=1,IF(I39&gt;Compliance,J39,$H39),2)</f>
        <v/>
      </c>
      <c r="Q39">
        <f>IF(G39=0,2,IF(N39=0,P39,1-SUMPRODUCT(MAX(($E$4:$E$183=E39)*($G$4:$G$183=1)*(1-P$4:P$183)))+0.000000001*D39))</f>
        <v/>
      </c>
      <c r="R39">
        <f>IF(G39=0,999,SUMPRODUCT((Q$4:Q$183&lt;Q39)*($G$4:$G$183=1))+SUMPRODUCT((Q$4:Q$183=Q39)*($G$4:$G$183=1)*($A$4:$A$183&lt;A39))+1)</f>
        <v/>
      </c>
      <c r="T39">
        <f>IF(G39=1,IF(I39&gt;Compliance,J39,(INT((30-$B39)/(30/Zones))+$H39)/Zones),2)</f>
        <v/>
      </c>
      <c r="U39">
        <f>IF(G39=0,2,IF(N39=0,T39,1-SUMPRODUCT(MAX(($E$4:$E$183=E39)*($G$4:$G$183=1)*(1-T$4:T$183)))+0.000000001*D39))</f>
        <v/>
      </c>
      <c r="V39">
        <f>IF(G39=0,999,SUMPRODUCT((U$4:U$183&lt;U39)*($G$4:$G$183=1))+SUMPRODUCT((U$4:U$183=U39)*($G$4:$G$183=1)*($A$4:$A$183&lt;A39))+1)</f>
        <v/>
      </c>
      <c r="X39">
        <f>IF(G39=1,IF(I39&gt;Compliance,J39,(($D39-1)+$H39)/3),2)</f>
        <v/>
      </c>
      <c r="Y39">
        <f>IF(G39=0,2,IF(N39=0,X39,1-SUMPRODUCT(MAX(($E$4:$E$183=E39)*($G$4:$G$183=1)*(1-X$4:X$183)))+0.000000001*D39))</f>
        <v/>
      </c>
      <c r="Z39">
        <f>IF(G39=0,999,SUMPRODUCT((Y$4:Y$183&lt;Y39)*($G$4:$G$183=1))+SUMPRODUCT((Y$4:Y$183=Y39)*($G$4:$G$183=1)*($A$4:$A$183&lt;A39))+1)</f>
        <v/>
      </c>
      <c r="AB39">
        <f>IF(G39=1,IF(I39&gt;Compliance,J39,((($D39-1)*4+($C39-1)*2+MOD($B39,2))+(30-$B39)/30)/12),2)</f>
        <v/>
      </c>
      <c r="AC39">
        <f>IF(G39=0,2,IF(N39=0,AB39,1-SUMPRODUCT(MAX(($E$4:$E$183=E39)*($G$4:$G$183=1)*(1-AB$4:AB$183)))+0.000000001*D39))</f>
        <v/>
      </c>
      <c r="AD39">
        <f>IF(G39=0,999,SUMPRODUCT((AC$4:AC$183&lt;AC39)*($G$4:$G$183=1))+SUMPRODUCT((AC$4:AC$183=AC39)*($G$4:$G$183=1)*($A$4:$A$183&lt;A39))+1)</f>
        <v/>
      </c>
      <c r="AF39" t="n">
        <v>36</v>
      </c>
      <c r="AG39">
        <f>RAND()</f>
        <v/>
      </c>
      <c r="AI39" t="n">
        <v>36</v>
      </c>
      <c r="AJ39">
        <f>IF(36&gt;Passengers,"",MATCH(36,R$4:R$183,0))</f>
        <v/>
      </c>
      <c r="AK39">
        <f>IF(AJ39="","",INDEX($B$4:$B$183,AJ39))</f>
        <v/>
      </c>
      <c r="AL39">
        <f>IF(AJ39="","",INDEX($C$4:$C$183,AJ39))</f>
        <v/>
      </c>
      <c r="AM39">
        <f>IF(AJ39="","",INDEX($D$4:$D$183,AJ39))</f>
        <v/>
      </c>
      <c r="AN39">
        <f>IF(AJ39="","",COUNTIFS($B$4:$B$183,AK39,$C$4:$C$183,AL39,$D$4:$D$183,"&gt;"&amp;AM39,R$4:R$183,"&lt;"&amp;36,$G$4:$G$183,1))</f>
        <v/>
      </c>
      <c r="AO39">
        <f>IF(AJ39="","",INDEX($M$4:$M$183,AJ39)+IF(AN39=1,Shuffle1,IF(AN39&gt;=2,Shuffle2,0)))</f>
        <v/>
      </c>
      <c r="AP39">
        <f>IF(AJ39="","",MAX(DoorGap*35,SUMPRODUCT(MAX((AK$4:AK38&lt;=AK39)*AQ$4:AQ38)),SUMPRODUCT(MAX((AK$4:AK38&gt;AK39)*AP$4:AP38))+Headway))</f>
        <v/>
      </c>
      <c r="AQ39">
        <f>IF(AJ39="","",AP39+AO39)</f>
        <v/>
      </c>
      <c r="AR39">
        <f>IF(AJ39="","",AQ39+AK39*WalkSec)</f>
        <v/>
      </c>
      <c r="AS39" t="n">
        <v>36</v>
      </c>
      <c r="AT39">
        <f>IF(36&gt;Passengers,"",MATCH(36,V$4:V$183,0))</f>
        <v/>
      </c>
      <c r="AU39">
        <f>IF(AT39="","",INDEX($B$4:$B$183,AT39))</f>
        <v/>
      </c>
      <c r="AV39">
        <f>IF(AT39="","",INDEX($C$4:$C$183,AT39))</f>
        <v/>
      </c>
      <c r="AW39">
        <f>IF(AT39="","",INDEX($D$4:$D$183,AT39))</f>
        <v/>
      </c>
      <c r="AX39">
        <f>IF(AT39="","",COUNTIFS($B$4:$B$183,AU39,$C$4:$C$183,AV39,$D$4:$D$183,"&gt;"&amp;AW39,V$4:V$183,"&lt;"&amp;36,$G$4:$G$183,1))</f>
        <v/>
      </c>
      <c r="AY39">
        <f>IF(AT39="","",INDEX($M$4:$M$183,AT39)+IF(AX39=1,Shuffle1,IF(AX39&gt;=2,Shuffle2,0)))</f>
        <v/>
      </c>
      <c r="AZ39">
        <f>IF(AT39="","",MAX(DoorGap*35,SUMPRODUCT(MAX((AU$4:AU38&lt;=AU39)*BA$4:BA38)),SUMPRODUCT(MAX((AU$4:AU38&gt;AU39)*AZ$4:AZ38))+Headway))</f>
        <v/>
      </c>
      <c r="BA39">
        <f>IF(AT39="","",AZ39+AY39)</f>
        <v/>
      </c>
      <c r="BB39">
        <f>IF(AT39="","",BA39+AU39*WalkSec)</f>
        <v/>
      </c>
      <c r="BC39" t="n">
        <v>36</v>
      </c>
      <c r="BD39">
        <f>IF(36&gt;Passengers,"",MATCH(36,Z$4:Z$183,0))</f>
        <v/>
      </c>
      <c r="BE39">
        <f>IF(BD39="","",INDEX($B$4:$B$183,BD39))</f>
        <v/>
      </c>
      <c r="BF39">
        <f>IF(BD39="","",INDEX($C$4:$C$183,BD39))</f>
        <v/>
      </c>
      <c r="BG39">
        <f>IF(BD39="","",INDEX($D$4:$D$183,BD39))</f>
        <v/>
      </c>
      <c r="BH39">
        <f>IF(BD39="","",COUNTIFS($B$4:$B$183,BE39,$C$4:$C$183,BF39,$D$4:$D$183,"&gt;"&amp;BG39,Z$4:Z$183,"&lt;"&amp;36,$G$4:$G$183,1))</f>
        <v/>
      </c>
      <c r="BI39">
        <f>IF(BD39="","",INDEX($M$4:$M$183,BD39)+IF(BH39=1,Shuffle1,IF(BH39&gt;=2,Shuffle2,0)))</f>
        <v/>
      </c>
      <c r="BJ39">
        <f>IF(BD39="","",MAX(DoorGap*35,SUMPRODUCT(MAX((BE$4:BE38&lt;=BE39)*BK$4:BK38)),SUMPRODUCT(MAX((BE$4:BE38&gt;BE39)*BJ$4:BJ38))+Headway))</f>
        <v/>
      </c>
      <c r="BK39">
        <f>IF(BD39="","",BJ39+BI39)</f>
        <v/>
      </c>
      <c r="BL39">
        <f>IF(BD39="","",BK39+BE39*WalkSec)</f>
        <v/>
      </c>
      <c r="BM39" t="n">
        <v>36</v>
      </c>
      <c r="BN39">
        <f>IF(36&gt;Passengers,"",MATCH(36,AD$4:AD$183,0))</f>
        <v/>
      </c>
      <c r="BO39">
        <f>IF(BN39="","",INDEX($B$4:$B$183,BN39))</f>
        <v/>
      </c>
      <c r="BP39">
        <f>IF(BN39="","",INDEX($C$4:$C$183,BN39))</f>
        <v/>
      </c>
      <c r="BQ39">
        <f>IF(BN39="","",INDEX($D$4:$D$183,BN39))</f>
        <v/>
      </c>
      <c r="BR39">
        <f>IF(BN39="","",COUNTIFS($B$4:$B$183,BO39,$C$4:$C$183,BP39,$D$4:$D$183,"&gt;"&amp;BQ39,AD$4:AD$183,"&lt;"&amp;36,$G$4:$G$183,1))</f>
        <v/>
      </c>
      <c r="BS39">
        <f>IF(BN39="","",INDEX($M$4:$M$183,BN39)+IF(BR39=1,Shuffle1,IF(BR39&gt;=2,Shuffle2,0)))</f>
        <v/>
      </c>
      <c r="BT39">
        <f>IF(BN39="","",MAX(DoorGap*35,SUMPRODUCT(MAX((BO$4:BO38&lt;=BO39)*BU$4:BU38)),SUMPRODUCT(MAX((BO$4:BO38&gt;BO39)*BT$4:BT38))+Headway))</f>
        <v/>
      </c>
      <c r="BU39">
        <f>IF(BN39="","",BT39+BS39)</f>
        <v/>
      </c>
      <c r="BV39">
        <f>IF(BN39="","",BU39+BO39*WalkSec)</f>
        <v/>
      </c>
      <c r="BW39">
        <f>IF($G39=0,"",INDEX(AR$4:AR$183,R39))</f>
        <v/>
      </c>
      <c r="BX39">
        <f>IF($G39=0,"",INDEX(BB$4:BB$183,V39))</f>
        <v/>
      </c>
      <c r="BY39">
        <f>IF($G39=0,"",INDEX(BL$4:BL$183,Z39))</f>
        <v/>
      </c>
      <c r="BZ39">
        <f>IF($G39=0,"",INDEX(BV$4:BV$183,AD39))</f>
        <v/>
      </c>
    </row>
    <row r="40">
      <c r="A40" t="n">
        <v>37</v>
      </c>
      <c r="B40" t="n">
        <v>7</v>
      </c>
      <c r="C40" t="n">
        <v>1</v>
      </c>
      <c r="D40" t="n">
        <v>1</v>
      </c>
      <c r="E40" t="n">
        <v>13</v>
      </c>
      <c r="F40">
        <f>RAND()</f>
        <v/>
      </c>
      <c r="G40">
        <f>IF(SUMPRODUCT(($F$4:$F$183&lt;F40)*1)+SUMPRODUCT(($F$4:$F$183=F40)*($A$4:$A$183&lt;A40))&lt;Passengers,1,0)</f>
        <v/>
      </c>
      <c r="H40">
        <f>RAND()</f>
        <v/>
      </c>
      <c r="I40">
        <f>RAND()</f>
        <v/>
      </c>
      <c r="J40">
        <f>RAND()</f>
        <v/>
      </c>
      <c r="K40">
        <f>RAND()</f>
        <v/>
      </c>
      <c r="L40">
        <f>RAND()</f>
        <v/>
      </c>
      <c r="M40">
        <f>IF(K40&lt;BagShare,EXP(NORMSINV(L40)*StowSigma+StowMu),StowNoBag)</f>
        <v/>
      </c>
      <c r="N40">
        <f>IF(INDEX($AG$4:$AG$63,E40)&lt;GroupShare,1,0)</f>
        <v/>
      </c>
      <c r="P40">
        <f>IF(G40=1,IF(I40&gt;Compliance,J40,$H40),2)</f>
        <v/>
      </c>
      <c r="Q40">
        <f>IF(G40=0,2,IF(N40=0,P40,1-SUMPRODUCT(MAX(($E$4:$E$183=E40)*($G$4:$G$183=1)*(1-P$4:P$183)))+0.000000001*D40))</f>
        <v/>
      </c>
      <c r="R40">
        <f>IF(G40=0,999,SUMPRODUCT((Q$4:Q$183&lt;Q40)*($G$4:$G$183=1))+SUMPRODUCT((Q$4:Q$183=Q40)*($G$4:$G$183=1)*($A$4:$A$183&lt;A40))+1)</f>
        <v/>
      </c>
      <c r="T40">
        <f>IF(G40=1,IF(I40&gt;Compliance,J40,(INT((30-$B40)/(30/Zones))+$H40)/Zones),2)</f>
        <v/>
      </c>
      <c r="U40">
        <f>IF(G40=0,2,IF(N40=0,T40,1-SUMPRODUCT(MAX(($E$4:$E$183=E40)*($G$4:$G$183=1)*(1-T$4:T$183)))+0.000000001*D40))</f>
        <v/>
      </c>
      <c r="V40">
        <f>IF(G40=0,999,SUMPRODUCT((U$4:U$183&lt;U40)*($G$4:$G$183=1))+SUMPRODUCT((U$4:U$183=U40)*($G$4:$G$183=1)*($A$4:$A$183&lt;A40))+1)</f>
        <v/>
      </c>
      <c r="X40">
        <f>IF(G40=1,IF(I40&gt;Compliance,J40,(($D40-1)+$H40)/3),2)</f>
        <v/>
      </c>
      <c r="Y40">
        <f>IF(G40=0,2,IF(N40=0,X40,1-SUMPRODUCT(MAX(($E$4:$E$183=E40)*($G$4:$G$183=1)*(1-X$4:X$183)))+0.000000001*D40))</f>
        <v/>
      </c>
      <c r="Z40">
        <f>IF(G40=0,999,SUMPRODUCT((Y$4:Y$183&lt;Y40)*($G$4:$G$183=1))+SUMPRODUCT((Y$4:Y$183=Y40)*($G$4:$G$183=1)*($A$4:$A$183&lt;A40))+1)</f>
        <v/>
      </c>
      <c r="AB40">
        <f>IF(G40=1,IF(I40&gt;Compliance,J40,((($D40-1)*4+($C40-1)*2+MOD($B40,2))+(30-$B40)/30)/12),2)</f>
        <v/>
      </c>
      <c r="AC40">
        <f>IF(G40=0,2,IF(N40=0,AB40,1-SUMPRODUCT(MAX(($E$4:$E$183=E40)*($G$4:$G$183=1)*(1-AB$4:AB$183)))+0.000000001*D40))</f>
        <v/>
      </c>
      <c r="AD40">
        <f>IF(G40=0,999,SUMPRODUCT((AC$4:AC$183&lt;AC40)*($G$4:$G$183=1))+SUMPRODUCT((AC$4:AC$183=AC40)*($G$4:$G$183=1)*($A$4:$A$183&lt;A40))+1)</f>
        <v/>
      </c>
      <c r="AF40" t="n">
        <v>37</v>
      </c>
      <c r="AG40">
        <f>RAND()</f>
        <v/>
      </c>
      <c r="AI40" t="n">
        <v>37</v>
      </c>
      <c r="AJ40">
        <f>IF(37&gt;Passengers,"",MATCH(37,R$4:R$183,0))</f>
        <v/>
      </c>
      <c r="AK40">
        <f>IF(AJ40="","",INDEX($B$4:$B$183,AJ40))</f>
        <v/>
      </c>
      <c r="AL40">
        <f>IF(AJ40="","",INDEX($C$4:$C$183,AJ40))</f>
        <v/>
      </c>
      <c r="AM40">
        <f>IF(AJ40="","",INDEX($D$4:$D$183,AJ40))</f>
        <v/>
      </c>
      <c r="AN40">
        <f>IF(AJ40="","",COUNTIFS($B$4:$B$183,AK40,$C$4:$C$183,AL40,$D$4:$D$183,"&gt;"&amp;AM40,R$4:R$183,"&lt;"&amp;37,$G$4:$G$183,1))</f>
        <v/>
      </c>
      <c r="AO40">
        <f>IF(AJ40="","",INDEX($M$4:$M$183,AJ40)+IF(AN40=1,Shuffle1,IF(AN40&gt;=2,Shuffle2,0)))</f>
        <v/>
      </c>
      <c r="AP40">
        <f>IF(AJ40="","",MAX(DoorGap*36,SUMPRODUCT(MAX((AK$4:AK39&lt;=AK40)*AQ$4:AQ39)),SUMPRODUCT(MAX((AK$4:AK39&gt;AK40)*AP$4:AP39))+Headway))</f>
        <v/>
      </c>
      <c r="AQ40">
        <f>IF(AJ40="","",AP40+AO40)</f>
        <v/>
      </c>
      <c r="AR40">
        <f>IF(AJ40="","",AQ40+AK40*WalkSec)</f>
        <v/>
      </c>
      <c r="AS40" t="n">
        <v>37</v>
      </c>
      <c r="AT40">
        <f>IF(37&gt;Passengers,"",MATCH(37,V$4:V$183,0))</f>
        <v/>
      </c>
      <c r="AU40">
        <f>IF(AT40="","",INDEX($B$4:$B$183,AT40))</f>
        <v/>
      </c>
      <c r="AV40">
        <f>IF(AT40="","",INDEX($C$4:$C$183,AT40))</f>
        <v/>
      </c>
      <c r="AW40">
        <f>IF(AT40="","",INDEX($D$4:$D$183,AT40))</f>
        <v/>
      </c>
      <c r="AX40">
        <f>IF(AT40="","",COUNTIFS($B$4:$B$183,AU40,$C$4:$C$183,AV40,$D$4:$D$183,"&gt;"&amp;AW40,V$4:V$183,"&lt;"&amp;37,$G$4:$G$183,1))</f>
        <v/>
      </c>
      <c r="AY40">
        <f>IF(AT40="","",INDEX($M$4:$M$183,AT40)+IF(AX40=1,Shuffle1,IF(AX40&gt;=2,Shuffle2,0)))</f>
        <v/>
      </c>
      <c r="AZ40">
        <f>IF(AT40="","",MAX(DoorGap*36,SUMPRODUCT(MAX((AU$4:AU39&lt;=AU40)*BA$4:BA39)),SUMPRODUCT(MAX((AU$4:AU39&gt;AU40)*AZ$4:AZ39))+Headway))</f>
        <v/>
      </c>
      <c r="BA40">
        <f>IF(AT40="","",AZ40+AY40)</f>
        <v/>
      </c>
      <c r="BB40">
        <f>IF(AT40="","",BA40+AU40*WalkSec)</f>
        <v/>
      </c>
      <c r="BC40" t="n">
        <v>37</v>
      </c>
      <c r="BD40">
        <f>IF(37&gt;Passengers,"",MATCH(37,Z$4:Z$183,0))</f>
        <v/>
      </c>
      <c r="BE40">
        <f>IF(BD40="","",INDEX($B$4:$B$183,BD40))</f>
        <v/>
      </c>
      <c r="BF40">
        <f>IF(BD40="","",INDEX($C$4:$C$183,BD40))</f>
        <v/>
      </c>
      <c r="BG40">
        <f>IF(BD40="","",INDEX($D$4:$D$183,BD40))</f>
        <v/>
      </c>
      <c r="BH40">
        <f>IF(BD40="","",COUNTIFS($B$4:$B$183,BE40,$C$4:$C$183,BF40,$D$4:$D$183,"&gt;"&amp;BG40,Z$4:Z$183,"&lt;"&amp;37,$G$4:$G$183,1))</f>
        <v/>
      </c>
      <c r="BI40">
        <f>IF(BD40="","",INDEX($M$4:$M$183,BD40)+IF(BH40=1,Shuffle1,IF(BH40&gt;=2,Shuffle2,0)))</f>
        <v/>
      </c>
      <c r="BJ40">
        <f>IF(BD40="","",MAX(DoorGap*36,SUMPRODUCT(MAX((BE$4:BE39&lt;=BE40)*BK$4:BK39)),SUMPRODUCT(MAX((BE$4:BE39&gt;BE40)*BJ$4:BJ39))+Headway))</f>
        <v/>
      </c>
      <c r="BK40">
        <f>IF(BD40="","",BJ40+BI40)</f>
        <v/>
      </c>
      <c r="BL40">
        <f>IF(BD40="","",BK40+BE40*WalkSec)</f>
        <v/>
      </c>
      <c r="BM40" t="n">
        <v>37</v>
      </c>
      <c r="BN40">
        <f>IF(37&gt;Passengers,"",MATCH(37,AD$4:AD$183,0))</f>
        <v/>
      </c>
      <c r="BO40">
        <f>IF(BN40="","",INDEX($B$4:$B$183,BN40))</f>
        <v/>
      </c>
      <c r="BP40">
        <f>IF(BN40="","",INDEX($C$4:$C$183,BN40))</f>
        <v/>
      </c>
      <c r="BQ40">
        <f>IF(BN40="","",INDEX($D$4:$D$183,BN40))</f>
        <v/>
      </c>
      <c r="BR40">
        <f>IF(BN40="","",COUNTIFS($B$4:$B$183,BO40,$C$4:$C$183,BP40,$D$4:$D$183,"&gt;"&amp;BQ40,AD$4:AD$183,"&lt;"&amp;37,$G$4:$G$183,1))</f>
        <v/>
      </c>
      <c r="BS40">
        <f>IF(BN40="","",INDEX($M$4:$M$183,BN40)+IF(BR40=1,Shuffle1,IF(BR40&gt;=2,Shuffle2,0)))</f>
        <v/>
      </c>
      <c r="BT40">
        <f>IF(BN40="","",MAX(DoorGap*36,SUMPRODUCT(MAX((BO$4:BO39&lt;=BO40)*BU$4:BU39)),SUMPRODUCT(MAX((BO$4:BO39&gt;BO40)*BT$4:BT39))+Headway))</f>
        <v/>
      </c>
      <c r="BU40">
        <f>IF(BN40="","",BT40+BS40)</f>
        <v/>
      </c>
      <c r="BV40">
        <f>IF(BN40="","",BU40+BO40*WalkSec)</f>
        <v/>
      </c>
      <c r="BW40">
        <f>IF($G40=0,"",INDEX(AR$4:AR$183,R40))</f>
        <v/>
      </c>
      <c r="BX40">
        <f>IF($G40=0,"",INDEX(BB$4:BB$183,V40))</f>
        <v/>
      </c>
      <c r="BY40">
        <f>IF($G40=0,"",INDEX(BL$4:BL$183,Z40))</f>
        <v/>
      </c>
      <c r="BZ40">
        <f>IF($G40=0,"",INDEX(BV$4:BV$183,AD40))</f>
        <v/>
      </c>
    </row>
    <row r="41">
      <c r="A41" t="n">
        <v>38</v>
      </c>
      <c r="B41" t="n">
        <v>7</v>
      </c>
      <c r="C41" t="n">
        <v>1</v>
      </c>
      <c r="D41" t="n">
        <v>2</v>
      </c>
      <c r="E41" t="n">
        <v>13</v>
      </c>
      <c r="F41">
        <f>RAND()</f>
        <v/>
      </c>
      <c r="G41">
        <f>IF(SUMPRODUCT(($F$4:$F$183&lt;F41)*1)+SUMPRODUCT(($F$4:$F$183=F41)*($A$4:$A$183&lt;A41))&lt;Passengers,1,0)</f>
        <v/>
      </c>
      <c r="H41">
        <f>RAND()</f>
        <v/>
      </c>
      <c r="I41">
        <f>RAND()</f>
        <v/>
      </c>
      <c r="J41">
        <f>RAND()</f>
        <v/>
      </c>
      <c r="K41">
        <f>RAND()</f>
        <v/>
      </c>
      <c r="L41">
        <f>RAND()</f>
        <v/>
      </c>
      <c r="M41">
        <f>IF(K41&lt;BagShare,EXP(NORMSINV(L41)*StowSigma+StowMu),StowNoBag)</f>
        <v/>
      </c>
      <c r="N41">
        <f>IF(INDEX($AG$4:$AG$63,E41)&lt;GroupShare,1,0)</f>
        <v/>
      </c>
      <c r="P41">
        <f>IF(G41=1,IF(I41&gt;Compliance,J41,$H41),2)</f>
        <v/>
      </c>
      <c r="Q41">
        <f>IF(G41=0,2,IF(N41=0,P41,1-SUMPRODUCT(MAX(($E$4:$E$183=E41)*($G$4:$G$183=1)*(1-P$4:P$183)))+0.000000001*D41))</f>
        <v/>
      </c>
      <c r="R41">
        <f>IF(G41=0,999,SUMPRODUCT((Q$4:Q$183&lt;Q41)*($G$4:$G$183=1))+SUMPRODUCT((Q$4:Q$183=Q41)*($G$4:$G$183=1)*($A$4:$A$183&lt;A41))+1)</f>
        <v/>
      </c>
      <c r="T41">
        <f>IF(G41=1,IF(I41&gt;Compliance,J41,(INT((30-$B41)/(30/Zones))+$H41)/Zones),2)</f>
        <v/>
      </c>
      <c r="U41">
        <f>IF(G41=0,2,IF(N41=0,T41,1-SUMPRODUCT(MAX(($E$4:$E$183=E41)*($G$4:$G$183=1)*(1-T$4:T$183)))+0.000000001*D41))</f>
        <v/>
      </c>
      <c r="V41">
        <f>IF(G41=0,999,SUMPRODUCT((U$4:U$183&lt;U41)*($G$4:$G$183=1))+SUMPRODUCT((U$4:U$183=U41)*($G$4:$G$183=1)*($A$4:$A$183&lt;A41))+1)</f>
        <v/>
      </c>
      <c r="X41">
        <f>IF(G41=1,IF(I41&gt;Compliance,J41,(($D41-1)+$H41)/3),2)</f>
        <v/>
      </c>
      <c r="Y41">
        <f>IF(G41=0,2,IF(N41=0,X41,1-SUMPRODUCT(MAX(($E$4:$E$183=E41)*($G$4:$G$183=1)*(1-X$4:X$183)))+0.000000001*D41))</f>
        <v/>
      </c>
      <c r="Z41">
        <f>IF(G41=0,999,SUMPRODUCT((Y$4:Y$183&lt;Y41)*($G$4:$G$183=1))+SUMPRODUCT((Y$4:Y$183=Y41)*($G$4:$G$183=1)*($A$4:$A$183&lt;A41))+1)</f>
        <v/>
      </c>
      <c r="AB41">
        <f>IF(G41=1,IF(I41&gt;Compliance,J41,((($D41-1)*4+($C41-1)*2+MOD($B41,2))+(30-$B41)/30)/12),2)</f>
        <v/>
      </c>
      <c r="AC41">
        <f>IF(G41=0,2,IF(N41=0,AB41,1-SUMPRODUCT(MAX(($E$4:$E$183=E41)*($G$4:$G$183=1)*(1-AB$4:AB$183)))+0.000000001*D41))</f>
        <v/>
      </c>
      <c r="AD41">
        <f>IF(G41=0,999,SUMPRODUCT((AC$4:AC$183&lt;AC41)*($G$4:$G$183=1))+SUMPRODUCT((AC$4:AC$183=AC41)*($G$4:$G$183=1)*($A$4:$A$183&lt;A41))+1)</f>
        <v/>
      </c>
      <c r="AF41" t="n">
        <v>38</v>
      </c>
      <c r="AG41">
        <f>RAND()</f>
        <v/>
      </c>
      <c r="AI41" t="n">
        <v>38</v>
      </c>
      <c r="AJ41">
        <f>IF(38&gt;Passengers,"",MATCH(38,R$4:R$183,0))</f>
        <v/>
      </c>
      <c r="AK41">
        <f>IF(AJ41="","",INDEX($B$4:$B$183,AJ41))</f>
        <v/>
      </c>
      <c r="AL41">
        <f>IF(AJ41="","",INDEX($C$4:$C$183,AJ41))</f>
        <v/>
      </c>
      <c r="AM41">
        <f>IF(AJ41="","",INDEX($D$4:$D$183,AJ41))</f>
        <v/>
      </c>
      <c r="AN41">
        <f>IF(AJ41="","",COUNTIFS($B$4:$B$183,AK41,$C$4:$C$183,AL41,$D$4:$D$183,"&gt;"&amp;AM41,R$4:R$183,"&lt;"&amp;38,$G$4:$G$183,1))</f>
        <v/>
      </c>
      <c r="AO41">
        <f>IF(AJ41="","",INDEX($M$4:$M$183,AJ41)+IF(AN41=1,Shuffle1,IF(AN41&gt;=2,Shuffle2,0)))</f>
        <v/>
      </c>
      <c r="AP41">
        <f>IF(AJ41="","",MAX(DoorGap*37,SUMPRODUCT(MAX((AK$4:AK40&lt;=AK41)*AQ$4:AQ40)),SUMPRODUCT(MAX((AK$4:AK40&gt;AK41)*AP$4:AP40))+Headway))</f>
        <v/>
      </c>
      <c r="AQ41">
        <f>IF(AJ41="","",AP41+AO41)</f>
        <v/>
      </c>
      <c r="AR41">
        <f>IF(AJ41="","",AQ41+AK41*WalkSec)</f>
        <v/>
      </c>
      <c r="AS41" t="n">
        <v>38</v>
      </c>
      <c r="AT41">
        <f>IF(38&gt;Passengers,"",MATCH(38,V$4:V$183,0))</f>
        <v/>
      </c>
      <c r="AU41">
        <f>IF(AT41="","",INDEX($B$4:$B$183,AT41))</f>
        <v/>
      </c>
      <c r="AV41">
        <f>IF(AT41="","",INDEX($C$4:$C$183,AT41))</f>
        <v/>
      </c>
      <c r="AW41">
        <f>IF(AT41="","",INDEX($D$4:$D$183,AT41))</f>
        <v/>
      </c>
      <c r="AX41">
        <f>IF(AT41="","",COUNTIFS($B$4:$B$183,AU41,$C$4:$C$183,AV41,$D$4:$D$183,"&gt;"&amp;AW41,V$4:V$183,"&lt;"&amp;38,$G$4:$G$183,1))</f>
        <v/>
      </c>
      <c r="AY41">
        <f>IF(AT41="","",INDEX($M$4:$M$183,AT41)+IF(AX41=1,Shuffle1,IF(AX41&gt;=2,Shuffle2,0)))</f>
        <v/>
      </c>
      <c r="AZ41">
        <f>IF(AT41="","",MAX(DoorGap*37,SUMPRODUCT(MAX((AU$4:AU40&lt;=AU41)*BA$4:BA40)),SUMPRODUCT(MAX((AU$4:AU40&gt;AU41)*AZ$4:AZ40))+Headway))</f>
        <v/>
      </c>
      <c r="BA41">
        <f>IF(AT41="","",AZ41+AY41)</f>
        <v/>
      </c>
      <c r="BB41">
        <f>IF(AT41="","",BA41+AU41*WalkSec)</f>
        <v/>
      </c>
      <c r="BC41" t="n">
        <v>38</v>
      </c>
      <c r="BD41">
        <f>IF(38&gt;Passengers,"",MATCH(38,Z$4:Z$183,0))</f>
        <v/>
      </c>
      <c r="BE41">
        <f>IF(BD41="","",INDEX($B$4:$B$183,BD41))</f>
        <v/>
      </c>
      <c r="BF41">
        <f>IF(BD41="","",INDEX($C$4:$C$183,BD41))</f>
        <v/>
      </c>
      <c r="BG41">
        <f>IF(BD41="","",INDEX($D$4:$D$183,BD41))</f>
        <v/>
      </c>
      <c r="BH41">
        <f>IF(BD41="","",COUNTIFS($B$4:$B$183,BE41,$C$4:$C$183,BF41,$D$4:$D$183,"&gt;"&amp;BG41,Z$4:Z$183,"&lt;"&amp;38,$G$4:$G$183,1))</f>
        <v/>
      </c>
      <c r="BI41">
        <f>IF(BD41="","",INDEX($M$4:$M$183,BD41)+IF(BH41=1,Shuffle1,IF(BH41&gt;=2,Shuffle2,0)))</f>
        <v/>
      </c>
      <c r="BJ41">
        <f>IF(BD41="","",MAX(DoorGap*37,SUMPRODUCT(MAX((BE$4:BE40&lt;=BE41)*BK$4:BK40)),SUMPRODUCT(MAX((BE$4:BE40&gt;BE41)*BJ$4:BJ40))+Headway))</f>
        <v/>
      </c>
      <c r="BK41">
        <f>IF(BD41="","",BJ41+BI41)</f>
        <v/>
      </c>
      <c r="BL41">
        <f>IF(BD41="","",BK41+BE41*WalkSec)</f>
        <v/>
      </c>
      <c r="BM41" t="n">
        <v>38</v>
      </c>
      <c r="BN41">
        <f>IF(38&gt;Passengers,"",MATCH(38,AD$4:AD$183,0))</f>
        <v/>
      </c>
      <c r="BO41">
        <f>IF(BN41="","",INDEX($B$4:$B$183,BN41))</f>
        <v/>
      </c>
      <c r="BP41">
        <f>IF(BN41="","",INDEX($C$4:$C$183,BN41))</f>
        <v/>
      </c>
      <c r="BQ41">
        <f>IF(BN41="","",INDEX($D$4:$D$183,BN41))</f>
        <v/>
      </c>
      <c r="BR41">
        <f>IF(BN41="","",COUNTIFS($B$4:$B$183,BO41,$C$4:$C$183,BP41,$D$4:$D$183,"&gt;"&amp;BQ41,AD$4:AD$183,"&lt;"&amp;38,$G$4:$G$183,1))</f>
        <v/>
      </c>
      <c r="BS41">
        <f>IF(BN41="","",INDEX($M$4:$M$183,BN41)+IF(BR41=1,Shuffle1,IF(BR41&gt;=2,Shuffle2,0)))</f>
        <v/>
      </c>
      <c r="BT41">
        <f>IF(BN41="","",MAX(DoorGap*37,SUMPRODUCT(MAX((BO$4:BO40&lt;=BO41)*BU$4:BU40)),SUMPRODUCT(MAX((BO$4:BO40&gt;BO41)*BT$4:BT40))+Headway))</f>
        <v/>
      </c>
      <c r="BU41">
        <f>IF(BN41="","",BT41+BS41)</f>
        <v/>
      </c>
      <c r="BV41">
        <f>IF(BN41="","",BU41+BO41*WalkSec)</f>
        <v/>
      </c>
      <c r="BW41">
        <f>IF($G41=0,"",INDEX(AR$4:AR$183,R41))</f>
        <v/>
      </c>
      <c r="BX41">
        <f>IF($G41=0,"",INDEX(BB$4:BB$183,V41))</f>
        <v/>
      </c>
      <c r="BY41">
        <f>IF($G41=0,"",INDEX(BL$4:BL$183,Z41))</f>
        <v/>
      </c>
      <c r="BZ41">
        <f>IF($G41=0,"",INDEX(BV$4:BV$183,AD41))</f>
        <v/>
      </c>
    </row>
    <row r="42">
      <c r="A42" t="n">
        <v>39</v>
      </c>
      <c r="B42" t="n">
        <v>7</v>
      </c>
      <c r="C42" t="n">
        <v>1</v>
      </c>
      <c r="D42" t="n">
        <v>3</v>
      </c>
      <c r="E42" t="n">
        <v>13</v>
      </c>
      <c r="F42">
        <f>RAND()</f>
        <v/>
      </c>
      <c r="G42">
        <f>IF(SUMPRODUCT(($F$4:$F$183&lt;F42)*1)+SUMPRODUCT(($F$4:$F$183=F42)*($A$4:$A$183&lt;A42))&lt;Passengers,1,0)</f>
        <v/>
      </c>
      <c r="H42">
        <f>RAND()</f>
        <v/>
      </c>
      <c r="I42">
        <f>RAND()</f>
        <v/>
      </c>
      <c r="J42">
        <f>RAND()</f>
        <v/>
      </c>
      <c r="K42">
        <f>RAND()</f>
        <v/>
      </c>
      <c r="L42">
        <f>RAND()</f>
        <v/>
      </c>
      <c r="M42">
        <f>IF(K42&lt;BagShare,EXP(NORMSINV(L42)*StowSigma+StowMu),StowNoBag)</f>
        <v/>
      </c>
      <c r="N42">
        <f>IF(INDEX($AG$4:$AG$63,E42)&lt;GroupShare,1,0)</f>
        <v/>
      </c>
      <c r="P42">
        <f>IF(G42=1,IF(I42&gt;Compliance,J42,$H42),2)</f>
        <v/>
      </c>
      <c r="Q42">
        <f>IF(G42=0,2,IF(N42=0,P42,1-SUMPRODUCT(MAX(($E$4:$E$183=E42)*($G$4:$G$183=1)*(1-P$4:P$183)))+0.000000001*D42))</f>
        <v/>
      </c>
      <c r="R42">
        <f>IF(G42=0,999,SUMPRODUCT((Q$4:Q$183&lt;Q42)*($G$4:$G$183=1))+SUMPRODUCT((Q$4:Q$183=Q42)*($G$4:$G$183=1)*($A$4:$A$183&lt;A42))+1)</f>
        <v/>
      </c>
      <c r="T42">
        <f>IF(G42=1,IF(I42&gt;Compliance,J42,(INT((30-$B42)/(30/Zones))+$H42)/Zones),2)</f>
        <v/>
      </c>
      <c r="U42">
        <f>IF(G42=0,2,IF(N42=0,T42,1-SUMPRODUCT(MAX(($E$4:$E$183=E42)*($G$4:$G$183=1)*(1-T$4:T$183)))+0.000000001*D42))</f>
        <v/>
      </c>
      <c r="V42">
        <f>IF(G42=0,999,SUMPRODUCT((U$4:U$183&lt;U42)*($G$4:$G$183=1))+SUMPRODUCT((U$4:U$183=U42)*($G$4:$G$183=1)*($A$4:$A$183&lt;A42))+1)</f>
        <v/>
      </c>
      <c r="X42">
        <f>IF(G42=1,IF(I42&gt;Compliance,J42,(($D42-1)+$H42)/3),2)</f>
        <v/>
      </c>
      <c r="Y42">
        <f>IF(G42=0,2,IF(N42=0,X42,1-SUMPRODUCT(MAX(($E$4:$E$183=E42)*($G$4:$G$183=1)*(1-X$4:X$183)))+0.000000001*D42))</f>
        <v/>
      </c>
      <c r="Z42">
        <f>IF(G42=0,999,SUMPRODUCT((Y$4:Y$183&lt;Y42)*($G$4:$G$183=1))+SUMPRODUCT((Y$4:Y$183=Y42)*($G$4:$G$183=1)*($A$4:$A$183&lt;A42))+1)</f>
        <v/>
      </c>
      <c r="AB42">
        <f>IF(G42=1,IF(I42&gt;Compliance,J42,((($D42-1)*4+($C42-1)*2+MOD($B42,2))+(30-$B42)/30)/12),2)</f>
        <v/>
      </c>
      <c r="AC42">
        <f>IF(G42=0,2,IF(N42=0,AB42,1-SUMPRODUCT(MAX(($E$4:$E$183=E42)*($G$4:$G$183=1)*(1-AB$4:AB$183)))+0.000000001*D42))</f>
        <v/>
      </c>
      <c r="AD42">
        <f>IF(G42=0,999,SUMPRODUCT((AC$4:AC$183&lt;AC42)*($G$4:$G$183=1))+SUMPRODUCT((AC$4:AC$183=AC42)*($G$4:$G$183=1)*($A$4:$A$183&lt;A42))+1)</f>
        <v/>
      </c>
      <c r="AF42" t="n">
        <v>39</v>
      </c>
      <c r="AG42">
        <f>RAND()</f>
        <v/>
      </c>
      <c r="AI42" t="n">
        <v>39</v>
      </c>
      <c r="AJ42">
        <f>IF(39&gt;Passengers,"",MATCH(39,R$4:R$183,0))</f>
        <v/>
      </c>
      <c r="AK42">
        <f>IF(AJ42="","",INDEX($B$4:$B$183,AJ42))</f>
        <v/>
      </c>
      <c r="AL42">
        <f>IF(AJ42="","",INDEX($C$4:$C$183,AJ42))</f>
        <v/>
      </c>
      <c r="AM42">
        <f>IF(AJ42="","",INDEX($D$4:$D$183,AJ42))</f>
        <v/>
      </c>
      <c r="AN42">
        <f>IF(AJ42="","",COUNTIFS($B$4:$B$183,AK42,$C$4:$C$183,AL42,$D$4:$D$183,"&gt;"&amp;AM42,R$4:R$183,"&lt;"&amp;39,$G$4:$G$183,1))</f>
        <v/>
      </c>
      <c r="AO42">
        <f>IF(AJ42="","",INDEX($M$4:$M$183,AJ42)+IF(AN42=1,Shuffle1,IF(AN42&gt;=2,Shuffle2,0)))</f>
        <v/>
      </c>
      <c r="AP42">
        <f>IF(AJ42="","",MAX(DoorGap*38,SUMPRODUCT(MAX((AK$4:AK41&lt;=AK42)*AQ$4:AQ41)),SUMPRODUCT(MAX((AK$4:AK41&gt;AK42)*AP$4:AP41))+Headway))</f>
        <v/>
      </c>
      <c r="AQ42">
        <f>IF(AJ42="","",AP42+AO42)</f>
        <v/>
      </c>
      <c r="AR42">
        <f>IF(AJ42="","",AQ42+AK42*WalkSec)</f>
        <v/>
      </c>
      <c r="AS42" t="n">
        <v>39</v>
      </c>
      <c r="AT42">
        <f>IF(39&gt;Passengers,"",MATCH(39,V$4:V$183,0))</f>
        <v/>
      </c>
      <c r="AU42">
        <f>IF(AT42="","",INDEX($B$4:$B$183,AT42))</f>
        <v/>
      </c>
      <c r="AV42">
        <f>IF(AT42="","",INDEX($C$4:$C$183,AT42))</f>
        <v/>
      </c>
      <c r="AW42">
        <f>IF(AT42="","",INDEX($D$4:$D$183,AT42))</f>
        <v/>
      </c>
      <c r="AX42">
        <f>IF(AT42="","",COUNTIFS($B$4:$B$183,AU42,$C$4:$C$183,AV42,$D$4:$D$183,"&gt;"&amp;AW42,V$4:V$183,"&lt;"&amp;39,$G$4:$G$183,1))</f>
        <v/>
      </c>
      <c r="AY42">
        <f>IF(AT42="","",INDEX($M$4:$M$183,AT42)+IF(AX42=1,Shuffle1,IF(AX42&gt;=2,Shuffle2,0)))</f>
        <v/>
      </c>
      <c r="AZ42">
        <f>IF(AT42="","",MAX(DoorGap*38,SUMPRODUCT(MAX((AU$4:AU41&lt;=AU42)*BA$4:BA41)),SUMPRODUCT(MAX((AU$4:AU41&gt;AU42)*AZ$4:AZ41))+Headway))</f>
        <v/>
      </c>
      <c r="BA42">
        <f>IF(AT42="","",AZ42+AY42)</f>
        <v/>
      </c>
      <c r="BB42">
        <f>IF(AT42="","",BA42+AU42*WalkSec)</f>
        <v/>
      </c>
      <c r="BC42" t="n">
        <v>39</v>
      </c>
      <c r="BD42">
        <f>IF(39&gt;Passengers,"",MATCH(39,Z$4:Z$183,0))</f>
        <v/>
      </c>
      <c r="BE42">
        <f>IF(BD42="","",INDEX($B$4:$B$183,BD42))</f>
        <v/>
      </c>
      <c r="BF42">
        <f>IF(BD42="","",INDEX($C$4:$C$183,BD42))</f>
        <v/>
      </c>
      <c r="BG42">
        <f>IF(BD42="","",INDEX($D$4:$D$183,BD42))</f>
        <v/>
      </c>
      <c r="BH42">
        <f>IF(BD42="","",COUNTIFS($B$4:$B$183,BE42,$C$4:$C$183,BF42,$D$4:$D$183,"&gt;"&amp;BG42,Z$4:Z$183,"&lt;"&amp;39,$G$4:$G$183,1))</f>
        <v/>
      </c>
      <c r="BI42">
        <f>IF(BD42="","",INDEX($M$4:$M$183,BD42)+IF(BH42=1,Shuffle1,IF(BH42&gt;=2,Shuffle2,0)))</f>
        <v/>
      </c>
      <c r="BJ42">
        <f>IF(BD42="","",MAX(DoorGap*38,SUMPRODUCT(MAX((BE$4:BE41&lt;=BE42)*BK$4:BK41)),SUMPRODUCT(MAX((BE$4:BE41&gt;BE42)*BJ$4:BJ41))+Headway))</f>
        <v/>
      </c>
      <c r="BK42">
        <f>IF(BD42="","",BJ42+BI42)</f>
        <v/>
      </c>
      <c r="BL42">
        <f>IF(BD42="","",BK42+BE42*WalkSec)</f>
        <v/>
      </c>
      <c r="BM42" t="n">
        <v>39</v>
      </c>
      <c r="BN42">
        <f>IF(39&gt;Passengers,"",MATCH(39,AD$4:AD$183,0))</f>
        <v/>
      </c>
      <c r="BO42">
        <f>IF(BN42="","",INDEX($B$4:$B$183,BN42))</f>
        <v/>
      </c>
      <c r="BP42">
        <f>IF(BN42="","",INDEX($C$4:$C$183,BN42))</f>
        <v/>
      </c>
      <c r="BQ42">
        <f>IF(BN42="","",INDEX($D$4:$D$183,BN42))</f>
        <v/>
      </c>
      <c r="BR42">
        <f>IF(BN42="","",COUNTIFS($B$4:$B$183,BO42,$C$4:$C$183,BP42,$D$4:$D$183,"&gt;"&amp;BQ42,AD$4:AD$183,"&lt;"&amp;39,$G$4:$G$183,1))</f>
        <v/>
      </c>
      <c r="BS42">
        <f>IF(BN42="","",INDEX($M$4:$M$183,BN42)+IF(BR42=1,Shuffle1,IF(BR42&gt;=2,Shuffle2,0)))</f>
        <v/>
      </c>
      <c r="BT42">
        <f>IF(BN42="","",MAX(DoorGap*38,SUMPRODUCT(MAX((BO$4:BO41&lt;=BO42)*BU$4:BU41)),SUMPRODUCT(MAX((BO$4:BO41&gt;BO42)*BT$4:BT41))+Headway))</f>
        <v/>
      </c>
      <c r="BU42">
        <f>IF(BN42="","",BT42+BS42)</f>
        <v/>
      </c>
      <c r="BV42">
        <f>IF(BN42="","",BU42+BO42*WalkSec)</f>
        <v/>
      </c>
      <c r="BW42">
        <f>IF($G42=0,"",INDEX(AR$4:AR$183,R42))</f>
        <v/>
      </c>
      <c r="BX42">
        <f>IF($G42=0,"",INDEX(BB$4:BB$183,V42))</f>
        <v/>
      </c>
      <c r="BY42">
        <f>IF($G42=0,"",INDEX(BL$4:BL$183,Z42))</f>
        <v/>
      </c>
      <c r="BZ42">
        <f>IF($G42=0,"",INDEX(BV$4:BV$183,AD42))</f>
        <v/>
      </c>
    </row>
    <row r="43">
      <c r="A43" t="n">
        <v>40</v>
      </c>
      <c r="B43" t="n">
        <v>7</v>
      </c>
      <c r="C43" t="n">
        <v>2</v>
      </c>
      <c r="D43" t="n">
        <v>1</v>
      </c>
      <c r="E43" t="n">
        <v>14</v>
      </c>
      <c r="F43">
        <f>RAND()</f>
        <v/>
      </c>
      <c r="G43">
        <f>IF(SUMPRODUCT(($F$4:$F$183&lt;F43)*1)+SUMPRODUCT(($F$4:$F$183=F43)*($A$4:$A$183&lt;A43))&lt;Passengers,1,0)</f>
        <v/>
      </c>
      <c r="H43">
        <f>RAND()</f>
        <v/>
      </c>
      <c r="I43">
        <f>RAND()</f>
        <v/>
      </c>
      <c r="J43">
        <f>RAND()</f>
        <v/>
      </c>
      <c r="K43">
        <f>RAND()</f>
        <v/>
      </c>
      <c r="L43">
        <f>RAND()</f>
        <v/>
      </c>
      <c r="M43">
        <f>IF(K43&lt;BagShare,EXP(NORMSINV(L43)*StowSigma+StowMu),StowNoBag)</f>
        <v/>
      </c>
      <c r="N43">
        <f>IF(INDEX($AG$4:$AG$63,E43)&lt;GroupShare,1,0)</f>
        <v/>
      </c>
      <c r="P43">
        <f>IF(G43=1,IF(I43&gt;Compliance,J43,$H43),2)</f>
        <v/>
      </c>
      <c r="Q43">
        <f>IF(G43=0,2,IF(N43=0,P43,1-SUMPRODUCT(MAX(($E$4:$E$183=E43)*($G$4:$G$183=1)*(1-P$4:P$183)))+0.000000001*D43))</f>
        <v/>
      </c>
      <c r="R43">
        <f>IF(G43=0,999,SUMPRODUCT((Q$4:Q$183&lt;Q43)*($G$4:$G$183=1))+SUMPRODUCT((Q$4:Q$183=Q43)*($G$4:$G$183=1)*($A$4:$A$183&lt;A43))+1)</f>
        <v/>
      </c>
      <c r="T43">
        <f>IF(G43=1,IF(I43&gt;Compliance,J43,(INT((30-$B43)/(30/Zones))+$H43)/Zones),2)</f>
        <v/>
      </c>
      <c r="U43">
        <f>IF(G43=0,2,IF(N43=0,T43,1-SUMPRODUCT(MAX(($E$4:$E$183=E43)*($G$4:$G$183=1)*(1-T$4:T$183)))+0.000000001*D43))</f>
        <v/>
      </c>
      <c r="V43">
        <f>IF(G43=0,999,SUMPRODUCT((U$4:U$183&lt;U43)*($G$4:$G$183=1))+SUMPRODUCT((U$4:U$183=U43)*($G$4:$G$183=1)*($A$4:$A$183&lt;A43))+1)</f>
        <v/>
      </c>
      <c r="X43">
        <f>IF(G43=1,IF(I43&gt;Compliance,J43,(($D43-1)+$H43)/3),2)</f>
        <v/>
      </c>
      <c r="Y43">
        <f>IF(G43=0,2,IF(N43=0,X43,1-SUMPRODUCT(MAX(($E$4:$E$183=E43)*($G$4:$G$183=1)*(1-X$4:X$183)))+0.000000001*D43))</f>
        <v/>
      </c>
      <c r="Z43">
        <f>IF(G43=0,999,SUMPRODUCT((Y$4:Y$183&lt;Y43)*($G$4:$G$183=1))+SUMPRODUCT((Y$4:Y$183=Y43)*($G$4:$G$183=1)*($A$4:$A$183&lt;A43))+1)</f>
        <v/>
      </c>
      <c r="AB43">
        <f>IF(G43=1,IF(I43&gt;Compliance,J43,((($D43-1)*4+($C43-1)*2+MOD($B43,2))+(30-$B43)/30)/12),2)</f>
        <v/>
      </c>
      <c r="AC43">
        <f>IF(G43=0,2,IF(N43=0,AB43,1-SUMPRODUCT(MAX(($E$4:$E$183=E43)*($G$4:$G$183=1)*(1-AB$4:AB$183)))+0.000000001*D43))</f>
        <v/>
      </c>
      <c r="AD43">
        <f>IF(G43=0,999,SUMPRODUCT((AC$4:AC$183&lt;AC43)*($G$4:$G$183=1))+SUMPRODUCT((AC$4:AC$183=AC43)*($G$4:$G$183=1)*($A$4:$A$183&lt;A43))+1)</f>
        <v/>
      </c>
      <c r="AF43" t="n">
        <v>40</v>
      </c>
      <c r="AG43">
        <f>RAND()</f>
        <v/>
      </c>
      <c r="AI43" t="n">
        <v>40</v>
      </c>
      <c r="AJ43">
        <f>IF(40&gt;Passengers,"",MATCH(40,R$4:R$183,0))</f>
        <v/>
      </c>
      <c r="AK43">
        <f>IF(AJ43="","",INDEX($B$4:$B$183,AJ43))</f>
        <v/>
      </c>
      <c r="AL43">
        <f>IF(AJ43="","",INDEX($C$4:$C$183,AJ43))</f>
        <v/>
      </c>
      <c r="AM43">
        <f>IF(AJ43="","",INDEX($D$4:$D$183,AJ43))</f>
        <v/>
      </c>
      <c r="AN43">
        <f>IF(AJ43="","",COUNTIFS($B$4:$B$183,AK43,$C$4:$C$183,AL43,$D$4:$D$183,"&gt;"&amp;AM43,R$4:R$183,"&lt;"&amp;40,$G$4:$G$183,1))</f>
        <v/>
      </c>
      <c r="AO43">
        <f>IF(AJ43="","",INDEX($M$4:$M$183,AJ43)+IF(AN43=1,Shuffle1,IF(AN43&gt;=2,Shuffle2,0)))</f>
        <v/>
      </c>
      <c r="AP43">
        <f>IF(AJ43="","",MAX(DoorGap*39,SUMPRODUCT(MAX((AK$4:AK42&lt;=AK43)*AQ$4:AQ42)),SUMPRODUCT(MAX((AK$4:AK42&gt;AK43)*AP$4:AP42))+Headway))</f>
        <v/>
      </c>
      <c r="AQ43">
        <f>IF(AJ43="","",AP43+AO43)</f>
        <v/>
      </c>
      <c r="AR43">
        <f>IF(AJ43="","",AQ43+AK43*WalkSec)</f>
        <v/>
      </c>
      <c r="AS43" t="n">
        <v>40</v>
      </c>
      <c r="AT43">
        <f>IF(40&gt;Passengers,"",MATCH(40,V$4:V$183,0))</f>
        <v/>
      </c>
      <c r="AU43">
        <f>IF(AT43="","",INDEX($B$4:$B$183,AT43))</f>
        <v/>
      </c>
      <c r="AV43">
        <f>IF(AT43="","",INDEX($C$4:$C$183,AT43))</f>
        <v/>
      </c>
      <c r="AW43">
        <f>IF(AT43="","",INDEX($D$4:$D$183,AT43))</f>
        <v/>
      </c>
      <c r="AX43">
        <f>IF(AT43="","",COUNTIFS($B$4:$B$183,AU43,$C$4:$C$183,AV43,$D$4:$D$183,"&gt;"&amp;AW43,V$4:V$183,"&lt;"&amp;40,$G$4:$G$183,1))</f>
        <v/>
      </c>
      <c r="AY43">
        <f>IF(AT43="","",INDEX($M$4:$M$183,AT43)+IF(AX43=1,Shuffle1,IF(AX43&gt;=2,Shuffle2,0)))</f>
        <v/>
      </c>
      <c r="AZ43">
        <f>IF(AT43="","",MAX(DoorGap*39,SUMPRODUCT(MAX((AU$4:AU42&lt;=AU43)*BA$4:BA42)),SUMPRODUCT(MAX((AU$4:AU42&gt;AU43)*AZ$4:AZ42))+Headway))</f>
        <v/>
      </c>
      <c r="BA43">
        <f>IF(AT43="","",AZ43+AY43)</f>
        <v/>
      </c>
      <c r="BB43">
        <f>IF(AT43="","",BA43+AU43*WalkSec)</f>
        <v/>
      </c>
      <c r="BC43" t="n">
        <v>40</v>
      </c>
      <c r="BD43">
        <f>IF(40&gt;Passengers,"",MATCH(40,Z$4:Z$183,0))</f>
        <v/>
      </c>
      <c r="BE43">
        <f>IF(BD43="","",INDEX($B$4:$B$183,BD43))</f>
        <v/>
      </c>
      <c r="BF43">
        <f>IF(BD43="","",INDEX($C$4:$C$183,BD43))</f>
        <v/>
      </c>
      <c r="BG43">
        <f>IF(BD43="","",INDEX($D$4:$D$183,BD43))</f>
        <v/>
      </c>
      <c r="BH43">
        <f>IF(BD43="","",COUNTIFS($B$4:$B$183,BE43,$C$4:$C$183,BF43,$D$4:$D$183,"&gt;"&amp;BG43,Z$4:Z$183,"&lt;"&amp;40,$G$4:$G$183,1))</f>
        <v/>
      </c>
      <c r="BI43">
        <f>IF(BD43="","",INDEX($M$4:$M$183,BD43)+IF(BH43=1,Shuffle1,IF(BH43&gt;=2,Shuffle2,0)))</f>
        <v/>
      </c>
      <c r="BJ43">
        <f>IF(BD43="","",MAX(DoorGap*39,SUMPRODUCT(MAX((BE$4:BE42&lt;=BE43)*BK$4:BK42)),SUMPRODUCT(MAX((BE$4:BE42&gt;BE43)*BJ$4:BJ42))+Headway))</f>
        <v/>
      </c>
      <c r="BK43">
        <f>IF(BD43="","",BJ43+BI43)</f>
        <v/>
      </c>
      <c r="BL43">
        <f>IF(BD43="","",BK43+BE43*WalkSec)</f>
        <v/>
      </c>
      <c r="BM43" t="n">
        <v>40</v>
      </c>
      <c r="BN43">
        <f>IF(40&gt;Passengers,"",MATCH(40,AD$4:AD$183,0))</f>
        <v/>
      </c>
      <c r="BO43">
        <f>IF(BN43="","",INDEX($B$4:$B$183,BN43))</f>
        <v/>
      </c>
      <c r="BP43">
        <f>IF(BN43="","",INDEX($C$4:$C$183,BN43))</f>
        <v/>
      </c>
      <c r="BQ43">
        <f>IF(BN43="","",INDEX($D$4:$D$183,BN43))</f>
        <v/>
      </c>
      <c r="BR43">
        <f>IF(BN43="","",COUNTIFS($B$4:$B$183,BO43,$C$4:$C$183,BP43,$D$4:$D$183,"&gt;"&amp;BQ43,AD$4:AD$183,"&lt;"&amp;40,$G$4:$G$183,1))</f>
        <v/>
      </c>
      <c r="BS43">
        <f>IF(BN43="","",INDEX($M$4:$M$183,BN43)+IF(BR43=1,Shuffle1,IF(BR43&gt;=2,Shuffle2,0)))</f>
        <v/>
      </c>
      <c r="BT43">
        <f>IF(BN43="","",MAX(DoorGap*39,SUMPRODUCT(MAX((BO$4:BO42&lt;=BO43)*BU$4:BU42)),SUMPRODUCT(MAX((BO$4:BO42&gt;BO43)*BT$4:BT42))+Headway))</f>
        <v/>
      </c>
      <c r="BU43">
        <f>IF(BN43="","",BT43+BS43)</f>
        <v/>
      </c>
      <c r="BV43">
        <f>IF(BN43="","",BU43+BO43*WalkSec)</f>
        <v/>
      </c>
      <c r="BW43">
        <f>IF($G43=0,"",INDEX(AR$4:AR$183,R43))</f>
        <v/>
      </c>
      <c r="BX43">
        <f>IF($G43=0,"",INDEX(BB$4:BB$183,V43))</f>
        <v/>
      </c>
      <c r="BY43">
        <f>IF($G43=0,"",INDEX(BL$4:BL$183,Z43))</f>
        <v/>
      </c>
      <c r="BZ43">
        <f>IF($G43=0,"",INDEX(BV$4:BV$183,AD43))</f>
        <v/>
      </c>
    </row>
    <row r="44">
      <c r="A44" t="n">
        <v>41</v>
      </c>
      <c r="B44" t="n">
        <v>7</v>
      </c>
      <c r="C44" t="n">
        <v>2</v>
      </c>
      <c r="D44" t="n">
        <v>2</v>
      </c>
      <c r="E44" t="n">
        <v>14</v>
      </c>
      <c r="F44">
        <f>RAND()</f>
        <v/>
      </c>
      <c r="G44">
        <f>IF(SUMPRODUCT(($F$4:$F$183&lt;F44)*1)+SUMPRODUCT(($F$4:$F$183=F44)*($A$4:$A$183&lt;A44))&lt;Passengers,1,0)</f>
        <v/>
      </c>
      <c r="H44">
        <f>RAND()</f>
        <v/>
      </c>
      <c r="I44">
        <f>RAND()</f>
        <v/>
      </c>
      <c r="J44">
        <f>RAND()</f>
        <v/>
      </c>
      <c r="K44">
        <f>RAND()</f>
        <v/>
      </c>
      <c r="L44">
        <f>RAND()</f>
        <v/>
      </c>
      <c r="M44">
        <f>IF(K44&lt;BagShare,EXP(NORMSINV(L44)*StowSigma+StowMu),StowNoBag)</f>
        <v/>
      </c>
      <c r="N44">
        <f>IF(INDEX($AG$4:$AG$63,E44)&lt;GroupShare,1,0)</f>
        <v/>
      </c>
      <c r="P44">
        <f>IF(G44=1,IF(I44&gt;Compliance,J44,$H44),2)</f>
        <v/>
      </c>
      <c r="Q44">
        <f>IF(G44=0,2,IF(N44=0,P44,1-SUMPRODUCT(MAX(($E$4:$E$183=E44)*($G$4:$G$183=1)*(1-P$4:P$183)))+0.000000001*D44))</f>
        <v/>
      </c>
      <c r="R44">
        <f>IF(G44=0,999,SUMPRODUCT((Q$4:Q$183&lt;Q44)*($G$4:$G$183=1))+SUMPRODUCT((Q$4:Q$183=Q44)*($G$4:$G$183=1)*($A$4:$A$183&lt;A44))+1)</f>
        <v/>
      </c>
      <c r="T44">
        <f>IF(G44=1,IF(I44&gt;Compliance,J44,(INT((30-$B44)/(30/Zones))+$H44)/Zones),2)</f>
        <v/>
      </c>
      <c r="U44">
        <f>IF(G44=0,2,IF(N44=0,T44,1-SUMPRODUCT(MAX(($E$4:$E$183=E44)*($G$4:$G$183=1)*(1-T$4:T$183)))+0.000000001*D44))</f>
        <v/>
      </c>
      <c r="V44">
        <f>IF(G44=0,999,SUMPRODUCT((U$4:U$183&lt;U44)*($G$4:$G$183=1))+SUMPRODUCT((U$4:U$183=U44)*($G$4:$G$183=1)*($A$4:$A$183&lt;A44))+1)</f>
        <v/>
      </c>
      <c r="X44">
        <f>IF(G44=1,IF(I44&gt;Compliance,J44,(($D44-1)+$H44)/3),2)</f>
        <v/>
      </c>
      <c r="Y44">
        <f>IF(G44=0,2,IF(N44=0,X44,1-SUMPRODUCT(MAX(($E$4:$E$183=E44)*($G$4:$G$183=1)*(1-X$4:X$183)))+0.000000001*D44))</f>
        <v/>
      </c>
      <c r="Z44">
        <f>IF(G44=0,999,SUMPRODUCT((Y$4:Y$183&lt;Y44)*($G$4:$G$183=1))+SUMPRODUCT((Y$4:Y$183=Y44)*($G$4:$G$183=1)*($A$4:$A$183&lt;A44))+1)</f>
        <v/>
      </c>
      <c r="AB44">
        <f>IF(G44=1,IF(I44&gt;Compliance,J44,((($D44-1)*4+($C44-1)*2+MOD($B44,2))+(30-$B44)/30)/12),2)</f>
        <v/>
      </c>
      <c r="AC44">
        <f>IF(G44=0,2,IF(N44=0,AB44,1-SUMPRODUCT(MAX(($E$4:$E$183=E44)*($G$4:$G$183=1)*(1-AB$4:AB$183)))+0.000000001*D44))</f>
        <v/>
      </c>
      <c r="AD44">
        <f>IF(G44=0,999,SUMPRODUCT((AC$4:AC$183&lt;AC44)*($G$4:$G$183=1))+SUMPRODUCT((AC$4:AC$183=AC44)*($G$4:$G$183=1)*($A$4:$A$183&lt;A44))+1)</f>
        <v/>
      </c>
      <c r="AF44" t="n">
        <v>41</v>
      </c>
      <c r="AG44">
        <f>RAND()</f>
        <v/>
      </c>
      <c r="AI44" t="n">
        <v>41</v>
      </c>
      <c r="AJ44">
        <f>IF(41&gt;Passengers,"",MATCH(41,R$4:R$183,0))</f>
        <v/>
      </c>
      <c r="AK44">
        <f>IF(AJ44="","",INDEX($B$4:$B$183,AJ44))</f>
        <v/>
      </c>
      <c r="AL44">
        <f>IF(AJ44="","",INDEX($C$4:$C$183,AJ44))</f>
        <v/>
      </c>
      <c r="AM44">
        <f>IF(AJ44="","",INDEX($D$4:$D$183,AJ44))</f>
        <v/>
      </c>
      <c r="AN44">
        <f>IF(AJ44="","",COUNTIFS($B$4:$B$183,AK44,$C$4:$C$183,AL44,$D$4:$D$183,"&gt;"&amp;AM44,R$4:R$183,"&lt;"&amp;41,$G$4:$G$183,1))</f>
        <v/>
      </c>
      <c r="AO44">
        <f>IF(AJ44="","",INDEX($M$4:$M$183,AJ44)+IF(AN44=1,Shuffle1,IF(AN44&gt;=2,Shuffle2,0)))</f>
        <v/>
      </c>
      <c r="AP44">
        <f>IF(AJ44="","",MAX(DoorGap*40,SUMPRODUCT(MAX((AK$4:AK43&lt;=AK44)*AQ$4:AQ43)),SUMPRODUCT(MAX((AK$4:AK43&gt;AK44)*AP$4:AP43))+Headway))</f>
        <v/>
      </c>
      <c r="AQ44">
        <f>IF(AJ44="","",AP44+AO44)</f>
        <v/>
      </c>
      <c r="AR44">
        <f>IF(AJ44="","",AQ44+AK44*WalkSec)</f>
        <v/>
      </c>
      <c r="AS44" t="n">
        <v>41</v>
      </c>
      <c r="AT44">
        <f>IF(41&gt;Passengers,"",MATCH(41,V$4:V$183,0))</f>
        <v/>
      </c>
      <c r="AU44">
        <f>IF(AT44="","",INDEX($B$4:$B$183,AT44))</f>
        <v/>
      </c>
      <c r="AV44">
        <f>IF(AT44="","",INDEX($C$4:$C$183,AT44))</f>
        <v/>
      </c>
      <c r="AW44">
        <f>IF(AT44="","",INDEX($D$4:$D$183,AT44))</f>
        <v/>
      </c>
      <c r="AX44">
        <f>IF(AT44="","",COUNTIFS($B$4:$B$183,AU44,$C$4:$C$183,AV44,$D$4:$D$183,"&gt;"&amp;AW44,V$4:V$183,"&lt;"&amp;41,$G$4:$G$183,1))</f>
        <v/>
      </c>
      <c r="AY44">
        <f>IF(AT44="","",INDEX($M$4:$M$183,AT44)+IF(AX44=1,Shuffle1,IF(AX44&gt;=2,Shuffle2,0)))</f>
        <v/>
      </c>
      <c r="AZ44">
        <f>IF(AT44="","",MAX(DoorGap*40,SUMPRODUCT(MAX((AU$4:AU43&lt;=AU44)*BA$4:BA43)),SUMPRODUCT(MAX((AU$4:AU43&gt;AU44)*AZ$4:AZ43))+Headway))</f>
        <v/>
      </c>
      <c r="BA44">
        <f>IF(AT44="","",AZ44+AY44)</f>
        <v/>
      </c>
      <c r="BB44">
        <f>IF(AT44="","",BA44+AU44*WalkSec)</f>
        <v/>
      </c>
      <c r="BC44" t="n">
        <v>41</v>
      </c>
      <c r="BD44">
        <f>IF(41&gt;Passengers,"",MATCH(41,Z$4:Z$183,0))</f>
        <v/>
      </c>
      <c r="BE44">
        <f>IF(BD44="","",INDEX($B$4:$B$183,BD44))</f>
        <v/>
      </c>
      <c r="BF44">
        <f>IF(BD44="","",INDEX($C$4:$C$183,BD44))</f>
        <v/>
      </c>
      <c r="BG44">
        <f>IF(BD44="","",INDEX($D$4:$D$183,BD44))</f>
        <v/>
      </c>
      <c r="BH44">
        <f>IF(BD44="","",COUNTIFS($B$4:$B$183,BE44,$C$4:$C$183,BF44,$D$4:$D$183,"&gt;"&amp;BG44,Z$4:Z$183,"&lt;"&amp;41,$G$4:$G$183,1))</f>
        <v/>
      </c>
      <c r="BI44">
        <f>IF(BD44="","",INDEX($M$4:$M$183,BD44)+IF(BH44=1,Shuffle1,IF(BH44&gt;=2,Shuffle2,0)))</f>
        <v/>
      </c>
      <c r="BJ44">
        <f>IF(BD44="","",MAX(DoorGap*40,SUMPRODUCT(MAX((BE$4:BE43&lt;=BE44)*BK$4:BK43)),SUMPRODUCT(MAX((BE$4:BE43&gt;BE44)*BJ$4:BJ43))+Headway))</f>
        <v/>
      </c>
      <c r="BK44">
        <f>IF(BD44="","",BJ44+BI44)</f>
        <v/>
      </c>
      <c r="BL44">
        <f>IF(BD44="","",BK44+BE44*WalkSec)</f>
        <v/>
      </c>
      <c r="BM44" t="n">
        <v>41</v>
      </c>
      <c r="BN44">
        <f>IF(41&gt;Passengers,"",MATCH(41,AD$4:AD$183,0))</f>
        <v/>
      </c>
      <c r="BO44">
        <f>IF(BN44="","",INDEX($B$4:$B$183,BN44))</f>
        <v/>
      </c>
      <c r="BP44">
        <f>IF(BN44="","",INDEX($C$4:$C$183,BN44))</f>
        <v/>
      </c>
      <c r="BQ44">
        <f>IF(BN44="","",INDEX($D$4:$D$183,BN44))</f>
        <v/>
      </c>
      <c r="BR44">
        <f>IF(BN44="","",COUNTIFS($B$4:$B$183,BO44,$C$4:$C$183,BP44,$D$4:$D$183,"&gt;"&amp;BQ44,AD$4:AD$183,"&lt;"&amp;41,$G$4:$G$183,1))</f>
        <v/>
      </c>
      <c r="BS44">
        <f>IF(BN44="","",INDEX($M$4:$M$183,BN44)+IF(BR44=1,Shuffle1,IF(BR44&gt;=2,Shuffle2,0)))</f>
        <v/>
      </c>
      <c r="BT44">
        <f>IF(BN44="","",MAX(DoorGap*40,SUMPRODUCT(MAX((BO$4:BO43&lt;=BO44)*BU$4:BU43)),SUMPRODUCT(MAX((BO$4:BO43&gt;BO44)*BT$4:BT43))+Headway))</f>
        <v/>
      </c>
      <c r="BU44">
        <f>IF(BN44="","",BT44+BS44)</f>
        <v/>
      </c>
      <c r="BV44">
        <f>IF(BN44="","",BU44+BO44*WalkSec)</f>
        <v/>
      </c>
      <c r="BW44">
        <f>IF($G44=0,"",INDEX(AR$4:AR$183,R44))</f>
        <v/>
      </c>
      <c r="BX44">
        <f>IF($G44=0,"",INDEX(BB$4:BB$183,V44))</f>
        <v/>
      </c>
      <c r="BY44">
        <f>IF($G44=0,"",INDEX(BL$4:BL$183,Z44))</f>
        <v/>
      </c>
      <c r="BZ44">
        <f>IF($G44=0,"",INDEX(BV$4:BV$183,AD44))</f>
        <v/>
      </c>
    </row>
    <row r="45">
      <c r="A45" t="n">
        <v>42</v>
      </c>
      <c r="B45" t="n">
        <v>7</v>
      </c>
      <c r="C45" t="n">
        <v>2</v>
      </c>
      <c r="D45" t="n">
        <v>3</v>
      </c>
      <c r="E45" t="n">
        <v>14</v>
      </c>
      <c r="F45">
        <f>RAND()</f>
        <v/>
      </c>
      <c r="G45">
        <f>IF(SUMPRODUCT(($F$4:$F$183&lt;F45)*1)+SUMPRODUCT(($F$4:$F$183=F45)*($A$4:$A$183&lt;A45))&lt;Passengers,1,0)</f>
        <v/>
      </c>
      <c r="H45">
        <f>RAND()</f>
        <v/>
      </c>
      <c r="I45">
        <f>RAND()</f>
        <v/>
      </c>
      <c r="J45">
        <f>RAND()</f>
        <v/>
      </c>
      <c r="K45">
        <f>RAND()</f>
        <v/>
      </c>
      <c r="L45">
        <f>RAND()</f>
        <v/>
      </c>
      <c r="M45">
        <f>IF(K45&lt;BagShare,EXP(NORMSINV(L45)*StowSigma+StowMu),StowNoBag)</f>
        <v/>
      </c>
      <c r="N45">
        <f>IF(INDEX($AG$4:$AG$63,E45)&lt;GroupShare,1,0)</f>
        <v/>
      </c>
      <c r="P45">
        <f>IF(G45=1,IF(I45&gt;Compliance,J45,$H45),2)</f>
        <v/>
      </c>
      <c r="Q45">
        <f>IF(G45=0,2,IF(N45=0,P45,1-SUMPRODUCT(MAX(($E$4:$E$183=E45)*($G$4:$G$183=1)*(1-P$4:P$183)))+0.000000001*D45))</f>
        <v/>
      </c>
      <c r="R45">
        <f>IF(G45=0,999,SUMPRODUCT((Q$4:Q$183&lt;Q45)*($G$4:$G$183=1))+SUMPRODUCT((Q$4:Q$183=Q45)*($G$4:$G$183=1)*($A$4:$A$183&lt;A45))+1)</f>
        <v/>
      </c>
      <c r="T45">
        <f>IF(G45=1,IF(I45&gt;Compliance,J45,(INT((30-$B45)/(30/Zones))+$H45)/Zones),2)</f>
        <v/>
      </c>
      <c r="U45">
        <f>IF(G45=0,2,IF(N45=0,T45,1-SUMPRODUCT(MAX(($E$4:$E$183=E45)*($G$4:$G$183=1)*(1-T$4:T$183)))+0.000000001*D45))</f>
        <v/>
      </c>
      <c r="V45">
        <f>IF(G45=0,999,SUMPRODUCT((U$4:U$183&lt;U45)*($G$4:$G$183=1))+SUMPRODUCT((U$4:U$183=U45)*($G$4:$G$183=1)*($A$4:$A$183&lt;A45))+1)</f>
        <v/>
      </c>
      <c r="X45">
        <f>IF(G45=1,IF(I45&gt;Compliance,J45,(($D45-1)+$H45)/3),2)</f>
        <v/>
      </c>
      <c r="Y45">
        <f>IF(G45=0,2,IF(N45=0,X45,1-SUMPRODUCT(MAX(($E$4:$E$183=E45)*($G$4:$G$183=1)*(1-X$4:X$183)))+0.000000001*D45))</f>
        <v/>
      </c>
      <c r="Z45">
        <f>IF(G45=0,999,SUMPRODUCT((Y$4:Y$183&lt;Y45)*($G$4:$G$183=1))+SUMPRODUCT((Y$4:Y$183=Y45)*($G$4:$G$183=1)*($A$4:$A$183&lt;A45))+1)</f>
        <v/>
      </c>
      <c r="AB45">
        <f>IF(G45=1,IF(I45&gt;Compliance,J45,((($D45-1)*4+($C45-1)*2+MOD($B45,2))+(30-$B45)/30)/12),2)</f>
        <v/>
      </c>
      <c r="AC45">
        <f>IF(G45=0,2,IF(N45=0,AB45,1-SUMPRODUCT(MAX(($E$4:$E$183=E45)*($G$4:$G$183=1)*(1-AB$4:AB$183)))+0.000000001*D45))</f>
        <v/>
      </c>
      <c r="AD45">
        <f>IF(G45=0,999,SUMPRODUCT((AC$4:AC$183&lt;AC45)*($G$4:$G$183=1))+SUMPRODUCT((AC$4:AC$183=AC45)*($G$4:$G$183=1)*($A$4:$A$183&lt;A45))+1)</f>
        <v/>
      </c>
      <c r="AF45" t="n">
        <v>42</v>
      </c>
      <c r="AG45">
        <f>RAND()</f>
        <v/>
      </c>
      <c r="AI45" t="n">
        <v>42</v>
      </c>
      <c r="AJ45">
        <f>IF(42&gt;Passengers,"",MATCH(42,R$4:R$183,0))</f>
        <v/>
      </c>
      <c r="AK45">
        <f>IF(AJ45="","",INDEX($B$4:$B$183,AJ45))</f>
        <v/>
      </c>
      <c r="AL45">
        <f>IF(AJ45="","",INDEX($C$4:$C$183,AJ45))</f>
        <v/>
      </c>
      <c r="AM45">
        <f>IF(AJ45="","",INDEX($D$4:$D$183,AJ45))</f>
        <v/>
      </c>
      <c r="AN45">
        <f>IF(AJ45="","",COUNTIFS($B$4:$B$183,AK45,$C$4:$C$183,AL45,$D$4:$D$183,"&gt;"&amp;AM45,R$4:R$183,"&lt;"&amp;42,$G$4:$G$183,1))</f>
        <v/>
      </c>
      <c r="AO45">
        <f>IF(AJ45="","",INDEX($M$4:$M$183,AJ45)+IF(AN45=1,Shuffle1,IF(AN45&gt;=2,Shuffle2,0)))</f>
        <v/>
      </c>
      <c r="AP45">
        <f>IF(AJ45="","",MAX(DoorGap*41,SUMPRODUCT(MAX((AK$4:AK44&lt;=AK45)*AQ$4:AQ44)),SUMPRODUCT(MAX((AK$4:AK44&gt;AK45)*AP$4:AP44))+Headway))</f>
        <v/>
      </c>
      <c r="AQ45">
        <f>IF(AJ45="","",AP45+AO45)</f>
        <v/>
      </c>
      <c r="AR45">
        <f>IF(AJ45="","",AQ45+AK45*WalkSec)</f>
        <v/>
      </c>
      <c r="AS45" t="n">
        <v>42</v>
      </c>
      <c r="AT45">
        <f>IF(42&gt;Passengers,"",MATCH(42,V$4:V$183,0))</f>
        <v/>
      </c>
      <c r="AU45">
        <f>IF(AT45="","",INDEX($B$4:$B$183,AT45))</f>
        <v/>
      </c>
      <c r="AV45">
        <f>IF(AT45="","",INDEX($C$4:$C$183,AT45))</f>
        <v/>
      </c>
      <c r="AW45">
        <f>IF(AT45="","",INDEX($D$4:$D$183,AT45))</f>
        <v/>
      </c>
      <c r="AX45">
        <f>IF(AT45="","",COUNTIFS($B$4:$B$183,AU45,$C$4:$C$183,AV45,$D$4:$D$183,"&gt;"&amp;AW45,V$4:V$183,"&lt;"&amp;42,$G$4:$G$183,1))</f>
        <v/>
      </c>
      <c r="AY45">
        <f>IF(AT45="","",INDEX($M$4:$M$183,AT45)+IF(AX45=1,Shuffle1,IF(AX45&gt;=2,Shuffle2,0)))</f>
        <v/>
      </c>
      <c r="AZ45">
        <f>IF(AT45="","",MAX(DoorGap*41,SUMPRODUCT(MAX((AU$4:AU44&lt;=AU45)*BA$4:BA44)),SUMPRODUCT(MAX((AU$4:AU44&gt;AU45)*AZ$4:AZ44))+Headway))</f>
        <v/>
      </c>
      <c r="BA45">
        <f>IF(AT45="","",AZ45+AY45)</f>
        <v/>
      </c>
      <c r="BB45">
        <f>IF(AT45="","",BA45+AU45*WalkSec)</f>
        <v/>
      </c>
      <c r="BC45" t="n">
        <v>42</v>
      </c>
      <c r="BD45">
        <f>IF(42&gt;Passengers,"",MATCH(42,Z$4:Z$183,0))</f>
        <v/>
      </c>
      <c r="BE45">
        <f>IF(BD45="","",INDEX($B$4:$B$183,BD45))</f>
        <v/>
      </c>
      <c r="BF45">
        <f>IF(BD45="","",INDEX($C$4:$C$183,BD45))</f>
        <v/>
      </c>
      <c r="BG45">
        <f>IF(BD45="","",INDEX($D$4:$D$183,BD45))</f>
        <v/>
      </c>
      <c r="BH45">
        <f>IF(BD45="","",COUNTIFS($B$4:$B$183,BE45,$C$4:$C$183,BF45,$D$4:$D$183,"&gt;"&amp;BG45,Z$4:Z$183,"&lt;"&amp;42,$G$4:$G$183,1))</f>
        <v/>
      </c>
      <c r="BI45">
        <f>IF(BD45="","",INDEX($M$4:$M$183,BD45)+IF(BH45=1,Shuffle1,IF(BH45&gt;=2,Shuffle2,0)))</f>
        <v/>
      </c>
      <c r="BJ45">
        <f>IF(BD45="","",MAX(DoorGap*41,SUMPRODUCT(MAX((BE$4:BE44&lt;=BE45)*BK$4:BK44)),SUMPRODUCT(MAX((BE$4:BE44&gt;BE45)*BJ$4:BJ44))+Headway))</f>
        <v/>
      </c>
      <c r="BK45">
        <f>IF(BD45="","",BJ45+BI45)</f>
        <v/>
      </c>
      <c r="BL45">
        <f>IF(BD45="","",BK45+BE45*WalkSec)</f>
        <v/>
      </c>
      <c r="BM45" t="n">
        <v>42</v>
      </c>
      <c r="BN45">
        <f>IF(42&gt;Passengers,"",MATCH(42,AD$4:AD$183,0))</f>
        <v/>
      </c>
      <c r="BO45">
        <f>IF(BN45="","",INDEX($B$4:$B$183,BN45))</f>
        <v/>
      </c>
      <c r="BP45">
        <f>IF(BN45="","",INDEX($C$4:$C$183,BN45))</f>
        <v/>
      </c>
      <c r="BQ45">
        <f>IF(BN45="","",INDEX($D$4:$D$183,BN45))</f>
        <v/>
      </c>
      <c r="BR45">
        <f>IF(BN45="","",COUNTIFS($B$4:$B$183,BO45,$C$4:$C$183,BP45,$D$4:$D$183,"&gt;"&amp;BQ45,AD$4:AD$183,"&lt;"&amp;42,$G$4:$G$183,1))</f>
        <v/>
      </c>
      <c r="BS45">
        <f>IF(BN45="","",INDEX($M$4:$M$183,BN45)+IF(BR45=1,Shuffle1,IF(BR45&gt;=2,Shuffle2,0)))</f>
        <v/>
      </c>
      <c r="BT45">
        <f>IF(BN45="","",MAX(DoorGap*41,SUMPRODUCT(MAX((BO$4:BO44&lt;=BO45)*BU$4:BU44)),SUMPRODUCT(MAX((BO$4:BO44&gt;BO45)*BT$4:BT44))+Headway))</f>
        <v/>
      </c>
      <c r="BU45">
        <f>IF(BN45="","",BT45+BS45)</f>
        <v/>
      </c>
      <c r="BV45">
        <f>IF(BN45="","",BU45+BO45*WalkSec)</f>
        <v/>
      </c>
      <c r="BW45">
        <f>IF($G45=0,"",INDEX(AR$4:AR$183,R45))</f>
        <v/>
      </c>
      <c r="BX45">
        <f>IF($G45=0,"",INDEX(BB$4:BB$183,V45))</f>
        <v/>
      </c>
      <c r="BY45">
        <f>IF($G45=0,"",INDEX(BL$4:BL$183,Z45))</f>
        <v/>
      </c>
      <c r="BZ45">
        <f>IF($G45=0,"",INDEX(BV$4:BV$183,AD45))</f>
        <v/>
      </c>
    </row>
    <row r="46">
      <c r="A46" t="n">
        <v>43</v>
      </c>
      <c r="B46" t="n">
        <v>8</v>
      </c>
      <c r="C46" t="n">
        <v>1</v>
      </c>
      <c r="D46" t="n">
        <v>1</v>
      </c>
      <c r="E46" t="n">
        <v>15</v>
      </c>
      <c r="F46">
        <f>RAND()</f>
        <v/>
      </c>
      <c r="G46">
        <f>IF(SUMPRODUCT(($F$4:$F$183&lt;F46)*1)+SUMPRODUCT(($F$4:$F$183=F46)*($A$4:$A$183&lt;A46))&lt;Passengers,1,0)</f>
        <v/>
      </c>
      <c r="H46">
        <f>RAND()</f>
        <v/>
      </c>
      <c r="I46">
        <f>RAND()</f>
        <v/>
      </c>
      <c r="J46">
        <f>RAND()</f>
        <v/>
      </c>
      <c r="K46">
        <f>RAND()</f>
        <v/>
      </c>
      <c r="L46">
        <f>RAND()</f>
        <v/>
      </c>
      <c r="M46">
        <f>IF(K46&lt;BagShare,EXP(NORMSINV(L46)*StowSigma+StowMu),StowNoBag)</f>
        <v/>
      </c>
      <c r="N46">
        <f>IF(INDEX($AG$4:$AG$63,E46)&lt;GroupShare,1,0)</f>
        <v/>
      </c>
      <c r="P46">
        <f>IF(G46=1,IF(I46&gt;Compliance,J46,$H46),2)</f>
        <v/>
      </c>
      <c r="Q46">
        <f>IF(G46=0,2,IF(N46=0,P46,1-SUMPRODUCT(MAX(($E$4:$E$183=E46)*($G$4:$G$183=1)*(1-P$4:P$183)))+0.000000001*D46))</f>
        <v/>
      </c>
      <c r="R46">
        <f>IF(G46=0,999,SUMPRODUCT((Q$4:Q$183&lt;Q46)*($G$4:$G$183=1))+SUMPRODUCT((Q$4:Q$183=Q46)*($G$4:$G$183=1)*($A$4:$A$183&lt;A46))+1)</f>
        <v/>
      </c>
      <c r="T46">
        <f>IF(G46=1,IF(I46&gt;Compliance,J46,(INT((30-$B46)/(30/Zones))+$H46)/Zones),2)</f>
        <v/>
      </c>
      <c r="U46">
        <f>IF(G46=0,2,IF(N46=0,T46,1-SUMPRODUCT(MAX(($E$4:$E$183=E46)*($G$4:$G$183=1)*(1-T$4:T$183)))+0.000000001*D46))</f>
        <v/>
      </c>
      <c r="V46">
        <f>IF(G46=0,999,SUMPRODUCT((U$4:U$183&lt;U46)*($G$4:$G$183=1))+SUMPRODUCT((U$4:U$183=U46)*($G$4:$G$183=1)*($A$4:$A$183&lt;A46))+1)</f>
        <v/>
      </c>
      <c r="X46">
        <f>IF(G46=1,IF(I46&gt;Compliance,J46,(($D46-1)+$H46)/3),2)</f>
        <v/>
      </c>
      <c r="Y46">
        <f>IF(G46=0,2,IF(N46=0,X46,1-SUMPRODUCT(MAX(($E$4:$E$183=E46)*($G$4:$G$183=1)*(1-X$4:X$183)))+0.000000001*D46))</f>
        <v/>
      </c>
      <c r="Z46">
        <f>IF(G46=0,999,SUMPRODUCT((Y$4:Y$183&lt;Y46)*($G$4:$G$183=1))+SUMPRODUCT((Y$4:Y$183=Y46)*($G$4:$G$183=1)*($A$4:$A$183&lt;A46))+1)</f>
        <v/>
      </c>
      <c r="AB46">
        <f>IF(G46=1,IF(I46&gt;Compliance,J46,((($D46-1)*4+($C46-1)*2+MOD($B46,2))+(30-$B46)/30)/12),2)</f>
        <v/>
      </c>
      <c r="AC46">
        <f>IF(G46=0,2,IF(N46=0,AB46,1-SUMPRODUCT(MAX(($E$4:$E$183=E46)*($G$4:$G$183=1)*(1-AB$4:AB$183)))+0.000000001*D46))</f>
        <v/>
      </c>
      <c r="AD46">
        <f>IF(G46=0,999,SUMPRODUCT((AC$4:AC$183&lt;AC46)*($G$4:$G$183=1))+SUMPRODUCT((AC$4:AC$183=AC46)*($G$4:$G$183=1)*($A$4:$A$183&lt;A46))+1)</f>
        <v/>
      </c>
      <c r="AF46" t="n">
        <v>43</v>
      </c>
      <c r="AG46">
        <f>RAND()</f>
        <v/>
      </c>
      <c r="AI46" t="n">
        <v>43</v>
      </c>
      <c r="AJ46">
        <f>IF(43&gt;Passengers,"",MATCH(43,R$4:R$183,0))</f>
        <v/>
      </c>
      <c r="AK46">
        <f>IF(AJ46="","",INDEX($B$4:$B$183,AJ46))</f>
        <v/>
      </c>
      <c r="AL46">
        <f>IF(AJ46="","",INDEX($C$4:$C$183,AJ46))</f>
        <v/>
      </c>
      <c r="AM46">
        <f>IF(AJ46="","",INDEX($D$4:$D$183,AJ46))</f>
        <v/>
      </c>
      <c r="AN46">
        <f>IF(AJ46="","",COUNTIFS($B$4:$B$183,AK46,$C$4:$C$183,AL46,$D$4:$D$183,"&gt;"&amp;AM46,R$4:R$183,"&lt;"&amp;43,$G$4:$G$183,1))</f>
        <v/>
      </c>
      <c r="AO46">
        <f>IF(AJ46="","",INDEX($M$4:$M$183,AJ46)+IF(AN46=1,Shuffle1,IF(AN46&gt;=2,Shuffle2,0)))</f>
        <v/>
      </c>
      <c r="AP46">
        <f>IF(AJ46="","",MAX(DoorGap*42,SUMPRODUCT(MAX((AK$4:AK45&lt;=AK46)*AQ$4:AQ45)),SUMPRODUCT(MAX((AK$4:AK45&gt;AK46)*AP$4:AP45))+Headway))</f>
        <v/>
      </c>
      <c r="AQ46">
        <f>IF(AJ46="","",AP46+AO46)</f>
        <v/>
      </c>
      <c r="AR46">
        <f>IF(AJ46="","",AQ46+AK46*WalkSec)</f>
        <v/>
      </c>
      <c r="AS46" t="n">
        <v>43</v>
      </c>
      <c r="AT46">
        <f>IF(43&gt;Passengers,"",MATCH(43,V$4:V$183,0))</f>
        <v/>
      </c>
      <c r="AU46">
        <f>IF(AT46="","",INDEX($B$4:$B$183,AT46))</f>
        <v/>
      </c>
      <c r="AV46">
        <f>IF(AT46="","",INDEX($C$4:$C$183,AT46))</f>
        <v/>
      </c>
      <c r="AW46">
        <f>IF(AT46="","",INDEX($D$4:$D$183,AT46))</f>
        <v/>
      </c>
      <c r="AX46">
        <f>IF(AT46="","",COUNTIFS($B$4:$B$183,AU46,$C$4:$C$183,AV46,$D$4:$D$183,"&gt;"&amp;AW46,V$4:V$183,"&lt;"&amp;43,$G$4:$G$183,1))</f>
        <v/>
      </c>
      <c r="AY46">
        <f>IF(AT46="","",INDEX($M$4:$M$183,AT46)+IF(AX46=1,Shuffle1,IF(AX46&gt;=2,Shuffle2,0)))</f>
        <v/>
      </c>
      <c r="AZ46">
        <f>IF(AT46="","",MAX(DoorGap*42,SUMPRODUCT(MAX((AU$4:AU45&lt;=AU46)*BA$4:BA45)),SUMPRODUCT(MAX((AU$4:AU45&gt;AU46)*AZ$4:AZ45))+Headway))</f>
        <v/>
      </c>
      <c r="BA46">
        <f>IF(AT46="","",AZ46+AY46)</f>
        <v/>
      </c>
      <c r="BB46">
        <f>IF(AT46="","",BA46+AU46*WalkSec)</f>
        <v/>
      </c>
      <c r="BC46" t="n">
        <v>43</v>
      </c>
      <c r="BD46">
        <f>IF(43&gt;Passengers,"",MATCH(43,Z$4:Z$183,0))</f>
        <v/>
      </c>
      <c r="BE46">
        <f>IF(BD46="","",INDEX($B$4:$B$183,BD46))</f>
        <v/>
      </c>
      <c r="BF46">
        <f>IF(BD46="","",INDEX($C$4:$C$183,BD46))</f>
        <v/>
      </c>
      <c r="BG46">
        <f>IF(BD46="","",INDEX($D$4:$D$183,BD46))</f>
        <v/>
      </c>
      <c r="BH46">
        <f>IF(BD46="","",COUNTIFS($B$4:$B$183,BE46,$C$4:$C$183,BF46,$D$4:$D$183,"&gt;"&amp;BG46,Z$4:Z$183,"&lt;"&amp;43,$G$4:$G$183,1))</f>
        <v/>
      </c>
      <c r="BI46">
        <f>IF(BD46="","",INDEX($M$4:$M$183,BD46)+IF(BH46=1,Shuffle1,IF(BH46&gt;=2,Shuffle2,0)))</f>
        <v/>
      </c>
      <c r="BJ46">
        <f>IF(BD46="","",MAX(DoorGap*42,SUMPRODUCT(MAX((BE$4:BE45&lt;=BE46)*BK$4:BK45)),SUMPRODUCT(MAX((BE$4:BE45&gt;BE46)*BJ$4:BJ45))+Headway))</f>
        <v/>
      </c>
      <c r="BK46">
        <f>IF(BD46="","",BJ46+BI46)</f>
        <v/>
      </c>
      <c r="BL46">
        <f>IF(BD46="","",BK46+BE46*WalkSec)</f>
        <v/>
      </c>
      <c r="BM46" t="n">
        <v>43</v>
      </c>
      <c r="BN46">
        <f>IF(43&gt;Passengers,"",MATCH(43,AD$4:AD$183,0))</f>
        <v/>
      </c>
      <c r="BO46">
        <f>IF(BN46="","",INDEX($B$4:$B$183,BN46))</f>
        <v/>
      </c>
      <c r="BP46">
        <f>IF(BN46="","",INDEX($C$4:$C$183,BN46))</f>
        <v/>
      </c>
      <c r="BQ46">
        <f>IF(BN46="","",INDEX($D$4:$D$183,BN46))</f>
        <v/>
      </c>
      <c r="BR46">
        <f>IF(BN46="","",COUNTIFS($B$4:$B$183,BO46,$C$4:$C$183,BP46,$D$4:$D$183,"&gt;"&amp;BQ46,AD$4:AD$183,"&lt;"&amp;43,$G$4:$G$183,1))</f>
        <v/>
      </c>
      <c r="BS46">
        <f>IF(BN46="","",INDEX($M$4:$M$183,BN46)+IF(BR46=1,Shuffle1,IF(BR46&gt;=2,Shuffle2,0)))</f>
        <v/>
      </c>
      <c r="BT46">
        <f>IF(BN46="","",MAX(DoorGap*42,SUMPRODUCT(MAX((BO$4:BO45&lt;=BO46)*BU$4:BU45)),SUMPRODUCT(MAX((BO$4:BO45&gt;BO46)*BT$4:BT45))+Headway))</f>
        <v/>
      </c>
      <c r="BU46">
        <f>IF(BN46="","",BT46+BS46)</f>
        <v/>
      </c>
      <c r="BV46">
        <f>IF(BN46="","",BU46+BO46*WalkSec)</f>
        <v/>
      </c>
      <c r="BW46">
        <f>IF($G46=0,"",INDEX(AR$4:AR$183,R46))</f>
        <v/>
      </c>
      <c r="BX46">
        <f>IF($G46=0,"",INDEX(BB$4:BB$183,V46))</f>
        <v/>
      </c>
      <c r="BY46">
        <f>IF($G46=0,"",INDEX(BL$4:BL$183,Z46))</f>
        <v/>
      </c>
      <c r="BZ46">
        <f>IF($G46=0,"",INDEX(BV$4:BV$183,AD46))</f>
        <v/>
      </c>
    </row>
    <row r="47">
      <c r="A47" t="n">
        <v>44</v>
      </c>
      <c r="B47" t="n">
        <v>8</v>
      </c>
      <c r="C47" t="n">
        <v>1</v>
      </c>
      <c r="D47" t="n">
        <v>2</v>
      </c>
      <c r="E47" t="n">
        <v>15</v>
      </c>
      <c r="F47">
        <f>RAND()</f>
        <v/>
      </c>
      <c r="G47">
        <f>IF(SUMPRODUCT(($F$4:$F$183&lt;F47)*1)+SUMPRODUCT(($F$4:$F$183=F47)*($A$4:$A$183&lt;A47))&lt;Passengers,1,0)</f>
        <v/>
      </c>
      <c r="H47">
        <f>RAND()</f>
        <v/>
      </c>
      <c r="I47">
        <f>RAND()</f>
        <v/>
      </c>
      <c r="J47">
        <f>RAND()</f>
        <v/>
      </c>
      <c r="K47">
        <f>RAND()</f>
        <v/>
      </c>
      <c r="L47">
        <f>RAND()</f>
        <v/>
      </c>
      <c r="M47">
        <f>IF(K47&lt;BagShare,EXP(NORMSINV(L47)*StowSigma+StowMu),StowNoBag)</f>
        <v/>
      </c>
      <c r="N47">
        <f>IF(INDEX($AG$4:$AG$63,E47)&lt;GroupShare,1,0)</f>
        <v/>
      </c>
      <c r="P47">
        <f>IF(G47=1,IF(I47&gt;Compliance,J47,$H47),2)</f>
        <v/>
      </c>
      <c r="Q47">
        <f>IF(G47=0,2,IF(N47=0,P47,1-SUMPRODUCT(MAX(($E$4:$E$183=E47)*($G$4:$G$183=1)*(1-P$4:P$183)))+0.000000001*D47))</f>
        <v/>
      </c>
      <c r="R47">
        <f>IF(G47=0,999,SUMPRODUCT((Q$4:Q$183&lt;Q47)*($G$4:$G$183=1))+SUMPRODUCT((Q$4:Q$183=Q47)*($G$4:$G$183=1)*($A$4:$A$183&lt;A47))+1)</f>
        <v/>
      </c>
      <c r="T47">
        <f>IF(G47=1,IF(I47&gt;Compliance,J47,(INT((30-$B47)/(30/Zones))+$H47)/Zones),2)</f>
        <v/>
      </c>
      <c r="U47">
        <f>IF(G47=0,2,IF(N47=0,T47,1-SUMPRODUCT(MAX(($E$4:$E$183=E47)*($G$4:$G$183=1)*(1-T$4:T$183)))+0.000000001*D47))</f>
        <v/>
      </c>
      <c r="V47">
        <f>IF(G47=0,999,SUMPRODUCT((U$4:U$183&lt;U47)*($G$4:$G$183=1))+SUMPRODUCT((U$4:U$183=U47)*($G$4:$G$183=1)*($A$4:$A$183&lt;A47))+1)</f>
        <v/>
      </c>
      <c r="X47">
        <f>IF(G47=1,IF(I47&gt;Compliance,J47,(($D47-1)+$H47)/3),2)</f>
        <v/>
      </c>
      <c r="Y47">
        <f>IF(G47=0,2,IF(N47=0,X47,1-SUMPRODUCT(MAX(($E$4:$E$183=E47)*($G$4:$G$183=1)*(1-X$4:X$183)))+0.000000001*D47))</f>
        <v/>
      </c>
      <c r="Z47">
        <f>IF(G47=0,999,SUMPRODUCT((Y$4:Y$183&lt;Y47)*($G$4:$G$183=1))+SUMPRODUCT((Y$4:Y$183=Y47)*($G$4:$G$183=1)*($A$4:$A$183&lt;A47))+1)</f>
        <v/>
      </c>
      <c r="AB47">
        <f>IF(G47=1,IF(I47&gt;Compliance,J47,((($D47-1)*4+($C47-1)*2+MOD($B47,2))+(30-$B47)/30)/12),2)</f>
        <v/>
      </c>
      <c r="AC47">
        <f>IF(G47=0,2,IF(N47=0,AB47,1-SUMPRODUCT(MAX(($E$4:$E$183=E47)*($G$4:$G$183=1)*(1-AB$4:AB$183)))+0.000000001*D47))</f>
        <v/>
      </c>
      <c r="AD47">
        <f>IF(G47=0,999,SUMPRODUCT((AC$4:AC$183&lt;AC47)*($G$4:$G$183=1))+SUMPRODUCT((AC$4:AC$183=AC47)*($G$4:$G$183=1)*($A$4:$A$183&lt;A47))+1)</f>
        <v/>
      </c>
      <c r="AF47" t="n">
        <v>44</v>
      </c>
      <c r="AG47">
        <f>RAND()</f>
        <v/>
      </c>
      <c r="AI47" t="n">
        <v>44</v>
      </c>
      <c r="AJ47">
        <f>IF(44&gt;Passengers,"",MATCH(44,R$4:R$183,0))</f>
        <v/>
      </c>
      <c r="AK47">
        <f>IF(AJ47="","",INDEX($B$4:$B$183,AJ47))</f>
        <v/>
      </c>
      <c r="AL47">
        <f>IF(AJ47="","",INDEX($C$4:$C$183,AJ47))</f>
        <v/>
      </c>
      <c r="AM47">
        <f>IF(AJ47="","",INDEX($D$4:$D$183,AJ47))</f>
        <v/>
      </c>
      <c r="AN47">
        <f>IF(AJ47="","",COUNTIFS($B$4:$B$183,AK47,$C$4:$C$183,AL47,$D$4:$D$183,"&gt;"&amp;AM47,R$4:R$183,"&lt;"&amp;44,$G$4:$G$183,1))</f>
        <v/>
      </c>
      <c r="AO47">
        <f>IF(AJ47="","",INDEX($M$4:$M$183,AJ47)+IF(AN47=1,Shuffle1,IF(AN47&gt;=2,Shuffle2,0)))</f>
        <v/>
      </c>
      <c r="AP47">
        <f>IF(AJ47="","",MAX(DoorGap*43,SUMPRODUCT(MAX((AK$4:AK46&lt;=AK47)*AQ$4:AQ46)),SUMPRODUCT(MAX((AK$4:AK46&gt;AK47)*AP$4:AP46))+Headway))</f>
        <v/>
      </c>
      <c r="AQ47">
        <f>IF(AJ47="","",AP47+AO47)</f>
        <v/>
      </c>
      <c r="AR47">
        <f>IF(AJ47="","",AQ47+AK47*WalkSec)</f>
        <v/>
      </c>
      <c r="AS47" t="n">
        <v>44</v>
      </c>
      <c r="AT47">
        <f>IF(44&gt;Passengers,"",MATCH(44,V$4:V$183,0))</f>
        <v/>
      </c>
      <c r="AU47">
        <f>IF(AT47="","",INDEX($B$4:$B$183,AT47))</f>
        <v/>
      </c>
      <c r="AV47">
        <f>IF(AT47="","",INDEX($C$4:$C$183,AT47))</f>
        <v/>
      </c>
      <c r="AW47">
        <f>IF(AT47="","",INDEX($D$4:$D$183,AT47))</f>
        <v/>
      </c>
      <c r="AX47">
        <f>IF(AT47="","",COUNTIFS($B$4:$B$183,AU47,$C$4:$C$183,AV47,$D$4:$D$183,"&gt;"&amp;AW47,V$4:V$183,"&lt;"&amp;44,$G$4:$G$183,1))</f>
        <v/>
      </c>
      <c r="AY47">
        <f>IF(AT47="","",INDEX($M$4:$M$183,AT47)+IF(AX47=1,Shuffle1,IF(AX47&gt;=2,Shuffle2,0)))</f>
        <v/>
      </c>
      <c r="AZ47">
        <f>IF(AT47="","",MAX(DoorGap*43,SUMPRODUCT(MAX((AU$4:AU46&lt;=AU47)*BA$4:BA46)),SUMPRODUCT(MAX((AU$4:AU46&gt;AU47)*AZ$4:AZ46))+Headway))</f>
        <v/>
      </c>
      <c r="BA47">
        <f>IF(AT47="","",AZ47+AY47)</f>
        <v/>
      </c>
      <c r="BB47">
        <f>IF(AT47="","",BA47+AU47*WalkSec)</f>
        <v/>
      </c>
      <c r="BC47" t="n">
        <v>44</v>
      </c>
      <c r="BD47">
        <f>IF(44&gt;Passengers,"",MATCH(44,Z$4:Z$183,0))</f>
        <v/>
      </c>
      <c r="BE47">
        <f>IF(BD47="","",INDEX($B$4:$B$183,BD47))</f>
        <v/>
      </c>
      <c r="BF47">
        <f>IF(BD47="","",INDEX($C$4:$C$183,BD47))</f>
        <v/>
      </c>
      <c r="BG47">
        <f>IF(BD47="","",INDEX($D$4:$D$183,BD47))</f>
        <v/>
      </c>
      <c r="BH47">
        <f>IF(BD47="","",COUNTIFS($B$4:$B$183,BE47,$C$4:$C$183,BF47,$D$4:$D$183,"&gt;"&amp;BG47,Z$4:Z$183,"&lt;"&amp;44,$G$4:$G$183,1))</f>
        <v/>
      </c>
      <c r="BI47">
        <f>IF(BD47="","",INDEX($M$4:$M$183,BD47)+IF(BH47=1,Shuffle1,IF(BH47&gt;=2,Shuffle2,0)))</f>
        <v/>
      </c>
      <c r="BJ47">
        <f>IF(BD47="","",MAX(DoorGap*43,SUMPRODUCT(MAX((BE$4:BE46&lt;=BE47)*BK$4:BK46)),SUMPRODUCT(MAX((BE$4:BE46&gt;BE47)*BJ$4:BJ46))+Headway))</f>
        <v/>
      </c>
      <c r="BK47">
        <f>IF(BD47="","",BJ47+BI47)</f>
        <v/>
      </c>
      <c r="BL47">
        <f>IF(BD47="","",BK47+BE47*WalkSec)</f>
        <v/>
      </c>
      <c r="BM47" t="n">
        <v>44</v>
      </c>
      <c r="BN47">
        <f>IF(44&gt;Passengers,"",MATCH(44,AD$4:AD$183,0))</f>
        <v/>
      </c>
      <c r="BO47">
        <f>IF(BN47="","",INDEX($B$4:$B$183,BN47))</f>
        <v/>
      </c>
      <c r="BP47">
        <f>IF(BN47="","",INDEX($C$4:$C$183,BN47))</f>
        <v/>
      </c>
      <c r="BQ47">
        <f>IF(BN47="","",INDEX($D$4:$D$183,BN47))</f>
        <v/>
      </c>
      <c r="BR47">
        <f>IF(BN47="","",COUNTIFS($B$4:$B$183,BO47,$C$4:$C$183,BP47,$D$4:$D$183,"&gt;"&amp;BQ47,AD$4:AD$183,"&lt;"&amp;44,$G$4:$G$183,1))</f>
        <v/>
      </c>
      <c r="BS47">
        <f>IF(BN47="","",INDEX($M$4:$M$183,BN47)+IF(BR47=1,Shuffle1,IF(BR47&gt;=2,Shuffle2,0)))</f>
        <v/>
      </c>
      <c r="BT47">
        <f>IF(BN47="","",MAX(DoorGap*43,SUMPRODUCT(MAX((BO$4:BO46&lt;=BO47)*BU$4:BU46)),SUMPRODUCT(MAX((BO$4:BO46&gt;BO47)*BT$4:BT46))+Headway))</f>
        <v/>
      </c>
      <c r="BU47">
        <f>IF(BN47="","",BT47+BS47)</f>
        <v/>
      </c>
      <c r="BV47">
        <f>IF(BN47="","",BU47+BO47*WalkSec)</f>
        <v/>
      </c>
      <c r="BW47">
        <f>IF($G47=0,"",INDEX(AR$4:AR$183,R47))</f>
        <v/>
      </c>
      <c r="BX47">
        <f>IF($G47=0,"",INDEX(BB$4:BB$183,V47))</f>
        <v/>
      </c>
      <c r="BY47">
        <f>IF($G47=0,"",INDEX(BL$4:BL$183,Z47))</f>
        <v/>
      </c>
      <c r="BZ47">
        <f>IF($G47=0,"",INDEX(BV$4:BV$183,AD47))</f>
        <v/>
      </c>
    </row>
    <row r="48">
      <c r="A48" t="n">
        <v>45</v>
      </c>
      <c r="B48" t="n">
        <v>8</v>
      </c>
      <c r="C48" t="n">
        <v>1</v>
      </c>
      <c r="D48" t="n">
        <v>3</v>
      </c>
      <c r="E48" t="n">
        <v>15</v>
      </c>
      <c r="F48">
        <f>RAND()</f>
        <v/>
      </c>
      <c r="G48">
        <f>IF(SUMPRODUCT(($F$4:$F$183&lt;F48)*1)+SUMPRODUCT(($F$4:$F$183=F48)*($A$4:$A$183&lt;A48))&lt;Passengers,1,0)</f>
        <v/>
      </c>
      <c r="H48">
        <f>RAND()</f>
        <v/>
      </c>
      <c r="I48">
        <f>RAND()</f>
        <v/>
      </c>
      <c r="J48">
        <f>RAND()</f>
        <v/>
      </c>
      <c r="K48">
        <f>RAND()</f>
        <v/>
      </c>
      <c r="L48">
        <f>RAND()</f>
        <v/>
      </c>
      <c r="M48">
        <f>IF(K48&lt;BagShare,EXP(NORMSINV(L48)*StowSigma+StowMu),StowNoBag)</f>
        <v/>
      </c>
      <c r="N48">
        <f>IF(INDEX($AG$4:$AG$63,E48)&lt;GroupShare,1,0)</f>
        <v/>
      </c>
      <c r="P48">
        <f>IF(G48=1,IF(I48&gt;Compliance,J48,$H48),2)</f>
        <v/>
      </c>
      <c r="Q48">
        <f>IF(G48=0,2,IF(N48=0,P48,1-SUMPRODUCT(MAX(($E$4:$E$183=E48)*($G$4:$G$183=1)*(1-P$4:P$183)))+0.000000001*D48))</f>
        <v/>
      </c>
      <c r="R48">
        <f>IF(G48=0,999,SUMPRODUCT((Q$4:Q$183&lt;Q48)*($G$4:$G$183=1))+SUMPRODUCT((Q$4:Q$183=Q48)*($G$4:$G$183=1)*($A$4:$A$183&lt;A48))+1)</f>
        <v/>
      </c>
      <c r="T48">
        <f>IF(G48=1,IF(I48&gt;Compliance,J48,(INT((30-$B48)/(30/Zones))+$H48)/Zones),2)</f>
        <v/>
      </c>
      <c r="U48">
        <f>IF(G48=0,2,IF(N48=0,T48,1-SUMPRODUCT(MAX(($E$4:$E$183=E48)*($G$4:$G$183=1)*(1-T$4:T$183)))+0.000000001*D48))</f>
        <v/>
      </c>
      <c r="V48">
        <f>IF(G48=0,999,SUMPRODUCT((U$4:U$183&lt;U48)*($G$4:$G$183=1))+SUMPRODUCT((U$4:U$183=U48)*($G$4:$G$183=1)*($A$4:$A$183&lt;A48))+1)</f>
        <v/>
      </c>
      <c r="X48">
        <f>IF(G48=1,IF(I48&gt;Compliance,J48,(($D48-1)+$H48)/3),2)</f>
        <v/>
      </c>
      <c r="Y48">
        <f>IF(G48=0,2,IF(N48=0,X48,1-SUMPRODUCT(MAX(($E$4:$E$183=E48)*($G$4:$G$183=1)*(1-X$4:X$183)))+0.000000001*D48))</f>
        <v/>
      </c>
      <c r="Z48">
        <f>IF(G48=0,999,SUMPRODUCT((Y$4:Y$183&lt;Y48)*($G$4:$G$183=1))+SUMPRODUCT((Y$4:Y$183=Y48)*($G$4:$G$183=1)*($A$4:$A$183&lt;A48))+1)</f>
        <v/>
      </c>
      <c r="AB48">
        <f>IF(G48=1,IF(I48&gt;Compliance,J48,((($D48-1)*4+($C48-1)*2+MOD($B48,2))+(30-$B48)/30)/12),2)</f>
        <v/>
      </c>
      <c r="AC48">
        <f>IF(G48=0,2,IF(N48=0,AB48,1-SUMPRODUCT(MAX(($E$4:$E$183=E48)*($G$4:$G$183=1)*(1-AB$4:AB$183)))+0.000000001*D48))</f>
        <v/>
      </c>
      <c r="AD48">
        <f>IF(G48=0,999,SUMPRODUCT((AC$4:AC$183&lt;AC48)*($G$4:$G$183=1))+SUMPRODUCT((AC$4:AC$183=AC48)*($G$4:$G$183=1)*($A$4:$A$183&lt;A48))+1)</f>
        <v/>
      </c>
      <c r="AF48" t="n">
        <v>45</v>
      </c>
      <c r="AG48">
        <f>RAND()</f>
        <v/>
      </c>
      <c r="AI48" t="n">
        <v>45</v>
      </c>
      <c r="AJ48">
        <f>IF(45&gt;Passengers,"",MATCH(45,R$4:R$183,0))</f>
        <v/>
      </c>
      <c r="AK48">
        <f>IF(AJ48="","",INDEX($B$4:$B$183,AJ48))</f>
        <v/>
      </c>
      <c r="AL48">
        <f>IF(AJ48="","",INDEX($C$4:$C$183,AJ48))</f>
        <v/>
      </c>
      <c r="AM48">
        <f>IF(AJ48="","",INDEX($D$4:$D$183,AJ48))</f>
        <v/>
      </c>
      <c r="AN48">
        <f>IF(AJ48="","",COUNTIFS($B$4:$B$183,AK48,$C$4:$C$183,AL48,$D$4:$D$183,"&gt;"&amp;AM48,R$4:R$183,"&lt;"&amp;45,$G$4:$G$183,1))</f>
        <v/>
      </c>
      <c r="AO48">
        <f>IF(AJ48="","",INDEX($M$4:$M$183,AJ48)+IF(AN48=1,Shuffle1,IF(AN48&gt;=2,Shuffle2,0)))</f>
        <v/>
      </c>
      <c r="AP48">
        <f>IF(AJ48="","",MAX(DoorGap*44,SUMPRODUCT(MAX((AK$4:AK47&lt;=AK48)*AQ$4:AQ47)),SUMPRODUCT(MAX((AK$4:AK47&gt;AK48)*AP$4:AP47))+Headway))</f>
        <v/>
      </c>
      <c r="AQ48">
        <f>IF(AJ48="","",AP48+AO48)</f>
        <v/>
      </c>
      <c r="AR48">
        <f>IF(AJ48="","",AQ48+AK48*WalkSec)</f>
        <v/>
      </c>
      <c r="AS48" t="n">
        <v>45</v>
      </c>
      <c r="AT48">
        <f>IF(45&gt;Passengers,"",MATCH(45,V$4:V$183,0))</f>
        <v/>
      </c>
      <c r="AU48">
        <f>IF(AT48="","",INDEX($B$4:$B$183,AT48))</f>
        <v/>
      </c>
      <c r="AV48">
        <f>IF(AT48="","",INDEX($C$4:$C$183,AT48))</f>
        <v/>
      </c>
      <c r="AW48">
        <f>IF(AT48="","",INDEX($D$4:$D$183,AT48))</f>
        <v/>
      </c>
      <c r="AX48">
        <f>IF(AT48="","",COUNTIFS($B$4:$B$183,AU48,$C$4:$C$183,AV48,$D$4:$D$183,"&gt;"&amp;AW48,V$4:V$183,"&lt;"&amp;45,$G$4:$G$183,1))</f>
        <v/>
      </c>
      <c r="AY48">
        <f>IF(AT48="","",INDEX($M$4:$M$183,AT48)+IF(AX48=1,Shuffle1,IF(AX48&gt;=2,Shuffle2,0)))</f>
        <v/>
      </c>
      <c r="AZ48">
        <f>IF(AT48="","",MAX(DoorGap*44,SUMPRODUCT(MAX((AU$4:AU47&lt;=AU48)*BA$4:BA47)),SUMPRODUCT(MAX((AU$4:AU47&gt;AU48)*AZ$4:AZ47))+Headway))</f>
        <v/>
      </c>
      <c r="BA48">
        <f>IF(AT48="","",AZ48+AY48)</f>
        <v/>
      </c>
      <c r="BB48">
        <f>IF(AT48="","",BA48+AU48*WalkSec)</f>
        <v/>
      </c>
      <c r="BC48" t="n">
        <v>45</v>
      </c>
      <c r="BD48">
        <f>IF(45&gt;Passengers,"",MATCH(45,Z$4:Z$183,0))</f>
        <v/>
      </c>
      <c r="BE48">
        <f>IF(BD48="","",INDEX($B$4:$B$183,BD48))</f>
        <v/>
      </c>
      <c r="BF48">
        <f>IF(BD48="","",INDEX($C$4:$C$183,BD48))</f>
        <v/>
      </c>
      <c r="BG48">
        <f>IF(BD48="","",INDEX($D$4:$D$183,BD48))</f>
        <v/>
      </c>
      <c r="BH48">
        <f>IF(BD48="","",COUNTIFS($B$4:$B$183,BE48,$C$4:$C$183,BF48,$D$4:$D$183,"&gt;"&amp;BG48,Z$4:Z$183,"&lt;"&amp;45,$G$4:$G$183,1))</f>
        <v/>
      </c>
      <c r="BI48">
        <f>IF(BD48="","",INDEX($M$4:$M$183,BD48)+IF(BH48=1,Shuffle1,IF(BH48&gt;=2,Shuffle2,0)))</f>
        <v/>
      </c>
      <c r="BJ48">
        <f>IF(BD48="","",MAX(DoorGap*44,SUMPRODUCT(MAX((BE$4:BE47&lt;=BE48)*BK$4:BK47)),SUMPRODUCT(MAX((BE$4:BE47&gt;BE48)*BJ$4:BJ47))+Headway))</f>
        <v/>
      </c>
      <c r="BK48">
        <f>IF(BD48="","",BJ48+BI48)</f>
        <v/>
      </c>
      <c r="BL48">
        <f>IF(BD48="","",BK48+BE48*WalkSec)</f>
        <v/>
      </c>
      <c r="BM48" t="n">
        <v>45</v>
      </c>
      <c r="BN48">
        <f>IF(45&gt;Passengers,"",MATCH(45,AD$4:AD$183,0))</f>
        <v/>
      </c>
      <c r="BO48">
        <f>IF(BN48="","",INDEX($B$4:$B$183,BN48))</f>
        <v/>
      </c>
      <c r="BP48">
        <f>IF(BN48="","",INDEX($C$4:$C$183,BN48))</f>
        <v/>
      </c>
      <c r="BQ48">
        <f>IF(BN48="","",INDEX($D$4:$D$183,BN48))</f>
        <v/>
      </c>
      <c r="BR48">
        <f>IF(BN48="","",COUNTIFS($B$4:$B$183,BO48,$C$4:$C$183,BP48,$D$4:$D$183,"&gt;"&amp;BQ48,AD$4:AD$183,"&lt;"&amp;45,$G$4:$G$183,1))</f>
        <v/>
      </c>
      <c r="BS48">
        <f>IF(BN48="","",INDEX($M$4:$M$183,BN48)+IF(BR48=1,Shuffle1,IF(BR48&gt;=2,Shuffle2,0)))</f>
        <v/>
      </c>
      <c r="BT48">
        <f>IF(BN48="","",MAX(DoorGap*44,SUMPRODUCT(MAX((BO$4:BO47&lt;=BO48)*BU$4:BU47)),SUMPRODUCT(MAX((BO$4:BO47&gt;BO48)*BT$4:BT47))+Headway))</f>
        <v/>
      </c>
      <c r="BU48">
        <f>IF(BN48="","",BT48+BS48)</f>
        <v/>
      </c>
      <c r="BV48">
        <f>IF(BN48="","",BU48+BO48*WalkSec)</f>
        <v/>
      </c>
      <c r="BW48">
        <f>IF($G48=0,"",INDEX(AR$4:AR$183,R48))</f>
        <v/>
      </c>
      <c r="BX48">
        <f>IF($G48=0,"",INDEX(BB$4:BB$183,V48))</f>
        <v/>
      </c>
      <c r="BY48">
        <f>IF($G48=0,"",INDEX(BL$4:BL$183,Z48))</f>
        <v/>
      </c>
      <c r="BZ48">
        <f>IF($G48=0,"",INDEX(BV$4:BV$183,AD48))</f>
        <v/>
      </c>
    </row>
    <row r="49">
      <c r="A49" t="n">
        <v>46</v>
      </c>
      <c r="B49" t="n">
        <v>8</v>
      </c>
      <c r="C49" t="n">
        <v>2</v>
      </c>
      <c r="D49" t="n">
        <v>1</v>
      </c>
      <c r="E49" t="n">
        <v>16</v>
      </c>
      <c r="F49">
        <f>RAND()</f>
        <v/>
      </c>
      <c r="G49">
        <f>IF(SUMPRODUCT(($F$4:$F$183&lt;F49)*1)+SUMPRODUCT(($F$4:$F$183=F49)*($A$4:$A$183&lt;A49))&lt;Passengers,1,0)</f>
        <v/>
      </c>
      <c r="H49">
        <f>RAND()</f>
        <v/>
      </c>
      <c r="I49">
        <f>RAND()</f>
        <v/>
      </c>
      <c r="J49">
        <f>RAND()</f>
        <v/>
      </c>
      <c r="K49">
        <f>RAND()</f>
        <v/>
      </c>
      <c r="L49">
        <f>RAND()</f>
        <v/>
      </c>
      <c r="M49">
        <f>IF(K49&lt;BagShare,EXP(NORMSINV(L49)*StowSigma+StowMu),StowNoBag)</f>
        <v/>
      </c>
      <c r="N49">
        <f>IF(INDEX($AG$4:$AG$63,E49)&lt;GroupShare,1,0)</f>
        <v/>
      </c>
      <c r="P49">
        <f>IF(G49=1,IF(I49&gt;Compliance,J49,$H49),2)</f>
        <v/>
      </c>
      <c r="Q49">
        <f>IF(G49=0,2,IF(N49=0,P49,1-SUMPRODUCT(MAX(($E$4:$E$183=E49)*($G$4:$G$183=1)*(1-P$4:P$183)))+0.000000001*D49))</f>
        <v/>
      </c>
      <c r="R49">
        <f>IF(G49=0,999,SUMPRODUCT((Q$4:Q$183&lt;Q49)*($G$4:$G$183=1))+SUMPRODUCT((Q$4:Q$183=Q49)*($G$4:$G$183=1)*($A$4:$A$183&lt;A49))+1)</f>
        <v/>
      </c>
      <c r="T49">
        <f>IF(G49=1,IF(I49&gt;Compliance,J49,(INT((30-$B49)/(30/Zones))+$H49)/Zones),2)</f>
        <v/>
      </c>
      <c r="U49">
        <f>IF(G49=0,2,IF(N49=0,T49,1-SUMPRODUCT(MAX(($E$4:$E$183=E49)*($G$4:$G$183=1)*(1-T$4:T$183)))+0.000000001*D49))</f>
        <v/>
      </c>
      <c r="V49">
        <f>IF(G49=0,999,SUMPRODUCT((U$4:U$183&lt;U49)*($G$4:$G$183=1))+SUMPRODUCT((U$4:U$183=U49)*($G$4:$G$183=1)*($A$4:$A$183&lt;A49))+1)</f>
        <v/>
      </c>
      <c r="X49">
        <f>IF(G49=1,IF(I49&gt;Compliance,J49,(($D49-1)+$H49)/3),2)</f>
        <v/>
      </c>
      <c r="Y49">
        <f>IF(G49=0,2,IF(N49=0,X49,1-SUMPRODUCT(MAX(($E$4:$E$183=E49)*($G$4:$G$183=1)*(1-X$4:X$183)))+0.000000001*D49))</f>
        <v/>
      </c>
      <c r="Z49">
        <f>IF(G49=0,999,SUMPRODUCT((Y$4:Y$183&lt;Y49)*($G$4:$G$183=1))+SUMPRODUCT((Y$4:Y$183=Y49)*($G$4:$G$183=1)*($A$4:$A$183&lt;A49))+1)</f>
        <v/>
      </c>
      <c r="AB49">
        <f>IF(G49=1,IF(I49&gt;Compliance,J49,((($D49-1)*4+($C49-1)*2+MOD($B49,2))+(30-$B49)/30)/12),2)</f>
        <v/>
      </c>
      <c r="AC49">
        <f>IF(G49=0,2,IF(N49=0,AB49,1-SUMPRODUCT(MAX(($E$4:$E$183=E49)*($G$4:$G$183=1)*(1-AB$4:AB$183)))+0.000000001*D49))</f>
        <v/>
      </c>
      <c r="AD49">
        <f>IF(G49=0,999,SUMPRODUCT((AC$4:AC$183&lt;AC49)*($G$4:$G$183=1))+SUMPRODUCT((AC$4:AC$183=AC49)*($G$4:$G$183=1)*($A$4:$A$183&lt;A49))+1)</f>
        <v/>
      </c>
      <c r="AF49" t="n">
        <v>46</v>
      </c>
      <c r="AG49">
        <f>RAND()</f>
        <v/>
      </c>
      <c r="AI49" t="n">
        <v>46</v>
      </c>
      <c r="AJ49">
        <f>IF(46&gt;Passengers,"",MATCH(46,R$4:R$183,0))</f>
        <v/>
      </c>
      <c r="AK49">
        <f>IF(AJ49="","",INDEX($B$4:$B$183,AJ49))</f>
        <v/>
      </c>
      <c r="AL49">
        <f>IF(AJ49="","",INDEX($C$4:$C$183,AJ49))</f>
        <v/>
      </c>
      <c r="AM49">
        <f>IF(AJ49="","",INDEX($D$4:$D$183,AJ49))</f>
        <v/>
      </c>
      <c r="AN49">
        <f>IF(AJ49="","",COUNTIFS($B$4:$B$183,AK49,$C$4:$C$183,AL49,$D$4:$D$183,"&gt;"&amp;AM49,R$4:R$183,"&lt;"&amp;46,$G$4:$G$183,1))</f>
        <v/>
      </c>
      <c r="AO49">
        <f>IF(AJ49="","",INDEX($M$4:$M$183,AJ49)+IF(AN49=1,Shuffle1,IF(AN49&gt;=2,Shuffle2,0)))</f>
        <v/>
      </c>
      <c r="AP49">
        <f>IF(AJ49="","",MAX(DoorGap*45,SUMPRODUCT(MAX((AK$4:AK48&lt;=AK49)*AQ$4:AQ48)),SUMPRODUCT(MAX((AK$4:AK48&gt;AK49)*AP$4:AP48))+Headway))</f>
        <v/>
      </c>
      <c r="AQ49">
        <f>IF(AJ49="","",AP49+AO49)</f>
        <v/>
      </c>
      <c r="AR49">
        <f>IF(AJ49="","",AQ49+AK49*WalkSec)</f>
        <v/>
      </c>
      <c r="AS49" t="n">
        <v>46</v>
      </c>
      <c r="AT49">
        <f>IF(46&gt;Passengers,"",MATCH(46,V$4:V$183,0))</f>
        <v/>
      </c>
      <c r="AU49">
        <f>IF(AT49="","",INDEX($B$4:$B$183,AT49))</f>
        <v/>
      </c>
      <c r="AV49">
        <f>IF(AT49="","",INDEX($C$4:$C$183,AT49))</f>
        <v/>
      </c>
      <c r="AW49">
        <f>IF(AT49="","",INDEX($D$4:$D$183,AT49))</f>
        <v/>
      </c>
      <c r="AX49">
        <f>IF(AT49="","",COUNTIFS($B$4:$B$183,AU49,$C$4:$C$183,AV49,$D$4:$D$183,"&gt;"&amp;AW49,V$4:V$183,"&lt;"&amp;46,$G$4:$G$183,1))</f>
        <v/>
      </c>
      <c r="AY49">
        <f>IF(AT49="","",INDEX($M$4:$M$183,AT49)+IF(AX49=1,Shuffle1,IF(AX49&gt;=2,Shuffle2,0)))</f>
        <v/>
      </c>
      <c r="AZ49">
        <f>IF(AT49="","",MAX(DoorGap*45,SUMPRODUCT(MAX((AU$4:AU48&lt;=AU49)*BA$4:BA48)),SUMPRODUCT(MAX((AU$4:AU48&gt;AU49)*AZ$4:AZ48))+Headway))</f>
        <v/>
      </c>
      <c r="BA49">
        <f>IF(AT49="","",AZ49+AY49)</f>
        <v/>
      </c>
      <c r="BB49">
        <f>IF(AT49="","",BA49+AU49*WalkSec)</f>
        <v/>
      </c>
      <c r="BC49" t="n">
        <v>46</v>
      </c>
      <c r="BD49">
        <f>IF(46&gt;Passengers,"",MATCH(46,Z$4:Z$183,0))</f>
        <v/>
      </c>
      <c r="BE49">
        <f>IF(BD49="","",INDEX($B$4:$B$183,BD49))</f>
        <v/>
      </c>
      <c r="BF49">
        <f>IF(BD49="","",INDEX($C$4:$C$183,BD49))</f>
        <v/>
      </c>
      <c r="BG49">
        <f>IF(BD49="","",INDEX($D$4:$D$183,BD49))</f>
        <v/>
      </c>
      <c r="BH49">
        <f>IF(BD49="","",COUNTIFS($B$4:$B$183,BE49,$C$4:$C$183,BF49,$D$4:$D$183,"&gt;"&amp;BG49,Z$4:Z$183,"&lt;"&amp;46,$G$4:$G$183,1))</f>
        <v/>
      </c>
      <c r="BI49">
        <f>IF(BD49="","",INDEX($M$4:$M$183,BD49)+IF(BH49=1,Shuffle1,IF(BH49&gt;=2,Shuffle2,0)))</f>
        <v/>
      </c>
      <c r="BJ49">
        <f>IF(BD49="","",MAX(DoorGap*45,SUMPRODUCT(MAX((BE$4:BE48&lt;=BE49)*BK$4:BK48)),SUMPRODUCT(MAX((BE$4:BE48&gt;BE49)*BJ$4:BJ48))+Headway))</f>
        <v/>
      </c>
      <c r="BK49">
        <f>IF(BD49="","",BJ49+BI49)</f>
        <v/>
      </c>
      <c r="BL49">
        <f>IF(BD49="","",BK49+BE49*WalkSec)</f>
        <v/>
      </c>
      <c r="BM49" t="n">
        <v>46</v>
      </c>
      <c r="BN49">
        <f>IF(46&gt;Passengers,"",MATCH(46,AD$4:AD$183,0))</f>
        <v/>
      </c>
      <c r="BO49">
        <f>IF(BN49="","",INDEX($B$4:$B$183,BN49))</f>
        <v/>
      </c>
      <c r="BP49">
        <f>IF(BN49="","",INDEX($C$4:$C$183,BN49))</f>
        <v/>
      </c>
      <c r="BQ49">
        <f>IF(BN49="","",INDEX($D$4:$D$183,BN49))</f>
        <v/>
      </c>
      <c r="BR49">
        <f>IF(BN49="","",COUNTIFS($B$4:$B$183,BO49,$C$4:$C$183,BP49,$D$4:$D$183,"&gt;"&amp;BQ49,AD$4:AD$183,"&lt;"&amp;46,$G$4:$G$183,1))</f>
        <v/>
      </c>
      <c r="BS49">
        <f>IF(BN49="","",INDEX($M$4:$M$183,BN49)+IF(BR49=1,Shuffle1,IF(BR49&gt;=2,Shuffle2,0)))</f>
        <v/>
      </c>
      <c r="BT49">
        <f>IF(BN49="","",MAX(DoorGap*45,SUMPRODUCT(MAX((BO$4:BO48&lt;=BO49)*BU$4:BU48)),SUMPRODUCT(MAX((BO$4:BO48&gt;BO49)*BT$4:BT48))+Headway))</f>
        <v/>
      </c>
      <c r="BU49">
        <f>IF(BN49="","",BT49+BS49)</f>
        <v/>
      </c>
      <c r="BV49">
        <f>IF(BN49="","",BU49+BO49*WalkSec)</f>
        <v/>
      </c>
      <c r="BW49">
        <f>IF($G49=0,"",INDEX(AR$4:AR$183,R49))</f>
        <v/>
      </c>
      <c r="BX49">
        <f>IF($G49=0,"",INDEX(BB$4:BB$183,V49))</f>
        <v/>
      </c>
      <c r="BY49">
        <f>IF($G49=0,"",INDEX(BL$4:BL$183,Z49))</f>
        <v/>
      </c>
      <c r="BZ49">
        <f>IF($G49=0,"",INDEX(BV$4:BV$183,AD49))</f>
        <v/>
      </c>
    </row>
    <row r="50">
      <c r="A50" t="n">
        <v>47</v>
      </c>
      <c r="B50" t="n">
        <v>8</v>
      </c>
      <c r="C50" t="n">
        <v>2</v>
      </c>
      <c r="D50" t="n">
        <v>2</v>
      </c>
      <c r="E50" t="n">
        <v>16</v>
      </c>
      <c r="F50">
        <f>RAND()</f>
        <v/>
      </c>
      <c r="G50">
        <f>IF(SUMPRODUCT(($F$4:$F$183&lt;F50)*1)+SUMPRODUCT(($F$4:$F$183=F50)*($A$4:$A$183&lt;A50))&lt;Passengers,1,0)</f>
        <v/>
      </c>
      <c r="H50">
        <f>RAND()</f>
        <v/>
      </c>
      <c r="I50">
        <f>RAND()</f>
        <v/>
      </c>
      <c r="J50">
        <f>RAND()</f>
        <v/>
      </c>
      <c r="K50">
        <f>RAND()</f>
        <v/>
      </c>
      <c r="L50">
        <f>RAND()</f>
        <v/>
      </c>
      <c r="M50">
        <f>IF(K50&lt;BagShare,EXP(NORMSINV(L50)*StowSigma+StowMu),StowNoBag)</f>
        <v/>
      </c>
      <c r="N50">
        <f>IF(INDEX($AG$4:$AG$63,E50)&lt;GroupShare,1,0)</f>
        <v/>
      </c>
      <c r="P50">
        <f>IF(G50=1,IF(I50&gt;Compliance,J50,$H50),2)</f>
        <v/>
      </c>
      <c r="Q50">
        <f>IF(G50=0,2,IF(N50=0,P50,1-SUMPRODUCT(MAX(($E$4:$E$183=E50)*($G$4:$G$183=1)*(1-P$4:P$183)))+0.000000001*D50))</f>
        <v/>
      </c>
      <c r="R50">
        <f>IF(G50=0,999,SUMPRODUCT((Q$4:Q$183&lt;Q50)*($G$4:$G$183=1))+SUMPRODUCT((Q$4:Q$183=Q50)*($G$4:$G$183=1)*($A$4:$A$183&lt;A50))+1)</f>
        <v/>
      </c>
      <c r="T50">
        <f>IF(G50=1,IF(I50&gt;Compliance,J50,(INT((30-$B50)/(30/Zones))+$H50)/Zones),2)</f>
        <v/>
      </c>
      <c r="U50">
        <f>IF(G50=0,2,IF(N50=0,T50,1-SUMPRODUCT(MAX(($E$4:$E$183=E50)*($G$4:$G$183=1)*(1-T$4:T$183)))+0.000000001*D50))</f>
        <v/>
      </c>
      <c r="V50">
        <f>IF(G50=0,999,SUMPRODUCT((U$4:U$183&lt;U50)*($G$4:$G$183=1))+SUMPRODUCT((U$4:U$183=U50)*($G$4:$G$183=1)*($A$4:$A$183&lt;A50))+1)</f>
        <v/>
      </c>
      <c r="X50">
        <f>IF(G50=1,IF(I50&gt;Compliance,J50,(($D50-1)+$H50)/3),2)</f>
        <v/>
      </c>
      <c r="Y50">
        <f>IF(G50=0,2,IF(N50=0,X50,1-SUMPRODUCT(MAX(($E$4:$E$183=E50)*($G$4:$G$183=1)*(1-X$4:X$183)))+0.000000001*D50))</f>
        <v/>
      </c>
      <c r="Z50">
        <f>IF(G50=0,999,SUMPRODUCT((Y$4:Y$183&lt;Y50)*($G$4:$G$183=1))+SUMPRODUCT((Y$4:Y$183=Y50)*($G$4:$G$183=1)*($A$4:$A$183&lt;A50))+1)</f>
        <v/>
      </c>
      <c r="AB50">
        <f>IF(G50=1,IF(I50&gt;Compliance,J50,((($D50-1)*4+($C50-1)*2+MOD($B50,2))+(30-$B50)/30)/12),2)</f>
        <v/>
      </c>
      <c r="AC50">
        <f>IF(G50=0,2,IF(N50=0,AB50,1-SUMPRODUCT(MAX(($E$4:$E$183=E50)*($G$4:$G$183=1)*(1-AB$4:AB$183)))+0.000000001*D50))</f>
        <v/>
      </c>
      <c r="AD50">
        <f>IF(G50=0,999,SUMPRODUCT((AC$4:AC$183&lt;AC50)*($G$4:$G$183=1))+SUMPRODUCT((AC$4:AC$183=AC50)*($G$4:$G$183=1)*($A$4:$A$183&lt;A50))+1)</f>
        <v/>
      </c>
      <c r="AF50" t="n">
        <v>47</v>
      </c>
      <c r="AG50">
        <f>RAND()</f>
        <v/>
      </c>
      <c r="AI50" t="n">
        <v>47</v>
      </c>
      <c r="AJ50">
        <f>IF(47&gt;Passengers,"",MATCH(47,R$4:R$183,0))</f>
        <v/>
      </c>
      <c r="AK50">
        <f>IF(AJ50="","",INDEX($B$4:$B$183,AJ50))</f>
        <v/>
      </c>
      <c r="AL50">
        <f>IF(AJ50="","",INDEX($C$4:$C$183,AJ50))</f>
        <v/>
      </c>
      <c r="AM50">
        <f>IF(AJ50="","",INDEX($D$4:$D$183,AJ50))</f>
        <v/>
      </c>
      <c r="AN50">
        <f>IF(AJ50="","",COUNTIFS($B$4:$B$183,AK50,$C$4:$C$183,AL50,$D$4:$D$183,"&gt;"&amp;AM50,R$4:R$183,"&lt;"&amp;47,$G$4:$G$183,1))</f>
        <v/>
      </c>
      <c r="AO50">
        <f>IF(AJ50="","",INDEX($M$4:$M$183,AJ50)+IF(AN50=1,Shuffle1,IF(AN50&gt;=2,Shuffle2,0)))</f>
        <v/>
      </c>
      <c r="AP50">
        <f>IF(AJ50="","",MAX(DoorGap*46,SUMPRODUCT(MAX((AK$4:AK49&lt;=AK50)*AQ$4:AQ49)),SUMPRODUCT(MAX((AK$4:AK49&gt;AK50)*AP$4:AP49))+Headway))</f>
        <v/>
      </c>
      <c r="AQ50">
        <f>IF(AJ50="","",AP50+AO50)</f>
        <v/>
      </c>
      <c r="AR50">
        <f>IF(AJ50="","",AQ50+AK50*WalkSec)</f>
        <v/>
      </c>
      <c r="AS50" t="n">
        <v>47</v>
      </c>
      <c r="AT50">
        <f>IF(47&gt;Passengers,"",MATCH(47,V$4:V$183,0))</f>
        <v/>
      </c>
      <c r="AU50">
        <f>IF(AT50="","",INDEX($B$4:$B$183,AT50))</f>
        <v/>
      </c>
      <c r="AV50">
        <f>IF(AT50="","",INDEX($C$4:$C$183,AT50))</f>
        <v/>
      </c>
      <c r="AW50">
        <f>IF(AT50="","",INDEX($D$4:$D$183,AT50))</f>
        <v/>
      </c>
      <c r="AX50">
        <f>IF(AT50="","",COUNTIFS($B$4:$B$183,AU50,$C$4:$C$183,AV50,$D$4:$D$183,"&gt;"&amp;AW50,V$4:V$183,"&lt;"&amp;47,$G$4:$G$183,1))</f>
        <v/>
      </c>
      <c r="AY50">
        <f>IF(AT50="","",INDEX($M$4:$M$183,AT50)+IF(AX50=1,Shuffle1,IF(AX50&gt;=2,Shuffle2,0)))</f>
        <v/>
      </c>
      <c r="AZ50">
        <f>IF(AT50="","",MAX(DoorGap*46,SUMPRODUCT(MAX((AU$4:AU49&lt;=AU50)*BA$4:BA49)),SUMPRODUCT(MAX((AU$4:AU49&gt;AU50)*AZ$4:AZ49))+Headway))</f>
        <v/>
      </c>
      <c r="BA50">
        <f>IF(AT50="","",AZ50+AY50)</f>
        <v/>
      </c>
      <c r="BB50">
        <f>IF(AT50="","",BA50+AU50*WalkSec)</f>
        <v/>
      </c>
      <c r="BC50" t="n">
        <v>47</v>
      </c>
      <c r="BD50">
        <f>IF(47&gt;Passengers,"",MATCH(47,Z$4:Z$183,0))</f>
        <v/>
      </c>
      <c r="BE50">
        <f>IF(BD50="","",INDEX($B$4:$B$183,BD50))</f>
        <v/>
      </c>
      <c r="BF50">
        <f>IF(BD50="","",INDEX($C$4:$C$183,BD50))</f>
        <v/>
      </c>
      <c r="BG50">
        <f>IF(BD50="","",INDEX($D$4:$D$183,BD50))</f>
        <v/>
      </c>
      <c r="BH50">
        <f>IF(BD50="","",COUNTIFS($B$4:$B$183,BE50,$C$4:$C$183,BF50,$D$4:$D$183,"&gt;"&amp;BG50,Z$4:Z$183,"&lt;"&amp;47,$G$4:$G$183,1))</f>
        <v/>
      </c>
      <c r="BI50">
        <f>IF(BD50="","",INDEX($M$4:$M$183,BD50)+IF(BH50=1,Shuffle1,IF(BH50&gt;=2,Shuffle2,0)))</f>
        <v/>
      </c>
      <c r="BJ50">
        <f>IF(BD50="","",MAX(DoorGap*46,SUMPRODUCT(MAX((BE$4:BE49&lt;=BE50)*BK$4:BK49)),SUMPRODUCT(MAX((BE$4:BE49&gt;BE50)*BJ$4:BJ49))+Headway))</f>
        <v/>
      </c>
      <c r="BK50">
        <f>IF(BD50="","",BJ50+BI50)</f>
        <v/>
      </c>
      <c r="BL50">
        <f>IF(BD50="","",BK50+BE50*WalkSec)</f>
        <v/>
      </c>
      <c r="BM50" t="n">
        <v>47</v>
      </c>
      <c r="BN50">
        <f>IF(47&gt;Passengers,"",MATCH(47,AD$4:AD$183,0))</f>
        <v/>
      </c>
      <c r="BO50">
        <f>IF(BN50="","",INDEX($B$4:$B$183,BN50))</f>
        <v/>
      </c>
      <c r="BP50">
        <f>IF(BN50="","",INDEX($C$4:$C$183,BN50))</f>
        <v/>
      </c>
      <c r="BQ50">
        <f>IF(BN50="","",INDEX($D$4:$D$183,BN50))</f>
        <v/>
      </c>
      <c r="BR50">
        <f>IF(BN50="","",COUNTIFS($B$4:$B$183,BO50,$C$4:$C$183,BP50,$D$4:$D$183,"&gt;"&amp;BQ50,AD$4:AD$183,"&lt;"&amp;47,$G$4:$G$183,1))</f>
        <v/>
      </c>
      <c r="BS50">
        <f>IF(BN50="","",INDEX($M$4:$M$183,BN50)+IF(BR50=1,Shuffle1,IF(BR50&gt;=2,Shuffle2,0)))</f>
        <v/>
      </c>
      <c r="BT50">
        <f>IF(BN50="","",MAX(DoorGap*46,SUMPRODUCT(MAX((BO$4:BO49&lt;=BO50)*BU$4:BU49)),SUMPRODUCT(MAX((BO$4:BO49&gt;BO50)*BT$4:BT49))+Headway))</f>
        <v/>
      </c>
      <c r="BU50">
        <f>IF(BN50="","",BT50+BS50)</f>
        <v/>
      </c>
      <c r="BV50">
        <f>IF(BN50="","",BU50+BO50*WalkSec)</f>
        <v/>
      </c>
      <c r="BW50">
        <f>IF($G50=0,"",INDEX(AR$4:AR$183,R50))</f>
        <v/>
      </c>
      <c r="BX50">
        <f>IF($G50=0,"",INDEX(BB$4:BB$183,V50))</f>
        <v/>
      </c>
      <c r="BY50">
        <f>IF($G50=0,"",INDEX(BL$4:BL$183,Z50))</f>
        <v/>
      </c>
      <c r="BZ50">
        <f>IF($G50=0,"",INDEX(BV$4:BV$183,AD50))</f>
        <v/>
      </c>
    </row>
    <row r="51">
      <c r="A51" t="n">
        <v>48</v>
      </c>
      <c r="B51" t="n">
        <v>8</v>
      </c>
      <c r="C51" t="n">
        <v>2</v>
      </c>
      <c r="D51" t="n">
        <v>3</v>
      </c>
      <c r="E51" t="n">
        <v>16</v>
      </c>
      <c r="F51">
        <f>RAND()</f>
        <v/>
      </c>
      <c r="G51">
        <f>IF(SUMPRODUCT(($F$4:$F$183&lt;F51)*1)+SUMPRODUCT(($F$4:$F$183=F51)*($A$4:$A$183&lt;A51))&lt;Passengers,1,0)</f>
        <v/>
      </c>
      <c r="H51">
        <f>RAND()</f>
        <v/>
      </c>
      <c r="I51">
        <f>RAND()</f>
        <v/>
      </c>
      <c r="J51">
        <f>RAND()</f>
        <v/>
      </c>
      <c r="K51">
        <f>RAND()</f>
        <v/>
      </c>
      <c r="L51">
        <f>RAND()</f>
        <v/>
      </c>
      <c r="M51">
        <f>IF(K51&lt;BagShare,EXP(NORMSINV(L51)*StowSigma+StowMu),StowNoBag)</f>
        <v/>
      </c>
      <c r="N51">
        <f>IF(INDEX($AG$4:$AG$63,E51)&lt;GroupShare,1,0)</f>
        <v/>
      </c>
      <c r="P51">
        <f>IF(G51=1,IF(I51&gt;Compliance,J51,$H51),2)</f>
        <v/>
      </c>
      <c r="Q51">
        <f>IF(G51=0,2,IF(N51=0,P51,1-SUMPRODUCT(MAX(($E$4:$E$183=E51)*($G$4:$G$183=1)*(1-P$4:P$183)))+0.000000001*D51))</f>
        <v/>
      </c>
      <c r="R51">
        <f>IF(G51=0,999,SUMPRODUCT((Q$4:Q$183&lt;Q51)*($G$4:$G$183=1))+SUMPRODUCT((Q$4:Q$183=Q51)*($G$4:$G$183=1)*($A$4:$A$183&lt;A51))+1)</f>
        <v/>
      </c>
      <c r="T51">
        <f>IF(G51=1,IF(I51&gt;Compliance,J51,(INT((30-$B51)/(30/Zones))+$H51)/Zones),2)</f>
        <v/>
      </c>
      <c r="U51">
        <f>IF(G51=0,2,IF(N51=0,T51,1-SUMPRODUCT(MAX(($E$4:$E$183=E51)*($G$4:$G$183=1)*(1-T$4:T$183)))+0.000000001*D51))</f>
        <v/>
      </c>
      <c r="V51">
        <f>IF(G51=0,999,SUMPRODUCT((U$4:U$183&lt;U51)*($G$4:$G$183=1))+SUMPRODUCT((U$4:U$183=U51)*($G$4:$G$183=1)*($A$4:$A$183&lt;A51))+1)</f>
        <v/>
      </c>
      <c r="X51">
        <f>IF(G51=1,IF(I51&gt;Compliance,J51,(($D51-1)+$H51)/3),2)</f>
        <v/>
      </c>
      <c r="Y51">
        <f>IF(G51=0,2,IF(N51=0,X51,1-SUMPRODUCT(MAX(($E$4:$E$183=E51)*($G$4:$G$183=1)*(1-X$4:X$183)))+0.000000001*D51))</f>
        <v/>
      </c>
      <c r="Z51">
        <f>IF(G51=0,999,SUMPRODUCT((Y$4:Y$183&lt;Y51)*($G$4:$G$183=1))+SUMPRODUCT((Y$4:Y$183=Y51)*($G$4:$G$183=1)*($A$4:$A$183&lt;A51))+1)</f>
        <v/>
      </c>
      <c r="AB51">
        <f>IF(G51=1,IF(I51&gt;Compliance,J51,((($D51-1)*4+($C51-1)*2+MOD($B51,2))+(30-$B51)/30)/12),2)</f>
        <v/>
      </c>
      <c r="AC51">
        <f>IF(G51=0,2,IF(N51=0,AB51,1-SUMPRODUCT(MAX(($E$4:$E$183=E51)*($G$4:$G$183=1)*(1-AB$4:AB$183)))+0.000000001*D51))</f>
        <v/>
      </c>
      <c r="AD51">
        <f>IF(G51=0,999,SUMPRODUCT((AC$4:AC$183&lt;AC51)*($G$4:$G$183=1))+SUMPRODUCT((AC$4:AC$183=AC51)*($G$4:$G$183=1)*($A$4:$A$183&lt;A51))+1)</f>
        <v/>
      </c>
      <c r="AF51" t="n">
        <v>48</v>
      </c>
      <c r="AG51">
        <f>RAND()</f>
        <v/>
      </c>
      <c r="AI51" t="n">
        <v>48</v>
      </c>
      <c r="AJ51">
        <f>IF(48&gt;Passengers,"",MATCH(48,R$4:R$183,0))</f>
        <v/>
      </c>
      <c r="AK51">
        <f>IF(AJ51="","",INDEX($B$4:$B$183,AJ51))</f>
        <v/>
      </c>
      <c r="AL51">
        <f>IF(AJ51="","",INDEX($C$4:$C$183,AJ51))</f>
        <v/>
      </c>
      <c r="AM51">
        <f>IF(AJ51="","",INDEX($D$4:$D$183,AJ51))</f>
        <v/>
      </c>
      <c r="AN51">
        <f>IF(AJ51="","",COUNTIFS($B$4:$B$183,AK51,$C$4:$C$183,AL51,$D$4:$D$183,"&gt;"&amp;AM51,R$4:R$183,"&lt;"&amp;48,$G$4:$G$183,1))</f>
        <v/>
      </c>
      <c r="AO51">
        <f>IF(AJ51="","",INDEX($M$4:$M$183,AJ51)+IF(AN51=1,Shuffle1,IF(AN51&gt;=2,Shuffle2,0)))</f>
        <v/>
      </c>
      <c r="AP51">
        <f>IF(AJ51="","",MAX(DoorGap*47,SUMPRODUCT(MAX((AK$4:AK50&lt;=AK51)*AQ$4:AQ50)),SUMPRODUCT(MAX((AK$4:AK50&gt;AK51)*AP$4:AP50))+Headway))</f>
        <v/>
      </c>
      <c r="AQ51">
        <f>IF(AJ51="","",AP51+AO51)</f>
        <v/>
      </c>
      <c r="AR51">
        <f>IF(AJ51="","",AQ51+AK51*WalkSec)</f>
        <v/>
      </c>
      <c r="AS51" t="n">
        <v>48</v>
      </c>
      <c r="AT51">
        <f>IF(48&gt;Passengers,"",MATCH(48,V$4:V$183,0))</f>
        <v/>
      </c>
      <c r="AU51">
        <f>IF(AT51="","",INDEX($B$4:$B$183,AT51))</f>
        <v/>
      </c>
      <c r="AV51">
        <f>IF(AT51="","",INDEX($C$4:$C$183,AT51))</f>
        <v/>
      </c>
      <c r="AW51">
        <f>IF(AT51="","",INDEX($D$4:$D$183,AT51))</f>
        <v/>
      </c>
      <c r="AX51">
        <f>IF(AT51="","",COUNTIFS($B$4:$B$183,AU51,$C$4:$C$183,AV51,$D$4:$D$183,"&gt;"&amp;AW51,V$4:V$183,"&lt;"&amp;48,$G$4:$G$183,1))</f>
        <v/>
      </c>
      <c r="AY51">
        <f>IF(AT51="","",INDEX($M$4:$M$183,AT51)+IF(AX51=1,Shuffle1,IF(AX51&gt;=2,Shuffle2,0)))</f>
        <v/>
      </c>
      <c r="AZ51">
        <f>IF(AT51="","",MAX(DoorGap*47,SUMPRODUCT(MAX((AU$4:AU50&lt;=AU51)*BA$4:BA50)),SUMPRODUCT(MAX((AU$4:AU50&gt;AU51)*AZ$4:AZ50))+Headway))</f>
        <v/>
      </c>
      <c r="BA51">
        <f>IF(AT51="","",AZ51+AY51)</f>
        <v/>
      </c>
      <c r="BB51">
        <f>IF(AT51="","",BA51+AU51*WalkSec)</f>
        <v/>
      </c>
      <c r="BC51" t="n">
        <v>48</v>
      </c>
      <c r="BD51">
        <f>IF(48&gt;Passengers,"",MATCH(48,Z$4:Z$183,0))</f>
        <v/>
      </c>
      <c r="BE51">
        <f>IF(BD51="","",INDEX($B$4:$B$183,BD51))</f>
        <v/>
      </c>
      <c r="BF51">
        <f>IF(BD51="","",INDEX($C$4:$C$183,BD51))</f>
        <v/>
      </c>
      <c r="BG51">
        <f>IF(BD51="","",INDEX($D$4:$D$183,BD51))</f>
        <v/>
      </c>
      <c r="BH51">
        <f>IF(BD51="","",COUNTIFS($B$4:$B$183,BE51,$C$4:$C$183,BF51,$D$4:$D$183,"&gt;"&amp;BG51,Z$4:Z$183,"&lt;"&amp;48,$G$4:$G$183,1))</f>
        <v/>
      </c>
      <c r="BI51">
        <f>IF(BD51="","",INDEX($M$4:$M$183,BD51)+IF(BH51=1,Shuffle1,IF(BH51&gt;=2,Shuffle2,0)))</f>
        <v/>
      </c>
      <c r="BJ51">
        <f>IF(BD51="","",MAX(DoorGap*47,SUMPRODUCT(MAX((BE$4:BE50&lt;=BE51)*BK$4:BK50)),SUMPRODUCT(MAX((BE$4:BE50&gt;BE51)*BJ$4:BJ50))+Headway))</f>
        <v/>
      </c>
      <c r="BK51">
        <f>IF(BD51="","",BJ51+BI51)</f>
        <v/>
      </c>
      <c r="BL51">
        <f>IF(BD51="","",BK51+BE51*WalkSec)</f>
        <v/>
      </c>
      <c r="BM51" t="n">
        <v>48</v>
      </c>
      <c r="BN51">
        <f>IF(48&gt;Passengers,"",MATCH(48,AD$4:AD$183,0))</f>
        <v/>
      </c>
      <c r="BO51">
        <f>IF(BN51="","",INDEX($B$4:$B$183,BN51))</f>
        <v/>
      </c>
      <c r="BP51">
        <f>IF(BN51="","",INDEX($C$4:$C$183,BN51))</f>
        <v/>
      </c>
      <c r="BQ51">
        <f>IF(BN51="","",INDEX($D$4:$D$183,BN51))</f>
        <v/>
      </c>
      <c r="BR51">
        <f>IF(BN51="","",COUNTIFS($B$4:$B$183,BO51,$C$4:$C$183,BP51,$D$4:$D$183,"&gt;"&amp;BQ51,AD$4:AD$183,"&lt;"&amp;48,$G$4:$G$183,1))</f>
        <v/>
      </c>
      <c r="BS51">
        <f>IF(BN51="","",INDEX($M$4:$M$183,BN51)+IF(BR51=1,Shuffle1,IF(BR51&gt;=2,Shuffle2,0)))</f>
        <v/>
      </c>
      <c r="BT51">
        <f>IF(BN51="","",MAX(DoorGap*47,SUMPRODUCT(MAX((BO$4:BO50&lt;=BO51)*BU$4:BU50)),SUMPRODUCT(MAX((BO$4:BO50&gt;BO51)*BT$4:BT50))+Headway))</f>
        <v/>
      </c>
      <c r="BU51">
        <f>IF(BN51="","",BT51+BS51)</f>
        <v/>
      </c>
      <c r="BV51">
        <f>IF(BN51="","",BU51+BO51*WalkSec)</f>
        <v/>
      </c>
      <c r="BW51">
        <f>IF($G51=0,"",INDEX(AR$4:AR$183,R51))</f>
        <v/>
      </c>
      <c r="BX51">
        <f>IF($G51=0,"",INDEX(BB$4:BB$183,V51))</f>
        <v/>
      </c>
      <c r="BY51">
        <f>IF($G51=0,"",INDEX(BL$4:BL$183,Z51))</f>
        <v/>
      </c>
      <c r="BZ51">
        <f>IF($G51=0,"",INDEX(BV$4:BV$183,AD51))</f>
        <v/>
      </c>
    </row>
    <row r="52">
      <c r="A52" t="n">
        <v>49</v>
      </c>
      <c r="B52" t="n">
        <v>9</v>
      </c>
      <c r="C52" t="n">
        <v>1</v>
      </c>
      <c r="D52" t="n">
        <v>1</v>
      </c>
      <c r="E52" t="n">
        <v>17</v>
      </c>
      <c r="F52">
        <f>RAND()</f>
        <v/>
      </c>
      <c r="G52">
        <f>IF(SUMPRODUCT(($F$4:$F$183&lt;F52)*1)+SUMPRODUCT(($F$4:$F$183=F52)*($A$4:$A$183&lt;A52))&lt;Passengers,1,0)</f>
        <v/>
      </c>
      <c r="H52">
        <f>RAND()</f>
        <v/>
      </c>
      <c r="I52">
        <f>RAND()</f>
        <v/>
      </c>
      <c r="J52">
        <f>RAND()</f>
        <v/>
      </c>
      <c r="K52">
        <f>RAND()</f>
        <v/>
      </c>
      <c r="L52">
        <f>RAND()</f>
        <v/>
      </c>
      <c r="M52">
        <f>IF(K52&lt;BagShare,EXP(NORMSINV(L52)*StowSigma+StowMu),StowNoBag)</f>
        <v/>
      </c>
      <c r="N52">
        <f>IF(INDEX($AG$4:$AG$63,E52)&lt;GroupShare,1,0)</f>
        <v/>
      </c>
      <c r="P52">
        <f>IF(G52=1,IF(I52&gt;Compliance,J52,$H52),2)</f>
        <v/>
      </c>
      <c r="Q52">
        <f>IF(G52=0,2,IF(N52=0,P52,1-SUMPRODUCT(MAX(($E$4:$E$183=E52)*($G$4:$G$183=1)*(1-P$4:P$183)))+0.000000001*D52))</f>
        <v/>
      </c>
      <c r="R52">
        <f>IF(G52=0,999,SUMPRODUCT((Q$4:Q$183&lt;Q52)*($G$4:$G$183=1))+SUMPRODUCT((Q$4:Q$183=Q52)*($G$4:$G$183=1)*($A$4:$A$183&lt;A52))+1)</f>
        <v/>
      </c>
      <c r="T52">
        <f>IF(G52=1,IF(I52&gt;Compliance,J52,(INT((30-$B52)/(30/Zones))+$H52)/Zones),2)</f>
        <v/>
      </c>
      <c r="U52">
        <f>IF(G52=0,2,IF(N52=0,T52,1-SUMPRODUCT(MAX(($E$4:$E$183=E52)*($G$4:$G$183=1)*(1-T$4:T$183)))+0.000000001*D52))</f>
        <v/>
      </c>
      <c r="V52">
        <f>IF(G52=0,999,SUMPRODUCT((U$4:U$183&lt;U52)*($G$4:$G$183=1))+SUMPRODUCT((U$4:U$183=U52)*($G$4:$G$183=1)*($A$4:$A$183&lt;A52))+1)</f>
        <v/>
      </c>
      <c r="X52">
        <f>IF(G52=1,IF(I52&gt;Compliance,J52,(($D52-1)+$H52)/3),2)</f>
        <v/>
      </c>
      <c r="Y52">
        <f>IF(G52=0,2,IF(N52=0,X52,1-SUMPRODUCT(MAX(($E$4:$E$183=E52)*($G$4:$G$183=1)*(1-X$4:X$183)))+0.000000001*D52))</f>
        <v/>
      </c>
      <c r="Z52">
        <f>IF(G52=0,999,SUMPRODUCT((Y$4:Y$183&lt;Y52)*($G$4:$G$183=1))+SUMPRODUCT((Y$4:Y$183=Y52)*($G$4:$G$183=1)*($A$4:$A$183&lt;A52))+1)</f>
        <v/>
      </c>
      <c r="AB52">
        <f>IF(G52=1,IF(I52&gt;Compliance,J52,((($D52-1)*4+($C52-1)*2+MOD($B52,2))+(30-$B52)/30)/12),2)</f>
        <v/>
      </c>
      <c r="AC52">
        <f>IF(G52=0,2,IF(N52=0,AB52,1-SUMPRODUCT(MAX(($E$4:$E$183=E52)*($G$4:$G$183=1)*(1-AB$4:AB$183)))+0.000000001*D52))</f>
        <v/>
      </c>
      <c r="AD52">
        <f>IF(G52=0,999,SUMPRODUCT((AC$4:AC$183&lt;AC52)*($G$4:$G$183=1))+SUMPRODUCT((AC$4:AC$183=AC52)*($G$4:$G$183=1)*($A$4:$A$183&lt;A52))+1)</f>
        <v/>
      </c>
      <c r="AF52" t="n">
        <v>49</v>
      </c>
      <c r="AG52">
        <f>RAND()</f>
        <v/>
      </c>
      <c r="AI52" t="n">
        <v>49</v>
      </c>
      <c r="AJ52">
        <f>IF(49&gt;Passengers,"",MATCH(49,R$4:R$183,0))</f>
        <v/>
      </c>
      <c r="AK52">
        <f>IF(AJ52="","",INDEX($B$4:$B$183,AJ52))</f>
        <v/>
      </c>
      <c r="AL52">
        <f>IF(AJ52="","",INDEX($C$4:$C$183,AJ52))</f>
        <v/>
      </c>
      <c r="AM52">
        <f>IF(AJ52="","",INDEX($D$4:$D$183,AJ52))</f>
        <v/>
      </c>
      <c r="AN52">
        <f>IF(AJ52="","",COUNTIFS($B$4:$B$183,AK52,$C$4:$C$183,AL52,$D$4:$D$183,"&gt;"&amp;AM52,R$4:R$183,"&lt;"&amp;49,$G$4:$G$183,1))</f>
        <v/>
      </c>
      <c r="AO52">
        <f>IF(AJ52="","",INDEX($M$4:$M$183,AJ52)+IF(AN52=1,Shuffle1,IF(AN52&gt;=2,Shuffle2,0)))</f>
        <v/>
      </c>
      <c r="AP52">
        <f>IF(AJ52="","",MAX(DoorGap*48,SUMPRODUCT(MAX((AK$4:AK51&lt;=AK52)*AQ$4:AQ51)),SUMPRODUCT(MAX((AK$4:AK51&gt;AK52)*AP$4:AP51))+Headway))</f>
        <v/>
      </c>
      <c r="AQ52">
        <f>IF(AJ52="","",AP52+AO52)</f>
        <v/>
      </c>
      <c r="AR52">
        <f>IF(AJ52="","",AQ52+AK52*WalkSec)</f>
        <v/>
      </c>
      <c r="AS52" t="n">
        <v>49</v>
      </c>
      <c r="AT52">
        <f>IF(49&gt;Passengers,"",MATCH(49,V$4:V$183,0))</f>
        <v/>
      </c>
      <c r="AU52">
        <f>IF(AT52="","",INDEX($B$4:$B$183,AT52))</f>
        <v/>
      </c>
      <c r="AV52">
        <f>IF(AT52="","",INDEX($C$4:$C$183,AT52))</f>
        <v/>
      </c>
      <c r="AW52">
        <f>IF(AT52="","",INDEX($D$4:$D$183,AT52))</f>
        <v/>
      </c>
      <c r="AX52">
        <f>IF(AT52="","",COUNTIFS($B$4:$B$183,AU52,$C$4:$C$183,AV52,$D$4:$D$183,"&gt;"&amp;AW52,V$4:V$183,"&lt;"&amp;49,$G$4:$G$183,1))</f>
        <v/>
      </c>
      <c r="AY52">
        <f>IF(AT52="","",INDEX($M$4:$M$183,AT52)+IF(AX52=1,Shuffle1,IF(AX52&gt;=2,Shuffle2,0)))</f>
        <v/>
      </c>
      <c r="AZ52">
        <f>IF(AT52="","",MAX(DoorGap*48,SUMPRODUCT(MAX((AU$4:AU51&lt;=AU52)*BA$4:BA51)),SUMPRODUCT(MAX((AU$4:AU51&gt;AU52)*AZ$4:AZ51))+Headway))</f>
        <v/>
      </c>
      <c r="BA52">
        <f>IF(AT52="","",AZ52+AY52)</f>
        <v/>
      </c>
      <c r="BB52">
        <f>IF(AT52="","",BA52+AU52*WalkSec)</f>
        <v/>
      </c>
      <c r="BC52" t="n">
        <v>49</v>
      </c>
      <c r="BD52">
        <f>IF(49&gt;Passengers,"",MATCH(49,Z$4:Z$183,0))</f>
        <v/>
      </c>
      <c r="BE52">
        <f>IF(BD52="","",INDEX($B$4:$B$183,BD52))</f>
        <v/>
      </c>
      <c r="BF52">
        <f>IF(BD52="","",INDEX($C$4:$C$183,BD52))</f>
        <v/>
      </c>
      <c r="BG52">
        <f>IF(BD52="","",INDEX($D$4:$D$183,BD52))</f>
        <v/>
      </c>
      <c r="BH52">
        <f>IF(BD52="","",COUNTIFS($B$4:$B$183,BE52,$C$4:$C$183,BF52,$D$4:$D$183,"&gt;"&amp;BG52,Z$4:Z$183,"&lt;"&amp;49,$G$4:$G$183,1))</f>
        <v/>
      </c>
      <c r="BI52">
        <f>IF(BD52="","",INDEX($M$4:$M$183,BD52)+IF(BH52=1,Shuffle1,IF(BH52&gt;=2,Shuffle2,0)))</f>
        <v/>
      </c>
      <c r="BJ52">
        <f>IF(BD52="","",MAX(DoorGap*48,SUMPRODUCT(MAX((BE$4:BE51&lt;=BE52)*BK$4:BK51)),SUMPRODUCT(MAX((BE$4:BE51&gt;BE52)*BJ$4:BJ51))+Headway))</f>
        <v/>
      </c>
      <c r="BK52">
        <f>IF(BD52="","",BJ52+BI52)</f>
        <v/>
      </c>
      <c r="BL52">
        <f>IF(BD52="","",BK52+BE52*WalkSec)</f>
        <v/>
      </c>
      <c r="BM52" t="n">
        <v>49</v>
      </c>
      <c r="BN52">
        <f>IF(49&gt;Passengers,"",MATCH(49,AD$4:AD$183,0))</f>
        <v/>
      </c>
      <c r="BO52">
        <f>IF(BN52="","",INDEX($B$4:$B$183,BN52))</f>
        <v/>
      </c>
      <c r="BP52">
        <f>IF(BN52="","",INDEX($C$4:$C$183,BN52))</f>
        <v/>
      </c>
      <c r="BQ52">
        <f>IF(BN52="","",INDEX($D$4:$D$183,BN52))</f>
        <v/>
      </c>
      <c r="BR52">
        <f>IF(BN52="","",COUNTIFS($B$4:$B$183,BO52,$C$4:$C$183,BP52,$D$4:$D$183,"&gt;"&amp;BQ52,AD$4:AD$183,"&lt;"&amp;49,$G$4:$G$183,1))</f>
        <v/>
      </c>
      <c r="BS52">
        <f>IF(BN52="","",INDEX($M$4:$M$183,BN52)+IF(BR52=1,Shuffle1,IF(BR52&gt;=2,Shuffle2,0)))</f>
        <v/>
      </c>
      <c r="BT52">
        <f>IF(BN52="","",MAX(DoorGap*48,SUMPRODUCT(MAX((BO$4:BO51&lt;=BO52)*BU$4:BU51)),SUMPRODUCT(MAX((BO$4:BO51&gt;BO52)*BT$4:BT51))+Headway))</f>
        <v/>
      </c>
      <c r="BU52">
        <f>IF(BN52="","",BT52+BS52)</f>
        <v/>
      </c>
      <c r="BV52">
        <f>IF(BN52="","",BU52+BO52*WalkSec)</f>
        <v/>
      </c>
      <c r="BW52">
        <f>IF($G52=0,"",INDEX(AR$4:AR$183,R52))</f>
        <v/>
      </c>
      <c r="BX52">
        <f>IF($G52=0,"",INDEX(BB$4:BB$183,V52))</f>
        <v/>
      </c>
      <c r="BY52">
        <f>IF($G52=0,"",INDEX(BL$4:BL$183,Z52))</f>
        <v/>
      </c>
      <c r="BZ52">
        <f>IF($G52=0,"",INDEX(BV$4:BV$183,AD52))</f>
        <v/>
      </c>
    </row>
    <row r="53">
      <c r="A53" t="n">
        <v>50</v>
      </c>
      <c r="B53" t="n">
        <v>9</v>
      </c>
      <c r="C53" t="n">
        <v>1</v>
      </c>
      <c r="D53" t="n">
        <v>2</v>
      </c>
      <c r="E53" t="n">
        <v>17</v>
      </c>
      <c r="F53">
        <f>RAND()</f>
        <v/>
      </c>
      <c r="G53">
        <f>IF(SUMPRODUCT(($F$4:$F$183&lt;F53)*1)+SUMPRODUCT(($F$4:$F$183=F53)*($A$4:$A$183&lt;A53))&lt;Passengers,1,0)</f>
        <v/>
      </c>
      <c r="H53">
        <f>RAND()</f>
        <v/>
      </c>
      <c r="I53">
        <f>RAND()</f>
        <v/>
      </c>
      <c r="J53">
        <f>RAND()</f>
        <v/>
      </c>
      <c r="K53">
        <f>RAND()</f>
        <v/>
      </c>
      <c r="L53">
        <f>RAND()</f>
        <v/>
      </c>
      <c r="M53">
        <f>IF(K53&lt;BagShare,EXP(NORMSINV(L53)*StowSigma+StowMu),StowNoBag)</f>
        <v/>
      </c>
      <c r="N53">
        <f>IF(INDEX($AG$4:$AG$63,E53)&lt;GroupShare,1,0)</f>
        <v/>
      </c>
      <c r="P53">
        <f>IF(G53=1,IF(I53&gt;Compliance,J53,$H53),2)</f>
        <v/>
      </c>
      <c r="Q53">
        <f>IF(G53=0,2,IF(N53=0,P53,1-SUMPRODUCT(MAX(($E$4:$E$183=E53)*($G$4:$G$183=1)*(1-P$4:P$183)))+0.000000001*D53))</f>
        <v/>
      </c>
      <c r="R53">
        <f>IF(G53=0,999,SUMPRODUCT((Q$4:Q$183&lt;Q53)*($G$4:$G$183=1))+SUMPRODUCT((Q$4:Q$183=Q53)*($G$4:$G$183=1)*($A$4:$A$183&lt;A53))+1)</f>
        <v/>
      </c>
      <c r="T53">
        <f>IF(G53=1,IF(I53&gt;Compliance,J53,(INT((30-$B53)/(30/Zones))+$H53)/Zones),2)</f>
        <v/>
      </c>
      <c r="U53">
        <f>IF(G53=0,2,IF(N53=0,T53,1-SUMPRODUCT(MAX(($E$4:$E$183=E53)*($G$4:$G$183=1)*(1-T$4:T$183)))+0.000000001*D53))</f>
        <v/>
      </c>
      <c r="V53">
        <f>IF(G53=0,999,SUMPRODUCT((U$4:U$183&lt;U53)*($G$4:$G$183=1))+SUMPRODUCT((U$4:U$183=U53)*($G$4:$G$183=1)*($A$4:$A$183&lt;A53))+1)</f>
        <v/>
      </c>
      <c r="X53">
        <f>IF(G53=1,IF(I53&gt;Compliance,J53,(($D53-1)+$H53)/3),2)</f>
        <v/>
      </c>
      <c r="Y53">
        <f>IF(G53=0,2,IF(N53=0,X53,1-SUMPRODUCT(MAX(($E$4:$E$183=E53)*($G$4:$G$183=1)*(1-X$4:X$183)))+0.000000001*D53))</f>
        <v/>
      </c>
      <c r="Z53">
        <f>IF(G53=0,999,SUMPRODUCT((Y$4:Y$183&lt;Y53)*($G$4:$G$183=1))+SUMPRODUCT((Y$4:Y$183=Y53)*($G$4:$G$183=1)*($A$4:$A$183&lt;A53))+1)</f>
        <v/>
      </c>
      <c r="AB53">
        <f>IF(G53=1,IF(I53&gt;Compliance,J53,((($D53-1)*4+($C53-1)*2+MOD($B53,2))+(30-$B53)/30)/12),2)</f>
        <v/>
      </c>
      <c r="AC53">
        <f>IF(G53=0,2,IF(N53=0,AB53,1-SUMPRODUCT(MAX(($E$4:$E$183=E53)*($G$4:$G$183=1)*(1-AB$4:AB$183)))+0.000000001*D53))</f>
        <v/>
      </c>
      <c r="AD53">
        <f>IF(G53=0,999,SUMPRODUCT((AC$4:AC$183&lt;AC53)*($G$4:$G$183=1))+SUMPRODUCT((AC$4:AC$183=AC53)*($G$4:$G$183=1)*($A$4:$A$183&lt;A53))+1)</f>
        <v/>
      </c>
      <c r="AF53" t="n">
        <v>50</v>
      </c>
      <c r="AG53">
        <f>RAND()</f>
        <v/>
      </c>
      <c r="AI53" t="n">
        <v>50</v>
      </c>
      <c r="AJ53">
        <f>IF(50&gt;Passengers,"",MATCH(50,R$4:R$183,0))</f>
        <v/>
      </c>
      <c r="AK53">
        <f>IF(AJ53="","",INDEX($B$4:$B$183,AJ53))</f>
        <v/>
      </c>
      <c r="AL53">
        <f>IF(AJ53="","",INDEX($C$4:$C$183,AJ53))</f>
        <v/>
      </c>
      <c r="AM53">
        <f>IF(AJ53="","",INDEX($D$4:$D$183,AJ53))</f>
        <v/>
      </c>
      <c r="AN53">
        <f>IF(AJ53="","",COUNTIFS($B$4:$B$183,AK53,$C$4:$C$183,AL53,$D$4:$D$183,"&gt;"&amp;AM53,R$4:R$183,"&lt;"&amp;50,$G$4:$G$183,1))</f>
        <v/>
      </c>
      <c r="AO53">
        <f>IF(AJ53="","",INDEX($M$4:$M$183,AJ53)+IF(AN53=1,Shuffle1,IF(AN53&gt;=2,Shuffle2,0)))</f>
        <v/>
      </c>
      <c r="AP53">
        <f>IF(AJ53="","",MAX(DoorGap*49,SUMPRODUCT(MAX((AK$4:AK52&lt;=AK53)*AQ$4:AQ52)),SUMPRODUCT(MAX((AK$4:AK52&gt;AK53)*AP$4:AP52))+Headway))</f>
        <v/>
      </c>
      <c r="AQ53">
        <f>IF(AJ53="","",AP53+AO53)</f>
        <v/>
      </c>
      <c r="AR53">
        <f>IF(AJ53="","",AQ53+AK53*WalkSec)</f>
        <v/>
      </c>
      <c r="AS53" t="n">
        <v>50</v>
      </c>
      <c r="AT53">
        <f>IF(50&gt;Passengers,"",MATCH(50,V$4:V$183,0))</f>
        <v/>
      </c>
      <c r="AU53">
        <f>IF(AT53="","",INDEX($B$4:$B$183,AT53))</f>
        <v/>
      </c>
      <c r="AV53">
        <f>IF(AT53="","",INDEX($C$4:$C$183,AT53))</f>
        <v/>
      </c>
      <c r="AW53">
        <f>IF(AT53="","",INDEX($D$4:$D$183,AT53))</f>
        <v/>
      </c>
      <c r="AX53">
        <f>IF(AT53="","",COUNTIFS($B$4:$B$183,AU53,$C$4:$C$183,AV53,$D$4:$D$183,"&gt;"&amp;AW53,V$4:V$183,"&lt;"&amp;50,$G$4:$G$183,1))</f>
        <v/>
      </c>
      <c r="AY53">
        <f>IF(AT53="","",INDEX($M$4:$M$183,AT53)+IF(AX53=1,Shuffle1,IF(AX53&gt;=2,Shuffle2,0)))</f>
        <v/>
      </c>
      <c r="AZ53">
        <f>IF(AT53="","",MAX(DoorGap*49,SUMPRODUCT(MAX((AU$4:AU52&lt;=AU53)*BA$4:BA52)),SUMPRODUCT(MAX((AU$4:AU52&gt;AU53)*AZ$4:AZ52))+Headway))</f>
        <v/>
      </c>
      <c r="BA53">
        <f>IF(AT53="","",AZ53+AY53)</f>
        <v/>
      </c>
      <c r="BB53">
        <f>IF(AT53="","",BA53+AU53*WalkSec)</f>
        <v/>
      </c>
      <c r="BC53" t="n">
        <v>50</v>
      </c>
      <c r="BD53">
        <f>IF(50&gt;Passengers,"",MATCH(50,Z$4:Z$183,0))</f>
        <v/>
      </c>
      <c r="BE53">
        <f>IF(BD53="","",INDEX($B$4:$B$183,BD53))</f>
        <v/>
      </c>
      <c r="BF53">
        <f>IF(BD53="","",INDEX($C$4:$C$183,BD53))</f>
        <v/>
      </c>
      <c r="BG53">
        <f>IF(BD53="","",INDEX($D$4:$D$183,BD53))</f>
        <v/>
      </c>
      <c r="BH53">
        <f>IF(BD53="","",COUNTIFS($B$4:$B$183,BE53,$C$4:$C$183,BF53,$D$4:$D$183,"&gt;"&amp;BG53,Z$4:Z$183,"&lt;"&amp;50,$G$4:$G$183,1))</f>
        <v/>
      </c>
      <c r="BI53">
        <f>IF(BD53="","",INDEX($M$4:$M$183,BD53)+IF(BH53=1,Shuffle1,IF(BH53&gt;=2,Shuffle2,0)))</f>
        <v/>
      </c>
      <c r="BJ53">
        <f>IF(BD53="","",MAX(DoorGap*49,SUMPRODUCT(MAX((BE$4:BE52&lt;=BE53)*BK$4:BK52)),SUMPRODUCT(MAX((BE$4:BE52&gt;BE53)*BJ$4:BJ52))+Headway))</f>
        <v/>
      </c>
      <c r="BK53">
        <f>IF(BD53="","",BJ53+BI53)</f>
        <v/>
      </c>
      <c r="BL53">
        <f>IF(BD53="","",BK53+BE53*WalkSec)</f>
        <v/>
      </c>
      <c r="BM53" t="n">
        <v>50</v>
      </c>
      <c r="BN53">
        <f>IF(50&gt;Passengers,"",MATCH(50,AD$4:AD$183,0))</f>
        <v/>
      </c>
      <c r="BO53">
        <f>IF(BN53="","",INDEX($B$4:$B$183,BN53))</f>
        <v/>
      </c>
      <c r="BP53">
        <f>IF(BN53="","",INDEX($C$4:$C$183,BN53))</f>
        <v/>
      </c>
      <c r="BQ53">
        <f>IF(BN53="","",INDEX($D$4:$D$183,BN53))</f>
        <v/>
      </c>
      <c r="BR53">
        <f>IF(BN53="","",COUNTIFS($B$4:$B$183,BO53,$C$4:$C$183,BP53,$D$4:$D$183,"&gt;"&amp;BQ53,AD$4:AD$183,"&lt;"&amp;50,$G$4:$G$183,1))</f>
        <v/>
      </c>
      <c r="BS53">
        <f>IF(BN53="","",INDEX($M$4:$M$183,BN53)+IF(BR53=1,Shuffle1,IF(BR53&gt;=2,Shuffle2,0)))</f>
        <v/>
      </c>
      <c r="BT53">
        <f>IF(BN53="","",MAX(DoorGap*49,SUMPRODUCT(MAX((BO$4:BO52&lt;=BO53)*BU$4:BU52)),SUMPRODUCT(MAX((BO$4:BO52&gt;BO53)*BT$4:BT52))+Headway))</f>
        <v/>
      </c>
      <c r="BU53">
        <f>IF(BN53="","",BT53+BS53)</f>
        <v/>
      </c>
      <c r="BV53">
        <f>IF(BN53="","",BU53+BO53*WalkSec)</f>
        <v/>
      </c>
      <c r="BW53">
        <f>IF($G53=0,"",INDEX(AR$4:AR$183,R53))</f>
        <v/>
      </c>
      <c r="BX53">
        <f>IF($G53=0,"",INDEX(BB$4:BB$183,V53))</f>
        <v/>
      </c>
      <c r="BY53">
        <f>IF($G53=0,"",INDEX(BL$4:BL$183,Z53))</f>
        <v/>
      </c>
      <c r="BZ53">
        <f>IF($G53=0,"",INDEX(BV$4:BV$183,AD53))</f>
        <v/>
      </c>
    </row>
    <row r="54">
      <c r="A54" t="n">
        <v>51</v>
      </c>
      <c r="B54" t="n">
        <v>9</v>
      </c>
      <c r="C54" t="n">
        <v>1</v>
      </c>
      <c r="D54" t="n">
        <v>3</v>
      </c>
      <c r="E54" t="n">
        <v>17</v>
      </c>
      <c r="F54">
        <f>RAND()</f>
        <v/>
      </c>
      <c r="G54">
        <f>IF(SUMPRODUCT(($F$4:$F$183&lt;F54)*1)+SUMPRODUCT(($F$4:$F$183=F54)*($A$4:$A$183&lt;A54))&lt;Passengers,1,0)</f>
        <v/>
      </c>
      <c r="H54">
        <f>RAND()</f>
        <v/>
      </c>
      <c r="I54">
        <f>RAND()</f>
        <v/>
      </c>
      <c r="J54">
        <f>RAND()</f>
        <v/>
      </c>
      <c r="K54">
        <f>RAND()</f>
        <v/>
      </c>
      <c r="L54">
        <f>RAND()</f>
        <v/>
      </c>
      <c r="M54">
        <f>IF(K54&lt;BagShare,EXP(NORMSINV(L54)*StowSigma+StowMu),StowNoBag)</f>
        <v/>
      </c>
      <c r="N54">
        <f>IF(INDEX($AG$4:$AG$63,E54)&lt;GroupShare,1,0)</f>
        <v/>
      </c>
      <c r="P54">
        <f>IF(G54=1,IF(I54&gt;Compliance,J54,$H54),2)</f>
        <v/>
      </c>
      <c r="Q54">
        <f>IF(G54=0,2,IF(N54=0,P54,1-SUMPRODUCT(MAX(($E$4:$E$183=E54)*($G$4:$G$183=1)*(1-P$4:P$183)))+0.000000001*D54))</f>
        <v/>
      </c>
      <c r="R54">
        <f>IF(G54=0,999,SUMPRODUCT((Q$4:Q$183&lt;Q54)*($G$4:$G$183=1))+SUMPRODUCT((Q$4:Q$183=Q54)*($G$4:$G$183=1)*($A$4:$A$183&lt;A54))+1)</f>
        <v/>
      </c>
      <c r="T54">
        <f>IF(G54=1,IF(I54&gt;Compliance,J54,(INT((30-$B54)/(30/Zones))+$H54)/Zones),2)</f>
        <v/>
      </c>
      <c r="U54">
        <f>IF(G54=0,2,IF(N54=0,T54,1-SUMPRODUCT(MAX(($E$4:$E$183=E54)*($G$4:$G$183=1)*(1-T$4:T$183)))+0.000000001*D54))</f>
        <v/>
      </c>
      <c r="V54">
        <f>IF(G54=0,999,SUMPRODUCT((U$4:U$183&lt;U54)*($G$4:$G$183=1))+SUMPRODUCT((U$4:U$183=U54)*($G$4:$G$183=1)*($A$4:$A$183&lt;A54))+1)</f>
        <v/>
      </c>
      <c r="X54">
        <f>IF(G54=1,IF(I54&gt;Compliance,J54,(($D54-1)+$H54)/3),2)</f>
        <v/>
      </c>
      <c r="Y54">
        <f>IF(G54=0,2,IF(N54=0,X54,1-SUMPRODUCT(MAX(($E$4:$E$183=E54)*($G$4:$G$183=1)*(1-X$4:X$183)))+0.000000001*D54))</f>
        <v/>
      </c>
      <c r="Z54">
        <f>IF(G54=0,999,SUMPRODUCT((Y$4:Y$183&lt;Y54)*($G$4:$G$183=1))+SUMPRODUCT((Y$4:Y$183=Y54)*($G$4:$G$183=1)*($A$4:$A$183&lt;A54))+1)</f>
        <v/>
      </c>
      <c r="AB54">
        <f>IF(G54=1,IF(I54&gt;Compliance,J54,((($D54-1)*4+($C54-1)*2+MOD($B54,2))+(30-$B54)/30)/12),2)</f>
        <v/>
      </c>
      <c r="AC54">
        <f>IF(G54=0,2,IF(N54=0,AB54,1-SUMPRODUCT(MAX(($E$4:$E$183=E54)*($G$4:$G$183=1)*(1-AB$4:AB$183)))+0.000000001*D54))</f>
        <v/>
      </c>
      <c r="AD54">
        <f>IF(G54=0,999,SUMPRODUCT((AC$4:AC$183&lt;AC54)*($G$4:$G$183=1))+SUMPRODUCT((AC$4:AC$183=AC54)*($G$4:$G$183=1)*($A$4:$A$183&lt;A54))+1)</f>
        <v/>
      </c>
      <c r="AF54" t="n">
        <v>51</v>
      </c>
      <c r="AG54">
        <f>RAND()</f>
        <v/>
      </c>
      <c r="AI54" t="n">
        <v>51</v>
      </c>
      <c r="AJ54">
        <f>IF(51&gt;Passengers,"",MATCH(51,R$4:R$183,0))</f>
        <v/>
      </c>
      <c r="AK54">
        <f>IF(AJ54="","",INDEX($B$4:$B$183,AJ54))</f>
        <v/>
      </c>
      <c r="AL54">
        <f>IF(AJ54="","",INDEX($C$4:$C$183,AJ54))</f>
        <v/>
      </c>
      <c r="AM54">
        <f>IF(AJ54="","",INDEX($D$4:$D$183,AJ54))</f>
        <v/>
      </c>
      <c r="AN54">
        <f>IF(AJ54="","",COUNTIFS($B$4:$B$183,AK54,$C$4:$C$183,AL54,$D$4:$D$183,"&gt;"&amp;AM54,R$4:R$183,"&lt;"&amp;51,$G$4:$G$183,1))</f>
        <v/>
      </c>
      <c r="AO54">
        <f>IF(AJ54="","",INDEX($M$4:$M$183,AJ54)+IF(AN54=1,Shuffle1,IF(AN54&gt;=2,Shuffle2,0)))</f>
        <v/>
      </c>
      <c r="AP54">
        <f>IF(AJ54="","",MAX(DoorGap*50,SUMPRODUCT(MAX((AK$4:AK53&lt;=AK54)*AQ$4:AQ53)),SUMPRODUCT(MAX((AK$4:AK53&gt;AK54)*AP$4:AP53))+Headway))</f>
        <v/>
      </c>
      <c r="AQ54">
        <f>IF(AJ54="","",AP54+AO54)</f>
        <v/>
      </c>
      <c r="AR54">
        <f>IF(AJ54="","",AQ54+AK54*WalkSec)</f>
        <v/>
      </c>
      <c r="AS54" t="n">
        <v>51</v>
      </c>
      <c r="AT54">
        <f>IF(51&gt;Passengers,"",MATCH(51,V$4:V$183,0))</f>
        <v/>
      </c>
      <c r="AU54">
        <f>IF(AT54="","",INDEX($B$4:$B$183,AT54))</f>
        <v/>
      </c>
      <c r="AV54">
        <f>IF(AT54="","",INDEX($C$4:$C$183,AT54))</f>
        <v/>
      </c>
      <c r="AW54">
        <f>IF(AT54="","",INDEX($D$4:$D$183,AT54))</f>
        <v/>
      </c>
      <c r="AX54">
        <f>IF(AT54="","",COUNTIFS($B$4:$B$183,AU54,$C$4:$C$183,AV54,$D$4:$D$183,"&gt;"&amp;AW54,V$4:V$183,"&lt;"&amp;51,$G$4:$G$183,1))</f>
        <v/>
      </c>
      <c r="AY54">
        <f>IF(AT54="","",INDEX($M$4:$M$183,AT54)+IF(AX54=1,Shuffle1,IF(AX54&gt;=2,Shuffle2,0)))</f>
        <v/>
      </c>
      <c r="AZ54">
        <f>IF(AT54="","",MAX(DoorGap*50,SUMPRODUCT(MAX((AU$4:AU53&lt;=AU54)*BA$4:BA53)),SUMPRODUCT(MAX((AU$4:AU53&gt;AU54)*AZ$4:AZ53))+Headway))</f>
        <v/>
      </c>
      <c r="BA54">
        <f>IF(AT54="","",AZ54+AY54)</f>
        <v/>
      </c>
      <c r="BB54">
        <f>IF(AT54="","",BA54+AU54*WalkSec)</f>
        <v/>
      </c>
      <c r="BC54" t="n">
        <v>51</v>
      </c>
      <c r="BD54">
        <f>IF(51&gt;Passengers,"",MATCH(51,Z$4:Z$183,0))</f>
        <v/>
      </c>
      <c r="BE54">
        <f>IF(BD54="","",INDEX($B$4:$B$183,BD54))</f>
        <v/>
      </c>
      <c r="BF54">
        <f>IF(BD54="","",INDEX($C$4:$C$183,BD54))</f>
        <v/>
      </c>
      <c r="BG54">
        <f>IF(BD54="","",INDEX($D$4:$D$183,BD54))</f>
        <v/>
      </c>
      <c r="BH54">
        <f>IF(BD54="","",COUNTIFS($B$4:$B$183,BE54,$C$4:$C$183,BF54,$D$4:$D$183,"&gt;"&amp;BG54,Z$4:Z$183,"&lt;"&amp;51,$G$4:$G$183,1))</f>
        <v/>
      </c>
      <c r="BI54">
        <f>IF(BD54="","",INDEX($M$4:$M$183,BD54)+IF(BH54=1,Shuffle1,IF(BH54&gt;=2,Shuffle2,0)))</f>
        <v/>
      </c>
      <c r="BJ54">
        <f>IF(BD54="","",MAX(DoorGap*50,SUMPRODUCT(MAX((BE$4:BE53&lt;=BE54)*BK$4:BK53)),SUMPRODUCT(MAX((BE$4:BE53&gt;BE54)*BJ$4:BJ53))+Headway))</f>
        <v/>
      </c>
      <c r="BK54">
        <f>IF(BD54="","",BJ54+BI54)</f>
        <v/>
      </c>
      <c r="BL54">
        <f>IF(BD54="","",BK54+BE54*WalkSec)</f>
        <v/>
      </c>
      <c r="BM54" t="n">
        <v>51</v>
      </c>
      <c r="BN54">
        <f>IF(51&gt;Passengers,"",MATCH(51,AD$4:AD$183,0))</f>
        <v/>
      </c>
      <c r="BO54">
        <f>IF(BN54="","",INDEX($B$4:$B$183,BN54))</f>
        <v/>
      </c>
      <c r="BP54">
        <f>IF(BN54="","",INDEX($C$4:$C$183,BN54))</f>
        <v/>
      </c>
      <c r="BQ54">
        <f>IF(BN54="","",INDEX($D$4:$D$183,BN54))</f>
        <v/>
      </c>
      <c r="BR54">
        <f>IF(BN54="","",COUNTIFS($B$4:$B$183,BO54,$C$4:$C$183,BP54,$D$4:$D$183,"&gt;"&amp;BQ54,AD$4:AD$183,"&lt;"&amp;51,$G$4:$G$183,1))</f>
        <v/>
      </c>
      <c r="BS54">
        <f>IF(BN54="","",INDEX($M$4:$M$183,BN54)+IF(BR54=1,Shuffle1,IF(BR54&gt;=2,Shuffle2,0)))</f>
        <v/>
      </c>
      <c r="BT54">
        <f>IF(BN54="","",MAX(DoorGap*50,SUMPRODUCT(MAX((BO$4:BO53&lt;=BO54)*BU$4:BU53)),SUMPRODUCT(MAX((BO$4:BO53&gt;BO54)*BT$4:BT53))+Headway))</f>
        <v/>
      </c>
      <c r="BU54">
        <f>IF(BN54="","",BT54+BS54)</f>
        <v/>
      </c>
      <c r="BV54">
        <f>IF(BN54="","",BU54+BO54*WalkSec)</f>
        <v/>
      </c>
      <c r="BW54">
        <f>IF($G54=0,"",INDEX(AR$4:AR$183,R54))</f>
        <v/>
      </c>
      <c r="BX54">
        <f>IF($G54=0,"",INDEX(BB$4:BB$183,V54))</f>
        <v/>
      </c>
      <c r="BY54">
        <f>IF($G54=0,"",INDEX(BL$4:BL$183,Z54))</f>
        <v/>
      </c>
      <c r="BZ54">
        <f>IF($G54=0,"",INDEX(BV$4:BV$183,AD54))</f>
        <v/>
      </c>
    </row>
    <row r="55">
      <c r="A55" t="n">
        <v>52</v>
      </c>
      <c r="B55" t="n">
        <v>9</v>
      </c>
      <c r="C55" t="n">
        <v>2</v>
      </c>
      <c r="D55" t="n">
        <v>1</v>
      </c>
      <c r="E55" t="n">
        <v>18</v>
      </c>
      <c r="F55">
        <f>RAND()</f>
        <v/>
      </c>
      <c r="G55">
        <f>IF(SUMPRODUCT(($F$4:$F$183&lt;F55)*1)+SUMPRODUCT(($F$4:$F$183=F55)*($A$4:$A$183&lt;A55))&lt;Passengers,1,0)</f>
        <v/>
      </c>
      <c r="H55">
        <f>RAND()</f>
        <v/>
      </c>
      <c r="I55">
        <f>RAND()</f>
        <v/>
      </c>
      <c r="J55">
        <f>RAND()</f>
        <v/>
      </c>
      <c r="K55">
        <f>RAND()</f>
        <v/>
      </c>
      <c r="L55">
        <f>RAND()</f>
        <v/>
      </c>
      <c r="M55">
        <f>IF(K55&lt;BagShare,EXP(NORMSINV(L55)*StowSigma+StowMu),StowNoBag)</f>
        <v/>
      </c>
      <c r="N55">
        <f>IF(INDEX($AG$4:$AG$63,E55)&lt;GroupShare,1,0)</f>
        <v/>
      </c>
      <c r="P55">
        <f>IF(G55=1,IF(I55&gt;Compliance,J55,$H55),2)</f>
        <v/>
      </c>
      <c r="Q55">
        <f>IF(G55=0,2,IF(N55=0,P55,1-SUMPRODUCT(MAX(($E$4:$E$183=E55)*($G$4:$G$183=1)*(1-P$4:P$183)))+0.000000001*D55))</f>
        <v/>
      </c>
      <c r="R55">
        <f>IF(G55=0,999,SUMPRODUCT((Q$4:Q$183&lt;Q55)*($G$4:$G$183=1))+SUMPRODUCT((Q$4:Q$183=Q55)*($G$4:$G$183=1)*($A$4:$A$183&lt;A55))+1)</f>
        <v/>
      </c>
      <c r="T55">
        <f>IF(G55=1,IF(I55&gt;Compliance,J55,(INT((30-$B55)/(30/Zones))+$H55)/Zones),2)</f>
        <v/>
      </c>
      <c r="U55">
        <f>IF(G55=0,2,IF(N55=0,T55,1-SUMPRODUCT(MAX(($E$4:$E$183=E55)*($G$4:$G$183=1)*(1-T$4:T$183)))+0.000000001*D55))</f>
        <v/>
      </c>
      <c r="V55">
        <f>IF(G55=0,999,SUMPRODUCT((U$4:U$183&lt;U55)*($G$4:$G$183=1))+SUMPRODUCT((U$4:U$183=U55)*($G$4:$G$183=1)*($A$4:$A$183&lt;A55))+1)</f>
        <v/>
      </c>
      <c r="X55">
        <f>IF(G55=1,IF(I55&gt;Compliance,J55,(($D55-1)+$H55)/3),2)</f>
        <v/>
      </c>
      <c r="Y55">
        <f>IF(G55=0,2,IF(N55=0,X55,1-SUMPRODUCT(MAX(($E$4:$E$183=E55)*($G$4:$G$183=1)*(1-X$4:X$183)))+0.000000001*D55))</f>
        <v/>
      </c>
      <c r="Z55">
        <f>IF(G55=0,999,SUMPRODUCT((Y$4:Y$183&lt;Y55)*($G$4:$G$183=1))+SUMPRODUCT((Y$4:Y$183=Y55)*($G$4:$G$183=1)*($A$4:$A$183&lt;A55))+1)</f>
        <v/>
      </c>
      <c r="AB55">
        <f>IF(G55=1,IF(I55&gt;Compliance,J55,((($D55-1)*4+($C55-1)*2+MOD($B55,2))+(30-$B55)/30)/12),2)</f>
        <v/>
      </c>
      <c r="AC55">
        <f>IF(G55=0,2,IF(N55=0,AB55,1-SUMPRODUCT(MAX(($E$4:$E$183=E55)*($G$4:$G$183=1)*(1-AB$4:AB$183)))+0.000000001*D55))</f>
        <v/>
      </c>
      <c r="AD55">
        <f>IF(G55=0,999,SUMPRODUCT((AC$4:AC$183&lt;AC55)*($G$4:$G$183=1))+SUMPRODUCT((AC$4:AC$183=AC55)*($G$4:$G$183=1)*($A$4:$A$183&lt;A55))+1)</f>
        <v/>
      </c>
      <c r="AF55" t="n">
        <v>52</v>
      </c>
      <c r="AG55">
        <f>RAND()</f>
        <v/>
      </c>
      <c r="AI55" t="n">
        <v>52</v>
      </c>
      <c r="AJ55">
        <f>IF(52&gt;Passengers,"",MATCH(52,R$4:R$183,0))</f>
        <v/>
      </c>
      <c r="AK55">
        <f>IF(AJ55="","",INDEX($B$4:$B$183,AJ55))</f>
        <v/>
      </c>
      <c r="AL55">
        <f>IF(AJ55="","",INDEX($C$4:$C$183,AJ55))</f>
        <v/>
      </c>
      <c r="AM55">
        <f>IF(AJ55="","",INDEX($D$4:$D$183,AJ55))</f>
        <v/>
      </c>
      <c r="AN55">
        <f>IF(AJ55="","",COUNTIFS($B$4:$B$183,AK55,$C$4:$C$183,AL55,$D$4:$D$183,"&gt;"&amp;AM55,R$4:R$183,"&lt;"&amp;52,$G$4:$G$183,1))</f>
        <v/>
      </c>
      <c r="AO55">
        <f>IF(AJ55="","",INDEX($M$4:$M$183,AJ55)+IF(AN55=1,Shuffle1,IF(AN55&gt;=2,Shuffle2,0)))</f>
        <v/>
      </c>
      <c r="AP55">
        <f>IF(AJ55="","",MAX(DoorGap*51,SUMPRODUCT(MAX((AK$4:AK54&lt;=AK55)*AQ$4:AQ54)),SUMPRODUCT(MAX((AK$4:AK54&gt;AK55)*AP$4:AP54))+Headway))</f>
        <v/>
      </c>
      <c r="AQ55">
        <f>IF(AJ55="","",AP55+AO55)</f>
        <v/>
      </c>
      <c r="AR55">
        <f>IF(AJ55="","",AQ55+AK55*WalkSec)</f>
        <v/>
      </c>
      <c r="AS55" t="n">
        <v>52</v>
      </c>
      <c r="AT55">
        <f>IF(52&gt;Passengers,"",MATCH(52,V$4:V$183,0))</f>
        <v/>
      </c>
      <c r="AU55">
        <f>IF(AT55="","",INDEX($B$4:$B$183,AT55))</f>
        <v/>
      </c>
      <c r="AV55">
        <f>IF(AT55="","",INDEX($C$4:$C$183,AT55))</f>
        <v/>
      </c>
      <c r="AW55">
        <f>IF(AT55="","",INDEX($D$4:$D$183,AT55))</f>
        <v/>
      </c>
      <c r="AX55">
        <f>IF(AT55="","",COUNTIFS($B$4:$B$183,AU55,$C$4:$C$183,AV55,$D$4:$D$183,"&gt;"&amp;AW55,V$4:V$183,"&lt;"&amp;52,$G$4:$G$183,1))</f>
        <v/>
      </c>
      <c r="AY55">
        <f>IF(AT55="","",INDEX($M$4:$M$183,AT55)+IF(AX55=1,Shuffle1,IF(AX55&gt;=2,Shuffle2,0)))</f>
        <v/>
      </c>
      <c r="AZ55">
        <f>IF(AT55="","",MAX(DoorGap*51,SUMPRODUCT(MAX((AU$4:AU54&lt;=AU55)*BA$4:BA54)),SUMPRODUCT(MAX((AU$4:AU54&gt;AU55)*AZ$4:AZ54))+Headway))</f>
        <v/>
      </c>
      <c r="BA55">
        <f>IF(AT55="","",AZ55+AY55)</f>
        <v/>
      </c>
      <c r="BB55">
        <f>IF(AT55="","",BA55+AU55*WalkSec)</f>
        <v/>
      </c>
      <c r="BC55" t="n">
        <v>52</v>
      </c>
      <c r="BD55">
        <f>IF(52&gt;Passengers,"",MATCH(52,Z$4:Z$183,0))</f>
        <v/>
      </c>
      <c r="BE55">
        <f>IF(BD55="","",INDEX($B$4:$B$183,BD55))</f>
        <v/>
      </c>
      <c r="BF55">
        <f>IF(BD55="","",INDEX($C$4:$C$183,BD55))</f>
        <v/>
      </c>
      <c r="BG55">
        <f>IF(BD55="","",INDEX($D$4:$D$183,BD55))</f>
        <v/>
      </c>
      <c r="BH55">
        <f>IF(BD55="","",COUNTIFS($B$4:$B$183,BE55,$C$4:$C$183,BF55,$D$4:$D$183,"&gt;"&amp;BG55,Z$4:Z$183,"&lt;"&amp;52,$G$4:$G$183,1))</f>
        <v/>
      </c>
      <c r="BI55">
        <f>IF(BD55="","",INDEX($M$4:$M$183,BD55)+IF(BH55=1,Shuffle1,IF(BH55&gt;=2,Shuffle2,0)))</f>
        <v/>
      </c>
      <c r="BJ55">
        <f>IF(BD55="","",MAX(DoorGap*51,SUMPRODUCT(MAX((BE$4:BE54&lt;=BE55)*BK$4:BK54)),SUMPRODUCT(MAX((BE$4:BE54&gt;BE55)*BJ$4:BJ54))+Headway))</f>
        <v/>
      </c>
      <c r="BK55">
        <f>IF(BD55="","",BJ55+BI55)</f>
        <v/>
      </c>
      <c r="BL55">
        <f>IF(BD55="","",BK55+BE55*WalkSec)</f>
        <v/>
      </c>
      <c r="BM55" t="n">
        <v>52</v>
      </c>
      <c r="BN55">
        <f>IF(52&gt;Passengers,"",MATCH(52,AD$4:AD$183,0))</f>
        <v/>
      </c>
      <c r="BO55">
        <f>IF(BN55="","",INDEX($B$4:$B$183,BN55))</f>
        <v/>
      </c>
      <c r="BP55">
        <f>IF(BN55="","",INDEX($C$4:$C$183,BN55))</f>
        <v/>
      </c>
      <c r="BQ55">
        <f>IF(BN55="","",INDEX($D$4:$D$183,BN55))</f>
        <v/>
      </c>
      <c r="BR55">
        <f>IF(BN55="","",COUNTIFS($B$4:$B$183,BO55,$C$4:$C$183,BP55,$D$4:$D$183,"&gt;"&amp;BQ55,AD$4:AD$183,"&lt;"&amp;52,$G$4:$G$183,1))</f>
        <v/>
      </c>
      <c r="BS55">
        <f>IF(BN55="","",INDEX($M$4:$M$183,BN55)+IF(BR55=1,Shuffle1,IF(BR55&gt;=2,Shuffle2,0)))</f>
        <v/>
      </c>
      <c r="BT55">
        <f>IF(BN55="","",MAX(DoorGap*51,SUMPRODUCT(MAX((BO$4:BO54&lt;=BO55)*BU$4:BU54)),SUMPRODUCT(MAX((BO$4:BO54&gt;BO55)*BT$4:BT54))+Headway))</f>
        <v/>
      </c>
      <c r="BU55">
        <f>IF(BN55="","",BT55+BS55)</f>
        <v/>
      </c>
      <c r="BV55">
        <f>IF(BN55="","",BU55+BO55*WalkSec)</f>
        <v/>
      </c>
      <c r="BW55">
        <f>IF($G55=0,"",INDEX(AR$4:AR$183,R55))</f>
        <v/>
      </c>
      <c r="BX55">
        <f>IF($G55=0,"",INDEX(BB$4:BB$183,V55))</f>
        <v/>
      </c>
      <c r="BY55">
        <f>IF($G55=0,"",INDEX(BL$4:BL$183,Z55))</f>
        <v/>
      </c>
      <c r="BZ55">
        <f>IF($G55=0,"",INDEX(BV$4:BV$183,AD55))</f>
        <v/>
      </c>
    </row>
    <row r="56">
      <c r="A56" t="n">
        <v>53</v>
      </c>
      <c r="B56" t="n">
        <v>9</v>
      </c>
      <c r="C56" t="n">
        <v>2</v>
      </c>
      <c r="D56" t="n">
        <v>2</v>
      </c>
      <c r="E56" t="n">
        <v>18</v>
      </c>
      <c r="F56">
        <f>RAND()</f>
        <v/>
      </c>
      <c r="G56">
        <f>IF(SUMPRODUCT(($F$4:$F$183&lt;F56)*1)+SUMPRODUCT(($F$4:$F$183=F56)*($A$4:$A$183&lt;A56))&lt;Passengers,1,0)</f>
        <v/>
      </c>
      <c r="H56">
        <f>RAND()</f>
        <v/>
      </c>
      <c r="I56">
        <f>RAND()</f>
        <v/>
      </c>
      <c r="J56">
        <f>RAND()</f>
        <v/>
      </c>
      <c r="K56">
        <f>RAND()</f>
        <v/>
      </c>
      <c r="L56">
        <f>RAND()</f>
        <v/>
      </c>
      <c r="M56">
        <f>IF(K56&lt;BagShare,EXP(NORMSINV(L56)*StowSigma+StowMu),StowNoBag)</f>
        <v/>
      </c>
      <c r="N56">
        <f>IF(INDEX($AG$4:$AG$63,E56)&lt;GroupShare,1,0)</f>
        <v/>
      </c>
      <c r="P56">
        <f>IF(G56=1,IF(I56&gt;Compliance,J56,$H56),2)</f>
        <v/>
      </c>
      <c r="Q56">
        <f>IF(G56=0,2,IF(N56=0,P56,1-SUMPRODUCT(MAX(($E$4:$E$183=E56)*($G$4:$G$183=1)*(1-P$4:P$183)))+0.000000001*D56))</f>
        <v/>
      </c>
      <c r="R56">
        <f>IF(G56=0,999,SUMPRODUCT((Q$4:Q$183&lt;Q56)*($G$4:$G$183=1))+SUMPRODUCT((Q$4:Q$183=Q56)*($G$4:$G$183=1)*($A$4:$A$183&lt;A56))+1)</f>
        <v/>
      </c>
      <c r="T56">
        <f>IF(G56=1,IF(I56&gt;Compliance,J56,(INT((30-$B56)/(30/Zones))+$H56)/Zones),2)</f>
        <v/>
      </c>
      <c r="U56">
        <f>IF(G56=0,2,IF(N56=0,T56,1-SUMPRODUCT(MAX(($E$4:$E$183=E56)*($G$4:$G$183=1)*(1-T$4:T$183)))+0.000000001*D56))</f>
        <v/>
      </c>
      <c r="V56">
        <f>IF(G56=0,999,SUMPRODUCT((U$4:U$183&lt;U56)*($G$4:$G$183=1))+SUMPRODUCT((U$4:U$183=U56)*($G$4:$G$183=1)*($A$4:$A$183&lt;A56))+1)</f>
        <v/>
      </c>
      <c r="X56">
        <f>IF(G56=1,IF(I56&gt;Compliance,J56,(($D56-1)+$H56)/3),2)</f>
        <v/>
      </c>
      <c r="Y56">
        <f>IF(G56=0,2,IF(N56=0,X56,1-SUMPRODUCT(MAX(($E$4:$E$183=E56)*($G$4:$G$183=1)*(1-X$4:X$183)))+0.000000001*D56))</f>
        <v/>
      </c>
      <c r="Z56">
        <f>IF(G56=0,999,SUMPRODUCT((Y$4:Y$183&lt;Y56)*($G$4:$G$183=1))+SUMPRODUCT((Y$4:Y$183=Y56)*($G$4:$G$183=1)*($A$4:$A$183&lt;A56))+1)</f>
        <v/>
      </c>
      <c r="AB56">
        <f>IF(G56=1,IF(I56&gt;Compliance,J56,((($D56-1)*4+($C56-1)*2+MOD($B56,2))+(30-$B56)/30)/12),2)</f>
        <v/>
      </c>
      <c r="AC56">
        <f>IF(G56=0,2,IF(N56=0,AB56,1-SUMPRODUCT(MAX(($E$4:$E$183=E56)*($G$4:$G$183=1)*(1-AB$4:AB$183)))+0.000000001*D56))</f>
        <v/>
      </c>
      <c r="AD56">
        <f>IF(G56=0,999,SUMPRODUCT((AC$4:AC$183&lt;AC56)*($G$4:$G$183=1))+SUMPRODUCT((AC$4:AC$183=AC56)*($G$4:$G$183=1)*($A$4:$A$183&lt;A56))+1)</f>
        <v/>
      </c>
      <c r="AF56" t="n">
        <v>53</v>
      </c>
      <c r="AG56">
        <f>RAND()</f>
        <v/>
      </c>
      <c r="AI56" t="n">
        <v>53</v>
      </c>
      <c r="AJ56">
        <f>IF(53&gt;Passengers,"",MATCH(53,R$4:R$183,0))</f>
        <v/>
      </c>
      <c r="AK56">
        <f>IF(AJ56="","",INDEX($B$4:$B$183,AJ56))</f>
        <v/>
      </c>
      <c r="AL56">
        <f>IF(AJ56="","",INDEX($C$4:$C$183,AJ56))</f>
        <v/>
      </c>
      <c r="AM56">
        <f>IF(AJ56="","",INDEX($D$4:$D$183,AJ56))</f>
        <v/>
      </c>
      <c r="AN56">
        <f>IF(AJ56="","",COUNTIFS($B$4:$B$183,AK56,$C$4:$C$183,AL56,$D$4:$D$183,"&gt;"&amp;AM56,R$4:R$183,"&lt;"&amp;53,$G$4:$G$183,1))</f>
        <v/>
      </c>
      <c r="AO56">
        <f>IF(AJ56="","",INDEX($M$4:$M$183,AJ56)+IF(AN56=1,Shuffle1,IF(AN56&gt;=2,Shuffle2,0)))</f>
        <v/>
      </c>
      <c r="AP56">
        <f>IF(AJ56="","",MAX(DoorGap*52,SUMPRODUCT(MAX((AK$4:AK55&lt;=AK56)*AQ$4:AQ55)),SUMPRODUCT(MAX((AK$4:AK55&gt;AK56)*AP$4:AP55))+Headway))</f>
        <v/>
      </c>
      <c r="AQ56">
        <f>IF(AJ56="","",AP56+AO56)</f>
        <v/>
      </c>
      <c r="AR56">
        <f>IF(AJ56="","",AQ56+AK56*WalkSec)</f>
        <v/>
      </c>
      <c r="AS56" t="n">
        <v>53</v>
      </c>
      <c r="AT56">
        <f>IF(53&gt;Passengers,"",MATCH(53,V$4:V$183,0))</f>
        <v/>
      </c>
      <c r="AU56">
        <f>IF(AT56="","",INDEX($B$4:$B$183,AT56))</f>
        <v/>
      </c>
      <c r="AV56">
        <f>IF(AT56="","",INDEX($C$4:$C$183,AT56))</f>
        <v/>
      </c>
      <c r="AW56">
        <f>IF(AT56="","",INDEX($D$4:$D$183,AT56))</f>
        <v/>
      </c>
      <c r="AX56">
        <f>IF(AT56="","",COUNTIFS($B$4:$B$183,AU56,$C$4:$C$183,AV56,$D$4:$D$183,"&gt;"&amp;AW56,V$4:V$183,"&lt;"&amp;53,$G$4:$G$183,1))</f>
        <v/>
      </c>
      <c r="AY56">
        <f>IF(AT56="","",INDEX($M$4:$M$183,AT56)+IF(AX56=1,Shuffle1,IF(AX56&gt;=2,Shuffle2,0)))</f>
        <v/>
      </c>
      <c r="AZ56">
        <f>IF(AT56="","",MAX(DoorGap*52,SUMPRODUCT(MAX((AU$4:AU55&lt;=AU56)*BA$4:BA55)),SUMPRODUCT(MAX((AU$4:AU55&gt;AU56)*AZ$4:AZ55))+Headway))</f>
        <v/>
      </c>
      <c r="BA56">
        <f>IF(AT56="","",AZ56+AY56)</f>
        <v/>
      </c>
      <c r="BB56">
        <f>IF(AT56="","",BA56+AU56*WalkSec)</f>
        <v/>
      </c>
      <c r="BC56" t="n">
        <v>53</v>
      </c>
      <c r="BD56">
        <f>IF(53&gt;Passengers,"",MATCH(53,Z$4:Z$183,0))</f>
        <v/>
      </c>
      <c r="BE56">
        <f>IF(BD56="","",INDEX($B$4:$B$183,BD56))</f>
        <v/>
      </c>
      <c r="BF56">
        <f>IF(BD56="","",INDEX($C$4:$C$183,BD56))</f>
        <v/>
      </c>
      <c r="BG56">
        <f>IF(BD56="","",INDEX($D$4:$D$183,BD56))</f>
        <v/>
      </c>
      <c r="BH56">
        <f>IF(BD56="","",COUNTIFS($B$4:$B$183,BE56,$C$4:$C$183,BF56,$D$4:$D$183,"&gt;"&amp;BG56,Z$4:Z$183,"&lt;"&amp;53,$G$4:$G$183,1))</f>
        <v/>
      </c>
      <c r="BI56">
        <f>IF(BD56="","",INDEX($M$4:$M$183,BD56)+IF(BH56=1,Shuffle1,IF(BH56&gt;=2,Shuffle2,0)))</f>
        <v/>
      </c>
      <c r="BJ56">
        <f>IF(BD56="","",MAX(DoorGap*52,SUMPRODUCT(MAX((BE$4:BE55&lt;=BE56)*BK$4:BK55)),SUMPRODUCT(MAX((BE$4:BE55&gt;BE56)*BJ$4:BJ55))+Headway))</f>
        <v/>
      </c>
      <c r="BK56">
        <f>IF(BD56="","",BJ56+BI56)</f>
        <v/>
      </c>
      <c r="BL56">
        <f>IF(BD56="","",BK56+BE56*WalkSec)</f>
        <v/>
      </c>
      <c r="BM56" t="n">
        <v>53</v>
      </c>
      <c r="BN56">
        <f>IF(53&gt;Passengers,"",MATCH(53,AD$4:AD$183,0))</f>
        <v/>
      </c>
      <c r="BO56">
        <f>IF(BN56="","",INDEX($B$4:$B$183,BN56))</f>
        <v/>
      </c>
      <c r="BP56">
        <f>IF(BN56="","",INDEX($C$4:$C$183,BN56))</f>
        <v/>
      </c>
      <c r="BQ56">
        <f>IF(BN56="","",INDEX($D$4:$D$183,BN56))</f>
        <v/>
      </c>
      <c r="BR56">
        <f>IF(BN56="","",COUNTIFS($B$4:$B$183,BO56,$C$4:$C$183,BP56,$D$4:$D$183,"&gt;"&amp;BQ56,AD$4:AD$183,"&lt;"&amp;53,$G$4:$G$183,1))</f>
        <v/>
      </c>
      <c r="BS56">
        <f>IF(BN56="","",INDEX($M$4:$M$183,BN56)+IF(BR56=1,Shuffle1,IF(BR56&gt;=2,Shuffle2,0)))</f>
        <v/>
      </c>
      <c r="BT56">
        <f>IF(BN56="","",MAX(DoorGap*52,SUMPRODUCT(MAX((BO$4:BO55&lt;=BO56)*BU$4:BU55)),SUMPRODUCT(MAX((BO$4:BO55&gt;BO56)*BT$4:BT55))+Headway))</f>
        <v/>
      </c>
      <c r="BU56">
        <f>IF(BN56="","",BT56+BS56)</f>
        <v/>
      </c>
      <c r="BV56">
        <f>IF(BN56="","",BU56+BO56*WalkSec)</f>
        <v/>
      </c>
      <c r="BW56">
        <f>IF($G56=0,"",INDEX(AR$4:AR$183,R56))</f>
        <v/>
      </c>
      <c r="BX56">
        <f>IF($G56=0,"",INDEX(BB$4:BB$183,V56))</f>
        <v/>
      </c>
      <c r="BY56">
        <f>IF($G56=0,"",INDEX(BL$4:BL$183,Z56))</f>
        <v/>
      </c>
      <c r="BZ56">
        <f>IF($G56=0,"",INDEX(BV$4:BV$183,AD56))</f>
        <v/>
      </c>
    </row>
    <row r="57">
      <c r="A57" t="n">
        <v>54</v>
      </c>
      <c r="B57" t="n">
        <v>9</v>
      </c>
      <c r="C57" t="n">
        <v>2</v>
      </c>
      <c r="D57" t="n">
        <v>3</v>
      </c>
      <c r="E57" t="n">
        <v>18</v>
      </c>
      <c r="F57">
        <f>RAND()</f>
        <v/>
      </c>
      <c r="G57">
        <f>IF(SUMPRODUCT(($F$4:$F$183&lt;F57)*1)+SUMPRODUCT(($F$4:$F$183=F57)*($A$4:$A$183&lt;A57))&lt;Passengers,1,0)</f>
        <v/>
      </c>
      <c r="H57">
        <f>RAND()</f>
        <v/>
      </c>
      <c r="I57">
        <f>RAND()</f>
        <v/>
      </c>
      <c r="J57">
        <f>RAND()</f>
        <v/>
      </c>
      <c r="K57">
        <f>RAND()</f>
        <v/>
      </c>
      <c r="L57">
        <f>RAND()</f>
        <v/>
      </c>
      <c r="M57">
        <f>IF(K57&lt;BagShare,EXP(NORMSINV(L57)*StowSigma+StowMu),StowNoBag)</f>
        <v/>
      </c>
      <c r="N57">
        <f>IF(INDEX($AG$4:$AG$63,E57)&lt;GroupShare,1,0)</f>
        <v/>
      </c>
      <c r="P57">
        <f>IF(G57=1,IF(I57&gt;Compliance,J57,$H57),2)</f>
        <v/>
      </c>
      <c r="Q57">
        <f>IF(G57=0,2,IF(N57=0,P57,1-SUMPRODUCT(MAX(($E$4:$E$183=E57)*($G$4:$G$183=1)*(1-P$4:P$183)))+0.000000001*D57))</f>
        <v/>
      </c>
      <c r="R57">
        <f>IF(G57=0,999,SUMPRODUCT((Q$4:Q$183&lt;Q57)*($G$4:$G$183=1))+SUMPRODUCT((Q$4:Q$183=Q57)*($G$4:$G$183=1)*($A$4:$A$183&lt;A57))+1)</f>
        <v/>
      </c>
      <c r="T57">
        <f>IF(G57=1,IF(I57&gt;Compliance,J57,(INT((30-$B57)/(30/Zones))+$H57)/Zones),2)</f>
        <v/>
      </c>
      <c r="U57">
        <f>IF(G57=0,2,IF(N57=0,T57,1-SUMPRODUCT(MAX(($E$4:$E$183=E57)*($G$4:$G$183=1)*(1-T$4:T$183)))+0.000000001*D57))</f>
        <v/>
      </c>
      <c r="V57">
        <f>IF(G57=0,999,SUMPRODUCT((U$4:U$183&lt;U57)*($G$4:$G$183=1))+SUMPRODUCT((U$4:U$183=U57)*($G$4:$G$183=1)*($A$4:$A$183&lt;A57))+1)</f>
        <v/>
      </c>
      <c r="X57">
        <f>IF(G57=1,IF(I57&gt;Compliance,J57,(($D57-1)+$H57)/3),2)</f>
        <v/>
      </c>
      <c r="Y57">
        <f>IF(G57=0,2,IF(N57=0,X57,1-SUMPRODUCT(MAX(($E$4:$E$183=E57)*($G$4:$G$183=1)*(1-X$4:X$183)))+0.000000001*D57))</f>
        <v/>
      </c>
      <c r="Z57">
        <f>IF(G57=0,999,SUMPRODUCT((Y$4:Y$183&lt;Y57)*($G$4:$G$183=1))+SUMPRODUCT((Y$4:Y$183=Y57)*($G$4:$G$183=1)*($A$4:$A$183&lt;A57))+1)</f>
        <v/>
      </c>
      <c r="AB57">
        <f>IF(G57=1,IF(I57&gt;Compliance,J57,((($D57-1)*4+($C57-1)*2+MOD($B57,2))+(30-$B57)/30)/12),2)</f>
        <v/>
      </c>
      <c r="AC57">
        <f>IF(G57=0,2,IF(N57=0,AB57,1-SUMPRODUCT(MAX(($E$4:$E$183=E57)*($G$4:$G$183=1)*(1-AB$4:AB$183)))+0.000000001*D57))</f>
        <v/>
      </c>
      <c r="AD57">
        <f>IF(G57=0,999,SUMPRODUCT((AC$4:AC$183&lt;AC57)*($G$4:$G$183=1))+SUMPRODUCT((AC$4:AC$183=AC57)*($G$4:$G$183=1)*($A$4:$A$183&lt;A57))+1)</f>
        <v/>
      </c>
      <c r="AF57" t="n">
        <v>54</v>
      </c>
      <c r="AG57">
        <f>RAND()</f>
        <v/>
      </c>
      <c r="AI57" t="n">
        <v>54</v>
      </c>
      <c r="AJ57">
        <f>IF(54&gt;Passengers,"",MATCH(54,R$4:R$183,0))</f>
        <v/>
      </c>
      <c r="AK57">
        <f>IF(AJ57="","",INDEX($B$4:$B$183,AJ57))</f>
        <v/>
      </c>
      <c r="AL57">
        <f>IF(AJ57="","",INDEX($C$4:$C$183,AJ57))</f>
        <v/>
      </c>
      <c r="AM57">
        <f>IF(AJ57="","",INDEX($D$4:$D$183,AJ57))</f>
        <v/>
      </c>
      <c r="AN57">
        <f>IF(AJ57="","",COUNTIFS($B$4:$B$183,AK57,$C$4:$C$183,AL57,$D$4:$D$183,"&gt;"&amp;AM57,R$4:R$183,"&lt;"&amp;54,$G$4:$G$183,1))</f>
        <v/>
      </c>
      <c r="AO57">
        <f>IF(AJ57="","",INDEX($M$4:$M$183,AJ57)+IF(AN57=1,Shuffle1,IF(AN57&gt;=2,Shuffle2,0)))</f>
        <v/>
      </c>
      <c r="AP57">
        <f>IF(AJ57="","",MAX(DoorGap*53,SUMPRODUCT(MAX((AK$4:AK56&lt;=AK57)*AQ$4:AQ56)),SUMPRODUCT(MAX((AK$4:AK56&gt;AK57)*AP$4:AP56))+Headway))</f>
        <v/>
      </c>
      <c r="AQ57">
        <f>IF(AJ57="","",AP57+AO57)</f>
        <v/>
      </c>
      <c r="AR57">
        <f>IF(AJ57="","",AQ57+AK57*WalkSec)</f>
        <v/>
      </c>
      <c r="AS57" t="n">
        <v>54</v>
      </c>
      <c r="AT57">
        <f>IF(54&gt;Passengers,"",MATCH(54,V$4:V$183,0))</f>
        <v/>
      </c>
      <c r="AU57">
        <f>IF(AT57="","",INDEX($B$4:$B$183,AT57))</f>
        <v/>
      </c>
      <c r="AV57">
        <f>IF(AT57="","",INDEX($C$4:$C$183,AT57))</f>
        <v/>
      </c>
      <c r="AW57">
        <f>IF(AT57="","",INDEX($D$4:$D$183,AT57))</f>
        <v/>
      </c>
      <c r="AX57">
        <f>IF(AT57="","",COUNTIFS($B$4:$B$183,AU57,$C$4:$C$183,AV57,$D$4:$D$183,"&gt;"&amp;AW57,V$4:V$183,"&lt;"&amp;54,$G$4:$G$183,1))</f>
        <v/>
      </c>
      <c r="AY57">
        <f>IF(AT57="","",INDEX($M$4:$M$183,AT57)+IF(AX57=1,Shuffle1,IF(AX57&gt;=2,Shuffle2,0)))</f>
        <v/>
      </c>
      <c r="AZ57">
        <f>IF(AT57="","",MAX(DoorGap*53,SUMPRODUCT(MAX((AU$4:AU56&lt;=AU57)*BA$4:BA56)),SUMPRODUCT(MAX((AU$4:AU56&gt;AU57)*AZ$4:AZ56))+Headway))</f>
        <v/>
      </c>
      <c r="BA57">
        <f>IF(AT57="","",AZ57+AY57)</f>
        <v/>
      </c>
      <c r="BB57">
        <f>IF(AT57="","",BA57+AU57*WalkSec)</f>
        <v/>
      </c>
      <c r="BC57" t="n">
        <v>54</v>
      </c>
      <c r="BD57">
        <f>IF(54&gt;Passengers,"",MATCH(54,Z$4:Z$183,0))</f>
        <v/>
      </c>
      <c r="BE57">
        <f>IF(BD57="","",INDEX($B$4:$B$183,BD57))</f>
        <v/>
      </c>
      <c r="BF57">
        <f>IF(BD57="","",INDEX($C$4:$C$183,BD57))</f>
        <v/>
      </c>
      <c r="BG57">
        <f>IF(BD57="","",INDEX($D$4:$D$183,BD57))</f>
        <v/>
      </c>
      <c r="BH57">
        <f>IF(BD57="","",COUNTIFS($B$4:$B$183,BE57,$C$4:$C$183,BF57,$D$4:$D$183,"&gt;"&amp;BG57,Z$4:Z$183,"&lt;"&amp;54,$G$4:$G$183,1))</f>
        <v/>
      </c>
      <c r="BI57">
        <f>IF(BD57="","",INDEX($M$4:$M$183,BD57)+IF(BH57=1,Shuffle1,IF(BH57&gt;=2,Shuffle2,0)))</f>
        <v/>
      </c>
      <c r="BJ57">
        <f>IF(BD57="","",MAX(DoorGap*53,SUMPRODUCT(MAX((BE$4:BE56&lt;=BE57)*BK$4:BK56)),SUMPRODUCT(MAX((BE$4:BE56&gt;BE57)*BJ$4:BJ56))+Headway))</f>
        <v/>
      </c>
      <c r="BK57">
        <f>IF(BD57="","",BJ57+BI57)</f>
        <v/>
      </c>
      <c r="BL57">
        <f>IF(BD57="","",BK57+BE57*WalkSec)</f>
        <v/>
      </c>
      <c r="BM57" t="n">
        <v>54</v>
      </c>
      <c r="BN57">
        <f>IF(54&gt;Passengers,"",MATCH(54,AD$4:AD$183,0))</f>
        <v/>
      </c>
      <c r="BO57">
        <f>IF(BN57="","",INDEX($B$4:$B$183,BN57))</f>
        <v/>
      </c>
      <c r="BP57">
        <f>IF(BN57="","",INDEX($C$4:$C$183,BN57))</f>
        <v/>
      </c>
      <c r="BQ57">
        <f>IF(BN57="","",INDEX($D$4:$D$183,BN57))</f>
        <v/>
      </c>
      <c r="BR57">
        <f>IF(BN57="","",COUNTIFS($B$4:$B$183,BO57,$C$4:$C$183,BP57,$D$4:$D$183,"&gt;"&amp;BQ57,AD$4:AD$183,"&lt;"&amp;54,$G$4:$G$183,1))</f>
        <v/>
      </c>
      <c r="BS57">
        <f>IF(BN57="","",INDEX($M$4:$M$183,BN57)+IF(BR57=1,Shuffle1,IF(BR57&gt;=2,Shuffle2,0)))</f>
        <v/>
      </c>
      <c r="BT57">
        <f>IF(BN57="","",MAX(DoorGap*53,SUMPRODUCT(MAX((BO$4:BO56&lt;=BO57)*BU$4:BU56)),SUMPRODUCT(MAX((BO$4:BO56&gt;BO57)*BT$4:BT56))+Headway))</f>
        <v/>
      </c>
      <c r="BU57">
        <f>IF(BN57="","",BT57+BS57)</f>
        <v/>
      </c>
      <c r="BV57">
        <f>IF(BN57="","",BU57+BO57*WalkSec)</f>
        <v/>
      </c>
      <c r="BW57">
        <f>IF($G57=0,"",INDEX(AR$4:AR$183,R57))</f>
        <v/>
      </c>
      <c r="BX57">
        <f>IF($G57=0,"",INDEX(BB$4:BB$183,V57))</f>
        <v/>
      </c>
      <c r="BY57">
        <f>IF($G57=0,"",INDEX(BL$4:BL$183,Z57))</f>
        <v/>
      </c>
      <c r="BZ57">
        <f>IF($G57=0,"",INDEX(BV$4:BV$183,AD57))</f>
        <v/>
      </c>
    </row>
    <row r="58">
      <c r="A58" t="n">
        <v>55</v>
      </c>
      <c r="B58" t="n">
        <v>10</v>
      </c>
      <c r="C58" t="n">
        <v>1</v>
      </c>
      <c r="D58" t="n">
        <v>1</v>
      </c>
      <c r="E58" t="n">
        <v>19</v>
      </c>
      <c r="F58">
        <f>RAND()</f>
        <v/>
      </c>
      <c r="G58">
        <f>IF(SUMPRODUCT(($F$4:$F$183&lt;F58)*1)+SUMPRODUCT(($F$4:$F$183=F58)*($A$4:$A$183&lt;A58))&lt;Passengers,1,0)</f>
        <v/>
      </c>
      <c r="H58">
        <f>RAND()</f>
        <v/>
      </c>
      <c r="I58">
        <f>RAND()</f>
        <v/>
      </c>
      <c r="J58">
        <f>RAND()</f>
        <v/>
      </c>
      <c r="K58">
        <f>RAND()</f>
        <v/>
      </c>
      <c r="L58">
        <f>RAND()</f>
        <v/>
      </c>
      <c r="M58">
        <f>IF(K58&lt;BagShare,EXP(NORMSINV(L58)*StowSigma+StowMu),StowNoBag)</f>
        <v/>
      </c>
      <c r="N58">
        <f>IF(INDEX($AG$4:$AG$63,E58)&lt;GroupShare,1,0)</f>
        <v/>
      </c>
      <c r="P58">
        <f>IF(G58=1,IF(I58&gt;Compliance,J58,$H58),2)</f>
        <v/>
      </c>
      <c r="Q58">
        <f>IF(G58=0,2,IF(N58=0,P58,1-SUMPRODUCT(MAX(($E$4:$E$183=E58)*($G$4:$G$183=1)*(1-P$4:P$183)))+0.000000001*D58))</f>
        <v/>
      </c>
      <c r="R58">
        <f>IF(G58=0,999,SUMPRODUCT((Q$4:Q$183&lt;Q58)*($G$4:$G$183=1))+SUMPRODUCT((Q$4:Q$183=Q58)*($G$4:$G$183=1)*($A$4:$A$183&lt;A58))+1)</f>
        <v/>
      </c>
      <c r="T58">
        <f>IF(G58=1,IF(I58&gt;Compliance,J58,(INT((30-$B58)/(30/Zones))+$H58)/Zones),2)</f>
        <v/>
      </c>
      <c r="U58">
        <f>IF(G58=0,2,IF(N58=0,T58,1-SUMPRODUCT(MAX(($E$4:$E$183=E58)*($G$4:$G$183=1)*(1-T$4:T$183)))+0.000000001*D58))</f>
        <v/>
      </c>
      <c r="V58">
        <f>IF(G58=0,999,SUMPRODUCT((U$4:U$183&lt;U58)*($G$4:$G$183=1))+SUMPRODUCT((U$4:U$183=U58)*($G$4:$G$183=1)*($A$4:$A$183&lt;A58))+1)</f>
        <v/>
      </c>
      <c r="X58">
        <f>IF(G58=1,IF(I58&gt;Compliance,J58,(($D58-1)+$H58)/3),2)</f>
        <v/>
      </c>
      <c r="Y58">
        <f>IF(G58=0,2,IF(N58=0,X58,1-SUMPRODUCT(MAX(($E$4:$E$183=E58)*($G$4:$G$183=1)*(1-X$4:X$183)))+0.000000001*D58))</f>
        <v/>
      </c>
      <c r="Z58">
        <f>IF(G58=0,999,SUMPRODUCT((Y$4:Y$183&lt;Y58)*($G$4:$G$183=1))+SUMPRODUCT((Y$4:Y$183=Y58)*($G$4:$G$183=1)*($A$4:$A$183&lt;A58))+1)</f>
        <v/>
      </c>
      <c r="AB58">
        <f>IF(G58=1,IF(I58&gt;Compliance,J58,((($D58-1)*4+($C58-1)*2+MOD($B58,2))+(30-$B58)/30)/12),2)</f>
        <v/>
      </c>
      <c r="AC58">
        <f>IF(G58=0,2,IF(N58=0,AB58,1-SUMPRODUCT(MAX(($E$4:$E$183=E58)*($G$4:$G$183=1)*(1-AB$4:AB$183)))+0.000000001*D58))</f>
        <v/>
      </c>
      <c r="AD58">
        <f>IF(G58=0,999,SUMPRODUCT((AC$4:AC$183&lt;AC58)*($G$4:$G$183=1))+SUMPRODUCT((AC$4:AC$183=AC58)*($G$4:$G$183=1)*($A$4:$A$183&lt;A58))+1)</f>
        <v/>
      </c>
      <c r="AF58" t="n">
        <v>55</v>
      </c>
      <c r="AG58">
        <f>RAND()</f>
        <v/>
      </c>
      <c r="AI58" t="n">
        <v>55</v>
      </c>
      <c r="AJ58">
        <f>IF(55&gt;Passengers,"",MATCH(55,R$4:R$183,0))</f>
        <v/>
      </c>
      <c r="AK58">
        <f>IF(AJ58="","",INDEX($B$4:$B$183,AJ58))</f>
        <v/>
      </c>
      <c r="AL58">
        <f>IF(AJ58="","",INDEX($C$4:$C$183,AJ58))</f>
        <v/>
      </c>
      <c r="AM58">
        <f>IF(AJ58="","",INDEX($D$4:$D$183,AJ58))</f>
        <v/>
      </c>
      <c r="AN58">
        <f>IF(AJ58="","",COUNTIFS($B$4:$B$183,AK58,$C$4:$C$183,AL58,$D$4:$D$183,"&gt;"&amp;AM58,R$4:R$183,"&lt;"&amp;55,$G$4:$G$183,1))</f>
        <v/>
      </c>
      <c r="AO58">
        <f>IF(AJ58="","",INDEX($M$4:$M$183,AJ58)+IF(AN58=1,Shuffle1,IF(AN58&gt;=2,Shuffle2,0)))</f>
        <v/>
      </c>
      <c r="AP58">
        <f>IF(AJ58="","",MAX(DoorGap*54,SUMPRODUCT(MAX((AK$4:AK57&lt;=AK58)*AQ$4:AQ57)),SUMPRODUCT(MAX((AK$4:AK57&gt;AK58)*AP$4:AP57))+Headway))</f>
        <v/>
      </c>
      <c r="AQ58">
        <f>IF(AJ58="","",AP58+AO58)</f>
        <v/>
      </c>
      <c r="AR58">
        <f>IF(AJ58="","",AQ58+AK58*WalkSec)</f>
        <v/>
      </c>
      <c r="AS58" t="n">
        <v>55</v>
      </c>
      <c r="AT58">
        <f>IF(55&gt;Passengers,"",MATCH(55,V$4:V$183,0))</f>
        <v/>
      </c>
      <c r="AU58">
        <f>IF(AT58="","",INDEX($B$4:$B$183,AT58))</f>
        <v/>
      </c>
      <c r="AV58">
        <f>IF(AT58="","",INDEX($C$4:$C$183,AT58))</f>
        <v/>
      </c>
      <c r="AW58">
        <f>IF(AT58="","",INDEX($D$4:$D$183,AT58))</f>
        <v/>
      </c>
      <c r="AX58">
        <f>IF(AT58="","",COUNTIFS($B$4:$B$183,AU58,$C$4:$C$183,AV58,$D$4:$D$183,"&gt;"&amp;AW58,V$4:V$183,"&lt;"&amp;55,$G$4:$G$183,1))</f>
        <v/>
      </c>
      <c r="AY58">
        <f>IF(AT58="","",INDEX($M$4:$M$183,AT58)+IF(AX58=1,Shuffle1,IF(AX58&gt;=2,Shuffle2,0)))</f>
        <v/>
      </c>
      <c r="AZ58">
        <f>IF(AT58="","",MAX(DoorGap*54,SUMPRODUCT(MAX((AU$4:AU57&lt;=AU58)*BA$4:BA57)),SUMPRODUCT(MAX((AU$4:AU57&gt;AU58)*AZ$4:AZ57))+Headway))</f>
        <v/>
      </c>
      <c r="BA58">
        <f>IF(AT58="","",AZ58+AY58)</f>
        <v/>
      </c>
      <c r="BB58">
        <f>IF(AT58="","",BA58+AU58*WalkSec)</f>
        <v/>
      </c>
      <c r="BC58" t="n">
        <v>55</v>
      </c>
      <c r="BD58">
        <f>IF(55&gt;Passengers,"",MATCH(55,Z$4:Z$183,0))</f>
        <v/>
      </c>
      <c r="BE58">
        <f>IF(BD58="","",INDEX($B$4:$B$183,BD58))</f>
        <v/>
      </c>
      <c r="BF58">
        <f>IF(BD58="","",INDEX($C$4:$C$183,BD58))</f>
        <v/>
      </c>
      <c r="BG58">
        <f>IF(BD58="","",INDEX($D$4:$D$183,BD58))</f>
        <v/>
      </c>
      <c r="BH58">
        <f>IF(BD58="","",COUNTIFS($B$4:$B$183,BE58,$C$4:$C$183,BF58,$D$4:$D$183,"&gt;"&amp;BG58,Z$4:Z$183,"&lt;"&amp;55,$G$4:$G$183,1))</f>
        <v/>
      </c>
      <c r="BI58">
        <f>IF(BD58="","",INDEX($M$4:$M$183,BD58)+IF(BH58=1,Shuffle1,IF(BH58&gt;=2,Shuffle2,0)))</f>
        <v/>
      </c>
      <c r="BJ58">
        <f>IF(BD58="","",MAX(DoorGap*54,SUMPRODUCT(MAX((BE$4:BE57&lt;=BE58)*BK$4:BK57)),SUMPRODUCT(MAX((BE$4:BE57&gt;BE58)*BJ$4:BJ57))+Headway))</f>
        <v/>
      </c>
      <c r="BK58">
        <f>IF(BD58="","",BJ58+BI58)</f>
        <v/>
      </c>
      <c r="BL58">
        <f>IF(BD58="","",BK58+BE58*WalkSec)</f>
        <v/>
      </c>
      <c r="BM58" t="n">
        <v>55</v>
      </c>
      <c r="BN58">
        <f>IF(55&gt;Passengers,"",MATCH(55,AD$4:AD$183,0))</f>
        <v/>
      </c>
      <c r="BO58">
        <f>IF(BN58="","",INDEX($B$4:$B$183,BN58))</f>
        <v/>
      </c>
      <c r="BP58">
        <f>IF(BN58="","",INDEX($C$4:$C$183,BN58))</f>
        <v/>
      </c>
      <c r="BQ58">
        <f>IF(BN58="","",INDEX($D$4:$D$183,BN58))</f>
        <v/>
      </c>
      <c r="BR58">
        <f>IF(BN58="","",COUNTIFS($B$4:$B$183,BO58,$C$4:$C$183,BP58,$D$4:$D$183,"&gt;"&amp;BQ58,AD$4:AD$183,"&lt;"&amp;55,$G$4:$G$183,1))</f>
        <v/>
      </c>
      <c r="BS58">
        <f>IF(BN58="","",INDEX($M$4:$M$183,BN58)+IF(BR58=1,Shuffle1,IF(BR58&gt;=2,Shuffle2,0)))</f>
        <v/>
      </c>
      <c r="BT58">
        <f>IF(BN58="","",MAX(DoorGap*54,SUMPRODUCT(MAX((BO$4:BO57&lt;=BO58)*BU$4:BU57)),SUMPRODUCT(MAX((BO$4:BO57&gt;BO58)*BT$4:BT57))+Headway))</f>
        <v/>
      </c>
      <c r="BU58">
        <f>IF(BN58="","",BT58+BS58)</f>
        <v/>
      </c>
      <c r="BV58">
        <f>IF(BN58="","",BU58+BO58*WalkSec)</f>
        <v/>
      </c>
      <c r="BW58">
        <f>IF($G58=0,"",INDEX(AR$4:AR$183,R58))</f>
        <v/>
      </c>
      <c r="BX58">
        <f>IF($G58=0,"",INDEX(BB$4:BB$183,V58))</f>
        <v/>
      </c>
      <c r="BY58">
        <f>IF($G58=0,"",INDEX(BL$4:BL$183,Z58))</f>
        <v/>
      </c>
      <c r="BZ58">
        <f>IF($G58=0,"",INDEX(BV$4:BV$183,AD58))</f>
        <v/>
      </c>
    </row>
    <row r="59">
      <c r="A59" t="n">
        <v>56</v>
      </c>
      <c r="B59" t="n">
        <v>10</v>
      </c>
      <c r="C59" t="n">
        <v>1</v>
      </c>
      <c r="D59" t="n">
        <v>2</v>
      </c>
      <c r="E59" t="n">
        <v>19</v>
      </c>
      <c r="F59">
        <f>RAND()</f>
        <v/>
      </c>
      <c r="G59">
        <f>IF(SUMPRODUCT(($F$4:$F$183&lt;F59)*1)+SUMPRODUCT(($F$4:$F$183=F59)*($A$4:$A$183&lt;A59))&lt;Passengers,1,0)</f>
        <v/>
      </c>
      <c r="H59">
        <f>RAND()</f>
        <v/>
      </c>
      <c r="I59">
        <f>RAND()</f>
        <v/>
      </c>
      <c r="J59">
        <f>RAND()</f>
        <v/>
      </c>
      <c r="K59">
        <f>RAND()</f>
        <v/>
      </c>
      <c r="L59">
        <f>RAND()</f>
        <v/>
      </c>
      <c r="M59">
        <f>IF(K59&lt;BagShare,EXP(NORMSINV(L59)*StowSigma+StowMu),StowNoBag)</f>
        <v/>
      </c>
      <c r="N59">
        <f>IF(INDEX($AG$4:$AG$63,E59)&lt;GroupShare,1,0)</f>
        <v/>
      </c>
      <c r="P59">
        <f>IF(G59=1,IF(I59&gt;Compliance,J59,$H59),2)</f>
        <v/>
      </c>
      <c r="Q59">
        <f>IF(G59=0,2,IF(N59=0,P59,1-SUMPRODUCT(MAX(($E$4:$E$183=E59)*($G$4:$G$183=1)*(1-P$4:P$183)))+0.000000001*D59))</f>
        <v/>
      </c>
      <c r="R59">
        <f>IF(G59=0,999,SUMPRODUCT((Q$4:Q$183&lt;Q59)*($G$4:$G$183=1))+SUMPRODUCT((Q$4:Q$183=Q59)*($G$4:$G$183=1)*($A$4:$A$183&lt;A59))+1)</f>
        <v/>
      </c>
      <c r="T59">
        <f>IF(G59=1,IF(I59&gt;Compliance,J59,(INT((30-$B59)/(30/Zones))+$H59)/Zones),2)</f>
        <v/>
      </c>
      <c r="U59">
        <f>IF(G59=0,2,IF(N59=0,T59,1-SUMPRODUCT(MAX(($E$4:$E$183=E59)*($G$4:$G$183=1)*(1-T$4:T$183)))+0.000000001*D59))</f>
        <v/>
      </c>
      <c r="V59">
        <f>IF(G59=0,999,SUMPRODUCT((U$4:U$183&lt;U59)*($G$4:$G$183=1))+SUMPRODUCT((U$4:U$183=U59)*($G$4:$G$183=1)*($A$4:$A$183&lt;A59))+1)</f>
        <v/>
      </c>
      <c r="X59">
        <f>IF(G59=1,IF(I59&gt;Compliance,J59,(($D59-1)+$H59)/3),2)</f>
        <v/>
      </c>
      <c r="Y59">
        <f>IF(G59=0,2,IF(N59=0,X59,1-SUMPRODUCT(MAX(($E$4:$E$183=E59)*($G$4:$G$183=1)*(1-X$4:X$183)))+0.000000001*D59))</f>
        <v/>
      </c>
      <c r="Z59">
        <f>IF(G59=0,999,SUMPRODUCT((Y$4:Y$183&lt;Y59)*($G$4:$G$183=1))+SUMPRODUCT((Y$4:Y$183=Y59)*($G$4:$G$183=1)*($A$4:$A$183&lt;A59))+1)</f>
        <v/>
      </c>
      <c r="AB59">
        <f>IF(G59=1,IF(I59&gt;Compliance,J59,((($D59-1)*4+($C59-1)*2+MOD($B59,2))+(30-$B59)/30)/12),2)</f>
        <v/>
      </c>
      <c r="AC59">
        <f>IF(G59=0,2,IF(N59=0,AB59,1-SUMPRODUCT(MAX(($E$4:$E$183=E59)*($G$4:$G$183=1)*(1-AB$4:AB$183)))+0.000000001*D59))</f>
        <v/>
      </c>
      <c r="AD59">
        <f>IF(G59=0,999,SUMPRODUCT((AC$4:AC$183&lt;AC59)*($G$4:$G$183=1))+SUMPRODUCT((AC$4:AC$183=AC59)*($G$4:$G$183=1)*($A$4:$A$183&lt;A59))+1)</f>
        <v/>
      </c>
      <c r="AF59" t="n">
        <v>56</v>
      </c>
      <c r="AG59">
        <f>RAND()</f>
        <v/>
      </c>
      <c r="AI59" t="n">
        <v>56</v>
      </c>
      <c r="AJ59">
        <f>IF(56&gt;Passengers,"",MATCH(56,R$4:R$183,0))</f>
        <v/>
      </c>
      <c r="AK59">
        <f>IF(AJ59="","",INDEX($B$4:$B$183,AJ59))</f>
        <v/>
      </c>
      <c r="AL59">
        <f>IF(AJ59="","",INDEX($C$4:$C$183,AJ59))</f>
        <v/>
      </c>
      <c r="AM59">
        <f>IF(AJ59="","",INDEX($D$4:$D$183,AJ59))</f>
        <v/>
      </c>
      <c r="AN59">
        <f>IF(AJ59="","",COUNTIFS($B$4:$B$183,AK59,$C$4:$C$183,AL59,$D$4:$D$183,"&gt;"&amp;AM59,R$4:R$183,"&lt;"&amp;56,$G$4:$G$183,1))</f>
        <v/>
      </c>
      <c r="AO59">
        <f>IF(AJ59="","",INDEX($M$4:$M$183,AJ59)+IF(AN59=1,Shuffle1,IF(AN59&gt;=2,Shuffle2,0)))</f>
        <v/>
      </c>
      <c r="AP59">
        <f>IF(AJ59="","",MAX(DoorGap*55,SUMPRODUCT(MAX((AK$4:AK58&lt;=AK59)*AQ$4:AQ58)),SUMPRODUCT(MAX((AK$4:AK58&gt;AK59)*AP$4:AP58))+Headway))</f>
        <v/>
      </c>
      <c r="AQ59">
        <f>IF(AJ59="","",AP59+AO59)</f>
        <v/>
      </c>
      <c r="AR59">
        <f>IF(AJ59="","",AQ59+AK59*WalkSec)</f>
        <v/>
      </c>
      <c r="AS59" t="n">
        <v>56</v>
      </c>
      <c r="AT59">
        <f>IF(56&gt;Passengers,"",MATCH(56,V$4:V$183,0))</f>
        <v/>
      </c>
      <c r="AU59">
        <f>IF(AT59="","",INDEX($B$4:$B$183,AT59))</f>
        <v/>
      </c>
      <c r="AV59">
        <f>IF(AT59="","",INDEX($C$4:$C$183,AT59))</f>
        <v/>
      </c>
      <c r="AW59">
        <f>IF(AT59="","",INDEX($D$4:$D$183,AT59))</f>
        <v/>
      </c>
      <c r="AX59">
        <f>IF(AT59="","",COUNTIFS($B$4:$B$183,AU59,$C$4:$C$183,AV59,$D$4:$D$183,"&gt;"&amp;AW59,V$4:V$183,"&lt;"&amp;56,$G$4:$G$183,1))</f>
        <v/>
      </c>
      <c r="AY59">
        <f>IF(AT59="","",INDEX($M$4:$M$183,AT59)+IF(AX59=1,Shuffle1,IF(AX59&gt;=2,Shuffle2,0)))</f>
        <v/>
      </c>
      <c r="AZ59">
        <f>IF(AT59="","",MAX(DoorGap*55,SUMPRODUCT(MAX((AU$4:AU58&lt;=AU59)*BA$4:BA58)),SUMPRODUCT(MAX((AU$4:AU58&gt;AU59)*AZ$4:AZ58))+Headway))</f>
        <v/>
      </c>
      <c r="BA59">
        <f>IF(AT59="","",AZ59+AY59)</f>
        <v/>
      </c>
      <c r="BB59">
        <f>IF(AT59="","",BA59+AU59*WalkSec)</f>
        <v/>
      </c>
      <c r="BC59" t="n">
        <v>56</v>
      </c>
      <c r="BD59">
        <f>IF(56&gt;Passengers,"",MATCH(56,Z$4:Z$183,0))</f>
        <v/>
      </c>
      <c r="BE59">
        <f>IF(BD59="","",INDEX($B$4:$B$183,BD59))</f>
        <v/>
      </c>
      <c r="BF59">
        <f>IF(BD59="","",INDEX($C$4:$C$183,BD59))</f>
        <v/>
      </c>
      <c r="BG59">
        <f>IF(BD59="","",INDEX($D$4:$D$183,BD59))</f>
        <v/>
      </c>
      <c r="BH59">
        <f>IF(BD59="","",COUNTIFS($B$4:$B$183,BE59,$C$4:$C$183,BF59,$D$4:$D$183,"&gt;"&amp;BG59,Z$4:Z$183,"&lt;"&amp;56,$G$4:$G$183,1))</f>
        <v/>
      </c>
      <c r="BI59">
        <f>IF(BD59="","",INDEX($M$4:$M$183,BD59)+IF(BH59=1,Shuffle1,IF(BH59&gt;=2,Shuffle2,0)))</f>
        <v/>
      </c>
      <c r="BJ59">
        <f>IF(BD59="","",MAX(DoorGap*55,SUMPRODUCT(MAX((BE$4:BE58&lt;=BE59)*BK$4:BK58)),SUMPRODUCT(MAX((BE$4:BE58&gt;BE59)*BJ$4:BJ58))+Headway))</f>
        <v/>
      </c>
      <c r="BK59">
        <f>IF(BD59="","",BJ59+BI59)</f>
        <v/>
      </c>
      <c r="BL59">
        <f>IF(BD59="","",BK59+BE59*WalkSec)</f>
        <v/>
      </c>
      <c r="BM59" t="n">
        <v>56</v>
      </c>
      <c r="BN59">
        <f>IF(56&gt;Passengers,"",MATCH(56,AD$4:AD$183,0))</f>
        <v/>
      </c>
      <c r="BO59">
        <f>IF(BN59="","",INDEX($B$4:$B$183,BN59))</f>
        <v/>
      </c>
      <c r="BP59">
        <f>IF(BN59="","",INDEX($C$4:$C$183,BN59))</f>
        <v/>
      </c>
      <c r="BQ59">
        <f>IF(BN59="","",INDEX($D$4:$D$183,BN59))</f>
        <v/>
      </c>
      <c r="BR59">
        <f>IF(BN59="","",COUNTIFS($B$4:$B$183,BO59,$C$4:$C$183,BP59,$D$4:$D$183,"&gt;"&amp;BQ59,AD$4:AD$183,"&lt;"&amp;56,$G$4:$G$183,1))</f>
        <v/>
      </c>
      <c r="BS59">
        <f>IF(BN59="","",INDEX($M$4:$M$183,BN59)+IF(BR59=1,Shuffle1,IF(BR59&gt;=2,Shuffle2,0)))</f>
        <v/>
      </c>
      <c r="BT59">
        <f>IF(BN59="","",MAX(DoorGap*55,SUMPRODUCT(MAX((BO$4:BO58&lt;=BO59)*BU$4:BU58)),SUMPRODUCT(MAX((BO$4:BO58&gt;BO59)*BT$4:BT58))+Headway))</f>
        <v/>
      </c>
      <c r="BU59">
        <f>IF(BN59="","",BT59+BS59)</f>
        <v/>
      </c>
      <c r="BV59">
        <f>IF(BN59="","",BU59+BO59*WalkSec)</f>
        <v/>
      </c>
      <c r="BW59">
        <f>IF($G59=0,"",INDEX(AR$4:AR$183,R59))</f>
        <v/>
      </c>
      <c r="BX59">
        <f>IF($G59=0,"",INDEX(BB$4:BB$183,V59))</f>
        <v/>
      </c>
      <c r="BY59">
        <f>IF($G59=0,"",INDEX(BL$4:BL$183,Z59))</f>
        <v/>
      </c>
      <c r="BZ59">
        <f>IF($G59=0,"",INDEX(BV$4:BV$183,AD59))</f>
        <v/>
      </c>
    </row>
    <row r="60">
      <c r="A60" t="n">
        <v>57</v>
      </c>
      <c r="B60" t="n">
        <v>10</v>
      </c>
      <c r="C60" t="n">
        <v>1</v>
      </c>
      <c r="D60" t="n">
        <v>3</v>
      </c>
      <c r="E60" t="n">
        <v>19</v>
      </c>
      <c r="F60">
        <f>RAND()</f>
        <v/>
      </c>
      <c r="G60">
        <f>IF(SUMPRODUCT(($F$4:$F$183&lt;F60)*1)+SUMPRODUCT(($F$4:$F$183=F60)*($A$4:$A$183&lt;A60))&lt;Passengers,1,0)</f>
        <v/>
      </c>
      <c r="H60">
        <f>RAND()</f>
        <v/>
      </c>
      <c r="I60">
        <f>RAND()</f>
        <v/>
      </c>
      <c r="J60">
        <f>RAND()</f>
        <v/>
      </c>
      <c r="K60">
        <f>RAND()</f>
        <v/>
      </c>
      <c r="L60">
        <f>RAND()</f>
        <v/>
      </c>
      <c r="M60">
        <f>IF(K60&lt;BagShare,EXP(NORMSINV(L60)*StowSigma+StowMu),StowNoBag)</f>
        <v/>
      </c>
      <c r="N60">
        <f>IF(INDEX($AG$4:$AG$63,E60)&lt;GroupShare,1,0)</f>
        <v/>
      </c>
      <c r="P60">
        <f>IF(G60=1,IF(I60&gt;Compliance,J60,$H60),2)</f>
        <v/>
      </c>
      <c r="Q60">
        <f>IF(G60=0,2,IF(N60=0,P60,1-SUMPRODUCT(MAX(($E$4:$E$183=E60)*($G$4:$G$183=1)*(1-P$4:P$183)))+0.000000001*D60))</f>
        <v/>
      </c>
      <c r="R60">
        <f>IF(G60=0,999,SUMPRODUCT((Q$4:Q$183&lt;Q60)*($G$4:$G$183=1))+SUMPRODUCT((Q$4:Q$183=Q60)*($G$4:$G$183=1)*($A$4:$A$183&lt;A60))+1)</f>
        <v/>
      </c>
      <c r="T60">
        <f>IF(G60=1,IF(I60&gt;Compliance,J60,(INT((30-$B60)/(30/Zones))+$H60)/Zones),2)</f>
        <v/>
      </c>
      <c r="U60">
        <f>IF(G60=0,2,IF(N60=0,T60,1-SUMPRODUCT(MAX(($E$4:$E$183=E60)*($G$4:$G$183=1)*(1-T$4:T$183)))+0.000000001*D60))</f>
        <v/>
      </c>
      <c r="V60">
        <f>IF(G60=0,999,SUMPRODUCT((U$4:U$183&lt;U60)*($G$4:$G$183=1))+SUMPRODUCT((U$4:U$183=U60)*($G$4:$G$183=1)*($A$4:$A$183&lt;A60))+1)</f>
        <v/>
      </c>
      <c r="X60">
        <f>IF(G60=1,IF(I60&gt;Compliance,J60,(($D60-1)+$H60)/3),2)</f>
        <v/>
      </c>
      <c r="Y60">
        <f>IF(G60=0,2,IF(N60=0,X60,1-SUMPRODUCT(MAX(($E$4:$E$183=E60)*($G$4:$G$183=1)*(1-X$4:X$183)))+0.000000001*D60))</f>
        <v/>
      </c>
      <c r="Z60">
        <f>IF(G60=0,999,SUMPRODUCT((Y$4:Y$183&lt;Y60)*($G$4:$G$183=1))+SUMPRODUCT((Y$4:Y$183=Y60)*($G$4:$G$183=1)*($A$4:$A$183&lt;A60))+1)</f>
        <v/>
      </c>
      <c r="AB60">
        <f>IF(G60=1,IF(I60&gt;Compliance,J60,((($D60-1)*4+($C60-1)*2+MOD($B60,2))+(30-$B60)/30)/12),2)</f>
        <v/>
      </c>
      <c r="AC60">
        <f>IF(G60=0,2,IF(N60=0,AB60,1-SUMPRODUCT(MAX(($E$4:$E$183=E60)*($G$4:$G$183=1)*(1-AB$4:AB$183)))+0.000000001*D60))</f>
        <v/>
      </c>
      <c r="AD60">
        <f>IF(G60=0,999,SUMPRODUCT((AC$4:AC$183&lt;AC60)*($G$4:$G$183=1))+SUMPRODUCT((AC$4:AC$183=AC60)*($G$4:$G$183=1)*($A$4:$A$183&lt;A60))+1)</f>
        <v/>
      </c>
      <c r="AF60" t="n">
        <v>57</v>
      </c>
      <c r="AG60">
        <f>RAND()</f>
        <v/>
      </c>
      <c r="AI60" t="n">
        <v>57</v>
      </c>
      <c r="AJ60">
        <f>IF(57&gt;Passengers,"",MATCH(57,R$4:R$183,0))</f>
        <v/>
      </c>
      <c r="AK60">
        <f>IF(AJ60="","",INDEX($B$4:$B$183,AJ60))</f>
        <v/>
      </c>
      <c r="AL60">
        <f>IF(AJ60="","",INDEX($C$4:$C$183,AJ60))</f>
        <v/>
      </c>
      <c r="AM60">
        <f>IF(AJ60="","",INDEX($D$4:$D$183,AJ60))</f>
        <v/>
      </c>
      <c r="AN60">
        <f>IF(AJ60="","",COUNTIFS($B$4:$B$183,AK60,$C$4:$C$183,AL60,$D$4:$D$183,"&gt;"&amp;AM60,R$4:R$183,"&lt;"&amp;57,$G$4:$G$183,1))</f>
        <v/>
      </c>
      <c r="AO60">
        <f>IF(AJ60="","",INDEX($M$4:$M$183,AJ60)+IF(AN60=1,Shuffle1,IF(AN60&gt;=2,Shuffle2,0)))</f>
        <v/>
      </c>
      <c r="AP60">
        <f>IF(AJ60="","",MAX(DoorGap*56,SUMPRODUCT(MAX((AK$4:AK59&lt;=AK60)*AQ$4:AQ59)),SUMPRODUCT(MAX((AK$4:AK59&gt;AK60)*AP$4:AP59))+Headway))</f>
        <v/>
      </c>
      <c r="AQ60">
        <f>IF(AJ60="","",AP60+AO60)</f>
        <v/>
      </c>
      <c r="AR60">
        <f>IF(AJ60="","",AQ60+AK60*WalkSec)</f>
        <v/>
      </c>
      <c r="AS60" t="n">
        <v>57</v>
      </c>
      <c r="AT60">
        <f>IF(57&gt;Passengers,"",MATCH(57,V$4:V$183,0))</f>
        <v/>
      </c>
      <c r="AU60">
        <f>IF(AT60="","",INDEX($B$4:$B$183,AT60))</f>
        <v/>
      </c>
      <c r="AV60">
        <f>IF(AT60="","",INDEX($C$4:$C$183,AT60))</f>
        <v/>
      </c>
      <c r="AW60">
        <f>IF(AT60="","",INDEX($D$4:$D$183,AT60))</f>
        <v/>
      </c>
      <c r="AX60">
        <f>IF(AT60="","",COUNTIFS($B$4:$B$183,AU60,$C$4:$C$183,AV60,$D$4:$D$183,"&gt;"&amp;AW60,V$4:V$183,"&lt;"&amp;57,$G$4:$G$183,1))</f>
        <v/>
      </c>
      <c r="AY60">
        <f>IF(AT60="","",INDEX($M$4:$M$183,AT60)+IF(AX60=1,Shuffle1,IF(AX60&gt;=2,Shuffle2,0)))</f>
        <v/>
      </c>
      <c r="AZ60">
        <f>IF(AT60="","",MAX(DoorGap*56,SUMPRODUCT(MAX((AU$4:AU59&lt;=AU60)*BA$4:BA59)),SUMPRODUCT(MAX((AU$4:AU59&gt;AU60)*AZ$4:AZ59))+Headway))</f>
        <v/>
      </c>
      <c r="BA60">
        <f>IF(AT60="","",AZ60+AY60)</f>
        <v/>
      </c>
      <c r="BB60">
        <f>IF(AT60="","",BA60+AU60*WalkSec)</f>
        <v/>
      </c>
      <c r="BC60" t="n">
        <v>57</v>
      </c>
      <c r="BD60">
        <f>IF(57&gt;Passengers,"",MATCH(57,Z$4:Z$183,0))</f>
        <v/>
      </c>
      <c r="BE60">
        <f>IF(BD60="","",INDEX($B$4:$B$183,BD60))</f>
        <v/>
      </c>
      <c r="BF60">
        <f>IF(BD60="","",INDEX($C$4:$C$183,BD60))</f>
        <v/>
      </c>
      <c r="BG60">
        <f>IF(BD60="","",INDEX($D$4:$D$183,BD60))</f>
        <v/>
      </c>
      <c r="BH60">
        <f>IF(BD60="","",COUNTIFS($B$4:$B$183,BE60,$C$4:$C$183,BF60,$D$4:$D$183,"&gt;"&amp;BG60,Z$4:Z$183,"&lt;"&amp;57,$G$4:$G$183,1))</f>
        <v/>
      </c>
      <c r="BI60">
        <f>IF(BD60="","",INDEX($M$4:$M$183,BD60)+IF(BH60=1,Shuffle1,IF(BH60&gt;=2,Shuffle2,0)))</f>
        <v/>
      </c>
      <c r="BJ60">
        <f>IF(BD60="","",MAX(DoorGap*56,SUMPRODUCT(MAX((BE$4:BE59&lt;=BE60)*BK$4:BK59)),SUMPRODUCT(MAX((BE$4:BE59&gt;BE60)*BJ$4:BJ59))+Headway))</f>
        <v/>
      </c>
      <c r="BK60">
        <f>IF(BD60="","",BJ60+BI60)</f>
        <v/>
      </c>
      <c r="BL60">
        <f>IF(BD60="","",BK60+BE60*WalkSec)</f>
        <v/>
      </c>
      <c r="BM60" t="n">
        <v>57</v>
      </c>
      <c r="BN60">
        <f>IF(57&gt;Passengers,"",MATCH(57,AD$4:AD$183,0))</f>
        <v/>
      </c>
      <c r="BO60">
        <f>IF(BN60="","",INDEX($B$4:$B$183,BN60))</f>
        <v/>
      </c>
      <c r="BP60">
        <f>IF(BN60="","",INDEX($C$4:$C$183,BN60))</f>
        <v/>
      </c>
      <c r="BQ60">
        <f>IF(BN60="","",INDEX($D$4:$D$183,BN60))</f>
        <v/>
      </c>
      <c r="BR60">
        <f>IF(BN60="","",COUNTIFS($B$4:$B$183,BO60,$C$4:$C$183,BP60,$D$4:$D$183,"&gt;"&amp;BQ60,AD$4:AD$183,"&lt;"&amp;57,$G$4:$G$183,1))</f>
        <v/>
      </c>
      <c r="BS60">
        <f>IF(BN60="","",INDEX($M$4:$M$183,BN60)+IF(BR60=1,Shuffle1,IF(BR60&gt;=2,Shuffle2,0)))</f>
        <v/>
      </c>
      <c r="BT60">
        <f>IF(BN60="","",MAX(DoorGap*56,SUMPRODUCT(MAX((BO$4:BO59&lt;=BO60)*BU$4:BU59)),SUMPRODUCT(MAX((BO$4:BO59&gt;BO60)*BT$4:BT59))+Headway))</f>
        <v/>
      </c>
      <c r="BU60">
        <f>IF(BN60="","",BT60+BS60)</f>
        <v/>
      </c>
      <c r="BV60">
        <f>IF(BN60="","",BU60+BO60*WalkSec)</f>
        <v/>
      </c>
      <c r="BW60">
        <f>IF($G60=0,"",INDEX(AR$4:AR$183,R60))</f>
        <v/>
      </c>
      <c r="BX60">
        <f>IF($G60=0,"",INDEX(BB$4:BB$183,V60))</f>
        <v/>
      </c>
      <c r="BY60">
        <f>IF($G60=0,"",INDEX(BL$4:BL$183,Z60))</f>
        <v/>
      </c>
      <c r="BZ60">
        <f>IF($G60=0,"",INDEX(BV$4:BV$183,AD60))</f>
        <v/>
      </c>
    </row>
    <row r="61">
      <c r="A61" t="n">
        <v>58</v>
      </c>
      <c r="B61" t="n">
        <v>10</v>
      </c>
      <c r="C61" t="n">
        <v>2</v>
      </c>
      <c r="D61" t="n">
        <v>1</v>
      </c>
      <c r="E61" t="n">
        <v>20</v>
      </c>
      <c r="F61">
        <f>RAND()</f>
        <v/>
      </c>
      <c r="G61">
        <f>IF(SUMPRODUCT(($F$4:$F$183&lt;F61)*1)+SUMPRODUCT(($F$4:$F$183=F61)*($A$4:$A$183&lt;A61))&lt;Passengers,1,0)</f>
        <v/>
      </c>
      <c r="H61">
        <f>RAND()</f>
        <v/>
      </c>
      <c r="I61">
        <f>RAND()</f>
        <v/>
      </c>
      <c r="J61">
        <f>RAND()</f>
        <v/>
      </c>
      <c r="K61">
        <f>RAND()</f>
        <v/>
      </c>
      <c r="L61">
        <f>RAND()</f>
        <v/>
      </c>
      <c r="M61">
        <f>IF(K61&lt;BagShare,EXP(NORMSINV(L61)*StowSigma+StowMu),StowNoBag)</f>
        <v/>
      </c>
      <c r="N61">
        <f>IF(INDEX($AG$4:$AG$63,E61)&lt;GroupShare,1,0)</f>
        <v/>
      </c>
      <c r="P61">
        <f>IF(G61=1,IF(I61&gt;Compliance,J61,$H61),2)</f>
        <v/>
      </c>
      <c r="Q61">
        <f>IF(G61=0,2,IF(N61=0,P61,1-SUMPRODUCT(MAX(($E$4:$E$183=E61)*($G$4:$G$183=1)*(1-P$4:P$183)))+0.000000001*D61))</f>
        <v/>
      </c>
      <c r="R61">
        <f>IF(G61=0,999,SUMPRODUCT((Q$4:Q$183&lt;Q61)*($G$4:$G$183=1))+SUMPRODUCT((Q$4:Q$183=Q61)*($G$4:$G$183=1)*($A$4:$A$183&lt;A61))+1)</f>
        <v/>
      </c>
      <c r="T61">
        <f>IF(G61=1,IF(I61&gt;Compliance,J61,(INT((30-$B61)/(30/Zones))+$H61)/Zones),2)</f>
        <v/>
      </c>
      <c r="U61">
        <f>IF(G61=0,2,IF(N61=0,T61,1-SUMPRODUCT(MAX(($E$4:$E$183=E61)*($G$4:$G$183=1)*(1-T$4:T$183)))+0.000000001*D61))</f>
        <v/>
      </c>
      <c r="V61">
        <f>IF(G61=0,999,SUMPRODUCT((U$4:U$183&lt;U61)*($G$4:$G$183=1))+SUMPRODUCT((U$4:U$183=U61)*($G$4:$G$183=1)*($A$4:$A$183&lt;A61))+1)</f>
        <v/>
      </c>
      <c r="X61">
        <f>IF(G61=1,IF(I61&gt;Compliance,J61,(($D61-1)+$H61)/3),2)</f>
        <v/>
      </c>
      <c r="Y61">
        <f>IF(G61=0,2,IF(N61=0,X61,1-SUMPRODUCT(MAX(($E$4:$E$183=E61)*($G$4:$G$183=1)*(1-X$4:X$183)))+0.000000001*D61))</f>
        <v/>
      </c>
      <c r="Z61">
        <f>IF(G61=0,999,SUMPRODUCT((Y$4:Y$183&lt;Y61)*($G$4:$G$183=1))+SUMPRODUCT((Y$4:Y$183=Y61)*($G$4:$G$183=1)*($A$4:$A$183&lt;A61))+1)</f>
        <v/>
      </c>
      <c r="AB61">
        <f>IF(G61=1,IF(I61&gt;Compliance,J61,((($D61-1)*4+($C61-1)*2+MOD($B61,2))+(30-$B61)/30)/12),2)</f>
        <v/>
      </c>
      <c r="AC61">
        <f>IF(G61=0,2,IF(N61=0,AB61,1-SUMPRODUCT(MAX(($E$4:$E$183=E61)*($G$4:$G$183=1)*(1-AB$4:AB$183)))+0.000000001*D61))</f>
        <v/>
      </c>
      <c r="AD61">
        <f>IF(G61=0,999,SUMPRODUCT((AC$4:AC$183&lt;AC61)*($G$4:$G$183=1))+SUMPRODUCT((AC$4:AC$183=AC61)*($G$4:$G$183=1)*($A$4:$A$183&lt;A61))+1)</f>
        <v/>
      </c>
      <c r="AF61" t="n">
        <v>58</v>
      </c>
      <c r="AG61">
        <f>RAND()</f>
        <v/>
      </c>
      <c r="AI61" t="n">
        <v>58</v>
      </c>
      <c r="AJ61">
        <f>IF(58&gt;Passengers,"",MATCH(58,R$4:R$183,0))</f>
        <v/>
      </c>
      <c r="AK61">
        <f>IF(AJ61="","",INDEX($B$4:$B$183,AJ61))</f>
        <v/>
      </c>
      <c r="AL61">
        <f>IF(AJ61="","",INDEX($C$4:$C$183,AJ61))</f>
        <v/>
      </c>
      <c r="AM61">
        <f>IF(AJ61="","",INDEX($D$4:$D$183,AJ61))</f>
        <v/>
      </c>
      <c r="AN61">
        <f>IF(AJ61="","",COUNTIFS($B$4:$B$183,AK61,$C$4:$C$183,AL61,$D$4:$D$183,"&gt;"&amp;AM61,R$4:R$183,"&lt;"&amp;58,$G$4:$G$183,1))</f>
        <v/>
      </c>
      <c r="AO61">
        <f>IF(AJ61="","",INDEX($M$4:$M$183,AJ61)+IF(AN61=1,Shuffle1,IF(AN61&gt;=2,Shuffle2,0)))</f>
        <v/>
      </c>
      <c r="AP61">
        <f>IF(AJ61="","",MAX(DoorGap*57,SUMPRODUCT(MAX((AK$4:AK60&lt;=AK61)*AQ$4:AQ60)),SUMPRODUCT(MAX((AK$4:AK60&gt;AK61)*AP$4:AP60))+Headway))</f>
        <v/>
      </c>
      <c r="AQ61">
        <f>IF(AJ61="","",AP61+AO61)</f>
        <v/>
      </c>
      <c r="AR61">
        <f>IF(AJ61="","",AQ61+AK61*WalkSec)</f>
        <v/>
      </c>
      <c r="AS61" t="n">
        <v>58</v>
      </c>
      <c r="AT61">
        <f>IF(58&gt;Passengers,"",MATCH(58,V$4:V$183,0))</f>
        <v/>
      </c>
      <c r="AU61">
        <f>IF(AT61="","",INDEX($B$4:$B$183,AT61))</f>
        <v/>
      </c>
      <c r="AV61">
        <f>IF(AT61="","",INDEX($C$4:$C$183,AT61))</f>
        <v/>
      </c>
      <c r="AW61">
        <f>IF(AT61="","",INDEX($D$4:$D$183,AT61))</f>
        <v/>
      </c>
      <c r="AX61">
        <f>IF(AT61="","",COUNTIFS($B$4:$B$183,AU61,$C$4:$C$183,AV61,$D$4:$D$183,"&gt;"&amp;AW61,V$4:V$183,"&lt;"&amp;58,$G$4:$G$183,1))</f>
        <v/>
      </c>
      <c r="AY61">
        <f>IF(AT61="","",INDEX($M$4:$M$183,AT61)+IF(AX61=1,Shuffle1,IF(AX61&gt;=2,Shuffle2,0)))</f>
        <v/>
      </c>
      <c r="AZ61">
        <f>IF(AT61="","",MAX(DoorGap*57,SUMPRODUCT(MAX((AU$4:AU60&lt;=AU61)*BA$4:BA60)),SUMPRODUCT(MAX((AU$4:AU60&gt;AU61)*AZ$4:AZ60))+Headway))</f>
        <v/>
      </c>
      <c r="BA61">
        <f>IF(AT61="","",AZ61+AY61)</f>
        <v/>
      </c>
      <c r="BB61">
        <f>IF(AT61="","",BA61+AU61*WalkSec)</f>
        <v/>
      </c>
      <c r="BC61" t="n">
        <v>58</v>
      </c>
      <c r="BD61">
        <f>IF(58&gt;Passengers,"",MATCH(58,Z$4:Z$183,0))</f>
        <v/>
      </c>
      <c r="BE61">
        <f>IF(BD61="","",INDEX($B$4:$B$183,BD61))</f>
        <v/>
      </c>
      <c r="BF61">
        <f>IF(BD61="","",INDEX($C$4:$C$183,BD61))</f>
        <v/>
      </c>
      <c r="BG61">
        <f>IF(BD61="","",INDEX($D$4:$D$183,BD61))</f>
        <v/>
      </c>
      <c r="BH61">
        <f>IF(BD61="","",COUNTIFS($B$4:$B$183,BE61,$C$4:$C$183,BF61,$D$4:$D$183,"&gt;"&amp;BG61,Z$4:Z$183,"&lt;"&amp;58,$G$4:$G$183,1))</f>
        <v/>
      </c>
      <c r="BI61">
        <f>IF(BD61="","",INDEX($M$4:$M$183,BD61)+IF(BH61=1,Shuffle1,IF(BH61&gt;=2,Shuffle2,0)))</f>
        <v/>
      </c>
      <c r="BJ61">
        <f>IF(BD61="","",MAX(DoorGap*57,SUMPRODUCT(MAX((BE$4:BE60&lt;=BE61)*BK$4:BK60)),SUMPRODUCT(MAX((BE$4:BE60&gt;BE61)*BJ$4:BJ60))+Headway))</f>
        <v/>
      </c>
      <c r="BK61">
        <f>IF(BD61="","",BJ61+BI61)</f>
        <v/>
      </c>
      <c r="BL61">
        <f>IF(BD61="","",BK61+BE61*WalkSec)</f>
        <v/>
      </c>
      <c r="BM61" t="n">
        <v>58</v>
      </c>
      <c r="BN61">
        <f>IF(58&gt;Passengers,"",MATCH(58,AD$4:AD$183,0))</f>
        <v/>
      </c>
      <c r="BO61">
        <f>IF(BN61="","",INDEX($B$4:$B$183,BN61))</f>
        <v/>
      </c>
      <c r="BP61">
        <f>IF(BN61="","",INDEX($C$4:$C$183,BN61))</f>
        <v/>
      </c>
      <c r="BQ61">
        <f>IF(BN61="","",INDEX($D$4:$D$183,BN61))</f>
        <v/>
      </c>
      <c r="BR61">
        <f>IF(BN61="","",COUNTIFS($B$4:$B$183,BO61,$C$4:$C$183,BP61,$D$4:$D$183,"&gt;"&amp;BQ61,AD$4:AD$183,"&lt;"&amp;58,$G$4:$G$183,1))</f>
        <v/>
      </c>
      <c r="BS61">
        <f>IF(BN61="","",INDEX($M$4:$M$183,BN61)+IF(BR61=1,Shuffle1,IF(BR61&gt;=2,Shuffle2,0)))</f>
        <v/>
      </c>
      <c r="BT61">
        <f>IF(BN61="","",MAX(DoorGap*57,SUMPRODUCT(MAX((BO$4:BO60&lt;=BO61)*BU$4:BU60)),SUMPRODUCT(MAX((BO$4:BO60&gt;BO61)*BT$4:BT60))+Headway))</f>
        <v/>
      </c>
      <c r="BU61">
        <f>IF(BN61="","",BT61+BS61)</f>
        <v/>
      </c>
      <c r="BV61">
        <f>IF(BN61="","",BU61+BO61*WalkSec)</f>
        <v/>
      </c>
      <c r="BW61">
        <f>IF($G61=0,"",INDEX(AR$4:AR$183,R61))</f>
        <v/>
      </c>
      <c r="BX61">
        <f>IF($G61=0,"",INDEX(BB$4:BB$183,V61))</f>
        <v/>
      </c>
      <c r="BY61">
        <f>IF($G61=0,"",INDEX(BL$4:BL$183,Z61))</f>
        <v/>
      </c>
      <c r="BZ61">
        <f>IF($G61=0,"",INDEX(BV$4:BV$183,AD61))</f>
        <v/>
      </c>
    </row>
    <row r="62">
      <c r="A62" t="n">
        <v>59</v>
      </c>
      <c r="B62" t="n">
        <v>10</v>
      </c>
      <c r="C62" t="n">
        <v>2</v>
      </c>
      <c r="D62" t="n">
        <v>2</v>
      </c>
      <c r="E62" t="n">
        <v>20</v>
      </c>
      <c r="F62">
        <f>RAND()</f>
        <v/>
      </c>
      <c r="G62">
        <f>IF(SUMPRODUCT(($F$4:$F$183&lt;F62)*1)+SUMPRODUCT(($F$4:$F$183=F62)*($A$4:$A$183&lt;A62))&lt;Passengers,1,0)</f>
        <v/>
      </c>
      <c r="H62">
        <f>RAND()</f>
        <v/>
      </c>
      <c r="I62">
        <f>RAND()</f>
        <v/>
      </c>
      <c r="J62">
        <f>RAND()</f>
        <v/>
      </c>
      <c r="K62">
        <f>RAND()</f>
        <v/>
      </c>
      <c r="L62">
        <f>RAND()</f>
        <v/>
      </c>
      <c r="M62">
        <f>IF(K62&lt;BagShare,EXP(NORMSINV(L62)*StowSigma+StowMu),StowNoBag)</f>
        <v/>
      </c>
      <c r="N62">
        <f>IF(INDEX($AG$4:$AG$63,E62)&lt;GroupShare,1,0)</f>
        <v/>
      </c>
      <c r="P62">
        <f>IF(G62=1,IF(I62&gt;Compliance,J62,$H62),2)</f>
        <v/>
      </c>
      <c r="Q62">
        <f>IF(G62=0,2,IF(N62=0,P62,1-SUMPRODUCT(MAX(($E$4:$E$183=E62)*($G$4:$G$183=1)*(1-P$4:P$183)))+0.000000001*D62))</f>
        <v/>
      </c>
      <c r="R62">
        <f>IF(G62=0,999,SUMPRODUCT((Q$4:Q$183&lt;Q62)*($G$4:$G$183=1))+SUMPRODUCT((Q$4:Q$183=Q62)*($G$4:$G$183=1)*($A$4:$A$183&lt;A62))+1)</f>
        <v/>
      </c>
      <c r="T62">
        <f>IF(G62=1,IF(I62&gt;Compliance,J62,(INT((30-$B62)/(30/Zones))+$H62)/Zones),2)</f>
        <v/>
      </c>
      <c r="U62">
        <f>IF(G62=0,2,IF(N62=0,T62,1-SUMPRODUCT(MAX(($E$4:$E$183=E62)*($G$4:$G$183=1)*(1-T$4:T$183)))+0.000000001*D62))</f>
        <v/>
      </c>
      <c r="V62">
        <f>IF(G62=0,999,SUMPRODUCT((U$4:U$183&lt;U62)*($G$4:$G$183=1))+SUMPRODUCT((U$4:U$183=U62)*($G$4:$G$183=1)*($A$4:$A$183&lt;A62))+1)</f>
        <v/>
      </c>
      <c r="X62">
        <f>IF(G62=1,IF(I62&gt;Compliance,J62,(($D62-1)+$H62)/3),2)</f>
        <v/>
      </c>
      <c r="Y62">
        <f>IF(G62=0,2,IF(N62=0,X62,1-SUMPRODUCT(MAX(($E$4:$E$183=E62)*($G$4:$G$183=1)*(1-X$4:X$183)))+0.000000001*D62))</f>
        <v/>
      </c>
      <c r="Z62">
        <f>IF(G62=0,999,SUMPRODUCT((Y$4:Y$183&lt;Y62)*($G$4:$G$183=1))+SUMPRODUCT((Y$4:Y$183=Y62)*($G$4:$G$183=1)*($A$4:$A$183&lt;A62))+1)</f>
        <v/>
      </c>
      <c r="AB62">
        <f>IF(G62=1,IF(I62&gt;Compliance,J62,((($D62-1)*4+($C62-1)*2+MOD($B62,2))+(30-$B62)/30)/12),2)</f>
        <v/>
      </c>
      <c r="AC62">
        <f>IF(G62=0,2,IF(N62=0,AB62,1-SUMPRODUCT(MAX(($E$4:$E$183=E62)*($G$4:$G$183=1)*(1-AB$4:AB$183)))+0.000000001*D62))</f>
        <v/>
      </c>
      <c r="AD62">
        <f>IF(G62=0,999,SUMPRODUCT((AC$4:AC$183&lt;AC62)*($G$4:$G$183=1))+SUMPRODUCT((AC$4:AC$183=AC62)*($G$4:$G$183=1)*($A$4:$A$183&lt;A62))+1)</f>
        <v/>
      </c>
      <c r="AF62" t="n">
        <v>59</v>
      </c>
      <c r="AG62">
        <f>RAND()</f>
        <v/>
      </c>
      <c r="AI62" t="n">
        <v>59</v>
      </c>
      <c r="AJ62">
        <f>IF(59&gt;Passengers,"",MATCH(59,R$4:R$183,0))</f>
        <v/>
      </c>
      <c r="AK62">
        <f>IF(AJ62="","",INDEX($B$4:$B$183,AJ62))</f>
        <v/>
      </c>
      <c r="AL62">
        <f>IF(AJ62="","",INDEX($C$4:$C$183,AJ62))</f>
        <v/>
      </c>
      <c r="AM62">
        <f>IF(AJ62="","",INDEX($D$4:$D$183,AJ62))</f>
        <v/>
      </c>
      <c r="AN62">
        <f>IF(AJ62="","",COUNTIFS($B$4:$B$183,AK62,$C$4:$C$183,AL62,$D$4:$D$183,"&gt;"&amp;AM62,R$4:R$183,"&lt;"&amp;59,$G$4:$G$183,1))</f>
        <v/>
      </c>
      <c r="AO62">
        <f>IF(AJ62="","",INDEX($M$4:$M$183,AJ62)+IF(AN62=1,Shuffle1,IF(AN62&gt;=2,Shuffle2,0)))</f>
        <v/>
      </c>
      <c r="AP62">
        <f>IF(AJ62="","",MAX(DoorGap*58,SUMPRODUCT(MAX((AK$4:AK61&lt;=AK62)*AQ$4:AQ61)),SUMPRODUCT(MAX((AK$4:AK61&gt;AK62)*AP$4:AP61))+Headway))</f>
        <v/>
      </c>
      <c r="AQ62">
        <f>IF(AJ62="","",AP62+AO62)</f>
        <v/>
      </c>
      <c r="AR62">
        <f>IF(AJ62="","",AQ62+AK62*WalkSec)</f>
        <v/>
      </c>
      <c r="AS62" t="n">
        <v>59</v>
      </c>
      <c r="AT62">
        <f>IF(59&gt;Passengers,"",MATCH(59,V$4:V$183,0))</f>
        <v/>
      </c>
      <c r="AU62">
        <f>IF(AT62="","",INDEX($B$4:$B$183,AT62))</f>
        <v/>
      </c>
      <c r="AV62">
        <f>IF(AT62="","",INDEX($C$4:$C$183,AT62))</f>
        <v/>
      </c>
      <c r="AW62">
        <f>IF(AT62="","",INDEX($D$4:$D$183,AT62))</f>
        <v/>
      </c>
      <c r="AX62">
        <f>IF(AT62="","",COUNTIFS($B$4:$B$183,AU62,$C$4:$C$183,AV62,$D$4:$D$183,"&gt;"&amp;AW62,V$4:V$183,"&lt;"&amp;59,$G$4:$G$183,1))</f>
        <v/>
      </c>
      <c r="AY62">
        <f>IF(AT62="","",INDEX($M$4:$M$183,AT62)+IF(AX62=1,Shuffle1,IF(AX62&gt;=2,Shuffle2,0)))</f>
        <v/>
      </c>
      <c r="AZ62">
        <f>IF(AT62="","",MAX(DoorGap*58,SUMPRODUCT(MAX((AU$4:AU61&lt;=AU62)*BA$4:BA61)),SUMPRODUCT(MAX((AU$4:AU61&gt;AU62)*AZ$4:AZ61))+Headway))</f>
        <v/>
      </c>
      <c r="BA62">
        <f>IF(AT62="","",AZ62+AY62)</f>
        <v/>
      </c>
      <c r="BB62">
        <f>IF(AT62="","",BA62+AU62*WalkSec)</f>
        <v/>
      </c>
      <c r="BC62" t="n">
        <v>59</v>
      </c>
      <c r="BD62">
        <f>IF(59&gt;Passengers,"",MATCH(59,Z$4:Z$183,0))</f>
        <v/>
      </c>
      <c r="BE62">
        <f>IF(BD62="","",INDEX($B$4:$B$183,BD62))</f>
        <v/>
      </c>
      <c r="BF62">
        <f>IF(BD62="","",INDEX($C$4:$C$183,BD62))</f>
        <v/>
      </c>
      <c r="BG62">
        <f>IF(BD62="","",INDEX($D$4:$D$183,BD62))</f>
        <v/>
      </c>
      <c r="BH62">
        <f>IF(BD62="","",COUNTIFS($B$4:$B$183,BE62,$C$4:$C$183,BF62,$D$4:$D$183,"&gt;"&amp;BG62,Z$4:Z$183,"&lt;"&amp;59,$G$4:$G$183,1))</f>
        <v/>
      </c>
      <c r="BI62">
        <f>IF(BD62="","",INDEX($M$4:$M$183,BD62)+IF(BH62=1,Shuffle1,IF(BH62&gt;=2,Shuffle2,0)))</f>
        <v/>
      </c>
      <c r="BJ62">
        <f>IF(BD62="","",MAX(DoorGap*58,SUMPRODUCT(MAX((BE$4:BE61&lt;=BE62)*BK$4:BK61)),SUMPRODUCT(MAX((BE$4:BE61&gt;BE62)*BJ$4:BJ61))+Headway))</f>
        <v/>
      </c>
      <c r="BK62">
        <f>IF(BD62="","",BJ62+BI62)</f>
        <v/>
      </c>
      <c r="BL62">
        <f>IF(BD62="","",BK62+BE62*WalkSec)</f>
        <v/>
      </c>
      <c r="BM62" t="n">
        <v>59</v>
      </c>
      <c r="BN62">
        <f>IF(59&gt;Passengers,"",MATCH(59,AD$4:AD$183,0))</f>
        <v/>
      </c>
      <c r="BO62">
        <f>IF(BN62="","",INDEX($B$4:$B$183,BN62))</f>
        <v/>
      </c>
      <c r="BP62">
        <f>IF(BN62="","",INDEX($C$4:$C$183,BN62))</f>
        <v/>
      </c>
      <c r="BQ62">
        <f>IF(BN62="","",INDEX($D$4:$D$183,BN62))</f>
        <v/>
      </c>
      <c r="BR62">
        <f>IF(BN62="","",COUNTIFS($B$4:$B$183,BO62,$C$4:$C$183,BP62,$D$4:$D$183,"&gt;"&amp;BQ62,AD$4:AD$183,"&lt;"&amp;59,$G$4:$G$183,1))</f>
        <v/>
      </c>
      <c r="BS62">
        <f>IF(BN62="","",INDEX($M$4:$M$183,BN62)+IF(BR62=1,Shuffle1,IF(BR62&gt;=2,Shuffle2,0)))</f>
        <v/>
      </c>
      <c r="BT62">
        <f>IF(BN62="","",MAX(DoorGap*58,SUMPRODUCT(MAX((BO$4:BO61&lt;=BO62)*BU$4:BU61)),SUMPRODUCT(MAX((BO$4:BO61&gt;BO62)*BT$4:BT61))+Headway))</f>
        <v/>
      </c>
      <c r="BU62">
        <f>IF(BN62="","",BT62+BS62)</f>
        <v/>
      </c>
      <c r="BV62">
        <f>IF(BN62="","",BU62+BO62*WalkSec)</f>
        <v/>
      </c>
      <c r="BW62">
        <f>IF($G62=0,"",INDEX(AR$4:AR$183,R62))</f>
        <v/>
      </c>
      <c r="BX62">
        <f>IF($G62=0,"",INDEX(BB$4:BB$183,V62))</f>
        <v/>
      </c>
      <c r="BY62">
        <f>IF($G62=0,"",INDEX(BL$4:BL$183,Z62))</f>
        <v/>
      </c>
      <c r="BZ62">
        <f>IF($G62=0,"",INDEX(BV$4:BV$183,AD62))</f>
        <v/>
      </c>
    </row>
    <row r="63">
      <c r="A63" t="n">
        <v>60</v>
      </c>
      <c r="B63" t="n">
        <v>10</v>
      </c>
      <c r="C63" t="n">
        <v>2</v>
      </c>
      <c r="D63" t="n">
        <v>3</v>
      </c>
      <c r="E63" t="n">
        <v>20</v>
      </c>
      <c r="F63">
        <f>RAND()</f>
        <v/>
      </c>
      <c r="G63">
        <f>IF(SUMPRODUCT(($F$4:$F$183&lt;F63)*1)+SUMPRODUCT(($F$4:$F$183=F63)*($A$4:$A$183&lt;A63))&lt;Passengers,1,0)</f>
        <v/>
      </c>
      <c r="H63">
        <f>RAND()</f>
        <v/>
      </c>
      <c r="I63">
        <f>RAND()</f>
        <v/>
      </c>
      <c r="J63">
        <f>RAND()</f>
        <v/>
      </c>
      <c r="K63">
        <f>RAND()</f>
        <v/>
      </c>
      <c r="L63">
        <f>RAND()</f>
        <v/>
      </c>
      <c r="M63">
        <f>IF(K63&lt;BagShare,EXP(NORMSINV(L63)*StowSigma+StowMu),StowNoBag)</f>
        <v/>
      </c>
      <c r="N63">
        <f>IF(INDEX($AG$4:$AG$63,E63)&lt;GroupShare,1,0)</f>
        <v/>
      </c>
      <c r="P63">
        <f>IF(G63=1,IF(I63&gt;Compliance,J63,$H63),2)</f>
        <v/>
      </c>
      <c r="Q63">
        <f>IF(G63=0,2,IF(N63=0,P63,1-SUMPRODUCT(MAX(($E$4:$E$183=E63)*($G$4:$G$183=1)*(1-P$4:P$183)))+0.000000001*D63))</f>
        <v/>
      </c>
      <c r="R63">
        <f>IF(G63=0,999,SUMPRODUCT((Q$4:Q$183&lt;Q63)*($G$4:$G$183=1))+SUMPRODUCT((Q$4:Q$183=Q63)*($G$4:$G$183=1)*($A$4:$A$183&lt;A63))+1)</f>
        <v/>
      </c>
      <c r="T63">
        <f>IF(G63=1,IF(I63&gt;Compliance,J63,(INT((30-$B63)/(30/Zones))+$H63)/Zones),2)</f>
        <v/>
      </c>
      <c r="U63">
        <f>IF(G63=0,2,IF(N63=0,T63,1-SUMPRODUCT(MAX(($E$4:$E$183=E63)*($G$4:$G$183=1)*(1-T$4:T$183)))+0.000000001*D63))</f>
        <v/>
      </c>
      <c r="V63">
        <f>IF(G63=0,999,SUMPRODUCT((U$4:U$183&lt;U63)*($G$4:$G$183=1))+SUMPRODUCT((U$4:U$183=U63)*($G$4:$G$183=1)*($A$4:$A$183&lt;A63))+1)</f>
        <v/>
      </c>
      <c r="X63">
        <f>IF(G63=1,IF(I63&gt;Compliance,J63,(($D63-1)+$H63)/3),2)</f>
        <v/>
      </c>
      <c r="Y63">
        <f>IF(G63=0,2,IF(N63=0,X63,1-SUMPRODUCT(MAX(($E$4:$E$183=E63)*($G$4:$G$183=1)*(1-X$4:X$183)))+0.000000001*D63))</f>
        <v/>
      </c>
      <c r="Z63">
        <f>IF(G63=0,999,SUMPRODUCT((Y$4:Y$183&lt;Y63)*($G$4:$G$183=1))+SUMPRODUCT((Y$4:Y$183=Y63)*($G$4:$G$183=1)*($A$4:$A$183&lt;A63))+1)</f>
        <v/>
      </c>
      <c r="AB63">
        <f>IF(G63=1,IF(I63&gt;Compliance,J63,((($D63-1)*4+($C63-1)*2+MOD($B63,2))+(30-$B63)/30)/12),2)</f>
        <v/>
      </c>
      <c r="AC63">
        <f>IF(G63=0,2,IF(N63=0,AB63,1-SUMPRODUCT(MAX(($E$4:$E$183=E63)*($G$4:$G$183=1)*(1-AB$4:AB$183)))+0.000000001*D63))</f>
        <v/>
      </c>
      <c r="AD63">
        <f>IF(G63=0,999,SUMPRODUCT((AC$4:AC$183&lt;AC63)*($G$4:$G$183=1))+SUMPRODUCT((AC$4:AC$183=AC63)*($G$4:$G$183=1)*($A$4:$A$183&lt;A63))+1)</f>
        <v/>
      </c>
      <c r="AF63" t="n">
        <v>60</v>
      </c>
      <c r="AG63">
        <f>RAND()</f>
        <v/>
      </c>
      <c r="AI63" t="n">
        <v>60</v>
      </c>
      <c r="AJ63">
        <f>IF(60&gt;Passengers,"",MATCH(60,R$4:R$183,0))</f>
        <v/>
      </c>
      <c r="AK63">
        <f>IF(AJ63="","",INDEX($B$4:$B$183,AJ63))</f>
        <v/>
      </c>
      <c r="AL63">
        <f>IF(AJ63="","",INDEX($C$4:$C$183,AJ63))</f>
        <v/>
      </c>
      <c r="AM63">
        <f>IF(AJ63="","",INDEX($D$4:$D$183,AJ63))</f>
        <v/>
      </c>
      <c r="AN63">
        <f>IF(AJ63="","",COUNTIFS($B$4:$B$183,AK63,$C$4:$C$183,AL63,$D$4:$D$183,"&gt;"&amp;AM63,R$4:R$183,"&lt;"&amp;60,$G$4:$G$183,1))</f>
        <v/>
      </c>
      <c r="AO63">
        <f>IF(AJ63="","",INDEX($M$4:$M$183,AJ63)+IF(AN63=1,Shuffle1,IF(AN63&gt;=2,Shuffle2,0)))</f>
        <v/>
      </c>
      <c r="AP63">
        <f>IF(AJ63="","",MAX(DoorGap*59,SUMPRODUCT(MAX((AK$4:AK62&lt;=AK63)*AQ$4:AQ62)),SUMPRODUCT(MAX((AK$4:AK62&gt;AK63)*AP$4:AP62))+Headway))</f>
        <v/>
      </c>
      <c r="AQ63">
        <f>IF(AJ63="","",AP63+AO63)</f>
        <v/>
      </c>
      <c r="AR63">
        <f>IF(AJ63="","",AQ63+AK63*WalkSec)</f>
        <v/>
      </c>
      <c r="AS63" t="n">
        <v>60</v>
      </c>
      <c r="AT63">
        <f>IF(60&gt;Passengers,"",MATCH(60,V$4:V$183,0))</f>
        <v/>
      </c>
      <c r="AU63">
        <f>IF(AT63="","",INDEX($B$4:$B$183,AT63))</f>
        <v/>
      </c>
      <c r="AV63">
        <f>IF(AT63="","",INDEX($C$4:$C$183,AT63))</f>
        <v/>
      </c>
      <c r="AW63">
        <f>IF(AT63="","",INDEX($D$4:$D$183,AT63))</f>
        <v/>
      </c>
      <c r="AX63">
        <f>IF(AT63="","",COUNTIFS($B$4:$B$183,AU63,$C$4:$C$183,AV63,$D$4:$D$183,"&gt;"&amp;AW63,V$4:V$183,"&lt;"&amp;60,$G$4:$G$183,1))</f>
        <v/>
      </c>
      <c r="AY63">
        <f>IF(AT63="","",INDEX($M$4:$M$183,AT63)+IF(AX63=1,Shuffle1,IF(AX63&gt;=2,Shuffle2,0)))</f>
        <v/>
      </c>
      <c r="AZ63">
        <f>IF(AT63="","",MAX(DoorGap*59,SUMPRODUCT(MAX((AU$4:AU62&lt;=AU63)*BA$4:BA62)),SUMPRODUCT(MAX((AU$4:AU62&gt;AU63)*AZ$4:AZ62))+Headway))</f>
        <v/>
      </c>
      <c r="BA63">
        <f>IF(AT63="","",AZ63+AY63)</f>
        <v/>
      </c>
      <c r="BB63">
        <f>IF(AT63="","",BA63+AU63*WalkSec)</f>
        <v/>
      </c>
      <c r="BC63" t="n">
        <v>60</v>
      </c>
      <c r="BD63">
        <f>IF(60&gt;Passengers,"",MATCH(60,Z$4:Z$183,0))</f>
        <v/>
      </c>
      <c r="BE63">
        <f>IF(BD63="","",INDEX($B$4:$B$183,BD63))</f>
        <v/>
      </c>
      <c r="BF63">
        <f>IF(BD63="","",INDEX($C$4:$C$183,BD63))</f>
        <v/>
      </c>
      <c r="BG63">
        <f>IF(BD63="","",INDEX($D$4:$D$183,BD63))</f>
        <v/>
      </c>
      <c r="BH63">
        <f>IF(BD63="","",COUNTIFS($B$4:$B$183,BE63,$C$4:$C$183,BF63,$D$4:$D$183,"&gt;"&amp;BG63,Z$4:Z$183,"&lt;"&amp;60,$G$4:$G$183,1))</f>
        <v/>
      </c>
      <c r="BI63">
        <f>IF(BD63="","",INDEX($M$4:$M$183,BD63)+IF(BH63=1,Shuffle1,IF(BH63&gt;=2,Shuffle2,0)))</f>
        <v/>
      </c>
      <c r="BJ63">
        <f>IF(BD63="","",MAX(DoorGap*59,SUMPRODUCT(MAX((BE$4:BE62&lt;=BE63)*BK$4:BK62)),SUMPRODUCT(MAX((BE$4:BE62&gt;BE63)*BJ$4:BJ62))+Headway))</f>
        <v/>
      </c>
      <c r="BK63">
        <f>IF(BD63="","",BJ63+BI63)</f>
        <v/>
      </c>
      <c r="BL63">
        <f>IF(BD63="","",BK63+BE63*WalkSec)</f>
        <v/>
      </c>
      <c r="BM63" t="n">
        <v>60</v>
      </c>
      <c r="BN63">
        <f>IF(60&gt;Passengers,"",MATCH(60,AD$4:AD$183,0))</f>
        <v/>
      </c>
      <c r="BO63">
        <f>IF(BN63="","",INDEX($B$4:$B$183,BN63))</f>
        <v/>
      </c>
      <c r="BP63">
        <f>IF(BN63="","",INDEX($C$4:$C$183,BN63))</f>
        <v/>
      </c>
      <c r="BQ63">
        <f>IF(BN63="","",INDEX($D$4:$D$183,BN63))</f>
        <v/>
      </c>
      <c r="BR63">
        <f>IF(BN63="","",COUNTIFS($B$4:$B$183,BO63,$C$4:$C$183,BP63,$D$4:$D$183,"&gt;"&amp;BQ63,AD$4:AD$183,"&lt;"&amp;60,$G$4:$G$183,1))</f>
        <v/>
      </c>
      <c r="BS63">
        <f>IF(BN63="","",INDEX($M$4:$M$183,BN63)+IF(BR63=1,Shuffle1,IF(BR63&gt;=2,Shuffle2,0)))</f>
        <v/>
      </c>
      <c r="BT63">
        <f>IF(BN63="","",MAX(DoorGap*59,SUMPRODUCT(MAX((BO$4:BO62&lt;=BO63)*BU$4:BU62)),SUMPRODUCT(MAX((BO$4:BO62&gt;BO63)*BT$4:BT62))+Headway))</f>
        <v/>
      </c>
      <c r="BU63">
        <f>IF(BN63="","",BT63+BS63)</f>
        <v/>
      </c>
      <c r="BV63">
        <f>IF(BN63="","",BU63+BO63*WalkSec)</f>
        <v/>
      </c>
      <c r="BW63">
        <f>IF($G63=0,"",INDEX(AR$4:AR$183,R63))</f>
        <v/>
      </c>
      <c r="BX63">
        <f>IF($G63=0,"",INDEX(BB$4:BB$183,V63))</f>
        <v/>
      </c>
      <c r="BY63">
        <f>IF($G63=0,"",INDEX(BL$4:BL$183,Z63))</f>
        <v/>
      </c>
      <c r="BZ63">
        <f>IF($G63=0,"",INDEX(BV$4:BV$183,AD63))</f>
        <v/>
      </c>
    </row>
    <row r="64">
      <c r="A64" t="n">
        <v>61</v>
      </c>
      <c r="B64" t="n">
        <v>11</v>
      </c>
      <c r="C64" t="n">
        <v>1</v>
      </c>
      <c r="D64" t="n">
        <v>1</v>
      </c>
      <c r="E64" t="n">
        <v>21</v>
      </c>
      <c r="F64">
        <f>RAND()</f>
        <v/>
      </c>
      <c r="G64">
        <f>IF(SUMPRODUCT(($F$4:$F$183&lt;F64)*1)+SUMPRODUCT(($F$4:$F$183=F64)*($A$4:$A$183&lt;A64))&lt;Passengers,1,0)</f>
        <v/>
      </c>
      <c r="H64">
        <f>RAND()</f>
        <v/>
      </c>
      <c r="I64">
        <f>RAND()</f>
        <v/>
      </c>
      <c r="J64">
        <f>RAND()</f>
        <v/>
      </c>
      <c r="K64">
        <f>RAND()</f>
        <v/>
      </c>
      <c r="L64">
        <f>RAND()</f>
        <v/>
      </c>
      <c r="M64">
        <f>IF(K64&lt;BagShare,EXP(NORMSINV(L64)*StowSigma+StowMu),StowNoBag)</f>
        <v/>
      </c>
      <c r="N64">
        <f>IF(INDEX($AG$4:$AG$63,E64)&lt;GroupShare,1,0)</f>
        <v/>
      </c>
      <c r="P64">
        <f>IF(G64=1,IF(I64&gt;Compliance,J64,$H64),2)</f>
        <v/>
      </c>
      <c r="Q64">
        <f>IF(G64=0,2,IF(N64=0,P64,1-SUMPRODUCT(MAX(($E$4:$E$183=E64)*($G$4:$G$183=1)*(1-P$4:P$183)))+0.000000001*D64))</f>
        <v/>
      </c>
      <c r="R64">
        <f>IF(G64=0,999,SUMPRODUCT((Q$4:Q$183&lt;Q64)*($G$4:$G$183=1))+SUMPRODUCT((Q$4:Q$183=Q64)*($G$4:$G$183=1)*($A$4:$A$183&lt;A64))+1)</f>
        <v/>
      </c>
      <c r="T64">
        <f>IF(G64=1,IF(I64&gt;Compliance,J64,(INT((30-$B64)/(30/Zones))+$H64)/Zones),2)</f>
        <v/>
      </c>
      <c r="U64">
        <f>IF(G64=0,2,IF(N64=0,T64,1-SUMPRODUCT(MAX(($E$4:$E$183=E64)*($G$4:$G$183=1)*(1-T$4:T$183)))+0.000000001*D64))</f>
        <v/>
      </c>
      <c r="V64">
        <f>IF(G64=0,999,SUMPRODUCT((U$4:U$183&lt;U64)*($G$4:$G$183=1))+SUMPRODUCT((U$4:U$183=U64)*($G$4:$G$183=1)*($A$4:$A$183&lt;A64))+1)</f>
        <v/>
      </c>
      <c r="X64">
        <f>IF(G64=1,IF(I64&gt;Compliance,J64,(($D64-1)+$H64)/3),2)</f>
        <v/>
      </c>
      <c r="Y64">
        <f>IF(G64=0,2,IF(N64=0,X64,1-SUMPRODUCT(MAX(($E$4:$E$183=E64)*($G$4:$G$183=1)*(1-X$4:X$183)))+0.000000001*D64))</f>
        <v/>
      </c>
      <c r="Z64">
        <f>IF(G64=0,999,SUMPRODUCT((Y$4:Y$183&lt;Y64)*($G$4:$G$183=1))+SUMPRODUCT((Y$4:Y$183=Y64)*($G$4:$G$183=1)*($A$4:$A$183&lt;A64))+1)</f>
        <v/>
      </c>
      <c r="AB64">
        <f>IF(G64=1,IF(I64&gt;Compliance,J64,((($D64-1)*4+($C64-1)*2+MOD($B64,2))+(30-$B64)/30)/12),2)</f>
        <v/>
      </c>
      <c r="AC64">
        <f>IF(G64=0,2,IF(N64=0,AB64,1-SUMPRODUCT(MAX(($E$4:$E$183=E64)*($G$4:$G$183=1)*(1-AB$4:AB$183)))+0.000000001*D64))</f>
        <v/>
      </c>
      <c r="AD64">
        <f>IF(G64=0,999,SUMPRODUCT((AC$4:AC$183&lt;AC64)*($G$4:$G$183=1))+SUMPRODUCT((AC$4:AC$183=AC64)*($G$4:$G$183=1)*($A$4:$A$183&lt;A64))+1)</f>
        <v/>
      </c>
      <c r="AI64" t="n">
        <v>61</v>
      </c>
      <c r="AJ64">
        <f>IF(61&gt;Passengers,"",MATCH(61,R$4:R$183,0))</f>
        <v/>
      </c>
      <c r="AK64">
        <f>IF(AJ64="","",INDEX($B$4:$B$183,AJ64))</f>
        <v/>
      </c>
      <c r="AL64">
        <f>IF(AJ64="","",INDEX($C$4:$C$183,AJ64))</f>
        <v/>
      </c>
      <c r="AM64">
        <f>IF(AJ64="","",INDEX($D$4:$D$183,AJ64))</f>
        <v/>
      </c>
      <c r="AN64">
        <f>IF(AJ64="","",COUNTIFS($B$4:$B$183,AK64,$C$4:$C$183,AL64,$D$4:$D$183,"&gt;"&amp;AM64,R$4:R$183,"&lt;"&amp;61,$G$4:$G$183,1))</f>
        <v/>
      </c>
      <c r="AO64">
        <f>IF(AJ64="","",INDEX($M$4:$M$183,AJ64)+IF(AN64=1,Shuffle1,IF(AN64&gt;=2,Shuffle2,0)))</f>
        <v/>
      </c>
      <c r="AP64">
        <f>IF(AJ64="","",MAX(DoorGap*60,SUMPRODUCT(MAX((AK$4:AK63&lt;=AK64)*AQ$4:AQ63)),SUMPRODUCT(MAX((AK$4:AK63&gt;AK64)*AP$4:AP63))+Headway))</f>
        <v/>
      </c>
      <c r="AQ64">
        <f>IF(AJ64="","",AP64+AO64)</f>
        <v/>
      </c>
      <c r="AR64">
        <f>IF(AJ64="","",AQ64+AK64*WalkSec)</f>
        <v/>
      </c>
      <c r="AS64" t="n">
        <v>61</v>
      </c>
      <c r="AT64">
        <f>IF(61&gt;Passengers,"",MATCH(61,V$4:V$183,0))</f>
        <v/>
      </c>
      <c r="AU64">
        <f>IF(AT64="","",INDEX($B$4:$B$183,AT64))</f>
        <v/>
      </c>
      <c r="AV64">
        <f>IF(AT64="","",INDEX($C$4:$C$183,AT64))</f>
        <v/>
      </c>
      <c r="AW64">
        <f>IF(AT64="","",INDEX($D$4:$D$183,AT64))</f>
        <v/>
      </c>
      <c r="AX64">
        <f>IF(AT64="","",COUNTIFS($B$4:$B$183,AU64,$C$4:$C$183,AV64,$D$4:$D$183,"&gt;"&amp;AW64,V$4:V$183,"&lt;"&amp;61,$G$4:$G$183,1))</f>
        <v/>
      </c>
      <c r="AY64">
        <f>IF(AT64="","",INDEX($M$4:$M$183,AT64)+IF(AX64=1,Shuffle1,IF(AX64&gt;=2,Shuffle2,0)))</f>
        <v/>
      </c>
      <c r="AZ64">
        <f>IF(AT64="","",MAX(DoorGap*60,SUMPRODUCT(MAX((AU$4:AU63&lt;=AU64)*BA$4:BA63)),SUMPRODUCT(MAX((AU$4:AU63&gt;AU64)*AZ$4:AZ63))+Headway))</f>
        <v/>
      </c>
      <c r="BA64">
        <f>IF(AT64="","",AZ64+AY64)</f>
        <v/>
      </c>
      <c r="BB64">
        <f>IF(AT64="","",BA64+AU64*WalkSec)</f>
        <v/>
      </c>
      <c r="BC64" t="n">
        <v>61</v>
      </c>
      <c r="BD64">
        <f>IF(61&gt;Passengers,"",MATCH(61,Z$4:Z$183,0))</f>
        <v/>
      </c>
      <c r="BE64">
        <f>IF(BD64="","",INDEX($B$4:$B$183,BD64))</f>
        <v/>
      </c>
      <c r="BF64">
        <f>IF(BD64="","",INDEX($C$4:$C$183,BD64))</f>
        <v/>
      </c>
      <c r="BG64">
        <f>IF(BD64="","",INDEX($D$4:$D$183,BD64))</f>
        <v/>
      </c>
      <c r="BH64">
        <f>IF(BD64="","",COUNTIFS($B$4:$B$183,BE64,$C$4:$C$183,BF64,$D$4:$D$183,"&gt;"&amp;BG64,Z$4:Z$183,"&lt;"&amp;61,$G$4:$G$183,1))</f>
        <v/>
      </c>
      <c r="BI64">
        <f>IF(BD64="","",INDEX($M$4:$M$183,BD64)+IF(BH64=1,Shuffle1,IF(BH64&gt;=2,Shuffle2,0)))</f>
        <v/>
      </c>
      <c r="BJ64">
        <f>IF(BD64="","",MAX(DoorGap*60,SUMPRODUCT(MAX((BE$4:BE63&lt;=BE64)*BK$4:BK63)),SUMPRODUCT(MAX((BE$4:BE63&gt;BE64)*BJ$4:BJ63))+Headway))</f>
        <v/>
      </c>
      <c r="BK64">
        <f>IF(BD64="","",BJ64+BI64)</f>
        <v/>
      </c>
      <c r="BL64">
        <f>IF(BD64="","",BK64+BE64*WalkSec)</f>
        <v/>
      </c>
      <c r="BM64" t="n">
        <v>61</v>
      </c>
      <c r="BN64">
        <f>IF(61&gt;Passengers,"",MATCH(61,AD$4:AD$183,0))</f>
        <v/>
      </c>
      <c r="BO64">
        <f>IF(BN64="","",INDEX($B$4:$B$183,BN64))</f>
        <v/>
      </c>
      <c r="BP64">
        <f>IF(BN64="","",INDEX($C$4:$C$183,BN64))</f>
        <v/>
      </c>
      <c r="BQ64">
        <f>IF(BN64="","",INDEX($D$4:$D$183,BN64))</f>
        <v/>
      </c>
      <c r="BR64">
        <f>IF(BN64="","",COUNTIFS($B$4:$B$183,BO64,$C$4:$C$183,BP64,$D$4:$D$183,"&gt;"&amp;BQ64,AD$4:AD$183,"&lt;"&amp;61,$G$4:$G$183,1))</f>
        <v/>
      </c>
      <c r="BS64">
        <f>IF(BN64="","",INDEX($M$4:$M$183,BN64)+IF(BR64=1,Shuffle1,IF(BR64&gt;=2,Shuffle2,0)))</f>
        <v/>
      </c>
      <c r="BT64">
        <f>IF(BN64="","",MAX(DoorGap*60,SUMPRODUCT(MAX((BO$4:BO63&lt;=BO64)*BU$4:BU63)),SUMPRODUCT(MAX((BO$4:BO63&gt;BO64)*BT$4:BT63))+Headway))</f>
        <v/>
      </c>
      <c r="BU64">
        <f>IF(BN64="","",BT64+BS64)</f>
        <v/>
      </c>
      <c r="BV64">
        <f>IF(BN64="","",BU64+BO64*WalkSec)</f>
        <v/>
      </c>
      <c r="BW64">
        <f>IF($G64=0,"",INDEX(AR$4:AR$183,R64))</f>
        <v/>
      </c>
      <c r="BX64">
        <f>IF($G64=0,"",INDEX(BB$4:BB$183,V64))</f>
        <v/>
      </c>
      <c r="BY64">
        <f>IF($G64=0,"",INDEX(BL$4:BL$183,Z64))</f>
        <v/>
      </c>
      <c r="BZ64">
        <f>IF($G64=0,"",INDEX(BV$4:BV$183,AD64))</f>
        <v/>
      </c>
    </row>
    <row r="65">
      <c r="A65" t="n">
        <v>62</v>
      </c>
      <c r="B65" t="n">
        <v>11</v>
      </c>
      <c r="C65" t="n">
        <v>1</v>
      </c>
      <c r="D65" t="n">
        <v>2</v>
      </c>
      <c r="E65" t="n">
        <v>21</v>
      </c>
      <c r="F65">
        <f>RAND()</f>
        <v/>
      </c>
      <c r="G65">
        <f>IF(SUMPRODUCT(($F$4:$F$183&lt;F65)*1)+SUMPRODUCT(($F$4:$F$183=F65)*($A$4:$A$183&lt;A65))&lt;Passengers,1,0)</f>
        <v/>
      </c>
      <c r="H65">
        <f>RAND()</f>
        <v/>
      </c>
      <c r="I65">
        <f>RAND()</f>
        <v/>
      </c>
      <c r="J65">
        <f>RAND()</f>
        <v/>
      </c>
      <c r="K65">
        <f>RAND()</f>
        <v/>
      </c>
      <c r="L65">
        <f>RAND()</f>
        <v/>
      </c>
      <c r="M65">
        <f>IF(K65&lt;BagShare,EXP(NORMSINV(L65)*StowSigma+StowMu),StowNoBag)</f>
        <v/>
      </c>
      <c r="N65">
        <f>IF(INDEX($AG$4:$AG$63,E65)&lt;GroupShare,1,0)</f>
        <v/>
      </c>
      <c r="P65">
        <f>IF(G65=1,IF(I65&gt;Compliance,J65,$H65),2)</f>
        <v/>
      </c>
      <c r="Q65">
        <f>IF(G65=0,2,IF(N65=0,P65,1-SUMPRODUCT(MAX(($E$4:$E$183=E65)*($G$4:$G$183=1)*(1-P$4:P$183)))+0.000000001*D65))</f>
        <v/>
      </c>
      <c r="R65">
        <f>IF(G65=0,999,SUMPRODUCT((Q$4:Q$183&lt;Q65)*($G$4:$G$183=1))+SUMPRODUCT((Q$4:Q$183=Q65)*($G$4:$G$183=1)*($A$4:$A$183&lt;A65))+1)</f>
        <v/>
      </c>
      <c r="T65">
        <f>IF(G65=1,IF(I65&gt;Compliance,J65,(INT((30-$B65)/(30/Zones))+$H65)/Zones),2)</f>
        <v/>
      </c>
      <c r="U65">
        <f>IF(G65=0,2,IF(N65=0,T65,1-SUMPRODUCT(MAX(($E$4:$E$183=E65)*($G$4:$G$183=1)*(1-T$4:T$183)))+0.000000001*D65))</f>
        <v/>
      </c>
      <c r="V65">
        <f>IF(G65=0,999,SUMPRODUCT((U$4:U$183&lt;U65)*($G$4:$G$183=1))+SUMPRODUCT((U$4:U$183=U65)*($G$4:$G$183=1)*($A$4:$A$183&lt;A65))+1)</f>
        <v/>
      </c>
      <c r="X65">
        <f>IF(G65=1,IF(I65&gt;Compliance,J65,(($D65-1)+$H65)/3),2)</f>
        <v/>
      </c>
      <c r="Y65">
        <f>IF(G65=0,2,IF(N65=0,X65,1-SUMPRODUCT(MAX(($E$4:$E$183=E65)*($G$4:$G$183=1)*(1-X$4:X$183)))+0.000000001*D65))</f>
        <v/>
      </c>
      <c r="Z65">
        <f>IF(G65=0,999,SUMPRODUCT((Y$4:Y$183&lt;Y65)*($G$4:$G$183=1))+SUMPRODUCT((Y$4:Y$183=Y65)*($G$4:$G$183=1)*($A$4:$A$183&lt;A65))+1)</f>
        <v/>
      </c>
      <c r="AB65">
        <f>IF(G65=1,IF(I65&gt;Compliance,J65,((($D65-1)*4+($C65-1)*2+MOD($B65,2))+(30-$B65)/30)/12),2)</f>
        <v/>
      </c>
      <c r="AC65">
        <f>IF(G65=0,2,IF(N65=0,AB65,1-SUMPRODUCT(MAX(($E$4:$E$183=E65)*($G$4:$G$183=1)*(1-AB$4:AB$183)))+0.000000001*D65))</f>
        <v/>
      </c>
      <c r="AD65">
        <f>IF(G65=0,999,SUMPRODUCT((AC$4:AC$183&lt;AC65)*($G$4:$G$183=1))+SUMPRODUCT((AC$4:AC$183=AC65)*($G$4:$G$183=1)*($A$4:$A$183&lt;A65))+1)</f>
        <v/>
      </c>
      <c r="AI65" t="n">
        <v>62</v>
      </c>
      <c r="AJ65">
        <f>IF(62&gt;Passengers,"",MATCH(62,R$4:R$183,0))</f>
        <v/>
      </c>
      <c r="AK65">
        <f>IF(AJ65="","",INDEX($B$4:$B$183,AJ65))</f>
        <v/>
      </c>
      <c r="AL65">
        <f>IF(AJ65="","",INDEX($C$4:$C$183,AJ65))</f>
        <v/>
      </c>
      <c r="AM65">
        <f>IF(AJ65="","",INDEX($D$4:$D$183,AJ65))</f>
        <v/>
      </c>
      <c r="AN65">
        <f>IF(AJ65="","",COUNTIFS($B$4:$B$183,AK65,$C$4:$C$183,AL65,$D$4:$D$183,"&gt;"&amp;AM65,R$4:R$183,"&lt;"&amp;62,$G$4:$G$183,1))</f>
        <v/>
      </c>
      <c r="AO65">
        <f>IF(AJ65="","",INDEX($M$4:$M$183,AJ65)+IF(AN65=1,Shuffle1,IF(AN65&gt;=2,Shuffle2,0)))</f>
        <v/>
      </c>
      <c r="AP65">
        <f>IF(AJ65="","",MAX(DoorGap*61,SUMPRODUCT(MAX((AK$4:AK64&lt;=AK65)*AQ$4:AQ64)),SUMPRODUCT(MAX((AK$4:AK64&gt;AK65)*AP$4:AP64))+Headway))</f>
        <v/>
      </c>
      <c r="AQ65">
        <f>IF(AJ65="","",AP65+AO65)</f>
        <v/>
      </c>
      <c r="AR65">
        <f>IF(AJ65="","",AQ65+AK65*WalkSec)</f>
        <v/>
      </c>
      <c r="AS65" t="n">
        <v>62</v>
      </c>
      <c r="AT65">
        <f>IF(62&gt;Passengers,"",MATCH(62,V$4:V$183,0))</f>
        <v/>
      </c>
      <c r="AU65">
        <f>IF(AT65="","",INDEX($B$4:$B$183,AT65))</f>
        <v/>
      </c>
      <c r="AV65">
        <f>IF(AT65="","",INDEX($C$4:$C$183,AT65))</f>
        <v/>
      </c>
      <c r="AW65">
        <f>IF(AT65="","",INDEX($D$4:$D$183,AT65))</f>
        <v/>
      </c>
      <c r="AX65">
        <f>IF(AT65="","",COUNTIFS($B$4:$B$183,AU65,$C$4:$C$183,AV65,$D$4:$D$183,"&gt;"&amp;AW65,V$4:V$183,"&lt;"&amp;62,$G$4:$G$183,1))</f>
        <v/>
      </c>
      <c r="AY65">
        <f>IF(AT65="","",INDEX($M$4:$M$183,AT65)+IF(AX65=1,Shuffle1,IF(AX65&gt;=2,Shuffle2,0)))</f>
        <v/>
      </c>
      <c r="AZ65">
        <f>IF(AT65="","",MAX(DoorGap*61,SUMPRODUCT(MAX((AU$4:AU64&lt;=AU65)*BA$4:BA64)),SUMPRODUCT(MAX((AU$4:AU64&gt;AU65)*AZ$4:AZ64))+Headway))</f>
        <v/>
      </c>
      <c r="BA65">
        <f>IF(AT65="","",AZ65+AY65)</f>
        <v/>
      </c>
      <c r="BB65">
        <f>IF(AT65="","",BA65+AU65*WalkSec)</f>
        <v/>
      </c>
      <c r="BC65" t="n">
        <v>62</v>
      </c>
      <c r="BD65">
        <f>IF(62&gt;Passengers,"",MATCH(62,Z$4:Z$183,0))</f>
        <v/>
      </c>
      <c r="BE65">
        <f>IF(BD65="","",INDEX($B$4:$B$183,BD65))</f>
        <v/>
      </c>
      <c r="BF65">
        <f>IF(BD65="","",INDEX($C$4:$C$183,BD65))</f>
        <v/>
      </c>
      <c r="BG65">
        <f>IF(BD65="","",INDEX($D$4:$D$183,BD65))</f>
        <v/>
      </c>
      <c r="BH65">
        <f>IF(BD65="","",COUNTIFS($B$4:$B$183,BE65,$C$4:$C$183,BF65,$D$4:$D$183,"&gt;"&amp;BG65,Z$4:Z$183,"&lt;"&amp;62,$G$4:$G$183,1))</f>
        <v/>
      </c>
      <c r="BI65">
        <f>IF(BD65="","",INDEX($M$4:$M$183,BD65)+IF(BH65=1,Shuffle1,IF(BH65&gt;=2,Shuffle2,0)))</f>
        <v/>
      </c>
      <c r="BJ65">
        <f>IF(BD65="","",MAX(DoorGap*61,SUMPRODUCT(MAX((BE$4:BE64&lt;=BE65)*BK$4:BK64)),SUMPRODUCT(MAX((BE$4:BE64&gt;BE65)*BJ$4:BJ64))+Headway))</f>
        <v/>
      </c>
      <c r="BK65">
        <f>IF(BD65="","",BJ65+BI65)</f>
        <v/>
      </c>
      <c r="BL65">
        <f>IF(BD65="","",BK65+BE65*WalkSec)</f>
        <v/>
      </c>
      <c r="BM65" t="n">
        <v>62</v>
      </c>
      <c r="BN65">
        <f>IF(62&gt;Passengers,"",MATCH(62,AD$4:AD$183,0))</f>
        <v/>
      </c>
      <c r="BO65">
        <f>IF(BN65="","",INDEX($B$4:$B$183,BN65))</f>
        <v/>
      </c>
      <c r="BP65">
        <f>IF(BN65="","",INDEX($C$4:$C$183,BN65))</f>
        <v/>
      </c>
      <c r="BQ65">
        <f>IF(BN65="","",INDEX($D$4:$D$183,BN65))</f>
        <v/>
      </c>
      <c r="BR65">
        <f>IF(BN65="","",COUNTIFS($B$4:$B$183,BO65,$C$4:$C$183,BP65,$D$4:$D$183,"&gt;"&amp;BQ65,AD$4:AD$183,"&lt;"&amp;62,$G$4:$G$183,1))</f>
        <v/>
      </c>
      <c r="BS65">
        <f>IF(BN65="","",INDEX($M$4:$M$183,BN65)+IF(BR65=1,Shuffle1,IF(BR65&gt;=2,Shuffle2,0)))</f>
        <v/>
      </c>
      <c r="BT65">
        <f>IF(BN65="","",MAX(DoorGap*61,SUMPRODUCT(MAX((BO$4:BO64&lt;=BO65)*BU$4:BU64)),SUMPRODUCT(MAX((BO$4:BO64&gt;BO65)*BT$4:BT64))+Headway))</f>
        <v/>
      </c>
      <c r="BU65">
        <f>IF(BN65="","",BT65+BS65)</f>
        <v/>
      </c>
      <c r="BV65">
        <f>IF(BN65="","",BU65+BO65*WalkSec)</f>
        <v/>
      </c>
      <c r="BW65">
        <f>IF($G65=0,"",INDEX(AR$4:AR$183,R65))</f>
        <v/>
      </c>
      <c r="BX65">
        <f>IF($G65=0,"",INDEX(BB$4:BB$183,V65))</f>
        <v/>
      </c>
      <c r="BY65">
        <f>IF($G65=0,"",INDEX(BL$4:BL$183,Z65))</f>
        <v/>
      </c>
      <c r="BZ65">
        <f>IF($G65=0,"",INDEX(BV$4:BV$183,AD65))</f>
        <v/>
      </c>
    </row>
    <row r="66">
      <c r="A66" t="n">
        <v>63</v>
      </c>
      <c r="B66" t="n">
        <v>11</v>
      </c>
      <c r="C66" t="n">
        <v>1</v>
      </c>
      <c r="D66" t="n">
        <v>3</v>
      </c>
      <c r="E66" t="n">
        <v>21</v>
      </c>
      <c r="F66">
        <f>RAND()</f>
        <v/>
      </c>
      <c r="G66">
        <f>IF(SUMPRODUCT(($F$4:$F$183&lt;F66)*1)+SUMPRODUCT(($F$4:$F$183=F66)*($A$4:$A$183&lt;A66))&lt;Passengers,1,0)</f>
        <v/>
      </c>
      <c r="H66">
        <f>RAND()</f>
        <v/>
      </c>
      <c r="I66">
        <f>RAND()</f>
        <v/>
      </c>
      <c r="J66">
        <f>RAND()</f>
        <v/>
      </c>
      <c r="K66">
        <f>RAND()</f>
        <v/>
      </c>
      <c r="L66">
        <f>RAND()</f>
        <v/>
      </c>
      <c r="M66">
        <f>IF(K66&lt;BagShare,EXP(NORMSINV(L66)*StowSigma+StowMu),StowNoBag)</f>
        <v/>
      </c>
      <c r="N66">
        <f>IF(INDEX($AG$4:$AG$63,E66)&lt;GroupShare,1,0)</f>
        <v/>
      </c>
      <c r="P66">
        <f>IF(G66=1,IF(I66&gt;Compliance,J66,$H66),2)</f>
        <v/>
      </c>
      <c r="Q66">
        <f>IF(G66=0,2,IF(N66=0,P66,1-SUMPRODUCT(MAX(($E$4:$E$183=E66)*($G$4:$G$183=1)*(1-P$4:P$183)))+0.000000001*D66))</f>
        <v/>
      </c>
      <c r="R66">
        <f>IF(G66=0,999,SUMPRODUCT((Q$4:Q$183&lt;Q66)*($G$4:$G$183=1))+SUMPRODUCT((Q$4:Q$183=Q66)*($G$4:$G$183=1)*($A$4:$A$183&lt;A66))+1)</f>
        <v/>
      </c>
      <c r="T66">
        <f>IF(G66=1,IF(I66&gt;Compliance,J66,(INT((30-$B66)/(30/Zones))+$H66)/Zones),2)</f>
        <v/>
      </c>
      <c r="U66">
        <f>IF(G66=0,2,IF(N66=0,T66,1-SUMPRODUCT(MAX(($E$4:$E$183=E66)*($G$4:$G$183=1)*(1-T$4:T$183)))+0.000000001*D66))</f>
        <v/>
      </c>
      <c r="V66">
        <f>IF(G66=0,999,SUMPRODUCT((U$4:U$183&lt;U66)*($G$4:$G$183=1))+SUMPRODUCT((U$4:U$183=U66)*($G$4:$G$183=1)*($A$4:$A$183&lt;A66))+1)</f>
        <v/>
      </c>
      <c r="X66">
        <f>IF(G66=1,IF(I66&gt;Compliance,J66,(($D66-1)+$H66)/3),2)</f>
        <v/>
      </c>
      <c r="Y66">
        <f>IF(G66=0,2,IF(N66=0,X66,1-SUMPRODUCT(MAX(($E$4:$E$183=E66)*($G$4:$G$183=1)*(1-X$4:X$183)))+0.000000001*D66))</f>
        <v/>
      </c>
      <c r="Z66">
        <f>IF(G66=0,999,SUMPRODUCT((Y$4:Y$183&lt;Y66)*($G$4:$G$183=1))+SUMPRODUCT((Y$4:Y$183=Y66)*($G$4:$G$183=1)*($A$4:$A$183&lt;A66))+1)</f>
        <v/>
      </c>
      <c r="AB66">
        <f>IF(G66=1,IF(I66&gt;Compliance,J66,((($D66-1)*4+($C66-1)*2+MOD($B66,2))+(30-$B66)/30)/12),2)</f>
        <v/>
      </c>
      <c r="AC66">
        <f>IF(G66=0,2,IF(N66=0,AB66,1-SUMPRODUCT(MAX(($E$4:$E$183=E66)*($G$4:$G$183=1)*(1-AB$4:AB$183)))+0.000000001*D66))</f>
        <v/>
      </c>
      <c r="AD66">
        <f>IF(G66=0,999,SUMPRODUCT((AC$4:AC$183&lt;AC66)*($G$4:$G$183=1))+SUMPRODUCT((AC$4:AC$183=AC66)*($G$4:$G$183=1)*($A$4:$A$183&lt;A66))+1)</f>
        <v/>
      </c>
      <c r="AI66" t="n">
        <v>63</v>
      </c>
      <c r="AJ66">
        <f>IF(63&gt;Passengers,"",MATCH(63,R$4:R$183,0))</f>
        <v/>
      </c>
      <c r="AK66">
        <f>IF(AJ66="","",INDEX($B$4:$B$183,AJ66))</f>
        <v/>
      </c>
      <c r="AL66">
        <f>IF(AJ66="","",INDEX($C$4:$C$183,AJ66))</f>
        <v/>
      </c>
      <c r="AM66">
        <f>IF(AJ66="","",INDEX($D$4:$D$183,AJ66))</f>
        <v/>
      </c>
      <c r="AN66">
        <f>IF(AJ66="","",COUNTIFS($B$4:$B$183,AK66,$C$4:$C$183,AL66,$D$4:$D$183,"&gt;"&amp;AM66,R$4:R$183,"&lt;"&amp;63,$G$4:$G$183,1))</f>
        <v/>
      </c>
      <c r="AO66">
        <f>IF(AJ66="","",INDEX($M$4:$M$183,AJ66)+IF(AN66=1,Shuffle1,IF(AN66&gt;=2,Shuffle2,0)))</f>
        <v/>
      </c>
      <c r="AP66">
        <f>IF(AJ66="","",MAX(DoorGap*62,SUMPRODUCT(MAX((AK$4:AK65&lt;=AK66)*AQ$4:AQ65)),SUMPRODUCT(MAX((AK$4:AK65&gt;AK66)*AP$4:AP65))+Headway))</f>
        <v/>
      </c>
      <c r="AQ66">
        <f>IF(AJ66="","",AP66+AO66)</f>
        <v/>
      </c>
      <c r="AR66">
        <f>IF(AJ66="","",AQ66+AK66*WalkSec)</f>
        <v/>
      </c>
      <c r="AS66" t="n">
        <v>63</v>
      </c>
      <c r="AT66">
        <f>IF(63&gt;Passengers,"",MATCH(63,V$4:V$183,0))</f>
        <v/>
      </c>
      <c r="AU66">
        <f>IF(AT66="","",INDEX($B$4:$B$183,AT66))</f>
        <v/>
      </c>
      <c r="AV66">
        <f>IF(AT66="","",INDEX($C$4:$C$183,AT66))</f>
        <v/>
      </c>
      <c r="AW66">
        <f>IF(AT66="","",INDEX($D$4:$D$183,AT66))</f>
        <v/>
      </c>
      <c r="AX66">
        <f>IF(AT66="","",COUNTIFS($B$4:$B$183,AU66,$C$4:$C$183,AV66,$D$4:$D$183,"&gt;"&amp;AW66,V$4:V$183,"&lt;"&amp;63,$G$4:$G$183,1))</f>
        <v/>
      </c>
      <c r="AY66">
        <f>IF(AT66="","",INDEX($M$4:$M$183,AT66)+IF(AX66=1,Shuffle1,IF(AX66&gt;=2,Shuffle2,0)))</f>
        <v/>
      </c>
      <c r="AZ66">
        <f>IF(AT66="","",MAX(DoorGap*62,SUMPRODUCT(MAX((AU$4:AU65&lt;=AU66)*BA$4:BA65)),SUMPRODUCT(MAX((AU$4:AU65&gt;AU66)*AZ$4:AZ65))+Headway))</f>
        <v/>
      </c>
      <c r="BA66">
        <f>IF(AT66="","",AZ66+AY66)</f>
        <v/>
      </c>
      <c r="BB66">
        <f>IF(AT66="","",BA66+AU66*WalkSec)</f>
        <v/>
      </c>
      <c r="BC66" t="n">
        <v>63</v>
      </c>
      <c r="BD66">
        <f>IF(63&gt;Passengers,"",MATCH(63,Z$4:Z$183,0))</f>
        <v/>
      </c>
      <c r="BE66">
        <f>IF(BD66="","",INDEX($B$4:$B$183,BD66))</f>
        <v/>
      </c>
      <c r="BF66">
        <f>IF(BD66="","",INDEX($C$4:$C$183,BD66))</f>
        <v/>
      </c>
      <c r="BG66">
        <f>IF(BD66="","",INDEX($D$4:$D$183,BD66))</f>
        <v/>
      </c>
      <c r="BH66">
        <f>IF(BD66="","",COUNTIFS($B$4:$B$183,BE66,$C$4:$C$183,BF66,$D$4:$D$183,"&gt;"&amp;BG66,Z$4:Z$183,"&lt;"&amp;63,$G$4:$G$183,1))</f>
        <v/>
      </c>
      <c r="BI66">
        <f>IF(BD66="","",INDEX($M$4:$M$183,BD66)+IF(BH66=1,Shuffle1,IF(BH66&gt;=2,Shuffle2,0)))</f>
        <v/>
      </c>
      <c r="BJ66">
        <f>IF(BD66="","",MAX(DoorGap*62,SUMPRODUCT(MAX((BE$4:BE65&lt;=BE66)*BK$4:BK65)),SUMPRODUCT(MAX((BE$4:BE65&gt;BE66)*BJ$4:BJ65))+Headway))</f>
        <v/>
      </c>
      <c r="BK66">
        <f>IF(BD66="","",BJ66+BI66)</f>
        <v/>
      </c>
      <c r="BL66">
        <f>IF(BD66="","",BK66+BE66*WalkSec)</f>
        <v/>
      </c>
      <c r="BM66" t="n">
        <v>63</v>
      </c>
      <c r="BN66">
        <f>IF(63&gt;Passengers,"",MATCH(63,AD$4:AD$183,0))</f>
        <v/>
      </c>
      <c r="BO66">
        <f>IF(BN66="","",INDEX($B$4:$B$183,BN66))</f>
        <v/>
      </c>
      <c r="BP66">
        <f>IF(BN66="","",INDEX($C$4:$C$183,BN66))</f>
        <v/>
      </c>
      <c r="BQ66">
        <f>IF(BN66="","",INDEX($D$4:$D$183,BN66))</f>
        <v/>
      </c>
      <c r="BR66">
        <f>IF(BN66="","",COUNTIFS($B$4:$B$183,BO66,$C$4:$C$183,BP66,$D$4:$D$183,"&gt;"&amp;BQ66,AD$4:AD$183,"&lt;"&amp;63,$G$4:$G$183,1))</f>
        <v/>
      </c>
      <c r="BS66">
        <f>IF(BN66="","",INDEX($M$4:$M$183,BN66)+IF(BR66=1,Shuffle1,IF(BR66&gt;=2,Shuffle2,0)))</f>
        <v/>
      </c>
      <c r="BT66">
        <f>IF(BN66="","",MAX(DoorGap*62,SUMPRODUCT(MAX((BO$4:BO65&lt;=BO66)*BU$4:BU65)),SUMPRODUCT(MAX((BO$4:BO65&gt;BO66)*BT$4:BT65))+Headway))</f>
        <v/>
      </c>
      <c r="BU66">
        <f>IF(BN66="","",BT66+BS66)</f>
        <v/>
      </c>
      <c r="BV66">
        <f>IF(BN66="","",BU66+BO66*WalkSec)</f>
        <v/>
      </c>
      <c r="BW66">
        <f>IF($G66=0,"",INDEX(AR$4:AR$183,R66))</f>
        <v/>
      </c>
      <c r="BX66">
        <f>IF($G66=0,"",INDEX(BB$4:BB$183,V66))</f>
        <v/>
      </c>
      <c r="BY66">
        <f>IF($G66=0,"",INDEX(BL$4:BL$183,Z66))</f>
        <v/>
      </c>
      <c r="BZ66">
        <f>IF($G66=0,"",INDEX(BV$4:BV$183,AD66))</f>
        <v/>
      </c>
    </row>
    <row r="67">
      <c r="A67" t="n">
        <v>64</v>
      </c>
      <c r="B67" t="n">
        <v>11</v>
      </c>
      <c r="C67" t="n">
        <v>2</v>
      </c>
      <c r="D67" t="n">
        <v>1</v>
      </c>
      <c r="E67" t="n">
        <v>22</v>
      </c>
      <c r="F67">
        <f>RAND()</f>
        <v/>
      </c>
      <c r="G67">
        <f>IF(SUMPRODUCT(($F$4:$F$183&lt;F67)*1)+SUMPRODUCT(($F$4:$F$183=F67)*($A$4:$A$183&lt;A67))&lt;Passengers,1,0)</f>
        <v/>
      </c>
      <c r="H67">
        <f>RAND()</f>
        <v/>
      </c>
      <c r="I67">
        <f>RAND()</f>
        <v/>
      </c>
      <c r="J67">
        <f>RAND()</f>
        <v/>
      </c>
      <c r="K67">
        <f>RAND()</f>
        <v/>
      </c>
      <c r="L67">
        <f>RAND()</f>
        <v/>
      </c>
      <c r="M67">
        <f>IF(K67&lt;BagShare,EXP(NORMSINV(L67)*StowSigma+StowMu),StowNoBag)</f>
        <v/>
      </c>
      <c r="N67">
        <f>IF(INDEX($AG$4:$AG$63,E67)&lt;GroupShare,1,0)</f>
        <v/>
      </c>
      <c r="P67">
        <f>IF(G67=1,IF(I67&gt;Compliance,J67,$H67),2)</f>
        <v/>
      </c>
      <c r="Q67">
        <f>IF(G67=0,2,IF(N67=0,P67,1-SUMPRODUCT(MAX(($E$4:$E$183=E67)*($G$4:$G$183=1)*(1-P$4:P$183)))+0.000000001*D67))</f>
        <v/>
      </c>
      <c r="R67">
        <f>IF(G67=0,999,SUMPRODUCT((Q$4:Q$183&lt;Q67)*($G$4:$G$183=1))+SUMPRODUCT((Q$4:Q$183=Q67)*($G$4:$G$183=1)*($A$4:$A$183&lt;A67))+1)</f>
        <v/>
      </c>
      <c r="T67">
        <f>IF(G67=1,IF(I67&gt;Compliance,J67,(INT((30-$B67)/(30/Zones))+$H67)/Zones),2)</f>
        <v/>
      </c>
      <c r="U67">
        <f>IF(G67=0,2,IF(N67=0,T67,1-SUMPRODUCT(MAX(($E$4:$E$183=E67)*($G$4:$G$183=1)*(1-T$4:T$183)))+0.000000001*D67))</f>
        <v/>
      </c>
      <c r="V67">
        <f>IF(G67=0,999,SUMPRODUCT((U$4:U$183&lt;U67)*($G$4:$G$183=1))+SUMPRODUCT((U$4:U$183=U67)*($G$4:$G$183=1)*($A$4:$A$183&lt;A67))+1)</f>
        <v/>
      </c>
      <c r="X67">
        <f>IF(G67=1,IF(I67&gt;Compliance,J67,(($D67-1)+$H67)/3),2)</f>
        <v/>
      </c>
      <c r="Y67">
        <f>IF(G67=0,2,IF(N67=0,X67,1-SUMPRODUCT(MAX(($E$4:$E$183=E67)*($G$4:$G$183=1)*(1-X$4:X$183)))+0.000000001*D67))</f>
        <v/>
      </c>
      <c r="Z67">
        <f>IF(G67=0,999,SUMPRODUCT((Y$4:Y$183&lt;Y67)*($G$4:$G$183=1))+SUMPRODUCT((Y$4:Y$183=Y67)*($G$4:$G$183=1)*($A$4:$A$183&lt;A67))+1)</f>
        <v/>
      </c>
      <c r="AB67">
        <f>IF(G67=1,IF(I67&gt;Compliance,J67,((($D67-1)*4+($C67-1)*2+MOD($B67,2))+(30-$B67)/30)/12),2)</f>
        <v/>
      </c>
      <c r="AC67">
        <f>IF(G67=0,2,IF(N67=0,AB67,1-SUMPRODUCT(MAX(($E$4:$E$183=E67)*($G$4:$G$183=1)*(1-AB$4:AB$183)))+0.000000001*D67))</f>
        <v/>
      </c>
      <c r="AD67">
        <f>IF(G67=0,999,SUMPRODUCT((AC$4:AC$183&lt;AC67)*($G$4:$G$183=1))+SUMPRODUCT((AC$4:AC$183=AC67)*($G$4:$G$183=1)*($A$4:$A$183&lt;A67))+1)</f>
        <v/>
      </c>
      <c r="AI67" t="n">
        <v>64</v>
      </c>
      <c r="AJ67">
        <f>IF(64&gt;Passengers,"",MATCH(64,R$4:R$183,0))</f>
        <v/>
      </c>
      <c r="AK67">
        <f>IF(AJ67="","",INDEX($B$4:$B$183,AJ67))</f>
        <v/>
      </c>
      <c r="AL67">
        <f>IF(AJ67="","",INDEX($C$4:$C$183,AJ67))</f>
        <v/>
      </c>
      <c r="AM67">
        <f>IF(AJ67="","",INDEX($D$4:$D$183,AJ67))</f>
        <v/>
      </c>
      <c r="AN67">
        <f>IF(AJ67="","",COUNTIFS($B$4:$B$183,AK67,$C$4:$C$183,AL67,$D$4:$D$183,"&gt;"&amp;AM67,R$4:R$183,"&lt;"&amp;64,$G$4:$G$183,1))</f>
        <v/>
      </c>
      <c r="AO67">
        <f>IF(AJ67="","",INDEX($M$4:$M$183,AJ67)+IF(AN67=1,Shuffle1,IF(AN67&gt;=2,Shuffle2,0)))</f>
        <v/>
      </c>
      <c r="AP67">
        <f>IF(AJ67="","",MAX(DoorGap*63,SUMPRODUCT(MAX((AK$4:AK66&lt;=AK67)*AQ$4:AQ66)),SUMPRODUCT(MAX((AK$4:AK66&gt;AK67)*AP$4:AP66))+Headway))</f>
        <v/>
      </c>
      <c r="AQ67">
        <f>IF(AJ67="","",AP67+AO67)</f>
        <v/>
      </c>
      <c r="AR67">
        <f>IF(AJ67="","",AQ67+AK67*WalkSec)</f>
        <v/>
      </c>
      <c r="AS67" t="n">
        <v>64</v>
      </c>
      <c r="AT67">
        <f>IF(64&gt;Passengers,"",MATCH(64,V$4:V$183,0))</f>
        <v/>
      </c>
      <c r="AU67">
        <f>IF(AT67="","",INDEX($B$4:$B$183,AT67))</f>
        <v/>
      </c>
      <c r="AV67">
        <f>IF(AT67="","",INDEX($C$4:$C$183,AT67))</f>
        <v/>
      </c>
      <c r="AW67">
        <f>IF(AT67="","",INDEX($D$4:$D$183,AT67))</f>
        <v/>
      </c>
      <c r="AX67">
        <f>IF(AT67="","",COUNTIFS($B$4:$B$183,AU67,$C$4:$C$183,AV67,$D$4:$D$183,"&gt;"&amp;AW67,V$4:V$183,"&lt;"&amp;64,$G$4:$G$183,1))</f>
        <v/>
      </c>
      <c r="AY67">
        <f>IF(AT67="","",INDEX($M$4:$M$183,AT67)+IF(AX67=1,Shuffle1,IF(AX67&gt;=2,Shuffle2,0)))</f>
        <v/>
      </c>
      <c r="AZ67">
        <f>IF(AT67="","",MAX(DoorGap*63,SUMPRODUCT(MAX((AU$4:AU66&lt;=AU67)*BA$4:BA66)),SUMPRODUCT(MAX((AU$4:AU66&gt;AU67)*AZ$4:AZ66))+Headway))</f>
        <v/>
      </c>
      <c r="BA67">
        <f>IF(AT67="","",AZ67+AY67)</f>
        <v/>
      </c>
      <c r="BB67">
        <f>IF(AT67="","",BA67+AU67*WalkSec)</f>
        <v/>
      </c>
      <c r="BC67" t="n">
        <v>64</v>
      </c>
      <c r="BD67">
        <f>IF(64&gt;Passengers,"",MATCH(64,Z$4:Z$183,0))</f>
        <v/>
      </c>
      <c r="BE67">
        <f>IF(BD67="","",INDEX($B$4:$B$183,BD67))</f>
        <v/>
      </c>
      <c r="BF67">
        <f>IF(BD67="","",INDEX($C$4:$C$183,BD67))</f>
        <v/>
      </c>
      <c r="BG67">
        <f>IF(BD67="","",INDEX($D$4:$D$183,BD67))</f>
        <v/>
      </c>
      <c r="BH67">
        <f>IF(BD67="","",COUNTIFS($B$4:$B$183,BE67,$C$4:$C$183,BF67,$D$4:$D$183,"&gt;"&amp;BG67,Z$4:Z$183,"&lt;"&amp;64,$G$4:$G$183,1))</f>
        <v/>
      </c>
      <c r="BI67">
        <f>IF(BD67="","",INDEX($M$4:$M$183,BD67)+IF(BH67=1,Shuffle1,IF(BH67&gt;=2,Shuffle2,0)))</f>
        <v/>
      </c>
      <c r="BJ67">
        <f>IF(BD67="","",MAX(DoorGap*63,SUMPRODUCT(MAX((BE$4:BE66&lt;=BE67)*BK$4:BK66)),SUMPRODUCT(MAX((BE$4:BE66&gt;BE67)*BJ$4:BJ66))+Headway))</f>
        <v/>
      </c>
      <c r="BK67">
        <f>IF(BD67="","",BJ67+BI67)</f>
        <v/>
      </c>
      <c r="BL67">
        <f>IF(BD67="","",BK67+BE67*WalkSec)</f>
        <v/>
      </c>
      <c r="BM67" t="n">
        <v>64</v>
      </c>
      <c r="BN67">
        <f>IF(64&gt;Passengers,"",MATCH(64,AD$4:AD$183,0))</f>
        <v/>
      </c>
      <c r="BO67">
        <f>IF(BN67="","",INDEX($B$4:$B$183,BN67))</f>
        <v/>
      </c>
      <c r="BP67">
        <f>IF(BN67="","",INDEX($C$4:$C$183,BN67))</f>
        <v/>
      </c>
      <c r="BQ67">
        <f>IF(BN67="","",INDEX($D$4:$D$183,BN67))</f>
        <v/>
      </c>
      <c r="BR67">
        <f>IF(BN67="","",COUNTIFS($B$4:$B$183,BO67,$C$4:$C$183,BP67,$D$4:$D$183,"&gt;"&amp;BQ67,AD$4:AD$183,"&lt;"&amp;64,$G$4:$G$183,1))</f>
        <v/>
      </c>
      <c r="BS67">
        <f>IF(BN67="","",INDEX($M$4:$M$183,BN67)+IF(BR67=1,Shuffle1,IF(BR67&gt;=2,Shuffle2,0)))</f>
        <v/>
      </c>
      <c r="BT67">
        <f>IF(BN67="","",MAX(DoorGap*63,SUMPRODUCT(MAX((BO$4:BO66&lt;=BO67)*BU$4:BU66)),SUMPRODUCT(MAX((BO$4:BO66&gt;BO67)*BT$4:BT66))+Headway))</f>
        <v/>
      </c>
      <c r="BU67">
        <f>IF(BN67="","",BT67+BS67)</f>
        <v/>
      </c>
      <c r="BV67">
        <f>IF(BN67="","",BU67+BO67*WalkSec)</f>
        <v/>
      </c>
      <c r="BW67">
        <f>IF($G67=0,"",INDEX(AR$4:AR$183,R67))</f>
        <v/>
      </c>
      <c r="BX67">
        <f>IF($G67=0,"",INDEX(BB$4:BB$183,V67))</f>
        <v/>
      </c>
      <c r="BY67">
        <f>IF($G67=0,"",INDEX(BL$4:BL$183,Z67))</f>
        <v/>
      </c>
      <c r="BZ67">
        <f>IF($G67=0,"",INDEX(BV$4:BV$183,AD67))</f>
        <v/>
      </c>
    </row>
    <row r="68">
      <c r="A68" t="n">
        <v>65</v>
      </c>
      <c r="B68" t="n">
        <v>11</v>
      </c>
      <c r="C68" t="n">
        <v>2</v>
      </c>
      <c r="D68" t="n">
        <v>2</v>
      </c>
      <c r="E68" t="n">
        <v>22</v>
      </c>
      <c r="F68">
        <f>RAND()</f>
        <v/>
      </c>
      <c r="G68">
        <f>IF(SUMPRODUCT(($F$4:$F$183&lt;F68)*1)+SUMPRODUCT(($F$4:$F$183=F68)*($A$4:$A$183&lt;A68))&lt;Passengers,1,0)</f>
        <v/>
      </c>
      <c r="H68">
        <f>RAND()</f>
        <v/>
      </c>
      <c r="I68">
        <f>RAND()</f>
        <v/>
      </c>
      <c r="J68">
        <f>RAND()</f>
        <v/>
      </c>
      <c r="K68">
        <f>RAND()</f>
        <v/>
      </c>
      <c r="L68">
        <f>RAND()</f>
        <v/>
      </c>
      <c r="M68">
        <f>IF(K68&lt;BagShare,EXP(NORMSINV(L68)*StowSigma+StowMu),StowNoBag)</f>
        <v/>
      </c>
      <c r="N68">
        <f>IF(INDEX($AG$4:$AG$63,E68)&lt;GroupShare,1,0)</f>
        <v/>
      </c>
      <c r="P68">
        <f>IF(G68=1,IF(I68&gt;Compliance,J68,$H68),2)</f>
        <v/>
      </c>
      <c r="Q68">
        <f>IF(G68=0,2,IF(N68=0,P68,1-SUMPRODUCT(MAX(($E$4:$E$183=E68)*($G$4:$G$183=1)*(1-P$4:P$183)))+0.000000001*D68))</f>
        <v/>
      </c>
      <c r="R68">
        <f>IF(G68=0,999,SUMPRODUCT((Q$4:Q$183&lt;Q68)*($G$4:$G$183=1))+SUMPRODUCT((Q$4:Q$183=Q68)*($G$4:$G$183=1)*($A$4:$A$183&lt;A68))+1)</f>
        <v/>
      </c>
      <c r="T68">
        <f>IF(G68=1,IF(I68&gt;Compliance,J68,(INT((30-$B68)/(30/Zones))+$H68)/Zones),2)</f>
        <v/>
      </c>
      <c r="U68">
        <f>IF(G68=0,2,IF(N68=0,T68,1-SUMPRODUCT(MAX(($E$4:$E$183=E68)*($G$4:$G$183=1)*(1-T$4:T$183)))+0.000000001*D68))</f>
        <v/>
      </c>
      <c r="V68">
        <f>IF(G68=0,999,SUMPRODUCT((U$4:U$183&lt;U68)*($G$4:$G$183=1))+SUMPRODUCT((U$4:U$183=U68)*($G$4:$G$183=1)*($A$4:$A$183&lt;A68))+1)</f>
        <v/>
      </c>
      <c r="X68">
        <f>IF(G68=1,IF(I68&gt;Compliance,J68,(($D68-1)+$H68)/3),2)</f>
        <v/>
      </c>
      <c r="Y68">
        <f>IF(G68=0,2,IF(N68=0,X68,1-SUMPRODUCT(MAX(($E$4:$E$183=E68)*($G$4:$G$183=1)*(1-X$4:X$183)))+0.000000001*D68))</f>
        <v/>
      </c>
      <c r="Z68">
        <f>IF(G68=0,999,SUMPRODUCT((Y$4:Y$183&lt;Y68)*($G$4:$G$183=1))+SUMPRODUCT((Y$4:Y$183=Y68)*($G$4:$G$183=1)*($A$4:$A$183&lt;A68))+1)</f>
        <v/>
      </c>
      <c r="AB68">
        <f>IF(G68=1,IF(I68&gt;Compliance,J68,((($D68-1)*4+($C68-1)*2+MOD($B68,2))+(30-$B68)/30)/12),2)</f>
        <v/>
      </c>
      <c r="AC68">
        <f>IF(G68=0,2,IF(N68=0,AB68,1-SUMPRODUCT(MAX(($E$4:$E$183=E68)*($G$4:$G$183=1)*(1-AB$4:AB$183)))+0.000000001*D68))</f>
        <v/>
      </c>
      <c r="AD68">
        <f>IF(G68=0,999,SUMPRODUCT((AC$4:AC$183&lt;AC68)*($G$4:$G$183=1))+SUMPRODUCT((AC$4:AC$183=AC68)*($G$4:$G$183=1)*($A$4:$A$183&lt;A68))+1)</f>
        <v/>
      </c>
      <c r="AI68" t="n">
        <v>65</v>
      </c>
      <c r="AJ68">
        <f>IF(65&gt;Passengers,"",MATCH(65,R$4:R$183,0))</f>
        <v/>
      </c>
      <c r="AK68">
        <f>IF(AJ68="","",INDEX($B$4:$B$183,AJ68))</f>
        <v/>
      </c>
      <c r="AL68">
        <f>IF(AJ68="","",INDEX($C$4:$C$183,AJ68))</f>
        <v/>
      </c>
      <c r="AM68">
        <f>IF(AJ68="","",INDEX($D$4:$D$183,AJ68))</f>
        <v/>
      </c>
      <c r="AN68">
        <f>IF(AJ68="","",COUNTIFS($B$4:$B$183,AK68,$C$4:$C$183,AL68,$D$4:$D$183,"&gt;"&amp;AM68,R$4:R$183,"&lt;"&amp;65,$G$4:$G$183,1))</f>
        <v/>
      </c>
      <c r="AO68">
        <f>IF(AJ68="","",INDEX($M$4:$M$183,AJ68)+IF(AN68=1,Shuffle1,IF(AN68&gt;=2,Shuffle2,0)))</f>
        <v/>
      </c>
      <c r="AP68">
        <f>IF(AJ68="","",MAX(DoorGap*64,SUMPRODUCT(MAX((AK$4:AK67&lt;=AK68)*AQ$4:AQ67)),SUMPRODUCT(MAX((AK$4:AK67&gt;AK68)*AP$4:AP67))+Headway))</f>
        <v/>
      </c>
      <c r="AQ68">
        <f>IF(AJ68="","",AP68+AO68)</f>
        <v/>
      </c>
      <c r="AR68">
        <f>IF(AJ68="","",AQ68+AK68*WalkSec)</f>
        <v/>
      </c>
      <c r="AS68" t="n">
        <v>65</v>
      </c>
      <c r="AT68">
        <f>IF(65&gt;Passengers,"",MATCH(65,V$4:V$183,0))</f>
        <v/>
      </c>
      <c r="AU68">
        <f>IF(AT68="","",INDEX($B$4:$B$183,AT68))</f>
        <v/>
      </c>
      <c r="AV68">
        <f>IF(AT68="","",INDEX($C$4:$C$183,AT68))</f>
        <v/>
      </c>
      <c r="AW68">
        <f>IF(AT68="","",INDEX($D$4:$D$183,AT68))</f>
        <v/>
      </c>
      <c r="AX68">
        <f>IF(AT68="","",COUNTIFS($B$4:$B$183,AU68,$C$4:$C$183,AV68,$D$4:$D$183,"&gt;"&amp;AW68,V$4:V$183,"&lt;"&amp;65,$G$4:$G$183,1))</f>
        <v/>
      </c>
      <c r="AY68">
        <f>IF(AT68="","",INDEX($M$4:$M$183,AT68)+IF(AX68=1,Shuffle1,IF(AX68&gt;=2,Shuffle2,0)))</f>
        <v/>
      </c>
      <c r="AZ68">
        <f>IF(AT68="","",MAX(DoorGap*64,SUMPRODUCT(MAX((AU$4:AU67&lt;=AU68)*BA$4:BA67)),SUMPRODUCT(MAX((AU$4:AU67&gt;AU68)*AZ$4:AZ67))+Headway))</f>
        <v/>
      </c>
      <c r="BA68">
        <f>IF(AT68="","",AZ68+AY68)</f>
        <v/>
      </c>
      <c r="BB68">
        <f>IF(AT68="","",BA68+AU68*WalkSec)</f>
        <v/>
      </c>
      <c r="BC68" t="n">
        <v>65</v>
      </c>
      <c r="BD68">
        <f>IF(65&gt;Passengers,"",MATCH(65,Z$4:Z$183,0))</f>
        <v/>
      </c>
      <c r="BE68">
        <f>IF(BD68="","",INDEX($B$4:$B$183,BD68))</f>
        <v/>
      </c>
      <c r="BF68">
        <f>IF(BD68="","",INDEX($C$4:$C$183,BD68))</f>
        <v/>
      </c>
      <c r="BG68">
        <f>IF(BD68="","",INDEX($D$4:$D$183,BD68))</f>
        <v/>
      </c>
      <c r="BH68">
        <f>IF(BD68="","",COUNTIFS($B$4:$B$183,BE68,$C$4:$C$183,BF68,$D$4:$D$183,"&gt;"&amp;BG68,Z$4:Z$183,"&lt;"&amp;65,$G$4:$G$183,1))</f>
        <v/>
      </c>
      <c r="BI68">
        <f>IF(BD68="","",INDEX($M$4:$M$183,BD68)+IF(BH68=1,Shuffle1,IF(BH68&gt;=2,Shuffle2,0)))</f>
        <v/>
      </c>
      <c r="BJ68">
        <f>IF(BD68="","",MAX(DoorGap*64,SUMPRODUCT(MAX((BE$4:BE67&lt;=BE68)*BK$4:BK67)),SUMPRODUCT(MAX((BE$4:BE67&gt;BE68)*BJ$4:BJ67))+Headway))</f>
        <v/>
      </c>
      <c r="BK68">
        <f>IF(BD68="","",BJ68+BI68)</f>
        <v/>
      </c>
      <c r="BL68">
        <f>IF(BD68="","",BK68+BE68*WalkSec)</f>
        <v/>
      </c>
      <c r="BM68" t="n">
        <v>65</v>
      </c>
      <c r="BN68">
        <f>IF(65&gt;Passengers,"",MATCH(65,AD$4:AD$183,0))</f>
        <v/>
      </c>
      <c r="BO68">
        <f>IF(BN68="","",INDEX($B$4:$B$183,BN68))</f>
        <v/>
      </c>
      <c r="BP68">
        <f>IF(BN68="","",INDEX($C$4:$C$183,BN68))</f>
        <v/>
      </c>
      <c r="BQ68">
        <f>IF(BN68="","",INDEX($D$4:$D$183,BN68))</f>
        <v/>
      </c>
      <c r="BR68">
        <f>IF(BN68="","",COUNTIFS($B$4:$B$183,BO68,$C$4:$C$183,BP68,$D$4:$D$183,"&gt;"&amp;BQ68,AD$4:AD$183,"&lt;"&amp;65,$G$4:$G$183,1))</f>
        <v/>
      </c>
      <c r="BS68">
        <f>IF(BN68="","",INDEX($M$4:$M$183,BN68)+IF(BR68=1,Shuffle1,IF(BR68&gt;=2,Shuffle2,0)))</f>
        <v/>
      </c>
      <c r="BT68">
        <f>IF(BN68="","",MAX(DoorGap*64,SUMPRODUCT(MAX((BO$4:BO67&lt;=BO68)*BU$4:BU67)),SUMPRODUCT(MAX((BO$4:BO67&gt;BO68)*BT$4:BT67))+Headway))</f>
        <v/>
      </c>
      <c r="BU68">
        <f>IF(BN68="","",BT68+BS68)</f>
        <v/>
      </c>
      <c r="BV68">
        <f>IF(BN68="","",BU68+BO68*WalkSec)</f>
        <v/>
      </c>
      <c r="BW68">
        <f>IF($G68=0,"",INDEX(AR$4:AR$183,R68))</f>
        <v/>
      </c>
      <c r="BX68">
        <f>IF($G68=0,"",INDEX(BB$4:BB$183,V68))</f>
        <v/>
      </c>
      <c r="BY68">
        <f>IF($G68=0,"",INDEX(BL$4:BL$183,Z68))</f>
        <v/>
      </c>
      <c r="BZ68">
        <f>IF($G68=0,"",INDEX(BV$4:BV$183,AD68))</f>
        <v/>
      </c>
    </row>
    <row r="69">
      <c r="A69" t="n">
        <v>66</v>
      </c>
      <c r="B69" t="n">
        <v>11</v>
      </c>
      <c r="C69" t="n">
        <v>2</v>
      </c>
      <c r="D69" t="n">
        <v>3</v>
      </c>
      <c r="E69" t="n">
        <v>22</v>
      </c>
      <c r="F69">
        <f>RAND()</f>
        <v/>
      </c>
      <c r="G69">
        <f>IF(SUMPRODUCT(($F$4:$F$183&lt;F69)*1)+SUMPRODUCT(($F$4:$F$183=F69)*($A$4:$A$183&lt;A69))&lt;Passengers,1,0)</f>
        <v/>
      </c>
      <c r="H69">
        <f>RAND()</f>
        <v/>
      </c>
      <c r="I69">
        <f>RAND()</f>
        <v/>
      </c>
      <c r="J69">
        <f>RAND()</f>
        <v/>
      </c>
      <c r="K69">
        <f>RAND()</f>
        <v/>
      </c>
      <c r="L69">
        <f>RAND()</f>
        <v/>
      </c>
      <c r="M69">
        <f>IF(K69&lt;BagShare,EXP(NORMSINV(L69)*StowSigma+StowMu),StowNoBag)</f>
        <v/>
      </c>
      <c r="N69">
        <f>IF(INDEX($AG$4:$AG$63,E69)&lt;GroupShare,1,0)</f>
        <v/>
      </c>
      <c r="P69">
        <f>IF(G69=1,IF(I69&gt;Compliance,J69,$H69),2)</f>
        <v/>
      </c>
      <c r="Q69">
        <f>IF(G69=0,2,IF(N69=0,P69,1-SUMPRODUCT(MAX(($E$4:$E$183=E69)*($G$4:$G$183=1)*(1-P$4:P$183)))+0.000000001*D69))</f>
        <v/>
      </c>
      <c r="R69">
        <f>IF(G69=0,999,SUMPRODUCT((Q$4:Q$183&lt;Q69)*($G$4:$G$183=1))+SUMPRODUCT((Q$4:Q$183=Q69)*($G$4:$G$183=1)*($A$4:$A$183&lt;A69))+1)</f>
        <v/>
      </c>
      <c r="T69">
        <f>IF(G69=1,IF(I69&gt;Compliance,J69,(INT((30-$B69)/(30/Zones))+$H69)/Zones),2)</f>
        <v/>
      </c>
      <c r="U69">
        <f>IF(G69=0,2,IF(N69=0,T69,1-SUMPRODUCT(MAX(($E$4:$E$183=E69)*($G$4:$G$183=1)*(1-T$4:T$183)))+0.000000001*D69))</f>
        <v/>
      </c>
      <c r="V69">
        <f>IF(G69=0,999,SUMPRODUCT((U$4:U$183&lt;U69)*($G$4:$G$183=1))+SUMPRODUCT((U$4:U$183=U69)*($G$4:$G$183=1)*($A$4:$A$183&lt;A69))+1)</f>
        <v/>
      </c>
      <c r="X69">
        <f>IF(G69=1,IF(I69&gt;Compliance,J69,(($D69-1)+$H69)/3),2)</f>
        <v/>
      </c>
      <c r="Y69">
        <f>IF(G69=0,2,IF(N69=0,X69,1-SUMPRODUCT(MAX(($E$4:$E$183=E69)*($G$4:$G$183=1)*(1-X$4:X$183)))+0.000000001*D69))</f>
        <v/>
      </c>
      <c r="Z69">
        <f>IF(G69=0,999,SUMPRODUCT((Y$4:Y$183&lt;Y69)*($G$4:$G$183=1))+SUMPRODUCT((Y$4:Y$183=Y69)*($G$4:$G$183=1)*($A$4:$A$183&lt;A69))+1)</f>
        <v/>
      </c>
      <c r="AB69">
        <f>IF(G69=1,IF(I69&gt;Compliance,J69,((($D69-1)*4+($C69-1)*2+MOD($B69,2))+(30-$B69)/30)/12),2)</f>
        <v/>
      </c>
      <c r="AC69">
        <f>IF(G69=0,2,IF(N69=0,AB69,1-SUMPRODUCT(MAX(($E$4:$E$183=E69)*($G$4:$G$183=1)*(1-AB$4:AB$183)))+0.000000001*D69))</f>
        <v/>
      </c>
      <c r="AD69">
        <f>IF(G69=0,999,SUMPRODUCT((AC$4:AC$183&lt;AC69)*($G$4:$G$183=1))+SUMPRODUCT((AC$4:AC$183=AC69)*($G$4:$G$183=1)*($A$4:$A$183&lt;A69))+1)</f>
        <v/>
      </c>
      <c r="AI69" t="n">
        <v>66</v>
      </c>
      <c r="AJ69">
        <f>IF(66&gt;Passengers,"",MATCH(66,R$4:R$183,0))</f>
        <v/>
      </c>
      <c r="AK69">
        <f>IF(AJ69="","",INDEX($B$4:$B$183,AJ69))</f>
        <v/>
      </c>
      <c r="AL69">
        <f>IF(AJ69="","",INDEX($C$4:$C$183,AJ69))</f>
        <v/>
      </c>
      <c r="AM69">
        <f>IF(AJ69="","",INDEX($D$4:$D$183,AJ69))</f>
        <v/>
      </c>
      <c r="AN69">
        <f>IF(AJ69="","",COUNTIFS($B$4:$B$183,AK69,$C$4:$C$183,AL69,$D$4:$D$183,"&gt;"&amp;AM69,R$4:R$183,"&lt;"&amp;66,$G$4:$G$183,1))</f>
        <v/>
      </c>
      <c r="AO69">
        <f>IF(AJ69="","",INDEX($M$4:$M$183,AJ69)+IF(AN69=1,Shuffle1,IF(AN69&gt;=2,Shuffle2,0)))</f>
        <v/>
      </c>
      <c r="AP69">
        <f>IF(AJ69="","",MAX(DoorGap*65,SUMPRODUCT(MAX((AK$4:AK68&lt;=AK69)*AQ$4:AQ68)),SUMPRODUCT(MAX((AK$4:AK68&gt;AK69)*AP$4:AP68))+Headway))</f>
        <v/>
      </c>
      <c r="AQ69">
        <f>IF(AJ69="","",AP69+AO69)</f>
        <v/>
      </c>
      <c r="AR69">
        <f>IF(AJ69="","",AQ69+AK69*WalkSec)</f>
        <v/>
      </c>
      <c r="AS69" t="n">
        <v>66</v>
      </c>
      <c r="AT69">
        <f>IF(66&gt;Passengers,"",MATCH(66,V$4:V$183,0))</f>
        <v/>
      </c>
      <c r="AU69">
        <f>IF(AT69="","",INDEX($B$4:$B$183,AT69))</f>
        <v/>
      </c>
      <c r="AV69">
        <f>IF(AT69="","",INDEX($C$4:$C$183,AT69))</f>
        <v/>
      </c>
      <c r="AW69">
        <f>IF(AT69="","",INDEX($D$4:$D$183,AT69))</f>
        <v/>
      </c>
      <c r="AX69">
        <f>IF(AT69="","",COUNTIFS($B$4:$B$183,AU69,$C$4:$C$183,AV69,$D$4:$D$183,"&gt;"&amp;AW69,V$4:V$183,"&lt;"&amp;66,$G$4:$G$183,1))</f>
        <v/>
      </c>
      <c r="AY69">
        <f>IF(AT69="","",INDEX($M$4:$M$183,AT69)+IF(AX69=1,Shuffle1,IF(AX69&gt;=2,Shuffle2,0)))</f>
        <v/>
      </c>
      <c r="AZ69">
        <f>IF(AT69="","",MAX(DoorGap*65,SUMPRODUCT(MAX((AU$4:AU68&lt;=AU69)*BA$4:BA68)),SUMPRODUCT(MAX((AU$4:AU68&gt;AU69)*AZ$4:AZ68))+Headway))</f>
        <v/>
      </c>
      <c r="BA69">
        <f>IF(AT69="","",AZ69+AY69)</f>
        <v/>
      </c>
      <c r="BB69">
        <f>IF(AT69="","",BA69+AU69*WalkSec)</f>
        <v/>
      </c>
      <c r="BC69" t="n">
        <v>66</v>
      </c>
      <c r="BD69">
        <f>IF(66&gt;Passengers,"",MATCH(66,Z$4:Z$183,0))</f>
        <v/>
      </c>
      <c r="BE69">
        <f>IF(BD69="","",INDEX($B$4:$B$183,BD69))</f>
        <v/>
      </c>
      <c r="BF69">
        <f>IF(BD69="","",INDEX($C$4:$C$183,BD69))</f>
        <v/>
      </c>
      <c r="BG69">
        <f>IF(BD69="","",INDEX($D$4:$D$183,BD69))</f>
        <v/>
      </c>
      <c r="BH69">
        <f>IF(BD69="","",COUNTIFS($B$4:$B$183,BE69,$C$4:$C$183,BF69,$D$4:$D$183,"&gt;"&amp;BG69,Z$4:Z$183,"&lt;"&amp;66,$G$4:$G$183,1))</f>
        <v/>
      </c>
      <c r="BI69">
        <f>IF(BD69="","",INDEX($M$4:$M$183,BD69)+IF(BH69=1,Shuffle1,IF(BH69&gt;=2,Shuffle2,0)))</f>
        <v/>
      </c>
      <c r="BJ69">
        <f>IF(BD69="","",MAX(DoorGap*65,SUMPRODUCT(MAX((BE$4:BE68&lt;=BE69)*BK$4:BK68)),SUMPRODUCT(MAX((BE$4:BE68&gt;BE69)*BJ$4:BJ68))+Headway))</f>
        <v/>
      </c>
      <c r="BK69">
        <f>IF(BD69="","",BJ69+BI69)</f>
        <v/>
      </c>
      <c r="BL69">
        <f>IF(BD69="","",BK69+BE69*WalkSec)</f>
        <v/>
      </c>
      <c r="BM69" t="n">
        <v>66</v>
      </c>
      <c r="BN69">
        <f>IF(66&gt;Passengers,"",MATCH(66,AD$4:AD$183,0))</f>
        <v/>
      </c>
      <c r="BO69">
        <f>IF(BN69="","",INDEX($B$4:$B$183,BN69))</f>
        <v/>
      </c>
      <c r="BP69">
        <f>IF(BN69="","",INDEX($C$4:$C$183,BN69))</f>
        <v/>
      </c>
      <c r="BQ69">
        <f>IF(BN69="","",INDEX($D$4:$D$183,BN69))</f>
        <v/>
      </c>
      <c r="BR69">
        <f>IF(BN69="","",COUNTIFS($B$4:$B$183,BO69,$C$4:$C$183,BP69,$D$4:$D$183,"&gt;"&amp;BQ69,AD$4:AD$183,"&lt;"&amp;66,$G$4:$G$183,1))</f>
        <v/>
      </c>
      <c r="BS69">
        <f>IF(BN69="","",INDEX($M$4:$M$183,BN69)+IF(BR69=1,Shuffle1,IF(BR69&gt;=2,Shuffle2,0)))</f>
        <v/>
      </c>
      <c r="BT69">
        <f>IF(BN69="","",MAX(DoorGap*65,SUMPRODUCT(MAX((BO$4:BO68&lt;=BO69)*BU$4:BU68)),SUMPRODUCT(MAX((BO$4:BO68&gt;BO69)*BT$4:BT68))+Headway))</f>
        <v/>
      </c>
      <c r="BU69">
        <f>IF(BN69="","",BT69+BS69)</f>
        <v/>
      </c>
      <c r="BV69">
        <f>IF(BN69="","",BU69+BO69*WalkSec)</f>
        <v/>
      </c>
      <c r="BW69">
        <f>IF($G69=0,"",INDEX(AR$4:AR$183,R69))</f>
        <v/>
      </c>
      <c r="BX69">
        <f>IF($G69=0,"",INDEX(BB$4:BB$183,V69))</f>
        <v/>
      </c>
      <c r="BY69">
        <f>IF($G69=0,"",INDEX(BL$4:BL$183,Z69))</f>
        <v/>
      </c>
      <c r="BZ69">
        <f>IF($G69=0,"",INDEX(BV$4:BV$183,AD69))</f>
        <v/>
      </c>
    </row>
    <row r="70">
      <c r="A70" t="n">
        <v>67</v>
      </c>
      <c r="B70" t="n">
        <v>12</v>
      </c>
      <c r="C70" t="n">
        <v>1</v>
      </c>
      <c r="D70" t="n">
        <v>1</v>
      </c>
      <c r="E70" t="n">
        <v>23</v>
      </c>
      <c r="F70">
        <f>RAND()</f>
        <v/>
      </c>
      <c r="G70">
        <f>IF(SUMPRODUCT(($F$4:$F$183&lt;F70)*1)+SUMPRODUCT(($F$4:$F$183=F70)*($A$4:$A$183&lt;A70))&lt;Passengers,1,0)</f>
        <v/>
      </c>
      <c r="H70">
        <f>RAND()</f>
        <v/>
      </c>
      <c r="I70">
        <f>RAND()</f>
        <v/>
      </c>
      <c r="J70">
        <f>RAND()</f>
        <v/>
      </c>
      <c r="K70">
        <f>RAND()</f>
        <v/>
      </c>
      <c r="L70">
        <f>RAND()</f>
        <v/>
      </c>
      <c r="M70">
        <f>IF(K70&lt;BagShare,EXP(NORMSINV(L70)*StowSigma+StowMu),StowNoBag)</f>
        <v/>
      </c>
      <c r="N70">
        <f>IF(INDEX($AG$4:$AG$63,E70)&lt;GroupShare,1,0)</f>
        <v/>
      </c>
      <c r="P70">
        <f>IF(G70=1,IF(I70&gt;Compliance,J70,$H70),2)</f>
        <v/>
      </c>
      <c r="Q70">
        <f>IF(G70=0,2,IF(N70=0,P70,1-SUMPRODUCT(MAX(($E$4:$E$183=E70)*($G$4:$G$183=1)*(1-P$4:P$183)))+0.000000001*D70))</f>
        <v/>
      </c>
      <c r="R70">
        <f>IF(G70=0,999,SUMPRODUCT((Q$4:Q$183&lt;Q70)*($G$4:$G$183=1))+SUMPRODUCT((Q$4:Q$183=Q70)*($G$4:$G$183=1)*($A$4:$A$183&lt;A70))+1)</f>
        <v/>
      </c>
      <c r="T70">
        <f>IF(G70=1,IF(I70&gt;Compliance,J70,(INT((30-$B70)/(30/Zones))+$H70)/Zones),2)</f>
        <v/>
      </c>
      <c r="U70">
        <f>IF(G70=0,2,IF(N70=0,T70,1-SUMPRODUCT(MAX(($E$4:$E$183=E70)*($G$4:$G$183=1)*(1-T$4:T$183)))+0.000000001*D70))</f>
        <v/>
      </c>
      <c r="V70">
        <f>IF(G70=0,999,SUMPRODUCT((U$4:U$183&lt;U70)*($G$4:$G$183=1))+SUMPRODUCT((U$4:U$183=U70)*($G$4:$G$183=1)*($A$4:$A$183&lt;A70))+1)</f>
        <v/>
      </c>
      <c r="X70">
        <f>IF(G70=1,IF(I70&gt;Compliance,J70,(($D70-1)+$H70)/3),2)</f>
        <v/>
      </c>
      <c r="Y70">
        <f>IF(G70=0,2,IF(N70=0,X70,1-SUMPRODUCT(MAX(($E$4:$E$183=E70)*($G$4:$G$183=1)*(1-X$4:X$183)))+0.000000001*D70))</f>
        <v/>
      </c>
      <c r="Z70">
        <f>IF(G70=0,999,SUMPRODUCT((Y$4:Y$183&lt;Y70)*($G$4:$G$183=1))+SUMPRODUCT((Y$4:Y$183=Y70)*($G$4:$G$183=1)*($A$4:$A$183&lt;A70))+1)</f>
        <v/>
      </c>
      <c r="AB70">
        <f>IF(G70=1,IF(I70&gt;Compliance,J70,((($D70-1)*4+($C70-1)*2+MOD($B70,2))+(30-$B70)/30)/12),2)</f>
        <v/>
      </c>
      <c r="AC70">
        <f>IF(G70=0,2,IF(N70=0,AB70,1-SUMPRODUCT(MAX(($E$4:$E$183=E70)*($G$4:$G$183=1)*(1-AB$4:AB$183)))+0.000000001*D70))</f>
        <v/>
      </c>
      <c r="AD70">
        <f>IF(G70=0,999,SUMPRODUCT((AC$4:AC$183&lt;AC70)*($G$4:$G$183=1))+SUMPRODUCT((AC$4:AC$183=AC70)*($G$4:$G$183=1)*($A$4:$A$183&lt;A70))+1)</f>
        <v/>
      </c>
      <c r="AI70" t="n">
        <v>67</v>
      </c>
      <c r="AJ70">
        <f>IF(67&gt;Passengers,"",MATCH(67,R$4:R$183,0))</f>
        <v/>
      </c>
      <c r="AK70">
        <f>IF(AJ70="","",INDEX($B$4:$B$183,AJ70))</f>
        <v/>
      </c>
      <c r="AL70">
        <f>IF(AJ70="","",INDEX($C$4:$C$183,AJ70))</f>
        <v/>
      </c>
      <c r="AM70">
        <f>IF(AJ70="","",INDEX($D$4:$D$183,AJ70))</f>
        <v/>
      </c>
      <c r="AN70">
        <f>IF(AJ70="","",COUNTIFS($B$4:$B$183,AK70,$C$4:$C$183,AL70,$D$4:$D$183,"&gt;"&amp;AM70,R$4:R$183,"&lt;"&amp;67,$G$4:$G$183,1))</f>
        <v/>
      </c>
      <c r="AO70">
        <f>IF(AJ70="","",INDEX($M$4:$M$183,AJ70)+IF(AN70=1,Shuffle1,IF(AN70&gt;=2,Shuffle2,0)))</f>
        <v/>
      </c>
      <c r="AP70">
        <f>IF(AJ70="","",MAX(DoorGap*66,SUMPRODUCT(MAX((AK$4:AK69&lt;=AK70)*AQ$4:AQ69)),SUMPRODUCT(MAX((AK$4:AK69&gt;AK70)*AP$4:AP69))+Headway))</f>
        <v/>
      </c>
      <c r="AQ70">
        <f>IF(AJ70="","",AP70+AO70)</f>
        <v/>
      </c>
      <c r="AR70">
        <f>IF(AJ70="","",AQ70+AK70*WalkSec)</f>
        <v/>
      </c>
      <c r="AS70" t="n">
        <v>67</v>
      </c>
      <c r="AT70">
        <f>IF(67&gt;Passengers,"",MATCH(67,V$4:V$183,0))</f>
        <v/>
      </c>
      <c r="AU70">
        <f>IF(AT70="","",INDEX($B$4:$B$183,AT70))</f>
        <v/>
      </c>
      <c r="AV70">
        <f>IF(AT70="","",INDEX($C$4:$C$183,AT70))</f>
        <v/>
      </c>
      <c r="AW70">
        <f>IF(AT70="","",INDEX($D$4:$D$183,AT70))</f>
        <v/>
      </c>
      <c r="AX70">
        <f>IF(AT70="","",COUNTIFS($B$4:$B$183,AU70,$C$4:$C$183,AV70,$D$4:$D$183,"&gt;"&amp;AW70,V$4:V$183,"&lt;"&amp;67,$G$4:$G$183,1))</f>
        <v/>
      </c>
      <c r="AY70">
        <f>IF(AT70="","",INDEX($M$4:$M$183,AT70)+IF(AX70=1,Shuffle1,IF(AX70&gt;=2,Shuffle2,0)))</f>
        <v/>
      </c>
      <c r="AZ70">
        <f>IF(AT70="","",MAX(DoorGap*66,SUMPRODUCT(MAX((AU$4:AU69&lt;=AU70)*BA$4:BA69)),SUMPRODUCT(MAX((AU$4:AU69&gt;AU70)*AZ$4:AZ69))+Headway))</f>
        <v/>
      </c>
      <c r="BA70">
        <f>IF(AT70="","",AZ70+AY70)</f>
        <v/>
      </c>
      <c r="BB70">
        <f>IF(AT70="","",BA70+AU70*WalkSec)</f>
        <v/>
      </c>
      <c r="BC70" t="n">
        <v>67</v>
      </c>
      <c r="BD70">
        <f>IF(67&gt;Passengers,"",MATCH(67,Z$4:Z$183,0))</f>
        <v/>
      </c>
      <c r="BE70">
        <f>IF(BD70="","",INDEX($B$4:$B$183,BD70))</f>
        <v/>
      </c>
      <c r="BF70">
        <f>IF(BD70="","",INDEX($C$4:$C$183,BD70))</f>
        <v/>
      </c>
      <c r="BG70">
        <f>IF(BD70="","",INDEX($D$4:$D$183,BD70))</f>
        <v/>
      </c>
      <c r="BH70">
        <f>IF(BD70="","",COUNTIFS($B$4:$B$183,BE70,$C$4:$C$183,BF70,$D$4:$D$183,"&gt;"&amp;BG70,Z$4:Z$183,"&lt;"&amp;67,$G$4:$G$183,1))</f>
        <v/>
      </c>
      <c r="BI70">
        <f>IF(BD70="","",INDEX($M$4:$M$183,BD70)+IF(BH70=1,Shuffle1,IF(BH70&gt;=2,Shuffle2,0)))</f>
        <v/>
      </c>
      <c r="BJ70">
        <f>IF(BD70="","",MAX(DoorGap*66,SUMPRODUCT(MAX((BE$4:BE69&lt;=BE70)*BK$4:BK69)),SUMPRODUCT(MAX((BE$4:BE69&gt;BE70)*BJ$4:BJ69))+Headway))</f>
        <v/>
      </c>
      <c r="BK70">
        <f>IF(BD70="","",BJ70+BI70)</f>
        <v/>
      </c>
      <c r="BL70">
        <f>IF(BD70="","",BK70+BE70*WalkSec)</f>
        <v/>
      </c>
      <c r="BM70" t="n">
        <v>67</v>
      </c>
      <c r="BN70">
        <f>IF(67&gt;Passengers,"",MATCH(67,AD$4:AD$183,0))</f>
        <v/>
      </c>
      <c r="BO70">
        <f>IF(BN70="","",INDEX($B$4:$B$183,BN70))</f>
        <v/>
      </c>
      <c r="BP70">
        <f>IF(BN70="","",INDEX($C$4:$C$183,BN70))</f>
        <v/>
      </c>
      <c r="BQ70">
        <f>IF(BN70="","",INDEX($D$4:$D$183,BN70))</f>
        <v/>
      </c>
      <c r="BR70">
        <f>IF(BN70="","",COUNTIFS($B$4:$B$183,BO70,$C$4:$C$183,BP70,$D$4:$D$183,"&gt;"&amp;BQ70,AD$4:AD$183,"&lt;"&amp;67,$G$4:$G$183,1))</f>
        <v/>
      </c>
      <c r="BS70">
        <f>IF(BN70="","",INDEX($M$4:$M$183,BN70)+IF(BR70=1,Shuffle1,IF(BR70&gt;=2,Shuffle2,0)))</f>
        <v/>
      </c>
      <c r="BT70">
        <f>IF(BN70="","",MAX(DoorGap*66,SUMPRODUCT(MAX((BO$4:BO69&lt;=BO70)*BU$4:BU69)),SUMPRODUCT(MAX((BO$4:BO69&gt;BO70)*BT$4:BT69))+Headway))</f>
        <v/>
      </c>
      <c r="BU70">
        <f>IF(BN70="","",BT70+BS70)</f>
        <v/>
      </c>
      <c r="BV70">
        <f>IF(BN70="","",BU70+BO70*WalkSec)</f>
        <v/>
      </c>
      <c r="BW70">
        <f>IF($G70=0,"",INDEX(AR$4:AR$183,R70))</f>
        <v/>
      </c>
      <c r="BX70">
        <f>IF($G70=0,"",INDEX(BB$4:BB$183,V70))</f>
        <v/>
      </c>
      <c r="BY70">
        <f>IF($G70=0,"",INDEX(BL$4:BL$183,Z70))</f>
        <v/>
      </c>
      <c r="BZ70">
        <f>IF($G70=0,"",INDEX(BV$4:BV$183,AD70))</f>
        <v/>
      </c>
    </row>
    <row r="71">
      <c r="A71" t="n">
        <v>68</v>
      </c>
      <c r="B71" t="n">
        <v>12</v>
      </c>
      <c r="C71" t="n">
        <v>1</v>
      </c>
      <c r="D71" t="n">
        <v>2</v>
      </c>
      <c r="E71" t="n">
        <v>23</v>
      </c>
      <c r="F71">
        <f>RAND()</f>
        <v/>
      </c>
      <c r="G71">
        <f>IF(SUMPRODUCT(($F$4:$F$183&lt;F71)*1)+SUMPRODUCT(($F$4:$F$183=F71)*($A$4:$A$183&lt;A71))&lt;Passengers,1,0)</f>
        <v/>
      </c>
      <c r="H71">
        <f>RAND()</f>
        <v/>
      </c>
      <c r="I71">
        <f>RAND()</f>
        <v/>
      </c>
      <c r="J71">
        <f>RAND()</f>
        <v/>
      </c>
      <c r="K71">
        <f>RAND()</f>
        <v/>
      </c>
      <c r="L71">
        <f>RAND()</f>
        <v/>
      </c>
      <c r="M71">
        <f>IF(K71&lt;BagShare,EXP(NORMSINV(L71)*StowSigma+StowMu),StowNoBag)</f>
        <v/>
      </c>
      <c r="N71">
        <f>IF(INDEX($AG$4:$AG$63,E71)&lt;GroupShare,1,0)</f>
        <v/>
      </c>
      <c r="P71">
        <f>IF(G71=1,IF(I71&gt;Compliance,J71,$H71),2)</f>
        <v/>
      </c>
      <c r="Q71">
        <f>IF(G71=0,2,IF(N71=0,P71,1-SUMPRODUCT(MAX(($E$4:$E$183=E71)*($G$4:$G$183=1)*(1-P$4:P$183)))+0.000000001*D71))</f>
        <v/>
      </c>
      <c r="R71">
        <f>IF(G71=0,999,SUMPRODUCT((Q$4:Q$183&lt;Q71)*($G$4:$G$183=1))+SUMPRODUCT((Q$4:Q$183=Q71)*($G$4:$G$183=1)*($A$4:$A$183&lt;A71))+1)</f>
        <v/>
      </c>
      <c r="T71">
        <f>IF(G71=1,IF(I71&gt;Compliance,J71,(INT((30-$B71)/(30/Zones))+$H71)/Zones),2)</f>
        <v/>
      </c>
      <c r="U71">
        <f>IF(G71=0,2,IF(N71=0,T71,1-SUMPRODUCT(MAX(($E$4:$E$183=E71)*($G$4:$G$183=1)*(1-T$4:T$183)))+0.000000001*D71))</f>
        <v/>
      </c>
      <c r="V71">
        <f>IF(G71=0,999,SUMPRODUCT((U$4:U$183&lt;U71)*($G$4:$G$183=1))+SUMPRODUCT((U$4:U$183=U71)*($G$4:$G$183=1)*($A$4:$A$183&lt;A71))+1)</f>
        <v/>
      </c>
      <c r="X71">
        <f>IF(G71=1,IF(I71&gt;Compliance,J71,(($D71-1)+$H71)/3),2)</f>
        <v/>
      </c>
      <c r="Y71">
        <f>IF(G71=0,2,IF(N71=0,X71,1-SUMPRODUCT(MAX(($E$4:$E$183=E71)*($G$4:$G$183=1)*(1-X$4:X$183)))+0.000000001*D71))</f>
        <v/>
      </c>
      <c r="Z71">
        <f>IF(G71=0,999,SUMPRODUCT((Y$4:Y$183&lt;Y71)*($G$4:$G$183=1))+SUMPRODUCT((Y$4:Y$183=Y71)*($G$4:$G$183=1)*($A$4:$A$183&lt;A71))+1)</f>
        <v/>
      </c>
      <c r="AB71">
        <f>IF(G71=1,IF(I71&gt;Compliance,J71,((($D71-1)*4+($C71-1)*2+MOD($B71,2))+(30-$B71)/30)/12),2)</f>
        <v/>
      </c>
      <c r="AC71">
        <f>IF(G71=0,2,IF(N71=0,AB71,1-SUMPRODUCT(MAX(($E$4:$E$183=E71)*($G$4:$G$183=1)*(1-AB$4:AB$183)))+0.000000001*D71))</f>
        <v/>
      </c>
      <c r="AD71">
        <f>IF(G71=0,999,SUMPRODUCT((AC$4:AC$183&lt;AC71)*($G$4:$G$183=1))+SUMPRODUCT((AC$4:AC$183=AC71)*($G$4:$G$183=1)*($A$4:$A$183&lt;A71))+1)</f>
        <v/>
      </c>
      <c r="AI71" t="n">
        <v>68</v>
      </c>
      <c r="AJ71">
        <f>IF(68&gt;Passengers,"",MATCH(68,R$4:R$183,0))</f>
        <v/>
      </c>
      <c r="AK71">
        <f>IF(AJ71="","",INDEX($B$4:$B$183,AJ71))</f>
        <v/>
      </c>
      <c r="AL71">
        <f>IF(AJ71="","",INDEX($C$4:$C$183,AJ71))</f>
        <v/>
      </c>
      <c r="AM71">
        <f>IF(AJ71="","",INDEX($D$4:$D$183,AJ71))</f>
        <v/>
      </c>
      <c r="AN71">
        <f>IF(AJ71="","",COUNTIFS($B$4:$B$183,AK71,$C$4:$C$183,AL71,$D$4:$D$183,"&gt;"&amp;AM71,R$4:R$183,"&lt;"&amp;68,$G$4:$G$183,1))</f>
        <v/>
      </c>
      <c r="AO71">
        <f>IF(AJ71="","",INDEX($M$4:$M$183,AJ71)+IF(AN71=1,Shuffle1,IF(AN71&gt;=2,Shuffle2,0)))</f>
        <v/>
      </c>
      <c r="AP71">
        <f>IF(AJ71="","",MAX(DoorGap*67,SUMPRODUCT(MAX((AK$4:AK70&lt;=AK71)*AQ$4:AQ70)),SUMPRODUCT(MAX((AK$4:AK70&gt;AK71)*AP$4:AP70))+Headway))</f>
        <v/>
      </c>
      <c r="AQ71">
        <f>IF(AJ71="","",AP71+AO71)</f>
        <v/>
      </c>
      <c r="AR71">
        <f>IF(AJ71="","",AQ71+AK71*WalkSec)</f>
        <v/>
      </c>
      <c r="AS71" t="n">
        <v>68</v>
      </c>
      <c r="AT71">
        <f>IF(68&gt;Passengers,"",MATCH(68,V$4:V$183,0))</f>
        <v/>
      </c>
      <c r="AU71">
        <f>IF(AT71="","",INDEX($B$4:$B$183,AT71))</f>
        <v/>
      </c>
      <c r="AV71">
        <f>IF(AT71="","",INDEX($C$4:$C$183,AT71))</f>
        <v/>
      </c>
      <c r="AW71">
        <f>IF(AT71="","",INDEX($D$4:$D$183,AT71))</f>
        <v/>
      </c>
      <c r="AX71">
        <f>IF(AT71="","",COUNTIFS($B$4:$B$183,AU71,$C$4:$C$183,AV71,$D$4:$D$183,"&gt;"&amp;AW71,V$4:V$183,"&lt;"&amp;68,$G$4:$G$183,1))</f>
        <v/>
      </c>
      <c r="AY71">
        <f>IF(AT71="","",INDEX($M$4:$M$183,AT71)+IF(AX71=1,Shuffle1,IF(AX71&gt;=2,Shuffle2,0)))</f>
        <v/>
      </c>
      <c r="AZ71">
        <f>IF(AT71="","",MAX(DoorGap*67,SUMPRODUCT(MAX((AU$4:AU70&lt;=AU71)*BA$4:BA70)),SUMPRODUCT(MAX((AU$4:AU70&gt;AU71)*AZ$4:AZ70))+Headway))</f>
        <v/>
      </c>
      <c r="BA71">
        <f>IF(AT71="","",AZ71+AY71)</f>
        <v/>
      </c>
      <c r="BB71">
        <f>IF(AT71="","",BA71+AU71*WalkSec)</f>
        <v/>
      </c>
      <c r="BC71" t="n">
        <v>68</v>
      </c>
      <c r="BD71">
        <f>IF(68&gt;Passengers,"",MATCH(68,Z$4:Z$183,0))</f>
        <v/>
      </c>
      <c r="BE71">
        <f>IF(BD71="","",INDEX($B$4:$B$183,BD71))</f>
        <v/>
      </c>
      <c r="BF71">
        <f>IF(BD71="","",INDEX($C$4:$C$183,BD71))</f>
        <v/>
      </c>
      <c r="BG71">
        <f>IF(BD71="","",INDEX($D$4:$D$183,BD71))</f>
        <v/>
      </c>
      <c r="BH71">
        <f>IF(BD71="","",COUNTIFS($B$4:$B$183,BE71,$C$4:$C$183,BF71,$D$4:$D$183,"&gt;"&amp;BG71,Z$4:Z$183,"&lt;"&amp;68,$G$4:$G$183,1))</f>
        <v/>
      </c>
      <c r="BI71">
        <f>IF(BD71="","",INDEX($M$4:$M$183,BD71)+IF(BH71=1,Shuffle1,IF(BH71&gt;=2,Shuffle2,0)))</f>
        <v/>
      </c>
      <c r="BJ71">
        <f>IF(BD71="","",MAX(DoorGap*67,SUMPRODUCT(MAX((BE$4:BE70&lt;=BE71)*BK$4:BK70)),SUMPRODUCT(MAX((BE$4:BE70&gt;BE71)*BJ$4:BJ70))+Headway))</f>
        <v/>
      </c>
      <c r="BK71">
        <f>IF(BD71="","",BJ71+BI71)</f>
        <v/>
      </c>
      <c r="BL71">
        <f>IF(BD71="","",BK71+BE71*WalkSec)</f>
        <v/>
      </c>
      <c r="BM71" t="n">
        <v>68</v>
      </c>
      <c r="BN71">
        <f>IF(68&gt;Passengers,"",MATCH(68,AD$4:AD$183,0))</f>
        <v/>
      </c>
      <c r="BO71">
        <f>IF(BN71="","",INDEX($B$4:$B$183,BN71))</f>
        <v/>
      </c>
      <c r="BP71">
        <f>IF(BN71="","",INDEX($C$4:$C$183,BN71))</f>
        <v/>
      </c>
      <c r="BQ71">
        <f>IF(BN71="","",INDEX($D$4:$D$183,BN71))</f>
        <v/>
      </c>
      <c r="BR71">
        <f>IF(BN71="","",COUNTIFS($B$4:$B$183,BO71,$C$4:$C$183,BP71,$D$4:$D$183,"&gt;"&amp;BQ71,AD$4:AD$183,"&lt;"&amp;68,$G$4:$G$183,1))</f>
        <v/>
      </c>
      <c r="BS71">
        <f>IF(BN71="","",INDEX($M$4:$M$183,BN71)+IF(BR71=1,Shuffle1,IF(BR71&gt;=2,Shuffle2,0)))</f>
        <v/>
      </c>
      <c r="BT71">
        <f>IF(BN71="","",MAX(DoorGap*67,SUMPRODUCT(MAX((BO$4:BO70&lt;=BO71)*BU$4:BU70)),SUMPRODUCT(MAX((BO$4:BO70&gt;BO71)*BT$4:BT70))+Headway))</f>
        <v/>
      </c>
      <c r="BU71">
        <f>IF(BN71="","",BT71+BS71)</f>
        <v/>
      </c>
      <c r="BV71">
        <f>IF(BN71="","",BU71+BO71*WalkSec)</f>
        <v/>
      </c>
      <c r="BW71">
        <f>IF($G71=0,"",INDEX(AR$4:AR$183,R71))</f>
        <v/>
      </c>
      <c r="BX71">
        <f>IF($G71=0,"",INDEX(BB$4:BB$183,V71))</f>
        <v/>
      </c>
      <c r="BY71">
        <f>IF($G71=0,"",INDEX(BL$4:BL$183,Z71))</f>
        <v/>
      </c>
      <c r="BZ71">
        <f>IF($G71=0,"",INDEX(BV$4:BV$183,AD71))</f>
        <v/>
      </c>
    </row>
    <row r="72">
      <c r="A72" t="n">
        <v>69</v>
      </c>
      <c r="B72" t="n">
        <v>12</v>
      </c>
      <c r="C72" t="n">
        <v>1</v>
      </c>
      <c r="D72" t="n">
        <v>3</v>
      </c>
      <c r="E72" t="n">
        <v>23</v>
      </c>
      <c r="F72">
        <f>RAND()</f>
        <v/>
      </c>
      <c r="G72">
        <f>IF(SUMPRODUCT(($F$4:$F$183&lt;F72)*1)+SUMPRODUCT(($F$4:$F$183=F72)*($A$4:$A$183&lt;A72))&lt;Passengers,1,0)</f>
        <v/>
      </c>
      <c r="H72">
        <f>RAND()</f>
        <v/>
      </c>
      <c r="I72">
        <f>RAND()</f>
        <v/>
      </c>
      <c r="J72">
        <f>RAND()</f>
        <v/>
      </c>
      <c r="K72">
        <f>RAND()</f>
        <v/>
      </c>
      <c r="L72">
        <f>RAND()</f>
        <v/>
      </c>
      <c r="M72">
        <f>IF(K72&lt;BagShare,EXP(NORMSINV(L72)*StowSigma+StowMu),StowNoBag)</f>
        <v/>
      </c>
      <c r="N72">
        <f>IF(INDEX($AG$4:$AG$63,E72)&lt;GroupShare,1,0)</f>
        <v/>
      </c>
      <c r="P72">
        <f>IF(G72=1,IF(I72&gt;Compliance,J72,$H72),2)</f>
        <v/>
      </c>
      <c r="Q72">
        <f>IF(G72=0,2,IF(N72=0,P72,1-SUMPRODUCT(MAX(($E$4:$E$183=E72)*($G$4:$G$183=1)*(1-P$4:P$183)))+0.000000001*D72))</f>
        <v/>
      </c>
      <c r="R72">
        <f>IF(G72=0,999,SUMPRODUCT((Q$4:Q$183&lt;Q72)*($G$4:$G$183=1))+SUMPRODUCT((Q$4:Q$183=Q72)*($G$4:$G$183=1)*($A$4:$A$183&lt;A72))+1)</f>
        <v/>
      </c>
      <c r="T72">
        <f>IF(G72=1,IF(I72&gt;Compliance,J72,(INT((30-$B72)/(30/Zones))+$H72)/Zones),2)</f>
        <v/>
      </c>
      <c r="U72">
        <f>IF(G72=0,2,IF(N72=0,T72,1-SUMPRODUCT(MAX(($E$4:$E$183=E72)*($G$4:$G$183=1)*(1-T$4:T$183)))+0.000000001*D72))</f>
        <v/>
      </c>
      <c r="V72">
        <f>IF(G72=0,999,SUMPRODUCT((U$4:U$183&lt;U72)*($G$4:$G$183=1))+SUMPRODUCT((U$4:U$183=U72)*($G$4:$G$183=1)*($A$4:$A$183&lt;A72))+1)</f>
        <v/>
      </c>
      <c r="X72">
        <f>IF(G72=1,IF(I72&gt;Compliance,J72,(($D72-1)+$H72)/3),2)</f>
        <v/>
      </c>
      <c r="Y72">
        <f>IF(G72=0,2,IF(N72=0,X72,1-SUMPRODUCT(MAX(($E$4:$E$183=E72)*($G$4:$G$183=1)*(1-X$4:X$183)))+0.000000001*D72))</f>
        <v/>
      </c>
      <c r="Z72">
        <f>IF(G72=0,999,SUMPRODUCT((Y$4:Y$183&lt;Y72)*($G$4:$G$183=1))+SUMPRODUCT((Y$4:Y$183=Y72)*($G$4:$G$183=1)*($A$4:$A$183&lt;A72))+1)</f>
        <v/>
      </c>
      <c r="AB72">
        <f>IF(G72=1,IF(I72&gt;Compliance,J72,((($D72-1)*4+($C72-1)*2+MOD($B72,2))+(30-$B72)/30)/12),2)</f>
        <v/>
      </c>
      <c r="AC72">
        <f>IF(G72=0,2,IF(N72=0,AB72,1-SUMPRODUCT(MAX(($E$4:$E$183=E72)*($G$4:$G$183=1)*(1-AB$4:AB$183)))+0.000000001*D72))</f>
        <v/>
      </c>
      <c r="AD72">
        <f>IF(G72=0,999,SUMPRODUCT((AC$4:AC$183&lt;AC72)*($G$4:$G$183=1))+SUMPRODUCT((AC$4:AC$183=AC72)*($G$4:$G$183=1)*($A$4:$A$183&lt;A72))+1)</f>
        <v/>
      </c>
      <c r="AI72" t="n">
        <v>69</v>
      </c>
      <c r="AJ72">
        <f>IF(69&gt;Passengers,"",MATCH(69,R$4:R$183,0))</f>
        <v/>
      </c>
      <c r="AK72">
        <f>IF(AJ72="","",INDEX($B$4:$B$183,AJ72))</f>
        <v/>
      </c>
      <c r="AL72">
        <f>IF(AJ72="","",INDEX($C$4:$C$183,AJ72))</f>
        <v/>
      </c>
      <c r="AM72">
        <f>IF(AJ72="","",INDEX($D$4:$D$183,AJ72))</f>
        <v/>
      </c>
      <c r="AN72">
        <f>IF(AJ72="","",COUNTIFS($B$4:$B$183,AK72,$C$4:$C$183,AL72,$D$4:$D$183,"&gt;"&amp;AM72,R$4:R$183,"&lt;"&amp;69,$G$4:$G$183,1))</f>
        <v/>
      </c>
      <c r="AO72">
        <f>IF(AJ72="","",INDEX($M$4:$M$183,AJ72)+IF(AN72=1,Shuffle1,IF(AN72&gt;=2,Shuffle2,0)))</f>
        <v/>
      </c>
      <c r="AP72">
        <f>IF(AJ72="","",MAX(DoorGap*68,SUMPRODUCT(MAX((AK$4:AK71&lt;=AK72)*AQ$4:AQ71)),SUMPRODUCT(MAX((AK$4:AK71&gt;AK72)*AP$4:AP71))+Headway))</f>
        <v/>
      </c>
      <c r="AQ72">
        <f>IF(AJ72="","",AP72+AO72)</f>
        <v/>
      </c>
      <c r="AR72">
        <f>IF(AJ72="","",AQ72+AK72*WalkSec)</f>
        <v/>
      </c>
      <c r="AS72" t="n">
        <v>69</v>
      </c>
      <c r="AT72">
        <f>IF(69&gt;Passengers,"",MATCH(69,V$4:V$183,0))</f>
        <v/>
      </c>
      <c r="AU72">
        <f>IF(AT72="","",INDEX($B$4:$B$183,AT72))</f>
        <v/>
      </c>
      <c r="AV72">
        <f>IF(AT72="","",INDEX($C$4:$C$183,AT72))</f>
        <v/>
      </c>
      <c r="AW72">
        <f>IF(AT72="","",INDEX($D$4:$D$183,AT72))</f>
        <v/>
      </c>
      <c r="AX72">
        <f>IF(AT72="","",COUNTIFS($B$4:$B$183,AU72,$C$4:$C$183,AV72,$D$4:$D$183,"&gt;"&amp;AW72,V$4:V$183,"&lt;"&amp;69,$G$4:$G$183,1))</f>
        <v/>
      </c>
      <c r="AY72">
        <f>IF(AT72="","",INDEX($M$4:$M$183,AT72)+IF(AX72=1,Shuffle1,IF(AX72&gt;=2,Shuffle2,0)))</f>
        <v/>
      </c>
      <c r="AZ72">
        <f>IF(AT72="","",MAX(DoorGap*68,SUMPRODUCT(MAX((AU$4:AU71&lt;=AU72)*BA$4:BA71)),SUMPRODUCT(MAX((AU$4:AU71&gt;AU72)*AZ$4:AZ71))+Headway))</f>
        <v/>
      </c>
      <c r="BA72">
        <f>IF(AT72="","",AZ72+AY72)</f>
        <v/>
      </c>
      <c r="BB72">
        <f>IF(AT72="","",BA72+AU72*WalkSec)</f>
        <v/>
      </c>
      <c r="BC72" t="n">
        <v>69</v>
      </c>
      <c r="BD72">
        <f>IF(69&gt;Passengers,"",MATCH(69,Z$4:Z$183,0))</f>
        <v/>
      </c>
      <c r="BE72">
        <f>IF(BD72="","",INDEX($B$4:$B$183,BD72))</f>
        <v/>
      </c>
      <c r="BF72">
        <f>IF(BD72="","",INDEX($C$4:$C$183,BD72))</f>
        <v/>
      </c>
      <c r="BG72">
        <f>IF(BD72="","",INDEX($D$4:$D$183,BD72))</f>
        <v/>
      </c>
      <c r="BH72">
        <f>IF(BD72="","",COUNTIFS($B$4:$B$183,BE72,$C$4:$C$183,BF72,$D$4:$D$183,"&gt;"&amp;BG72,Z$4:Z$183,"&lt;"&amp;69,$G$4:$G$183,1))</f>
        <v/>
      </c>
      <c r="BI72">
        <f>IF(BD72="","",INDEX($M$4:$M$183,BD72)+IF(BH72=1,Shuffle1,IF(BH72&gt;=2,Shuffle2,0)))</f>
        <v/>
      </c>
      <c r="BJ72">
        <f>IF(BD72="","",MAX(DoorGap*68,SUMPRODUCT(MAX((BE$4:BE71&lt;=BE72)*BK$4:BK71)),SUMPRODUCT(MAX((BE$4:BE71&gt;BE72)*BJ$4:BJ71))+Headway))</f>
        <v/>
      </c>
      <c r="BK72">
        <f>IF(BD72="","",BJ72+BI72)</f>
        <v/>
      </c>
      <c r="BL72">
        <f>IF(BD72="","",BK72+BE72*WalkSec)</f>
        <v/>
      </c>
      <c r="BM72" t="n">
        <v>69</v>
      </c>
      <c r="BN72">
        <f>IF(69&gt;Passengers,"",MATCH(69,AD$4:AD$183,0))</f>
        <v/>
      </c>
      <c r="BO72">
        <f>IF(BN72="","",INDEX($B$4:$B$183,BN72))</f>
        <v/>
      </c>
      <c r="BP72">
        <f>IF(BN72="","",INDEX($C$4:$C$183,BN72))</f>
        <v/>
      </c>
      <c r="BQ72">
        <f>IF(BN72="","",INDEX($D$4:$D$183,BN72))</f>
        <v/>
      </c>
      <c r="BR72">
        <f>IF(BN72="","",COUNTIFS($B$4:$B$183,BO72,$C$4:$C$183,BP72,$D$4:$D$183,"&gt;"&amp;BQ72,AD$4:AD$183,"&lt;"&amp;69,$G$4:$G$183,1))</f>
        <v/>
      </c>
      <c r="BS72">
        <f>IF(BN72="","",INDEX($M$4:$M$183,BN72)+IF(BR72=1,Shuffle1,IF(BR72&gt;=2,Shuffle2,0)))</f>
        <v/>
      </c>
      <c r="BT72">
        <f>IF(BN72="","",MAX(DoorGap*68,SUMPRODUCT(MAX((BO$4:BO71&lt;=BO72)*BU$4:BU71)),SUMPRODUCT(MAX((BO$4:BO71&gt;BO72)*BT$4:BT71))+Headway))</f>
        <v/>
      </c>
      <c r="BU72">
        <f>IF(BN72="","",BT72+BS72)</f>
        <v/>
      </c>
      <c r="BV72">
        <f>IF(BN72="","",BU72+BO72*WalkSec)</f>
        <v/>
      </c>
      <c r="BW72">
        <f>IF($G72=0,"",INDEX(AR$4:AR$183,R72))</f>
        <v/>
      </c>
      <c r="BX72">
        <f>IF($G72=0,"",INDEX(BB$4:BB$183,V72))</f>
        <v/>
      </c>
      <c r="BY72">
        <f>IF($G72=0,"",INDEX(BL$4:BL$183,Z72))</f>
        <v/>
      </c>
      <c r="BZ72">
        <f>IF($G72=0,"",INDEX(BV$4:BV$183,AD72))</f>
        <v/>
      </c>
    </row>
    <row r="73">
      <c r="A73" t="n">
        <v>70</v>
      </c>
      <c r="B73" t="n">
        <v>12</v>
      </c>
      <c r="C73" t="n">
        <v>2</v>
      </c>
      <c r="D73" t="n">
        <v>1</v>
      </c>
      <c r="E73" t="n">
        <v>24</v>
      </c>
      <c r="F73">
        <f>RAND()</f>
        <v/>
      </c>
      <c r="G73">
        <f>IF(SUMPRODUCT(($F$4:$F$183&lt;F73)*1)+SUMPRODUCT(($F$4:$F$183=F73)*($A$4:$A$183&lt;A73))&lt;Passengers,1,0)</f>
        <v/>
      </c>
      <c r="H73">
        <f>RAND()</f>
        <v/>
      </c>
      <c r="I73">
        <f>RAND()</f>
        <v/>
      </c>
      <c r="J73">
        <f>RAND()</f>
        <v/>
      </c>
      <c r="K73">
        <f>RAND()</f>
        <v/>
      </c>
      <c r="L73">
        <f>RAND()</f>
        <v/>
      </c>
      <c r="M73">
        <f>IF(K73&lt;BagShare,EXP(NORMSINV(L73)*StowSigma+StowMu),StowNoBag)</f>
        <v/>
      </c>
      <c r="N73">
        <f>IF(INDEX($AG$4:$AG$63,E73)&lt;GroupShare,1,0)</f>
        <v/>
      </c>
      <c r="P73">
        <f>IF(G73=1,IF(I73&gt;Compliance,J73,$H73),2)</f>
        <v/>
      </c>
      <c r="Q73">
        <f>IF(G73=0,2,IF(N73=0,P73,1-SUMPRODUCT(MAX(($E$4:$E$183=E73)*($G$4:$G$183=1)*(1-P$4:P$183)))+0.000000001*D73))</f>
        <v/>
      </c>
      <c r="R73">
        <f>IF(G73=0,999,SUMPRODUCT((Q$4:Q$183&lt;Q73)*($G$4:$G$183=1))+SUMPRODUCT((Q$4:Q$183=Q73)*($G$4:$G$183=1)*($A$4:$A$183&lt;A73))+1)</f>
        <v/>
      </c>
      <c r="T73">
        <f>IF(G73=1,IF(I73&gt;Compliance,J73,(INT((30-$B73)/(30/Zones))+$H73)/Zones),2)</f>
        <v/>
      </c>
      <c r="U73">
        <f>IF(G73=0,2,IF(N73=0,T73,1-SUMPRODUCT(MAX(($E$4:$E$183=E73)*($G$4:$G$183=1)*(1-T$4:T$183)))+0.000000001*D73))</f>
        <v/>
      </c>
      <c r="V73">
        <f>IF(G73=0,999,SUMPRODUCT((U$4:U$183&lt;U73)*($G$4:$G$183=1))+SUMPRODUCT((U$4:U$183=U73)*($G$4:$G$183=1)*($A$4:$A$183&lt;A73))+1)</f>
        <v/>
      </c>
      <c r="X73">
        <f>IF(G73=1,IF(I73&gt;Compliance,J73,(($D73-1)+$H73)/3),2)</f>
        <v/>
      </c>
      <c r="Y73">
        <f>IF(G73=0,2,IF(N73=0,X73,1-SUMPRODUCT(MAX(($E$4:$E$183=E73)*($G$4:$G$183=1)*(1-X$4:X$183)))+0.000000001*D73))</f>
        <v/>
      </c>
      <c r="Z73">
        <f>IF(G73=0,999,SUMPRODUCT((Y$4:Y$183&lt;Y73)*($G$4:$G$183=1))+SUMPRODUCT((Y$4:Y$183=Y73)*($G$4:$G$183=1)*($A$4:$A$183&lt;A73))+1)</f>
        <v/>
      </c>
      <c r="AB73">
        <f>IF(G73=1,IF(I73&gt;Compliance,J73,((($D73-1)*4+($C73-1)*2+MOD($B73,2))+(30-$B73)/30)/12),2)</f>
        <v/>
      </c>
      <c r="AC73">
        <f>IF(G73=0,2,IF(N73=0,AB73,1-SUMPRODUCT(MAX(($E$4:$E$183=E73)*($G$4:$G$183=1)*(1-AB$4:AB$183)))+0.000000001*D73))</f>
        <v/>
      </c>
      <c r="AD73">
        <f>IF(G73=0,999,SUMPRODUCT((AC$4:AC$183&lt;AC73)*($G$4:$G$183=1))+SUMPRODUCT((AC$4:AC$183=AC73)*($G$4:$G$183=1)*($A$4:$A$183&lt;A73))+1)</f>
        <v/>
      </c>
      <c r="AI73" t="n">
        <v>70</v>
      </c>
      <c r="AJ73">
        <f>IF(70&gt;Passengers,"",MATCH(70,R$4:R$183,0))</f>
        <v/>
      </c>
      <c r="AK73">
        <f>IF(AJ73="","",INDEX($B$4:$B$183,AJ73))</f>
        <v/>
      </c>
      <c r="AL73">
        <f>IF(AJ73="","",INDEX($C$4:$C$183,AJ73))</f>
        <v/>
      </c>
      <c r="AM73">
        <f>IF(AJ73="","",INDEX($D$4:$D$183,AJ73))</f>
        <v/>
      </c>
      <c r="AN73">
        <f>IF(AJ73="","",COUNTIFS($B$4:$B$183,AK73,$C$4:$C$183,AL73,$D$4:$D$183,"&gt;"&amp;AM73,R$4:R$183,"&lt;"&amp;70,$G$4:$G$183,1))</f>
        <v/>
      </c>
      <c r="AO73">
        <f>IF(AJ73="","",INDEX($M$4:$M$183,AJ73)+IF(AN73=1,Shuffle1,IF(AN73&gt;=2,Shuffle2,0)))</f>
        <v/>
      </c>
      <c r="AP73">
        <f>IF(AJ73="","",MAX(DoorGap*69,SUMPRODUCT(MAX((AK$4:AK72&lt;=AK73)*AQ$4:AQ72)),SUMPRODUCT(MAX((AK$4:AK72&gt;AK73)*AP$4:AP72))+Headway))</f>
        <v/>
      </c>
      <c r="AQ73">
        <f>IF(AJ73="","",AP73+AO73)</f>
        <v/>
      </c>
      <c r="AR73">
        <f>IF(AJ73="","",AQ73+AK73*WalkSec)</f>
        <v/>
      </c>
      <c r="AS73" t="n">
        <v>70</v>
      </c>
      <c r="AT73">
        <f>IF(70&gt;Passengers,"",MATCH(70,V$4:V$183,0))</f>
        <v/>
      </c>
      <c r="AU73">
        <f>IF(AT73="","",INDEX($B$4:$B$183,AT73))</f>
        <v/>
      </c>
      <c r="AV73">
        <f>IF(AT73="","",INDEX($C$4:$C$183,AT73))</f>
        <v/>
      </c>
      <c r="AW73">
        <f>IF(AT73="","",INDEX($D$4:$D$183,AT73))</f>
        <v/>
      </c>
      <c r="AX73">
        <f>IF(AT73="","",COUNTIFS($B$4:$B$183,AU73,$C$4:$C$183,AV73,$D$4:$D$183,"&gt;"&amp;AW73,V$4:V$183,"&lt;"&amp;70,$G$4:$G$183,1))</f>
        <v/>
      </c>
      <c r="AY73">
        <f>IF(AT73="","",INDEX($M$4:$M$183,AT73)+IF(AX73=1,Shuffle1,IF(AX73&gt;=2,Shuffle2,0)))</f>
        <v/>
      </c>
      <c r="AZ73">
        <f>IF(AT73="","",MAX(DoorGap*69,SUMPRODUCT(MAX((AU$4:AU72&lt;=AU73)*BA$4:BA72)),SUMPRODUCT(MAX((AU$4:AU72&gt;AU73)*AZ$4:AZ72))+Headway))</f>
        <v/>
      </c>
      <c r="BA73">
        <f>IF(AT73="","",AZ73+AY73)</f>
        <v/>
      </c>
      <c r="BB73">
        <f>IF(AT73="","",BA73+AU73*WalkSec)</f>
        <v/>
      </c>
      <c r="BC73" t="n">
        <v>70</v>
      </c>
      <c r="BD73">
        <f>IF(70&gt;Passengers,"",MATCH(70,Z$4:Z$183,0))</f>
        <v/>
      </c>
      <c r="BE73">
        <f>IF(BD73="","",INDEX($B$4:$B$183,BD73))</f>
        <v/>
      </c>
      <c r="BF73">
        <f>IF(BD73="","",INDEX($C$4:$C$183,BD73))</f>
        <v/>
      </c>
      <c r="BG73">
        <f>IF(BD73="","",INDEX($D$4:$D$183,BD73))</f>
        <v/>
      </c>
      <c r="BH73">
        <f>IF(BD73="","",COUNTIFS($B$4:$B$183,BE73,$C$4:$C$183,BF73,$D$4:$D$183,"&gt;"&amp;BG73,Z$4:Z$183,"&lt;"&amp;70,$G$4:$G$183,1))</f>
        <v/>
      </c>
      <c r="BI73">
        <f>IF(BD73="","",INDEX($M$4:$M$183,BD73)+IF(BH73=1,Shuffle1,IF(BH73&gt;=2,Shuffle2,0)))</f>
        <v/>
      </c>
      <c r="BJ73">
        <f>IF(BD73="","",MAX(DoorGap*69,SUMPRODUCT(MAX((BE$4:BE72&lt;=BE73)*BK$4:BK72)),SUMPRODUCT(MAX((BE$4:BE72&gt;BE73)*BJ$4:BJ72))+Headway))</f>
        <v/>
      </c>
      <c r="BK73">
        <f>IF(BD73="","",BJ73+BI73)</f>
        <v/>
      </c>
      <c r="BL73">
        <f>IF(BD73="","",BK73+BE73*WalkSec)</f>
        <v/>
      </c>
      <c r="BM73" t="n">
        <v>70</v>
      </c>
      <c r="BN73">
        <f>IF(70&gt;Passengers,"",MATCH(70,AD$4:AD$183,0))</f>
        <v/>
      </c>
      <c r="BO73">
        <f>IF(BN73="","",INDEX($B$4:$B$183,BN73))</f>
        <v/>
      </c>
      <c r="BP73">
        <f>IF(BN73="","",INDEX($C$4:$C$183,BN73))</f>
        <v/>
      </c>
      <c r="BQ73">
        <f>IF(BN73="","",INDEX($D$4:$D$183,BN73))</f>
        <v/>
      </c>
      <c r="BR73">
        <f>IF(BN73="","",COUNTIFS($B$4:$B$183,BO73,$C$4:$C$183,BP73,$D$4:$D$183,"&gt;"&amp;BQ73,AD$4:AD$183,"&lt;"&amp;70,$G$4:$G$183,1))</f>
        <v/>
      </c>
      <c r="BS73">
        <f>IF(BN73="","",INDEX($M$4:$M$183,BN73)+IF(BR73=1,Shuffle1,IF(BR73&gt;=2,Shuffle2,0)))</f>
        <v/>
      </c>
      <c r="BT73">
        <f>IF(BN73="","",MAX(DoorGap*69,SUMPRODUCT(MAX((BO$4:BO72&lt;=BO73)*BU$4:BU72)),SUMPRODUCT(MAX((BO$4:BO72&gt;BO73)*BT$4:BT72))+Headway))</f>
        <v/>
      </c>
      <c r="BU73">
        <f>IF(BN73="","",BT73+BS73)</f>
        <v/>
      </c>
      <c r="BV73">
        <f>IF(BN73="","",BU73+BO73*WalkSec)</f>
        <v/>
      </c>
      <c r="BW73">
        <f>IF($G73=0,"",INDEX(AR$4:AR$183,R73))</f>
        <v/>
      </c>
      <c r="BX73">
        <f>IF($G73=0,"",INDEX(BB$4:BB$183,V73))</f>
        <v/>
      </c>
      <c r="BY73">
        <f>IF($G73=0,"",INDEX(BL$4:BL$183,Z73))</f>
        <v/>
      </c>
      <c r="BZ73">
        <f>IF($G73=0,"",INDEX(BV$4:BV$183,AD73))</f>
        <v/>
      </c>
    </row>
    <row r="74">
      <c r="A74" t="n">
        <v>71</v>
      </c>
      <c r="B74" t="n">
        <v>12</v>
      </c>
      <c r="C74" t="n">
        <v>2</v>
      </c>
      <c r="D74" t="n">
        <v>2</v>
      </c>
      <c r="E74" t="n">
        <v>24</v>
      </c>
      <c r="F74">
        <f>RAND()</f>
        <v/>
      </c>
      <c r="G74">
        <f>IF(SUMPRODUCT(($F$4:$F$183&lt;F74)*1)+SUMPRODUCT(($F$4:$F$183=F74)*($A$4:$A$183&lt;A74))&lt;Passengers,1,0)</f>
        <v/>
      </c>
      <c r="H74">
        <f>RAND()</f>
        <v/>
      </c>
      <c r="I74">
        <f>RAND()</f>
        <v/>
      </c>
      <c r="J74">
        <f>RAND()</f>
        <v/>
      </c>
      <c r="K74">
        <f>RAND()</f>
        <v/>
      </c>
      <c r="L74">
        <f>RAND()</f>
        <v/>
      </c>
      <c r="M74">
        <f>IF(K74&lt;BagShare,EXP(NORMSINV(L74)*StowSigma+StowMu),StowNoBag)</f>
        <v/>
      </c>
      <c r="N74">
        <f>IF(INDEX($AG$4:$AG$63,E74)&lt;GroupShare,1,0)</f>
        <v/>
      </c>
      <c r="P74">
        <f>IF(G74=1,IF(I74&gt;Compliance,J74,$H74),2)</f>
        <v/>
      </c>
      <c r="Q74">
        <f>IF(G74=0,2,IF(N74=0,P74,1-SUMPRODUCT(MAX(($E$4:$E$183=E74)*($G$4:$G$183=1)*(1-P$4:P$183)))+0.000000001*D74))</f>
        <v/>
      </c>
      <c r="R74">
        <f>IF(G74=0,999,SUMPRODUCT((Q$4:Q$183&lt;Q74)*($G$4:$G$183=1))+SUMPRODUCT((Q$4:Q$183=Q74)*($G$4:$G$183=1)*($A$4:$A$183&lt;A74))+1)</f>
        <v/>
      </c>
      <c r="T74">
        <f>IF(G74=1,IF(I74&gt;Compliance,J74,(INT((30-$B74)/(30/Zones))+$H74)/Zones),2)</f>
        <v/>
      </c>
      <c r="U74">
        <f>IF(G74=0,2,IF(N74=0,T74,1-SUMPRODUCT(MAX(($E$4:$E$183=E74)*($G$4:$G$183=1)*(1-T$4:T$183)))+0.000000001*D74))</f>
        <v/>
      </c>
      <c r="V74">
        <f>IF(G74=0,999,SUMPRODUCT((U$4:U$183&lt;U74)*($G$4:$G$183=1))+SUMPRODUCT((U$4:U$183=U74)*($G$4:$G$183=1)*($A$4:$A$183&lt;A74))+1)</f>
        <v/>
      </c>
      <c r="X74">
        <f>IF(G74=1,IF(I74&gt;Compliance,J74,(($D74-1)+$H74)/3),2)</f>
        <v/>
      </c>
      <c r="Y74">
        <f>IF(G74=0,2,IF(N74=0,X74,1-SUMPRODUCT(MAX(($E$4:$E$183=E74)*($G$4:$G$183=1)*(1-X$4:X$183)))+0.000000001*D74))</f>
        <v/>
      </c>
      <c r="Z74">
        <f>IF(G74=0,999,SUMPRODUCT((Y$4:Y$183&lt;Y74)*($G$4:$G$183=1))+SUMPRODUCT((Y$4:Y$183=Y74)*($G$4:$G$183=1)*($A$4:$A$183&lt;A74))+1)</f>
        <v/>
      </c>
      <c r="AB74">
        <f>IF(G74=1,IF(I74&gt;Compliance,J74,((($D74-1)*4+($C74-1)*2+MOD($B74,2))+(30-$B74)/30)/12),2)</f>
        <v/>
      </c>
      <c r="AC74">
        <f>IF(G74=0,2,IF(N74=0,AB74,1-SUMPRODUCT(MAX(($E$4:$E$183=E74)*($G$4:$G$183=1)*(1-AB$4:AB$183)))+0.000000001*D74))</f>
        <v/>
      </c>
      <c r="AD74">
        <f>IF(G74=0,999,SUMPRODUCT((AC$4:AC$183&lt;AC74)*($G$4:$G$183=1))+SUMPRODUCT((AC$4:AC$183=AC74)*($G$4:$G$183=1)*($A$4:$A$183&lt;A74))+1)</f>
        <v/>
      </c>
      <c r="AI74" t="n">
        <v>71</v>
      </c>
      <c r="AJ74">
        <f>IF(71&gt;Passengers,"",MATCH(71,R$4:R$183,0))</f>
        <v/>
      </c>
      <c r="AK74">
        <f>IF(AJ74="","",INDEX($B$4:$B$183,AJ74))</f>
        <v/>
      </c>
      <c r="AL74">
        <f>IF(AJ74="","",INDEX($C$4:$C$183,AJ74))</f>
        <v/>
      </c>
      <c r="AM74">
        <f>IF(AJ74="","",INDEX($D$4:$D$183,AJ74))</f>
        <v/>
      </c>
      <c r="AN74">
        <f>IF(AJ74="","",COUNTIFS($B$4:$B$183,AK74,$C$4:$C$183,AL74,$D$4:$D$183,"&gt;"&amp;AM74,R$4:R$183,"&lt;"&amp;71,$G$4:$G$183,1))</f>
        <v/>
      </c>
      <c r="AO74">
        <f>IF(AJ74="","",INDEX($M$4:$M$183,AJ74)+IF(AN74=1,Shuffle1,IF(AN74&gt;=2,Shuffle2,0)))</f>
        <v/>
      </c>
      <c r="AP74">
        <f>IF(AJ74="","",MAX(DoorGap*70,SUMPRODUCT(MAX((AK$4:AK73&lt;=AK74)*AQ$4:AQ73)),SUMPRODUCT(MAX((AK$4:AK73&gt;AK74)*AP$4:AP73))+Headway))</f>
        <v/>
      </c>
      <c r="AQ74">
        <f>IF(AJ74="","",AP74+AO74)</f>
        <v/>
      </c>
      <c r="AR74">
        <f>IF(AJ74="","",AQ74+AK74*WalkSec)</f>
        <v/>
      </c>
      <c r="AS74" t="n">
        <v>71</v>
      </c>
      <c r="AT74">
        <f>IF(71&gt;Passengers,"",MATCH(71,V$4:V$183,0))</f>
        <v/>
      </c>
      <c r="AU74">
        <f>IF(AT74="","",INDEX($B$4:$B$183,AT74))</f>
        <v/>
      </c>
      <c r="AV74">
        <f>IF(AT74="","",INDEX($C$4:$C$183,AT74))</f>
        <v/>
      </c>
      <c r="AW74">
        <f>IF(AT74="","",INDEX($D$4:$D$183,AT74))</f>
        <v/>
      </c>
      <c r="AX74">
        <f>IF(AT74="","",COUNTIFS($B$4:$B$183,AU74,$C$4:$C$183,AV74,$D$4:$D$183,"&gt;"&amp;AW74,V$4:V$183,"&lt;"&amp;71,$G$4:$G$183,1))</f>
        <v/>
      </c>
      <c r="AY74">
        <f>IF(AT74="","",INDEX($M$4:$M$183,AT74)+IF(AX74=1,Shuffle1,IF(AX74&gt;=2,Shuffle2,0)))</f>
        <v/>
      </c>
      <c r="AZ74">
        <f>IF(AT74="","",MAX(DoorGap*70,SUMPRODUCT(MAX((AU$4:AU73&lt;=AU74)*BA$4:BA73)),SUMPRODUCT(MAX((AU$4:AU73&gt;AU74)*AZ$4:AZ73))+Headway))</f>
        <v/>
      </c>
      <c r="BA74">
        <f>IF(AT74="","",AZ74+AY74)</f>
        <v/>
      </c>
      <c r="BB74">
        <f>IF(AT74="","",BA74+AU74*WalkSec)</f>
        <v/>
      </c>
      <c r="BC74" t="n">
        <v>71</v>
      </c>
      <c r="BD74">
        <f>IF(71&gt;Passengers,"",MATCH(71,Z$4:Z$183,0))</f>
        <v/>
      </c>
      <c r="BE74">
        <f>IF(BD74="","",INDEX($B$4:$B$183,BD74))</f>
        <v/>
      </c>
      <c r="BF74">
        <f>IF(BD74="","",INDEX($C$4:$C$183,BD74))</f>
        <v/>
      </c>
      <c r="BG74">
        <f>IF(BD74="","",INDEX($D$4:$D$183,BD74))</f>
        <v/>
      </c>
      <c r="BH74">
        <f>IF(BD74="","",COUNTIFS($B$4:$B$183,BE74,$C$4:$C$183,BF74,$D$4:$D$183,"&gt;"&amp;BG74,Z$4:Z$183,"&lt;"&amp;71,$G$4:$G$183,1))</f>
        <v/>
      </c>
      <c r="BI74">
        <f>IF(BD74="","",INDEX($M$4:$M$183,BD74)+IF(BH74=1,Shuffle1,IF(BH74&gt;=2,Shuffle2,0)))</f>
        <v/>
      </c>
      <c r="BJ74">
        <f>IF(BD74="","",MAX(DoorGap*70,SUMPRODUCT(MAX((BE$4:BE73&lt;=BE74)*BK$4:BK73)),SUMPRODUCT(MAX((BE$4:BE73&gt;BE74)*BJ$4:BJ73))+Headway))</f>
        <v/>
      </c>
      <c r="BK74">
        <f>IF(BD74="","",BJ74+BI74)</f>
        <v/>
      </c>
      <c r="BL74">
        <f>IF(BD74="","",BK74+BE74*WalkSec)</f>
        <v/>
      </c>
      <c r="BM74" t="n">
        <v>71</v>
      </c>
      <c r="BN74">
        <f>IF(71&gt;Passengers,"",MATCH(71,AD$4:AD$183,0))</f>
        <v/>
      </c>
      <c r="BO74">
        <f>IF(BN74="","",INDEX($B$4:$B$183,BN74))</f>
        <v/>
      </c>
      <c r="BP74">
        <f>IF(BN74="","",INDEX($C$4:$C$183,BN74))</f>
        <v/>
      </c>
      <c r="BQ74">
        <f>IF(BN74="","",INDEX($D$4:$D$183,BN74))</f>
        <v/>
      </c>
      <c r="BR74">
        <f>IF(BN74="","",COUNTIFS($B$4:$B$183,BO74,$C$4:$C$183,BP74,$D$4:$D$183,"&gt;"&amp;BQ74,AD$4:AD$183,"&lt;"&amp;71,$G$4:$G$183,1))</f>
        <v/>
      </c>
      <c r="BS74">
        <f>IF(BN74="","",INDEX($M$4:$M$183,BN74)+IF(BR74=1,Shuffle1,IF(BR74&gt;=2,Shuffle2,0)))</f>
        <v/>
      </c>
      <c r="BT74">
        <f>IF(BN74="","",MAX(DoorGap*70,SUMPRODUCT(MAX((BO$4:BO73&lt;=BO74)*BU$4:BU73)),SUMPRODUCT(MAX((BO$4:BO73&gt;BO74)*BT$4:BT73))+Headway))</f>
        <v/>
      </c>
      <c r="BU74">
        <f>IF(BN74="","",BT74+BS74)</f>
        <v/>
      </c>
      <c r="BV74">
        <f>IF(BN74="","",BU74+BO74*WalkSec)</f>
        <v/>
      </c>
      <c r="BW74">
        <f>IF($G74=0,"",INDEX(AR$4:AR$183,R74))</f>
        <v/>
      </c>
      <c r="BX74">
        <f>IF($G74=0,"",INDEX(BB$4:BB$183,V74))</f>
        <v/>
      </c>
      <c r="BY74">
        <f>IF($G74=0,"",INDEX(BL$4:BL$183,Z74))</f>
        <v/>
      </c>
      <c r="BZ74">
        <f>IF($G74=0,"",INDEX(BV$4:BV$183,AD74))</f>
        <v/>
      </c>
    </row>
    <row r="75">
      <c r="A75" t="n">
        <v>72</v>
      </c>
      <c r="B75" t="n">
        <v>12</v>
      </c>
      <c r="C75" t="n">
        <v>2</v>
      </c>
      <c r="D75" t="n">
        <v>3</v>
      </c>
      <c r="E75" t="n">
        <v>24</v>
      </c>
      <c r="F75">
        <f>RAND()</f>
        <v/>
      </c>
      <c r="G75">
        <f>IF(SUMPRODUCT(($F$4:$F$183&lt;F75)*1)+SUMPRODUCT(($F$4:$F$183=F75)*($A$4:$A$183&lt;A75))&lt;Passengers,1,0)</f>
        <v/>
      </c>
      <c r="H75">
        <f>RAND()</f>
        <v/>
      </c>
      <c r="I75">
        <f>RAND()</f>
        <v/>
      </c>
      <c r="J75">
        <f>RAND()</f>
        <v/>
      </c>
      <c r="K75">
        <f>RAND()</f>
        <v/>
      </c>
      <c r="L75">
        <f>RAND()</f>
        <v/>
      </c>
      <c r="M75">
        <f>IF(K75&lt;BagShare,EXP(NORMSINV(L75)*StowSigma+StowMu),StowNoBag)</f>
        <v/>
      </c>
      <c r="N75">
        <f>IF(INDEX($AG$4:$AG$63,E75)&lt;GroupShare,1,0)</f>
        <v/>
      </c>
      <c r="P75">
        <f>IF(G75=1,IF(I75&gt;Compliance,J75,$H75),2)</f>
        <v/>
      </c>
      <c r="Q75">
        <f>IF(G75=0,2,IF(N75=0,P75,1-SUMPRODUCT(MAX(($E$4:$E$183=E75)*($G$4:$G$183=1)*(1-P$4:P$183)))+0.000000001*D75))</f>
        <v/>
      </c>
      <c r="R75">
        <f>IF(G75=0,999,SUMPRODUCT((Q$4:Q$183&lt;Q75)*($G$4:$G$183=1))+SUMPRODUCT((Q$4:Q$183=Q75)*($G$4:$G$183=1)*($A$4:$A$183&lt;A75))+1)</f>
        <v/>
      </c>
      <c r="T75">
        <f>IF(G75=1,IF(I75&gt;Compliance,J75,(INT((30-$B75)/(30/Zones))+$H75)/Zones),2)</f>
        <v/>
      </c>
      <c r="U75">
        <f>IF(G75=0,2,IF(N75=0,T75,1-SUMPRODUCT(MAX(($E$4:$E$183=E75)*($G$4:$G$183=1)*(1-T$4:T$183)))+0.000000001*D75))</f>
        <v/>
      </c>
      <c r="V75">
        <f>IF(G75=0,999,SUMPRODUCT((U$4:U$183&lt;U75)*($G$4:$G$183=1))+SUMPRODUCT((U$4:U$183=U75)*($G$4:$G$183=1)*($A$4:$A$183&lt;A75))+1)</f>
        <v/>
      </c>
      <c r="X75">
        <f>IF(G75=1,IF(I75&gt;Compliance,J75,(($D75-1)+$H75)/3),2)</f>
        <v/>
      </c>
      <c r="Y75">
        <f>IF(G75=0,2,IF(N75=0,X75,1-SUMPRODUCT(MAX(($E$4:$E$183=E75)*($G$4:$G$183=1)*(1-X$4:X$183)))+0.000000001*D75))</f>
        <v/>
      </c>
      <c r="Z75">
        <f>IF(G75=0,999,SUMPRODUCT((Y$4:Y$183&lt;Y75)*($G$4:$G$183=1))+SUMPRODUCT((Y$4:Y$183=Y75)*($G$4:$G$183=1)*($A$4:$A$183&lt;A75))+1)</f>
        <v/>
      </c>
      <c r="AB75">
        <f>IF(G75=1,IF(I75&gt;Compliance,J75,((($D75-1)*4+($C75-1)*2+MOD($B75,2))+(30-$B75)/30)/12),2)</f>
        <v/>
      </c>
      <c r="AC75">
        <f>IF(G75=0,2,IF(N75=0,AB75,1-SUMPRODUCT(MAX(($E$4:$E$183=E75)*($G$4:$G$183=1)*(1-AB$4:AB$183)))+0.000000001*D75))</f>
        <v/>
      </c>
      <c r="AD75">
        <f>IF(G75=0,999,SUMPRODUCT((AC$4:AC$183&lt;AC75)*($G$4:$G$183=1))+SUMPRODUCT((AC$4:AC$183=AC75)*($G$4:$G$183=1)*($A$4:$A$183&lt;A75))+1)</f>
        <v/>
      </c>
      <c r="AI75" t="n">
        <v>72</v>
      </c>
      <c r="AJ75">
        <f>IF(72&gt;Passengers,"",MATCH(72,R$4:R$183,0))</f>
        <v/>
      </c>
      <c r="AK75">
        <f>IF(AJ75="","",INDEX($B$4:$B$183,AJ75))</f>
        <v/>
      </c>
      <c r="AL75">
        <f>IF(AJ75="","",INDEX($C$4:$C$183,AJ75))</f>
        <v/>
      </c>
      <c r="AM75">
        <f>IF(AJ75="","",INDEX($D$4:$D$183,AJ75))</f>
        <v/>
      </c>
      <c r="AN75">
        <f>IF(AJ75="","",COUNTIFS($B$4:$B$183,AK75,$C$4:$C$183,AL75,$D$4:$D$183,"&gt;"&amp;AM75,R$4:R$183,"&lt;"&amp;72,$G$4:$G$183,1))</f>
        <v/>
      </c>
      <c r="AO75">
        <f>IF(AJ75="","",INDEX($M$4:$M$183,AJ75)+IF(AN75=1,Shuffle1,IF(AN75&gt;=2,Shuffle2,0)))</f>
        <v/>
      </c>
      <c r="AP75">
        <f>IF(AJ75="","",MAX(DoorGap*71,SUMPRODUCT(MAX((AK$4:AK74&lt;=AK75)*AQ$4:AQ74)),SUMPRODUCT(MAX((AK$4:AK74&gt;AK75)*AP$4:AP74))+Headway))</f>
        <v/>
      </c>
      <c r="AQ75">
        <f>IF(AJ75="","",AP75+AO75)</f>
        <v/>
      </c>
      <c r="AR75">
        <f>IF(AJ75="","",AQ75+AK75*WalkSec)</f>
        <v/>
      </c>
      <c r="AS75" t="n">
        <v>72</v>
      </c>
      <c r="AT75">
        <f>IF(72&gt;Passengers,"",MATCH(72,V$4:V$183,0))</f>
        <v/>
      </c>
      <c r="AU75">
        <f>IF(AT75="","",INDEX($B$4:$B$183,AT75))</f>
        <v/>
      </c>
      <c r="AV75">
        <f>IF(AT75="","",INDEX($C$4:$C$183,AT75))</f>
        <v/>
      </c>
      <c r="AW75">
        <f>IF(AT75="","",INDEX($D$4:$D$183,AT75))</f>
        <v/>
      </c>
      <c r="AX75">
        <f>IF(AT75="","",COUNTIFS($B$4:$B$183,AU75,$C$4:$C$183,AV75,$D$4:$D$183,"&gt;"&amp;AW75,V$4:V$183,"&lt;"&amp;72,$G$4:$G$183,1))</f>
        <v/>
      </c>
      <c r="AY75">
        <f>IF(AT75="","",INDEX($M$4:$M$183,AT75)+IF(AX75=1,Shuffle1,IF(AX75&gt;=2,Shuffle2,0)))</f>
        <v/>
      </c>
      <c r="AZ75">
        <f>IF(AT75="","",MAX(DoorGap*71,SUMPRODUCT(MAX((AU$4:AU74&lt;=AU75)*BA$4:BA74)),SUMPRODUCT(MAX((AU$4:AU74&gt;AU75)*AZ$4:AZ74))+Headway))</f>
        <v/>
      </c>
      <c r="BA75">
        <f>IF(AT75="","",AZ75+AY75)</f>
        <v/>
      </c>
      <c r="BB75">
        <f>IF(AT75="","",BA75+AU75*WalkSec)</f>
        <v/>
      </c>
      <c r="BC75" t="n">
        <v>72</v>
      </c>
      <c r="BD75">
        <f>IF(72&gt;Passengers,"",MATCH(72,Z$4:Z$183,0))</f>
        <v/>
      </c>
      <c r="BE75">
        <f>IF(BD75="","",INDEX($B$4:$B$183,BD75))</f>
        <v/>
      </c>
      <c r="BF75">
        <f>IF(BD75="","",INDEX($C$4:$C$183,BD75))</f>
        <v/>
      </c>
      <c r="BG75">
        <f>IF(BD75="","",INDEX($D$4:$D$183,BD75))</f>
        <v/>
      </c>
      <c r="BH75">
        <f>IF(BD75="","",COUNTIFS($B$4:$B$183,BE75,$C$4:$C$183,BF75,$D$4:$D$183,"&gt;"&amp;BG75,Z$4:Z$183,"&lt;"&amp;72,$G$4:$G$183,1))</f>
        <v/>
      </c>
      <c r="BI75">
        <f>IF(BD75="","",INDEX($M$4:$M$183,BD75)+IF(BH75=1,Shuffle1,IF(BH75&gt;=2,Shuffle2,0)))</f>
        <v/>
      </c>
      <c r="BJ75">
        <f>IF(BD75="","",MAX(DoorGap*71,SUMPRODUCT(MAX((BE$4:BE74&lt;=BE75)*BK$4:BK74)),SUMPRODUCT(MAX((BE$4:BE74&gt;BE75)*BJ$4:BJ74))+Headway))</f>
        <v/>
      </c>
      <c r="BK75">
        <f>IF(BD75="","",BJ75+BI75)</f>
        <v/>
      </c>
      <c r="BL75">
        <f>IF(BD75="","",BK75+BE75*WalkSec)</f>
        <v/>
      </c>
      <c r="BM75" t="n">
        <v>72</v>
      </c>
      <c r="BN75">
        <f>IF(72&gt;Passengers,"",MATCH(72,AD$4:AD$183,0))</f>
        <v/>
      </c>
      <c r="BO75">
        <f>IF(BN75="","",INDEX($B$4:$B$183,BN75))</f>
        <v/>
      </c>
      <c r="BP75">
        <f>IF(BN75="","",INDEX($C$4:$C$183,BN75))</f>
        <v/>
      </c>
      <c r="BQ75">
        <f>IF(BN75="","",INDEX($D$4:$D$183,BN75))</f>
        <v/>
      </c>
      <c r="BR75">
        <f>IF(BN75="","",COUNTIFS($B$4:$B$183,BO75,$C$4:$C$183,BP75,$D$4:$D$183,"&gt;"&amp;BQ75,AD$4:AD$183,"&lt;"&amp;72,$G$4:$G$183,1))</f>
        <v/>
      </c>
      <c r="BS75">
        <f>IF(BN75="","",INDEX($M$4:$M$183,BN75)+IF(BR75=1,Shuffle1,IF(BR75&gt;=2,Shuffle2,0)))</f>
        <v/>
      </c>
      <c r="BT75">
        <f>IF(BN75="","",MAX(DoorGap*71,SUMPRODUCT(MAX((BO$4:BO74&lt;=BO75)*BU$4:BU74)),SUMPRODUCT(MAX((BO$4:BO74&gt;BO75)*BT$4:BT74))+Headway))</f>
        <v/>
      </c>
      <c r="BU75">
        <f>IF(BN75="","",BT75+BS75)</f>
        <v/>
      </c>
      <c r="BV75">
        <f>IF(BN75="","",BU75+BO75*WalkSec)</f>
        <v/>
      </c>
      <c r="BW75">
        <f>IF($G75=0,"",INDEX(AR$4:AR$183,R75))</f>
        <v/>
      </c>
      <c r="BX75">
        <f>IF($G75=0,"",INDEX(BB$4:BB$183,V75))</f>
        <v/>
      </c>
      <c r="BY75">
        <f>IF($G75=0,"",INDEX(BL$4:BL$183,Z75))</f>
        <v/>
      </c>
      <c r="BZ75">
        <f>IF($G75=0,"",INDEX(BV$4:BV$183,AD75))</f>
        <v/>
      </c>
    </row>
    <row r="76">
      <c r="A76" t="n">
        <v>73</v>
      </c>
      <c r="B76" t="n">
        <v>13</v>
      </c>
      <c r="C76" t="n">
        <v>1</v>
      </c>
      <c r="D76" t="n">
        <v>1</v>
      </c>
      <c r="E76" t="n">
        <v>25</v>
      </c>
      <c r="F76">
        <f>RAND()</f>
        <v/>
      </c>
      <c r="G76">
        <f>IF(SUMPRODUCT(($F$4:$F$183&lt;F76)*1)+SUMPRODUCT(($F$4:$F$183=F76)*($A$4:$A$183&lt;A76))&lt;Passengers,1,0)</f>
        <v/>
      </c>
      <c r="H76">
        <f>RAND()</f>
        <v/>
      </c>
      <c r="I76">
        <f>RAND()</f>
        <v/>
      </c>
      <c r="J76">
        <f>RAND()</f>
        <v/>
      </c>
      <c r="K76">
        <f>RAND()</f>
        <v/>
      </c>
      <c r="L76">
        <f>RAND()</f>
        <v/>
      </c>
      <c r="M76">
        <f>IF(K76&lt;BagShare,EXP(NORMSINV(L76)*StowSigma+StowMu),StowNoBag)</f>
        <v/>
      </c>
      <c r="N76">
        <f>IF(INDEX($AG$4:$AG$63,E76)&lt;GroupShare,1,0)</f>
        <v/>
      </c>
      <c r="P76">
        <f>IF(G76=1,IF(I76&gt;Compliance,J76,$H76),2)</f>
        <v/>
      </c>
      <c r="Q76">
        <f>IF(G76=0,2,IF(N76=0,P76,1-SUMPRODUCT(MAX(($E$4:$E$183=E76)*($G$4:$G$183=1)*(1-P$4:P$183)))+0.000000001*D76))</f>
        <v/>
      </c>
      <c r="R76">
        <f>IF(G76=0,999,SUMPRODUCT((Q$4:Q$183&lt;Q76)*($G$4:$G$183=1))+SUMPRODUCT((Q$4:Q$183=Q76)*($G$4:$G$183=1)*($A$4:$A$183&lt;A76))+1)</f>
        <v/>
      </c>
      <c r="T76">
        <f>IF(G76=1,IF(I76&gt;Compliance,J76,(INT((30-$B76)/(30/Zones))+$H76)/Zones),2)</f>
        <v/>
      </c>
      <c r="U76">
        <f>IF(G76=0,2,IF(N76=0,T76,1-SUMPRODUCT(MAX(($E$4:$E$183=E76)*($G$4:$G$183=1)*(1-T$4:T$183)))+0.000000001*D76))</f>
        <v/>
      </c>
      <c r="V76">
        <f>IF(G76=0,999,SUMPRODUCT((U$4:U$183&lt;U76)*($G$4:$G$183=1))+SUMPRODUCT((U$4:U$183=U76)*($G$4:$G$183=1)*($A$4:$A$183&lt;A76))+1)</f>
        <v/>
      </c>
      <c r="X76">
        <f>IF(G76=1,IF(I76&gt;Compliance,J76,(($D76-1)+$H76)/3),2)</f>
        <v/>
      </c>
      <c r="Y76">
        <f>IF(G76=0,2,IF(N76=0,X76,1-SUMPRODUCT(MAX(($E$4:$E$183=E76)*($G$4:$G$183=1)*(1-X$4:X$183)))+0.000000001*D76))</f>
        <v/>
      </c>
      <c r="Z76">
        <f>IF(G76=0,999,SUMPRODUCT((Y$4:Y$183&lt;Y76)*($G$4:$G$183=1))+SUMPRODUCT((Y$4:Y$183=Y76)*($G$4:$G$183=1)*($A$4:$A$183&lt;A76))+1)</f>
        <v/>
      </c>
      <c r="AB76">
        <f>IF(G76=1,IF(I76&gt;Compliance,J76,((($D76-1)*4+($C76-1)*2+MOD($B76,2))+(30-$B76)/30)/12),2)</f>
        <v/>
      </c>
      <c r="AC76">
        <f>IF(G76=0,2,IF(N76=0,AB76,1-SUMPRODUCT(MAX(($E$4:$E$183=E76)*($G$4:$G$183=1)*(1-AB$4:AB$183)))+0.000000001*D76))</f>
        <v/>
      </c>
      <c r="AD76">
        <f>IF(G76=0,999,SUMPRODUCT((AC$4:AC$183&lt;AC76)*($G$4:$G$183=1))+SUMPRODUCT((AC$4:AC$183=AC76)*($G$4:$G$183=1)*($A$4:$A$183&lt;A76))+1)</f>
        <v/>
      </c>
      <c r="AI76" t="n">
        <v>73</v>
      </c>
      <c r="AJ76">
        <f>IF(73&gt;Passengers,"",MATCH(73,R$4:R$183,0))</f>
        <v/>
      </c>
      <c r="AK76">
        <f>IF(AJ76="","",INDEX($B$4:$B$183,AJ76))</f>
        <v/>
      </c>
      <c r="AL76">
        <f>IF(AJ76="","",INDEX($C$4:$C$183,AJ76))</f>
        <v/>
      </c>
      <c r="AM76">
        <f>IF(AJ76="","",INDEX($D$4:$D$183,AJ76))</f>
        <v/>
      </c>
      <c r="AN76">
        <f>IF(AJ76="","",COUNTIFS($B$4:$B$183,AK76,$C$4:$C$183,AL76,$D$4:$D$183,"&gt;"&amp;AM76,R$4:R$183,"&lt;"&amp;73,$G$4:$G$183,1))</f>
        <v/>
      </c>
      <c r="AO76">
        <f>IF(AJ76="","",INDEX($M$4:$M$183,AJ76)+IF(AN76=1,Shuffle1,IF(AN76&gt;=2,Shuffle2,0)))</f>
        <v/>
      </c>
      <c r="AP76">
        <f>IF(AJ76="","",MAX(DoorGap*72,SUMPRODUCT(MAX((AK$4:AK75&lt;=AK76)*AQ$4:AQ75)),SUMPRODUCT(MAX((AK$4:AK75&gt;AK76)*AP$4:AP75))+Headway))</f>
        <v/>
      </c>
      <c r="AQ76">
        <f>IF(AJ76="","",AP76+AO76)</f>
        <v/>
      </c>
      <c r="AR76">
        <f>IF(AJ76="","",AQ76+AK76*WalkSec)</f>
        <v/>
      </c>
      <c r="AS76" t="n">
        <v>73</v>
      </c>
      <c r="AT76">
        <f>IF(73&gt;Passengers,"",MATCH(73,V$4:V$183,0))</f>
        <v/>
      </c>
      <c r="AU76">
        <f>IF(AT76="","",INDEX($B$4:$B$183,AT76))</f>
        <v/>
      </c>
      <c r="AV76">
        <f>IF(AT76="","",INDEX($C$4:$C$183,AT76))</f>
        <v/>
      </c>
      <c r="AW76">
        <f>IF(AT76="","",INDEX($D$4:$D$183,AT76))</f>
        <v/>
      </c>
      <c r="AX76">
        <f>IF(AT76="","",COUNTIFS($B$4:$B$183,AU76,$C$4:$C$183,AV76,$D$4:$D$183,"&gt;"&amp;AW76,V$4:V$183,"&lt;"&amp;73,$G$4:$G$183,1))</f>
        <v/>
      </c>
      <c r="AY76">
        <f>IF(AT76="","",INDEX($M$4:$M$183,AT76)+IF(AX76=1,Shuffle1,IF(AX76&gt;=2,Shuffle2,0)))</f>
        <v/>
      </c>
      <c r="AZ76">
        <f>IF(AT76="","",MAX(DoorGap*72,SUMPRODUCT(MAX((AU$4:AU75&lt;=AU76)*BA$4:BA75)),SUMPRODUCT(MAX((AU$4:AU75&gt;AU76)*AZ$4:AZ75))+Headway))</f>
        <v/>
      </c>
      <c r="BA76">
        <f>IF(AT76="","",AZ76+AY76)</f>
        <v/>
      </c>
      <c r="BB76">
        <f>IF(AT76="","",BA76+AU76*WalkSec)</f>
        <v/>
      </c>
      <c r="BC76" t="n">
        <v>73</v>
      </c>
      <c r="BD76">
        <f>IF(73&gt;Passengers,"",MATCH(73,Z$4:Z$183,0))</f>
        <v/>
      </c>
      <c r="BE76">
        <f>IF(BD76="","",INDEX($B$4:$B$183,BD76))</f>
        <v/>
      </c>
      <c r="BF76">
        <f>IF(BD76="","",INDEX($C$4:$C$183,BD76))</f>
        <v/>
      </c>
      <c r="BG76">
        <f>IF(BD76="","",INDEX($D$4:$D$183,BD76))</f>
        <v/>
      </c>
      <c r="BH76">
        <f>IF(BD76="","",COUNTIFS($B$4:$B$183,BE76,$C$4:$C$183,BF76,$D$4:$D$183,"&gt;"&amp;BG76,Z$4:Z$183,"&lt;"&amp;73,$G$4:$G$183,1))</f>
        <v/>
      </c>
      <c r="BI76">
        <f>IF(BD76="","",INDEX($M$4:$M$183,BD76)+IF(BH76=1,Shuffle1,IF(BH76&gt;=2,Shuffle2,0)))</f>
        <v/>
      </c>
      <c r="BJ76">
        <f>IF(BD76="","",MAX(DoorGap*72,SUMPRODUCT(MAX((BE$4:BE75&lt;=BE76)*BK$4:BK75)),SUMPRODUCT(MAX((BE$4:BE75&gt;BE76)*BJ$4:BJ75))+Headway))</f>
        <v/>
      </c>
      <c r="BK76">
        <f>IF(BD76="","",BJ76+BI76)</f>
        <v/>
      </c>
      <c r="BL76">
        <f>IF(BD76="","",BK76+BE76*WalkSec)</f>
        <v/>
      </c>
      <c r="BM76" t="n">
        <v>73</v>
      </c>
      <c r="BN76">
        <f>IF(73&gt;Passengers,"",MATCH(73,AD$4:AD$183,0))</f>
        <v/>
      </c>
      <c r="BO76">
        <f>IF(BN76="","",INDEX($B$4:$B$183,BN76))</f>
        <v/>
      </c>
      <c r="BP76">
        <f>IF(BN76="","",INDEX($C$4:$C$183,BN76))</f>
        <v/>
      </c>
      <c r="BQ76">
        <f>IF(BN76="","",INDEX($D$4:$D$183,BN76))</f>
        <v/>
      </c>
      <c r="BR76">
        <f>IF(BN76="","",COUNTIFS($B$4:$B$183,BO76,$C$4:$C$183,BP76,$D$4:$D$183,"&gt;"&amp;BQ76,AD$4:AD$183,"&lt;"&amp;73,$G$4:$G$183,1))</f>
        <v/>
      </c>
      <c r="BS76">
        <f>IF(BN76="","",INDEX($M$4:$M$183,BN76)+IF(BR76=1,Shuffle1,IF(BR76&gt;=2,Shuffle2,0)))</f>
        <v/>
      </c>
      <c r="BT76">
        <f>IF(BN76="","",MAX(DoorGap*72,SUMPRODUCT(MAX((BO$4:BO75&lt;=BO76)*BU$4:BU75)),SUMPRODUCT(MAX((BO$4:BO75&gt;BO76)*BT$4:BT75))+Headway))</f>
        <v/>
      </c>
      <c r="BU76">
        <f>IF(BN76="","",BT76+BS76)</f>
        <v/>
      </c>
      <c r="BV76">
        <f>IF(BN76="","",BU76+BO76*WalkSec)</f>
        <v/>
      </c>
      <c r="BW76">
        <f>IF($G76=0,"",INDEX(AR$4:AR$183,R76))</f>
        <v/>
      </c>
      <c r="BX76">
        <f>IF($G76=0,"",INDEX(BB$4:BB$183,V76))</f>
        <v/>
      </c>
      <c r="BY76">
        <f>IF($G76=0,"",INDEX(BL$4:BL$183,Z76))</f>
        <v/>
      </c>
      <c r="BZ76">
        <f>IF($G76=0,"",INDEX(BV$4:BV$183,AD76))</f>
        <v/>
      </c>
    </row>
    <row r="77">
      <c r="A77" t="n">
        <v>74</v>
      </c>
      <c r="B77" t="n">
        <v>13</v>
      </c>
      <c r="C77" t="n">
        <v>1</v>
      </c>
      <c r="D77" t="n">
        <v>2</v>
      </c>
      <c r="E77" t="n">
        <v>25</v>
      </c>
      <c r="F77">
        <f>RAND()</f>
        <v/>
      </c>
      <c r="G77">
        <f>IF(SUMPRODUCT(($F$4:$F$183&lt;F77)*1)+SUMPRODUCT(($F$4:$F$183=F77)*($A$4:$A$183&lt;A77))&lt;Passengers,1,0)</f>
        <v/>
      </c>
      <c r="H77">
        <f>RAND()</f>
        <v/>
      </c>
      <c r="I77">
        <f>RAND()</f>
        <v/>
      </c>
      <c r="J77">
        <f>RAND()</f>
        <v/>
      </c>
      <c r="K77">
        <f>RAND()</f>
        <v/>
      </c>
      <c r="L77">
        <f>RAND()</f>
        <v/>
      </c>
      <c r="M77">
        <f>IF(K77&lt;BagShare,EXP(NORMSINV(L77)*StowSigma+StowMu),StowNoBag)</f>
        <v/>
      </c>
      <c r="N77">
        <f>IF(INDEX($AG$4:$AG$63,E77)&lt;GroupShare,1,0)</f>
        <v/>
      </c>
      <c r="P77">
        <f>IF(G77=1,IF(I77&gt;Compliance,J77,$H77),2)</f>
        <v/>
      </c>
      <c r="Q77">
        <f>IF(G77=0,2,IF(N77=0,P77,1-SUMPRODUCT(MAX(($E$4:$E$183=E77)*($G$4:$G$183=1)*(1-P$4:P$183)))+0.000000001*D77))</f>
        <v/>
      </c>
      <c r="R77">
        <f>IF(G77=0,999,SUMPRODUCT((Q$4:Q$183&lt;Q77)*($G$4:$G$183=1))+SUMPRODUCT((Q$4:Q$183=Q77)*($G$4:$G$183=1)*($A$4:$A$183&lt;A77))+1)</f>
        <v/>
      </c>
      <c r="T77">
        <f>IF(G77=1,IF(I77&gt;Compliance,J77,(INT((30-$B77)/(30/Zones))+$H77)/Zones),2)</f>
        <v/>
      </c>
      <c r="U77">
        <f>IF(G77=0,2,IF(N77=0,T77,1-SUMPRODUCT(MAX(($E$4:$E$183=E77)*($G$4:$G$183=1)*(1-T$4:T$183)))+0.000000001*D77))</f>
        <v/>
      </c>
      <c r="V77">
        <f>IF(G77=0,999,SUMPRODUCT((U$4:U$183&lt;U77)*($G$4:$G$183=1))+SUMPRODUCT((U$4:U$183=U77)*($G$4:$G$183=1)*($A$4:$A$183&lt;A77))+1)</f>
        <v/>
      </c>
      <c r="X77">
        <f>IF(G77=1,IF(I77&gt;Compliance,J77,(($D77-1)+$H77)/3),2)</f>
        <v/>
      </c>
      <c r="Y77">
        <f>IF(G77=0,2,IF(N77=0,X77,1-SUMPRODUCT(MAX(($E$4:$E$183=E77)*($G$4:$G$183=1)*(1-X$4:X$183)))+0.000000001*D77))</f>
        <v/>
      </c>
      <c r="Z77">
        <f>IF(G77=0,999,SUMPRODUCT((Y$4:Y$183&lt;Y77)*($G$4:$G$183=1))+SUMPRODUCT((Y$4:Y$183=Y77)*($G$4:$G$183=1)*($A$4:$A$183&lt;A77))+1)</f>
        <v/>
      </c>
      <c r="AB77">
        <f>IF(G77=1,IF(I77&gt;Compliance,J77,((($D77-1)*4+($C77-1)*2+MOD($B77,2))+(30-$B77)/30)/12),2)</f>
        <v/>
      </c>
      <c r="AC77">
        <f>IF(G77=0,2,IF(N77=0,AB77,1-SUMPRODUCT(MAX(($E$4:$E$183=E77)*($G$4:$G$183=1)*(1-AB$4:AB$183)))+0.000000001*D77))</f>
        <v/>
      </c>
      <c r="AD77">
        <f>IF(G77=0,999,SUMPRODUCT((AC$4:AC$183&lt;AC77)*($G$4:$G$183=1))+SUMPRODUCT((AC$4:AC$183=AC77)*($G$4:$G$183=1)*($A$4:$A$183&lt;A77))+1)</f>
        <v/>
      </c>
      <c r="AI77" t="n">
        <v>74</v>
      </c>
      <c r="AJ77">
        <f>IF(74&gt;Passengers,"",MATCH(74,R$4:R$183,0))</f>
        <v/>
      </c>
      <c r="AK77">
        <f>IF(AJ77="","",INDEX($B$4:$B$183,AJ77))</f>
        <v/>
      </c>
      <c r="AL77">
        <f>IF(AJ77="","",INDEX($C$4:$C$183,AJ77))</f>
        <v/>
      </c>
      <c r="AM77">
        <f>IF(AJ77="","",INDEX($D$4:$D$183,AJ77))</f>
        <v/>
      </c>
      <c r="AN77">
        <f>IF(AJ77="","",COUNTIFS($B$4:$B$183,AK77,$C$4:$C$183,AL77,$D$4:$D$183,"&gt;"&amp;AM77,R$4:R$183,"&lt;"&amp;74,$G$4:$G$183,1))</f>
        <v/>
      </c>
      <c r="AO77">
        <f>IF(AJ77="","",INDEX($M$4:$M$183,AJ77)+IF(AN77=1,Shuffle1,IF(AN77&gt;=2,Shuffle2,0)))</f>
        <v/>
      </c>
      <c r="AP77">
        <f>IF(AJ77="","",MAX(DoorGap*73,SUMPRODUCT(MAX((AK$4:AK76&lt;=AK77)*AQ$4:AQ76)),SUMPRODUCT(MAX((AK$4:AK76&gt;AK77)*AP$4:AP76))+Headway))</f>
        <v/>
      </c>
      <c r="AQ77">
        <f>IF(AJ77="","",AP77+AO77)</f>
        <v/>
      </c>
      <c r="AR77">
        <f>IF(AJ77="","",AQ77+AK77*WalkSec)</f>
        <v/>
      </c>
      <c r="AS77" t="n">
        <v>74</v>
      </c>
      <c r="AT77">
        <f>IF(74&gt;Passengers,"",MATCH(74,V$4:V$183,0))</f>
        <v/>
      </c>
      <c r="AU77">
        <f>IF(AT77="","",INDEX($B$4:$B$183,AT77))</f>
        <v/>
      </c>
      <c r="AV77">
        <f>IF(AT77="","",INDEX($C$4:$C$183,AT77))</f>
        <v/>
      </c>
      <c r="AW77">
        <f>IF(AT77="","",INDEX($D$4:$D$183,AT77))</f>
        <v/>
      </c>
      <c r="AX77">
        <f>IF(AT77="","",COUNTIFS($B$4:$B$183,AU77,$C$4:$C$183,AV77,$D$4:$D$183,"&gt;"&amp;AW77,V$4:V$183,"&lt;"&amp;74,$G$4:$G$183,1))</f>
        <v/>
      </c>
      <c r="AY77">
        <f>IF(AT77="","",INDEX($M$4:$M$183,AT77)+IF(AX77=1,Shuffle1,IF(AX77&gt;=2,Shuffle2,0)))</f>
        <v/>
      </c>
      <c r="AZ77">
        <f>IF(AT77="","",MAX(DoorGap*73,SUMPRODUCT(MAX((AU$4:AU76&lt;=AU77)*BA$4:BA76)),SUMPRODUCT(MAX((AU$4:AU76&gt;AU77)*AZ$4:AZ76))+Headway))</f>
        <v/>
      </c>
      <c r="BA77">
        <f>IF(AT77="","",AZ77+AY77)</f>
        <v/>
      </c>
      <c r="BB77">
        <f>IF(AT77="","",BA77+AU77*WalkSec)</f>
        <v/>
      </c>
      <c r="BC77" t="n">
        <v>74</v>
      </c>
      <c r="BD77">
        <f>IF(74&gt;Passengers,"",MATCH(74,Z$4:Z$183,0))</f>
        <v/>
      </c>
      <c r="BE77">
        <f>IF(BD77="","",INDEX($B$4:$B$183,BD77))</f>
        <v/>
      </c>
      <c r="BF77">
        <f>IF(BD77="","",INDEX($C$4:$C$183,BD77))</f>
        <v/>
      </c>
      <c r="BG77">
        <f>IF(BD77="","",INDEX($D$4:$D$183,BD77))</f>
        <v/>
      </c>
      <c r="BH77">
        <f>IF(BD77="","",COUNTIFS($B$4:$B$183,BE77,$C$4:$C$183,BF77,$D$4:$D$183,"&gt;"&amp;BG77,Z$4:Z$183,"&lt;"&amp;74,$G$4:$G$183,1))</f>
        <v/>
      </c>
      <c r="BI77">
        <f>IF(BD77="","",INDEX($M$4:$M$183,BD77)+IF(BH77=1,Shuffle1,IF(BH77&gt;=2,Shuffle2,0)))</f>
        <v/>
      </c>
      <c r="BJ77">
        <f>IF(BD77="","",MAX(DoorGap*73,SUMPRODUCT(MAX((BE$4:BE76&lt;=BE77)*BK$4:BK76)),SUMPRODUCT(MAX((BE$4:BE76&gt;BE77)*BJ$4:BJ76))+Headway))</f>
        <v/>
      </c>
      <c r="BK77">
        <f>IF(BD77="","",BJ77+BI77)</f>
        <v/>
      </c>
      <c r="BL77">
        <f>IF(BD77="","",BK77+BE77*WalkSec)</f>
        <v/>
      </c>
      <c r="BM77" t="n">
        <v>74</v>
      </c>
      <c r="BN77">
        <f>IF(74&gt;Passengers,"",MATCH(74,AD$4:AD$183,0))</f>
        <v/>
      </c>
      <c r="BO77">
        <f>IF(BN77="","",INDEX($B$4:$B$183,BN77))</f>
        <v/>
      </c>
      <c r="BP77">
        <f>IF(BN77="","",INDEX($C$4:$C$183,BN77))</f>
        <v/>
      </c>
      <c r="BQ77">
        <f>IF(BN77="","",INDEX($D$4:$D$183,BN77))</f>
        <v/>
      </c>
      <c r="BR77">
        <f>IF(BN77="","",COUNTIFS($B$4:$B$183,BO77,$C$4:$C$183,BP77,$D$4:$D$183,"&gt;"&amp;BQ77,AD$4:AD$183,"&lt;"&amp;74,$G$4:$G$183,1))</f>
        <v/>
      </c>
      <c r="BS77">
        <f>IF(BN77="","",INDEX($M$4:$M$183,BN77)+IF(BR77=1,Shuffle1,IF(BR77&gt;=2,Shuffle2,0)))</f>
        <v/>
      </c>
      <c r="BT77">
        <f>IF(BN77="","",MAX(DoorGap*73,SUMPRODUCT(MAX((BO$4:BO76&lt;=BO77)*BU$4:BU76)),SUMPRODUCT(MAX((BO$4:BO76&gt;BO77)*BT$4:BT76))+Headway))</f>
        <v/>
      </c>
      <c r="BU77">
        <f>IF(BN77="","",BT77+BS77)</f>
        <v/>
      </c>
      <c r="BV77">
        <f>IF(BN77="","",BU77+BO77*WalkSec)</f>
        <v/>
      </c>
      <c r="BW77">
        <f>IF($G77=0,"",INDEX(AR$4:AR$183,R77))</f>
        <v/>
      </c>
      <c r="BX77">
        <f>IF($G77=0,"",INDEX(BB$4:BB$183,V77))</f>
        <v/>
      </c>
      <c r="BY77">
        <f>IF($G77=0,"",INDEX(BL$4:BL$183,Z77))</f>
        <v/>
      </c>
      <c r="BZ77">
        <f>IF($G77=0,"",INDEX(BV$4:BV$183,AD77))</f>
        <v/>
      </c>
    </row>
    <row r="78">
      <c r="A78" t="n">
        <v>75</v>
      </c>
      <c r="B78" t="n">
        <v>13</v>
      </c>
      <c r="C78" t="n">
        <v>1</v>
      </c>
      <c r="D78" t="n">
        <v>3</v>
      </c>
      <c r="E78" t="n">
        <v>25</v>
      </c>
      <c r="F78">
        <f>RAND()</f>
        <v/>
      </c>
      <c r="G78">
        <f>IF(SUMPRODUCT(($F$4:$F$183&lt;F78)*1)+SUMPRODUCT(($F$4:$F$183=F78)*($A$4:$A$183&lt;A78))&lt;Passengers,1,0)</f>
        <v/>
      </c>
      <c r="H78">
        <f>RAND()</f>
        <v/>
      </c>
      <c r="I78">
        <f>RAND()</f>
        <v/>
      </c>
      <c r="J78">
        <f>RAND()</f>
        <v/>
      </c>
      <c r="K78">
        <f>RAND()</f>
        <v/>
      </c>
      <c r="L78">
        <f>RAND()</f>
        <v/>
      </c>
      <c r="M78">
        <f>IF(K78&lt;BagShare,EXP(NORMSINV(L78)*StowSigma+StowMu),StowNoBag)</f>
        <v/>
      </c>
      <c r="N78">
        <f>IF(INDEX($AG$4:$AG$63,E78)&lt;GroupShare,1,0)</f>
        <v/>
      </c>
      <c r="P78">
        <f>IF(G78=1,IF(I78&gt;Compliance,J78,$H78),2)</f>
        <v/>
      </c>
      <c r="Q78">
        <f>IF(G78=0,2,IF(N78=0,P78,1-SUMPRODUCT(MAX(($E$4:$E$183=E78)*($G$4:$G$183=1)*(1-P$4:P$183)))+0.000000001*D78))</f>
        <v/>
      </c>
      <c r="R78">
        <f>IF(G78=0,999,SUMPRODUCT((Q$4:Q$183&lt;Q78)*($G$4:$G$183=1))+SUMPRODUCT((Q$4:Q$183=Q78)*($G$4:$G$183=1)*($A$4:$A$183&lt;A78))+1)</f>
        <v/>
      </c>
      <c r="T78">
        <f>IF(G78=1,IF(I78&gt;Compliance,J78,(INT((30-$B78)/(30/Zones))+$H78)/Zones),2)</f>
        <v/>
      </c>
      <c r="U78">
        <f>IF(G78=0,2,IF(N78=0,T78,1-SUMPRODUCT(MAX(($E$4:$E$183=E78)*($G$4:$G$183=1)*(1-T$4:T$183)))+0.000000001*D78))</f>
        <v/>
      </c>
      <c r="V78">
        <f>IF(G78=0,999,SUMPRODUCT((U$4:U$183&lt;U78)*($G$4:$G$183=1))+SUMPRODUCT((U$4:U$183=U78)*($G$4:$G$183=1)*($A$4:$A$183&lt;A78))+1)</f>
        <v/>
      </c>
      <c r="X78">
        <f>IF(G78=1,IF(I78&gt;Compliance,J78,(($D78-1)+$H78)/3),2)</f>
        <v/>
      </c>
      <c r="Y78">
        <f>IF(G78=0,2,IF(N78=0,X78,1-SUMPRODUCT(MAX(($E$4:$E$183=E78)*($G$4:$G$183=1)*(1-X$4:X$183)))+0.000000001*D78))</f>
        <v/>
      </c>
      <c r="Z78">
        <f>IF(G78=0,999,SUMPRODUCT((Y$4:Y$183&lt;Y78)*($G$4:$G$183=1))+SUMPRODUCT((Y$4:Y$183=Y78)*($G$4:$G$183=1)*($A$4:$A$183&lt;A78))+1)</f>
        <v/>
      </c>
      <c r="AB78">
        <f>IF(G78=1,IF(I78&gt;Compliance,J78,((($D78-1)*4+($C78-1)*2+MOD($B78,2))+(30-$B78)/30)/12),2)</f>
        <v/>
      </c>
      <c r="AC78">
        <f>IF(G78=0,2,IF(N78=0,AB78,1-SUMPRODUCT(MAX(($E$4:$E$183=E78)*($G$4:$G$183=1)*(1-AB$4:AB$183)))+0.000000001*D78))</f>
        <v/>
      </c>
      <c r="AD78">
        <f>IF(G78=0,999,SUMPRODUCT((AC$4:AC$183&lt;AC78)*($G$4:$G$183=1))+SUMPRODUCT((AC$4:AC$183=AC78)*($G$4:$G$183=1)*($A$4:$A$183&lt;A78))+1)</f>
        <v/>
      </c>
      <c r="AI78" t="n">
        <v>75</v>
      </c>
      <c r="AJ78">
        <f>IF(75&gt;Passengers,"",MATCH(75,R$4:R$183,0))</f>
        <v/>
      </c>
      <c r="AK78">
        <f>IF(AJ78="","",INDEX($B$4:$B$183,AJ78))</f>
        <v/>
      </c>
      <c r="AL78">
        <f>IF(AJ78="","",INDEX($C$4:$C$183,AJ78))</f>
        <v/>
      </c>
      <c r="AM78">
        <f>IF(AJ78="","",INDEX($D$4:$D$183,AJ78))</f>
        <v/>
      </c>
      <c r="AN78">
        <f>IF(AJ78="","",COUNTIFS($B$4:$B$183,AK78,$C$4:$C$183,AL78,$D$4:$D$183,"&gt;"&amp;AM78,R$4:R$183,"&lt;"&amp;75,$G$4:$G$183,1))</f>
        <v/>
      </c>
      <c r="AO78">
        <f>IF(AJ78="","",INDEX($M$4:$M$183,AJ78)+IF(AN78=1,Shuffle1,IF(AN78&gt;=2,Shuffle2,0)))</f>
        <v/>
      </c>
      <c r="AP78">
        <f>IF(AJ78="","",MAX(DoorGap*74,SUMPRODUCT(MAX((AK$4:AK77&lt;=AK78)*AQ$4:AQ77)),SUMPRODUCT(MAX((AK$4:AK77&gt;AK78)*AP$4:AP77))+Headway))</f>
        <v/>
      </c>
      <c r="AQ78">
        <f>IF(AJ78="","",AP78+AO78)</f>
        <v/>
      </c>
      <c r="AR78">
        <f>IF(AJ78="","",AQ78+AK78*WalkSec)</f>
        <v/>
      </c>
      <c r="AS78" t="n">
        <v>75</v>
      </c>
      <c r="AT78">
        <f>IF(75&gt;Passengers,"",MATCH(75,V$4:V$183,0))</f>
        <v/>
      </c>
      <c r="AU78">
        <f>IF(AT78="","",INDEX($B$4:$B$183,AT78))</f>
        <v/>
      </c>
      <c r="AV78">
        <f>IF(AT78="","",INDEX($C$4:$C$183,AT78))</f>
        <v/>
      </c>
      <c r="AW78">
        <f>IF(AT78="","",INDEX($D$4:$D$183,AT78))</f>
        <v/>
      </c>
      <c r="AX78">
        <f>IF(AT78="","",COUNTIFS($B$4:$B$183,AU78,$C$4:$C$183,AV78,$D$4:$D$183,"&gt;"&amp;AW78,V$4:V$183,"&lt;"&amp;75,$G$4:$G$183,1))</f>
        <v/>
      </c>
      <c r="AY78">
        <f>IF(AT78="","",INDEX($M$4:$M$183,AT78)+IF(AX78=1,Shuffle1,IF(AX78&gt;=2,Shuffle2,0)))</f>
        <v/>
      </c>
      <c r="AZ78">
        <f>IF(AT78="","",MAX(DoorGap*74,SUMPRODUCT(MAX((AU$4:AU77&lt;=AU78)*BA$4:BA77)),SUMPRODUCT(MAX((AU$4:AU77&gt;AU78)*AZ$4:AZ77))+Headway))</f>
        <v/>
      </c>
      <c r="BA78">
        <f>IF(AT78="","",AZ78+AY78)</f>
        <v/>
      </c>
      <c r="BB78">
        <f>IF(AT78="","",BA78+AU78*WalkSec)</f>
        <v/>
      </c>
      <c r="BC78" t="n">
        <v>75</v>
      </c>
      <c r="BD78">
        <f>IF(75&gt;Passengers,"",MATCH(75,Z$4:Z$183,0))</f>
        <v/>
      </c>
      <c r="BE78">
        <f>IF(BD78="","",INDEX($B$4:$B$183,BD78))</f>
        <v/>
      </c>
      <c r="BF78">
        <f>IF(BD78="","",INDEX($C$4:$C$183,BD78))</f>
        <v/>
      </c>
      <c r="BG78">
        <f>IF(BD78="","",INDEX($D$4:$D$183,BD78))</f>
        <v/>
      </c>
      <c r="BH78">
        <f>IF(BD78="","",COUNTIFS($B$4:$B$183,BE78,$C$4:$C$183,BF78,$D$4:$D$183,"&gt;"&amp;BG78,Z$4:Z$183,"&lt;"&amp;75,$G$4:$G$183,1))</f>
        <v/>
      </c>
      <c r="BI78">
        <f>IF(BD78="","",INDEX($M$4:$M$183,BD78)+IF(BH78=1,Shuffle1,IF(BH78&gt;=2,Shuffle2,0)))</f>
        <v/>
      </c>
      <c r="BJ78">
        <f>IF(BD78="","",MAX(DoorGap*74,SUMPRODUCT(MAX((BE$4:BE77&lt;=BE78)*BK$4:BK77)),SUMPRODUCT(MAX((BE$4:BE77&gt;BE78)*BJ$4:BJ77))+Headway))</f>
        <v/>
      </c>
      <c r="BK78">
        <f>IF(BD78="","",BJ78+BI78)</f>
        <v/>
      </c>
      <c r="BL78">
        <f>IF(BD78="","",BK78+BE78*WalkSec)</f>
        <v/>
      </c>
      <c r="BM78" t="n">
        <v>75</v>
      </c>
      <c r="BN78">
        <f>IF(75&gt;Passengers,"",MATCH(75,AD$4:AD$183,0))</f>
        <v/>
      </c>
      <c r="BO78">
        <f>IF(BN78="","",INDEX($B$4:$B$183,BN78))</f>
        <v/>
      </c>
      <c r="BP78">
        <f>IF(BN78="","",INDEX($C$4:$C$183,BN78))</f>
        <v/>
      </c>
      <c r="BQ78">
        <f>IF(BN78="","",INDEX($D$4:$D$183,BN78))</f>
        <v/>
      </c>
      <c r="BR78">
        <f>IF(BN78="","",COUNTIFS($B$4:$B$183,BO78,$C$4:$C$183,BP78,$D$4:$D$183,"&gt;"&amp;BQ78,AD$4:AD$183,"&lt;"&amp;75,$G$4:$G$183,1))</f>
        <v/>
      </c>
      <c r="BS78">
        <f>IF(BN78="","",INDEX($M$4:$M$183,BN78)+IF(BR78=1,Shuffle1,IF(BR78&gt;=2,Shuffle2,0)))</f>
        <v/>
      </c>
      <c r="BT78">
        <f>IF(BN78="","",MAX(DoorGap*74,SUMPRODUCT(MAX((BO$4:BO77&lt;=BO78)*BU$4:BU77)),SUMPRODUCT(MAX((BO$4:BO77&gt;BO78)*BT$4:BT77))+Headway))</f>
        <v/>
      </c>
      <c r="BU78">
        <f>IF(BN78="","",BT78+BS78)</f>
        <v/>
      </c>
      <c r="BV78">
        <f>IF(BN78="","",BU78+BO78*WalkSec)</f>
        <v/>
      </c>
      <c r="BW78">
        <f>IF($G78=0,"",INDEX(AR$4:AR$183,R78))</f>
        <v/>
      </c>
      <c r="BX78">
        <f>IF($G78=0,"",INDEX(BB$4:BB$183,V78))</f>
        <v/>
      </c>
      <c r="BY78">
        <f>IF($G78=0,"",INDEX(BL$4:BL$183,Z78))</f>
        <v/>
      </c>
      <c r="BZ78">
        <f>IF($G78=0,"",INDEX(BV$4:BV$183,AD78))</f>
        <v/>
      </c>
    </row>
    <row r="79">
      <c r="A79" t="n">
        <v>76</v>
      </c>
      <c r="B79" t="n">
        <v>13</v>
      </c>
      <c r="C79" t="n">
        <v>2</v>
      </c>
      <c r="D79" t="n">
        <v>1</v>
      </c>
      <c r="E79" t="n">
        <v>26</v>
      </c>
      <c r="F79">
        <f>RAND()</f>
        <v/>
      </c>
      <c r="G79">
        <f>IF(SUMPRODUCT(($F$4:$F$183&lt;F79)*1)+SUMPRODUCT(($F$4:$F$183=F79)*($A$4:$A$183&lt;A79))&lt;Passengers,1,0)</f>
        <v/>
      </c>
      <c r="H79">
        <f>RAND()</f>
        <v/>
      </c>
      <c r="I79">
        <f>RAND()</f>
        <v/>
      </c>
      <c r="J79">
        <f>RAND()</f>
        <v/>
      </c>
      <c r="K79">
        <f>RAND()</f>
        <v/>
      </c>
      <c r="L79">
        <f>RAND()</f>
        <v/>
      </c>
      <c r="M79">
        <f>IF(K79&lt;BagShare,EXP(NORMSINV(L79)*StowSigma+StowMu),StowNoBag)</f>
        <v/>
      </c>
      <c r="N79">
        <f>IF(INDEX($AG$4:$AG$63,E79)&lt;GroupShare,1,0)</f>
        <v/>
      </c>
      <c r="P79">
        <f>IF(G79=1,IF(I79&gt;Compliance,J79,$H79),2)</f>
        <v/>
      </c>
      <c r="Q79">
        <f>IF(G79=0,2,IF(N79=0,P79,1-SUMPRODUCT(MAX(($E$4:$E$183=E79)*($G$4:$G$183=1)*(1-P$4:P$183)))+0.000000001*D79))</f>
        <v/>
      </c>
      <c r="R79">
        <f>IF(G79=0,999,SUMPRODUCT((Q$4:Q$183&lt;Q79)*($G$4:$G$183=1))+SUMPRODUCT((Q$4:Q$183=Q79)*($G$4:$G$183=1)*($A$4:$A$183&lt;A79))+1)</f>
        <v/>
      </c>
      <c r="T79">
        <f>IF(G79=1,IF(I79&gt;Compliance,J79,(INT((30-$B79)/(30/Zones))+$H79)/Zones),2)</f>
        <v/>
      </c>
      <c r="U79">
        <f>IF(G79=0,2,IF(N79=0,T79,1-SUMPRODUCT(MAX(($E$4:$E$183=E79)*($G$4:$G$183=1)*(1-T$4:T$183)))+0.000000001*D79))</f>
        <v/>
      </c>
      <c r="V79">
        <f>IF(G79=0,999,SUMPRODUCT((U$4:U$183&lt;U79)*($G$4:$G$183=1))+SUMPRODUCT((U$4:U$183=U79)*($G$4:$G$183=1)*($A$4:$A$183&lt;A79))+1)</f>
        <v/>
      </c>
      <c r="X79">
        <f>IF(G79=1,IF(I79&gt;Compliance,J79,(($D79-1)+$H79)/3),2)</f>
        <v/>
      </c>
      <c r="Y79">
        <f>IF(G79=0,2,IF(N79=0,X79,1-SUMPRODUCT(MAX(($E$4:$E$183=E79)*($G$4:$G$183=1)*(1-X$4:X$183)))+0.000000001*D79))</f>
        <v/>
      </c>
      <c r="Z79">
        <f>IF(G79=0,999,SUMPRODUCT((Y$4:Y$183&lt;Y79)*($G$4:$G$183=1))+SUMPRODUCT((Y$4:Y$183=Y79)*($G$4:$G$183=1)*($A$4:$A$183&lt;A79))+1)</f>
        <v/>
      </c>
      <c r="AB79">
        <f>IF(G79=1,IF(I79&gt;Compliance,J79,((($D79-1)*4+($C79-1)*2+MOD($B79,2))+(30-$B79)/30)/12),2)</f>
        <v/>
      </c>
      <c r="AC79">
        <f>IF(G79=0,2,IF(N79=0,AB79,1-SUMPRODUCT(MAX(($E$4:$E$183=E79)*($G$4:$G$183=1)*(1-AB$4:AB$183)))+0.000000001*D79))</f>
        <v/>
      </c>
      <c r="AD79">
        <f>IF(G79=0,999,SUMPRODUCT((AC$4:AC$183&lt;AC79)*($G$4:$G$183=1))+SUMPRODUCT((AC$4:AC$183=AC79)*($G$4:$G$183=1)*($A$4:$A$183&lt;A79))+1)</f>
        <v/>
      </c>
      <c r="AI79" t="n">
        <v>76</v>
      </c>
      <c r="AJ79">
        <f>IF(76&gt;Passengers,"",MATCH(76,R$4:R$183,0))</f>
        <v/>
      </c>
      <c r="AK79">
        <f>IF(AJ79="","",INDEX($B$4:$B$183,AJ79))</f>
        <v/>
      </c>
      <c r="AL79">
        <f>IF(AJ79="","",INDEX($C$4:$C$183,AJ79))</f>
        <v/>
      </c>
      <c r="AM79">
        <f>IF(AJ79="","",INDEX($D$4:$D$183,AJ79))</f>
        <v/>
      </c>
      <c r="AN79">
        <f>IF(AJ79="","",COUNTIFS($B$4:$B$183,AK79,$C$4:$C$183,AL79,$D$4:$D$183,"&gt;"&amp;AM79,R$4:R$183,"&lt;"&amp;76,$G$4:$G$183,1))</f>
        <v/>
      </c>
      <c r="AO79">
        <f>IF(AJ79="","",INDEX($M$4:$M$183,AJ79)+IF(AN79=1,Shuffle1,IF(AN79&gt;=2,Shuffle2,0)))</f>
        <v/>
      </c>
      <c r="AP79">
        <f>IF(AJ79="","",MAX(DoorGap*75,SUMPRODUCT(MAX((AK$4:AK78&lt;=AK79)*AQ$4:AQ78)),SUMPRODUCT(MAX((AK$4:AK78&gt;AK79)*AP$4:AP78))+Headway))</f>
        <v/>
      </c>
      <c r="AQ79">
        <f>IF(AJ79="","",AP79+AO79)</f>
        <v/>
      </c>
      <c r="AR79">
        <f>IF(AJ79="","",AQ79+AK79*WalkSec)</f>
        <v/>
      </c>
      <c r="AS79" t="n">
        <v>76</v>
      </c>
      <c r="AT79">
        <f>IF(76&gt;Passengers,"",MATCH(76,V$4:V$183,0))</f>
        <v/>
      </c>
      <c r="AU79">
        <f>IF(AT79="","",INDEX($B$4:$B$183,AT79))</f>
        <v/>
      </c>
      <c r="AV79">
        <f>IF(AT79="","",INDEX($C$4:$C$183,AT79))</f>
        <v/>
      </c>
      <c r="AW79">
        <f>IF(AT79="","",INDEX($D$4:$D$183,AT79))</f>
        <v/>
      </c>
      <c r="AX79">
        <f>IF(AT79="","",COUNTIFS($B$4:$B$183,AU79,$C$4:$C$183,AV79,$D$4:$D$183,"&gt;"&amp;AW79,V$4:V$183,"&lt;"&amp;76,$G$4:$G$183,1))</f>
        <v/>
      </c>
      <c r="AY79">
        <f>IF(AT79="","",INDEX($M$4:$M$183,AT79)+IF(AX79=1,Shuffle1,IF(AX79&gt;=2,Shuffle2,0)))</f>
        <v/>
      </c>
      <c r="AZ79">
        <f>IF(AT79="","",MAX(DoorGap*75,SUMPRODUCT(MAX((AU$4:AU78&lt;=AU79)*BA$4:BA78)),SUMPRODUCT(MAX((AU$4:AU78&gt;AU79)*AZ$4:AZ78))+Headway))</f>
        <v/>
      </c>
      <c r="BA79">
        <f>IF(AT79="","",AZ79+AY79)</f>
        <v/>
      </c>
      <c r="BB79">
        <f>IF(AT79="","",BA79+AU79*WalkSec)</f>
        <v/>
      </c>
      <c r="BC79" t="n">
        <v>76</v>
      </c>
      <c r="BD79">
        <f>IF(76&gt;Passengers,"",MATCH(76,Z$4:Z$183,0))</f>
        <v/>
      </c>
      <c r="BE79">
        <f>IF(BD79="","",INDEX($B$4:$B$183,BD79))</f>
        <v/>
      </c>
      <c r="BF79">
        <f>IF(BD79="","",INDEX($C$4:$C$183,BD79))</f>
        <v/>
      </c>
      <c r="BG79">
        <f>IF(BD79="","",INDEX($D$4:$D$183,BD79))</f>
        <v/>
      </c>
      <c r="BH79">
        <f>IF(BD79="","",COUNTIFS($B$4:$B$183,BE79,$C$4:$C$183,BF79,$D$4:$D$183,"&gt;"&amp;BG79,Z$4:Z$183,"&lt;"&amp;76,$G$4:$G$183,1))</f>
        <v/>
      </c>
      <c r="BI79">
        <f>IF(BD79="","",INDEX($M$4:$M$183,BD79)+IF(BH79=1,Shuffle1,IF(BH79&gt;=2,Shuffle2,0)))</f>
        <v/>
      </c>
      <c r="BJ79">
        <f>IF(BD79="","",MAX(DoorGap*75,SUMPRODUCT(MAX((BE$4:BE78&lt;=BE79)*BK$4:BK78)),SUMPRODUCT(MAX((BE$4:BE78&gt;BE79)*BJ$4:BJ78))+Headway))</f>
        <v/>
      </c>
      <c r="BK79">
        <f>IF(BD79="","",BJ79+BI79)</f>
        <v/>
      </c>
      <c r="BL79">
        <f>IF(BD79="","",BK79+BE79*WalkSec)</f>
        <v/>
      </c>
      <c r="BM79" t="n">
        <v>76</v>
      </c>
      <c r="BN79">
        <f>IF(76&gt;Passengers,"",MATCH(76,AD$4:AD$183,0))</f>
        <v/>
      </c>
      <c r="BO79">
        <f>IF(BN79="","",INDEX($B$4:$B$183,BN79))</f>
        <v/>
      </c>
      <c r="BP79">
        <f>IF(BN79="","",INDEX($C$4:$C$183,BN79))</f>
        <v/>
      </c>
      <c r="BQ79">
        <f>IF(BN79="","",INDEX($D$4:$D$183,BN79))</f>
        <v/>
      </c>
      <c r="BR79">
        <f>IF(BN79="","",COUNTIFS($B$4:$B$183,BO79,$C$4:$C$183,BP79,$D$4:$D$183,"&gt;"&amp;BQ79,AD$4:AD$183,"&lt;"&amp;76,$G$4:$G$183,1))</f>
        <v/>
      </c>
      <c r="BS79">
        <f>IF(BN79="","",INDEX($M$4:$M$183,BN79)+IF(BR79=1,Shuffle1,IF(BR79&gt;=2,Shuffle2,0)))</f>
        <v/>
      </c>
      <c r="BT79">
        <f>IF(BN79="","",MAX(DoorGap*75,SUMPRODUCT(MAX((BO$4:BO78&lt;=BO79)*BU$4:BU78)),SUMPRODUCT(MAX((BO$4:BO78&gt;BO79)*BT$4:BT78))+Headway))</f>
        <v/>
      </c>
      <c r="BU79">
        <f>IF(BN79="","",BT79+BS79)</f>
        <v/>
      </c>
      <c r="BV79">
        <f>IF(BN79="","",BU79+BO79*WalkSec)</f>
        <v/>
      </c>
      <c r="BW79">
        <f>IF($G79=0,"",INDEX(AR$4:AR$183,R79))</f>
        <v/>
      </c>
      <c r="BX79">
        <f>IF($G79=0,"",INDEX(BB$4:BB$183,V79))</f>
        <v/>
      </c>
      <c r="BY79">
        <f>IF($G79=0,"",INDEX(BL$4:BL$183,Z79))</f>
        <v/>
      </c>
      <c r="BZ79">
        <f>IF($G79=0,"",INDEX(BV$4:BV$183,AD79))</f>
        <v/>
      </c>
    </row>
    <row r="80">
      <c r="A80" t="n">
        <v>77</v>
      </c>
      <c r="B80" t="n">
        <v>13</v>
      </c>
      <c r="C80" t="n">
        <v>2</v>
      </c>
      <c r="D80" t="n">
        <v>2</v>
      </c>
      <c r="E80" t="n">
        <v>26</v>
      </c>
      <c r="F80">
        <f>RAND()</f>
        <v/>
      </c>
      <c r="G80">
        <f>IF(SUMPRODUCT(($F$4:$F$183&lt;F80)*1)+SUMPRODUCT(($F$4:$F$183=F80)*($A$4:$A$183&lt;A80))&lt;Passengers,1,0)</f>
        <v/>
      </c>
      <c r="H80">
        <f>RAND()</f>
        <v/>
      </c>
      <c r="I80">
        <f>RAND()</f>
        <v/>
      </c>
      <c r="J80">
        <f>RAND()</f>
        <v/>
      </c>
      <c r="K80">
        <f>RAND()</f>
        <v/>
      </c>
      <c r="L80">
        <f>RAND()</f>
        <v/>
      </c>
      <c r="M80">
        <f>IF(K80&lt;BagShare,EXP(NORMSINV(L80)*StowSigma+StowMu),StowNoBag)</f>
        <v/>
      </c>
      <c r="N80">
        <f>IF(INDEX($AG$4:$AG$63,E80)&lt;GroupShare,1,0)</f>
        <v/>
      </c>
      <c r="P80">
        <f>IF(G80=1,IF(I80&gt;Compliance,J80,$H80),2)</f>
        <v/>
      </c>
      <c r="Q80">
        <f>IF(G80=0,2,IF(N80=0,P80,1-SUMPRODUCT(MAX(($E$4:$E$183=E80)*($G$4:$G$183=1)*(1-P$4:P$183)))+0.000000001*D80))</f>
        <v/>
      </c>
      <c r="R80">
        <f>IF(G80=0,999,SUMPRODUCT((Q$4:Q$183&lt;Q80)*($G$4:$G$183=1))+SUMPRODUCT((Q$4:Q$183=Q80)*($G$4:$G$183=1)*($A$4:$A$183&lt;A80))+1)</f>
        <v/>
      </c>
      <c r="T80">
        <f>IF(G80=1,IF(I80&gt;Compliance,J80,(INT((30-$B80)/(30/Zones))+$H80)/Zones),2)</f>
        <v/>
      </c>
      <c r="U80">
        <f>IF(G80=0,2,IF(N80=0,T80,1-SUMPRODUCT(MAX(($E$4:$E$183=E80)*($G$4:$G$183=1)*(1-T$4:T$183)))+0.000000001*D80))</f>
        <v/>
      </c>
      <c r="V80">
        <f>IF(G80=0,999,SUMPRODUCT((U$4:U$183&lt;U80)*($G$4:$G$183=1))+SUMPRODUCT((U$4:U$183=U80)*($G$4:$G$183=1)*($A$4:$A$183&lt;A80))+1)</f>
        <v/>
      </c>
      <c r="X80">
        <f>IF(G80=1,IF(I80&gt;Compliance,J80,(($D80-1)+$H80)/3),2)</f>
        <v/>
      </c>
      <c r="Y80">
        <f>IF(G80=0,2,IF(N80=0,X80,1-SUMPRODUCT(MAX(($E$4:$E$183=E80)*($G$4:$G$183=1)*(1-X$4:X$183)))+0.000000001*D80))</f>
        <v/>
      </c>
      <c r="Z80">
        <f>IF(G80=0,999,SUMPRODUCT((Y$4:Y$183&lt;Y80)*($G$4:$G$183=1))+SUMPRODUCT((Y$4:Y$183=Y80)*($G$4:$G$183=1)*($A$4:$A$183&lt;A80))+1)</f>
        <v/>
      </c>
      <c r="AB80">
        <f>IF(G80=1,IF(I80&gt;Compliance,J80,((($D80-1)*4+($C80-1)*2+MOD($B80,2))+(30-$B80)/30)/12),2)</f>
        <v/>
      </c>
      <c r="AC80">
        <f>IF(G80=0,2,IF(N80=0,AB80,1-SUMPRODUCT(MAX(($E$4:$E$183=E80)*($G$4:$G$183=1)*(1-AB$4:AB$183)))+0.000000001*D80))</f>
        <v/>
      </c>
      <c r="AD80">
        <f>IF(G80=0,999,SUMPRODUCT((AC$4:AC$183&lt;AC80)*($G$4:$G$183=1))+SUMPRODUCT((AC$4:AC$183=AC80)*($G$4:$G$183=1)*($A$4:$A$183&lt;A80))+1)</f>
        <v/>
      </c>
      <c r="AI80" t="n">
        <v>77</v>
      </c>
      <c r="AJ80">
        <f>IF(77&gt;Passengers,"",MATCH(77,R$4:R$183,0))</f>
        <v/>
      </c>
      <c r="AK80">
        <f>IF(AJ80="","",INDEX($B$4:$B$183,AJ80))</f>
        <v/>
      </c>
      <c r="AL80">
        <f>IF(AJ80="","",INDEX($C$4:$C$183,AJ80))</f>
        <v/>
      </c>
      <c r="AM80">
        <f>IF(AJ80="","",INDEX($D$4:$D$183,AJ80))</f>
        <v/>
      </c>
      <c r="AN80">
        <f>IF(AJ80="","",COUNTIFS($B$4:$B$183,AK80,$C$4:$C$183,AL80,$D$4:$D$183,"&gt;"&amp;AM80,R$4:R$183,"&lt;"&amp;77,$G$4:$G$183,1))</f>
        <v/>
      </c>
      <c r="AO80">
        <f>IF(AJ80="","",INDEX($M$4:$M$183,AJ80)+IF(AN80=1,Shuffle1,IF(AN80&gt;=2,Shuffle2,0)))</f>
        <v/>
      </c>
      <c r="AP80">
        <f>IF(AJ80="","",MAX(DoorGap*76,SUMPRODUCT(MAX((AK$4:AK79&lt;=AK80)*AQ$4:AQ79)),SUMPRODUCT(MAX((AK$4:AK79&gt;AK80)*AP$4:AP79))+Headway))</f>
        <v/>
      </c>
      <c r="AQ80">
        <f>IF(AJ80="","",AP80+AO80)</f>
        <v/>
      </c>
      <c r="AR80">
        <f>IF(AJ80="","",AQ80+AK80*WalkSec)</f>
        <v/>
      </c>
      <c r="AS80" t="n">
        <v>77</v>
      </c>
      <c r="AT80">
        <f>IF(77&gt;Passengers,"",MATCH(77,V$4:V$183,0))</f>
        <v/>
      </c>
      <c r="AU80">
        <f>IF(AT80="","",INDEX($B$4:$B$183,AT80))</f>
        <v/>
      </c>
      <c r="AV80">
        <f>IF(AT80="","",INDEX($C$4:$C$183,AT80))</f>
        <v/>
      </c>
      <c r="AW80">
        <f>IF(AT80="","",INDEX($D$4:$D$183,AT80))</f>
        <v/>
      </c>
      <c r="AX80">
        <f>IF(AT80="","",COUNTIFS($B$4:$B$183,AU80,$C$4:$C$183,AV80,$D$4:$D$183,"&gt;"&amp;AW80,V$4:V$183,"&lt;"&amp;77,$G$4:$G$183,1))</f>
        <v/>
      </c>
      <c r="AY80">
        <f>IF(AT80="","",INDEX($M$4:$M$183,AT80)+IF(AX80=1,Shuffle1,IF(AX80&gt;=2,Shuffle2,0)))</f>
        <v/>
      </c>
      <c r="AZ80">
        <f>IF(AT80="","",MAX(DoorGap*76,SUMPRODUCT(MAX((AU$4:AU79&lt;=AU80)*BA$4:BA79)),SUMPRODUCT(MAX((AU$4:AU79&gt;AU80)*AZ$4:AZ79))+Headway))</f>
        <v/>
      </c>
      <c r="BA80">
        <f>IF(AT80="","",AZ80+AY80)</f>
        <v/>
      </c>
      <c r="BB80">
        <f>IF(AT80="","",BA80+AU80*WalkSec)</f>
        <v/>
      </c>
      <c r="BC80" t="n">
        <v>77</v>
      </c>
      <c r="BD80">
        <f>IF(77&gt;Passengers,"",MATCH(77,Z$4:Z$183,0))</f>
        <v/>
      </c>
      <c r="BE80">
        <f>IF(BD80="","",INDEX($B$4:$B$183,BD80))</f>
        <v/>
      </c>
      <c r="BF80">
        <f>IF(BD80="","",INDEX($C$4:$C$183,BD80))</f>
        <v/>
      </c>
      <c r="BG80">
        <f>IF(BD80="","",INDEX($D$4:$D$183,BD80))</f>
        <v/>
      </c>
      <c r="BH80">
        <f>IF(BD80="","",COUNTIFS($B$4:$B$183,BE80,$C$4:$C$183,BF80,$D$4:$D$183,"&gt;"&amp;BG80,Z$4:Z$183,"&lt;"&amp;77,$G$4:$G$183,1))</f>
        <v/>
      </c>
      <c r="BI80">
        <f>IF(BD80="","",INDEX($M$4:$M$183,BD80)+IF(BH80=1,Shuffle1,IF(BH80&gt;=2,Shuffle2,0)))</f>
        <v/>
      </c>
      <c r="BJ80">
        <f>IF(BD80="","",MAX(DoorGap*76,SUMPRODUCT(MAX((BE$4:BE79&lt;=BE80)*BK$4:BK79)),SUMPRODUCT(MAX((BE$4:BE79&gt;BE80)*BJ$4:BJ79))+Headway))</f>
        <v/>
      </c>
      <c r="BK80">
        <f>IF(BD80="","",BJ80+BI80)</f>
        <v/>
      </c>
      <c r="BL80">
        <f>IF(BD80="","",BK80+BE80*WalkSec)</f>
        <v/>
      </c>
      <c r="BM80" t="n">
        <v>77</v>
      </c>
      <c r="BN80">
        <f>IF(77&gt;Passengers,"",MATCH(77,AD$4:AD$183,0))</f>
        <v/>
      </c>
      <c r="BO80">
        <f>IF(BN80="","",INDEX($B$4:$B$183,BN80))</f>
        <v/>
      </c>
      <c r="BP80">
        <f>IF(BN80="","",INDEX($C$4:$C$183,BN80))</f>
        <v/>
      </c>
      <c r="BQ80">
        <f>IF(BN80="","",INDEX($D$4:$D$183,BN80))</f>
        <v/>
      </c>
      <c r="BR80">
        <f>IF(BN80="","",COUNTIFS($B$4:$B$183,BO80,$C$4:$C$183,BP80,$D$4:$D$183,"&gt;"&amp;BQ80,AD$4:AD$183,"&lt;"&amp;77,$G$4:$G$183,1))</f>
        <v/>
      </c>
      <c r="BS80">
        <f>IF(BN80="","",INDEX($M$4:$M$183,BN80)+IF(BR80=1,Shuffle1,IF(BR80&gt;=2,Shuffle2,0)))</f>
        <v/>
      </c>
      <c r="BT80">
        <f>IF(BN80="","",MAX(DoorGap*76,SUMPRODUCT(MAX((BO$4:BO79&lt;=BO80)*BU$4:BU79)),SUMPRODUCT(MAX((BO$4:BO79&gt;BO80)*BT$4:BT79))+Headway))</f>
        <v/>
      </c>
      <c r="BU80">
        <f>IF(BN80="","",BT80+BS80)</f>
        <v/>
      </c>
      <c r="BV80">
        <f>IF(BN80="","",BU80+BO80*WalkSec)</f>
        <v/>
      </c>
      <c r="BW80">
        <f>IF($G80=0,"",INDEX(AR$4:AR$183,R80))</f>
        <v/>
      </c>
      <c r="BX80">
        <f>IF($G80=0,"",INDEX(BB$4:BB$183,V80))</f>
        <v/>
      </c>
      <c r="BY80">
        <f>IF($G80=0,"",INDEX(BL$4:BL$183,Z80))</f>
        <v/>
      </c>
      <c r="BZ80">
        <f>IF($G80=0,"",INDEX(BV$4:BV$183,AD80))</f>
        <v/>
      </c>
    </row>
    <row r="81">
      <c r="A81" t="n">
        <v>78</v>
      </c>
      <c r="B81" t="n">
        <v>13</v>
      </c>
      <c r="C81" t="n">
        <v>2</v>
      </c>
      <c r="D81" t="n">
        <v>3</v>
      </c>
      <c r="E81" t="n">
        <v>26</v>
      </c>
      <c r="F81">
        <f>RAND()</f>
        <v/>
      </c>
      <c r="G81">
        <f>IF(SUMPRODUCT(($F$4:$F$183&lt;F81)*1)+SUMPRODUCT(($F$4:$F$183=F81)*($A$4:$A$183&lt;A81))&lt;Passengers,1,0)</f>
        <v/>
      </c>
      <c r="H81">
        <f>RAND()</f>
        <v/>
      </c>
      <c r="I81">
        <f>RAND()</f>
        <v/>
      </c>
      <c r="J81">
        <f>RAND()</f>
        <v/>
      </c>
      <c r="K81">
        <f>RAND()</f>
        <v/>
      </c>
      <c r="L81">
        <f>RAND()</f>
        <v/>
      </c>
      <c r="M81">
        <f>IF(K81&lt;BagShare,EXP(NORMSINV(L81)*StowSigma+StowMu),StowNoBag)</f>
        <v/>
      </c>
      <c r="N81">
        <f>IF(INDEX($AG$4:$AG$63,E81)&lt;GroupShare,1,0)</f>
        <v/>
      </c>
      <c r="P81">
        <f>IF(G81=1,IF(I81&gt;Compliance,J81,$H81),2)</f>
        <v/>
      </c>
      <c r="Q81">
        <f>IF(G81=0,2,IF(N81=0,P81,1-SUMPRODUCT(MAX(($E$4:$E$183=E81)*($G$4:$G$183=1)*(1-P$4:P$183)))+0.000000001*D81))</f>
        <v/>
      </c>
      <c r="R81">
        <f>IF(G81=0,999,SUMPRODUCT((Q$4:Q$183&lt;Q81)*($G$4:$G$183=1))+SUMPRODUCT((Q$4:Q$183=Q81)*($G$4:$G$183=1)*($A$4:$A$183&lt;A81))+1)</f>
        <v/>
      </c>
      <c r="T81">
        <f>IF(G81=1,IF(I81&gt;Compliance,J81,(INT((30-$B81)/(30/Zones))+$H81)/Zones),2)</f>
        <v/>
      </c>
      <c r="U81">
        <f>IF(G81=0,2,IF(N81=0,T81,1-SUMPRODUCT(MAX(($E$4:$E$183=E81)*($G$4:$G$183=1)*(1-T$4:T$183)))+0.000000001*D81))</f>
        <v/>
      </c>
      <c r="V81">
        <f>IF(G81=0,999,SUMPRODUCT((U$4:U$183&lt;U81)*($G$4:$G$183=1))+SUMPRODUCT((U$4:U$183=U81)*($G$4:$G$183=1)*($A$4:$A$183&lt;A81))+1)</f>
        <v/>
      </c>
      <c r="X81">
        <f>IF(G81=1,IF(I81&gt;Compliance,J81,(($D81-1)+$H81)/3),2)</f>
        <v/>
      </c>
      <c r="Y81">
        <f>IF(G81=0,2,IF(N81=0,X81,1-SUMPRODUCT(MAX(($E$4:$E$183=E81)*($G$4:$G$183=1)*(1-X$4:X$183)))+0.000000001*D81))</f>
        <v/>
      </c>
      <c r="Z81">
        <f>IF(G81=0,999,SUMPRODUCT((Y$4:Y$183&lt;Y81)*($G$4:$G$183=1))+SUMPRODUCT((Y$4:Y$183=Y81)*($G$4:$G$183=1)*($A$4:$A$183&lt;A81))+1)</f>
        <v/>
      </c>
      <c r="AB81">
        <f>IF(G81=1,IF(I81&gt;Compliance,J81,((($D81-1)*4+($C81-1)*2+MOD($B81,2))+(30-$B81)/30)/12),2)</f>
        <v/>
      </c>
      <c r="AC81">
        <f>IF(G81=0,2,IF(N81=0,AB81,1-SUMPRODUCT(MAX(($E$4:$E$183=E81)*($G$4:$G$183=1)*(1-AB$4:AB$183)))+0.000000001*D81))</f>
        <v/>
      </c>
      <c r="AD81">
        <f>IF(G81=0,999,SUMPRODUCT((AC$4:AC$183&lt;AC81)*($G$4:$G$183=1))+SUMPRODUCT((AC$4:AC$183=AC81)*($G$4:$G$183=1)*($A$4:$A$183&lt;A81))+1)</f>
        <v/>
      </c>
      <c r="AI81" t="n">
        <v>78</v>
      </c>
      <c r="AJ81">
        <f>IF(78&gt;Passengers,"",MATCH(78,R$4:R$183,0))</f>
        <v/>
      </c>
      <c r="AK81">
        <f>IF(AJ81="","",INDEX($B$4:$B$183,AJ81))</f>
        <v/>
      </c>
      <c r="AL81">
        <f>IF(AJ81="","",INDEX($C$4:$C$183,AJ81))</f>
        <v/>
      </c>
      <c r="AM81">
        <f>IF(AJ81="","",INDEX($D$4:$D$183,AJ81))</f>
        <v/>
      </c>
      <c r="AN81">
        <f>IF(AJ81="","",COUNTIFS($B$4:$B$183,AK81,$C$4:$C$183,AL81,$D$4:$D$183,"&gt;"&amp;AM81,R$4:R$183,"&lt;"&amp;78,$G$4:$G$183,1))</f>
        <v/>
      </c>
      <c r="AO81">
        <f>IF(AJ81="","",INDEX($M$4:$M$183,AJ81)+IF(AN81=1,Shuffle1,IF(AN81&gt;=2,Shuffle2,0)))</f>
        <v/>
      </c>
      <c r="AP81">
        <f>IF(AJ81="","",MAX(DoorGap*77,SUMPRODUCT(MAX((AK$4:AK80&lt;=AK81)*AQ$4:AQ80)),SUMPRODUCT(MAX((AK$4:AK80&gt;AK81)*AP$4:AP80))+Headway))</f>
        <v/>
      </c>
      <c r="AQ81">
        <f>IF(AJ81="","",AP81+AO81)</f>
        <v/>
      </c>
      <c r="AR81">
        <f>IF(AJ81="","",AQ81+AK81*WalkSec)</f>
        <v/>
      </c>
      <c r="AS81" t="n">
        <v>78</v>
      </c>
      <c r="AT81">
        <f>IF(78&gt;Passengers,"",MATCH(78,V$4:V$183,0))</f>
        <v/>
      </c>
      <c r="AU81">
        <f>IF(AT81="","",INDEX($B$4:$B$183,AT81))</f>
        <v/>
      </c>
      <c r="AV81">
        <f>IF(AT81="","",INDEX($C$4:$C$183,AT81))</f>
        <v/>
      </c>
      <c r="AW81">
        <f>IF(AT81="","",INDEX($D$4:$D$183,AT81))</f>
        <v/>
      </c>
      <c r="AX81">
        <f>IF(AT81="","",COUNTIFS($B$4:$B$183,AU81,$C$4:$C$183,AV81,$D$4:$D$183,"&gt;"&amp;AW81,V$4:V$183,"&lt;"&amp;78,$G$4:$G$183,1))</f>
        <v/>
      </c>
      <c r="AY81">
        <f>IF(AT81="","",INDEX($M$4:$M$183,AT81)+IF(AX81=1,Shuffle1,IF(AX81&gt;=2,Shuffle2,0)))</f>
        <v/>
      </c>
      <c r="AZ81">
        <f>IF(AT81="","",MAX(DoorGap*77,SUMPRODUCT(MAX((AU$4:AU80&lt;=AU81)*BA$4:BA80)),SUMPRODUCT(MAX((AU$4:AU80&gt;AU81)*AZ$4:AZ80))+Headway))</f>
        <v/>
      </c>
      <c r="BA81">
        <f>IF(AT81="","",AZ81+AY81)</f>
        <v/>
      </c>
      <c r="BB81">
        <f>IF(AT81="","",BA81+AU81*WalkSec)</f>
        <v/>
      </c>
      <c r="BC81" t="n">
        <v>78</v>
      </c>
      <c r="BD81">
        <f>IF(78&gt;Passengers,"",MATCH(78,Z$4:Z$183,0))</f>
        <v/>
      </c>
      <c r="BE81">
        <f>IF(BD81="","",INDEX($B$4:$B$183,BD81))</f>
        <v/>
      </c>
      <c r="BF81">
        <f>IF(BD81="","",INDEX($C$4:$C$183,BD81))</f>
        <v/>
      </c>
      <c r="BG81">
        <f>IF(BD81="","",INDEX($D$4:$D$183,BD81))</f>
        <v/>
      </c>
      <c r="BH81">
        <f>IF(BD81="","",COUNTIFS($B$4:$B$183,BE81,$C$4:$C$183,BF81,$D$4:$D$183,"&gt;"&amp;BG81,Z$4:Z$183,"&lt;"&amp;78,$G$4:$G$183,1))</f>
        <v/>
      </c>
      <c r="BI81">
        <f>IF(BD81="","",INDEX($M$4:$M$183,BD81)+IF(BH81=1,Shuffle1,IF(BH81&gt;=2,Shuffle2,0)))</f>
        <v/>
      </c>
      <c r="BJ81">
        <f>IF(BD81="","",MAX(DoorGap*77,SUMPRODUCT(MAX((BE$4:BE80&lt;=BE81)*BK$4:BK80)),SUMPRODUCT(MAX((BE$4:BE80&gt;BE81)*BJ$4:BJ80))+Headway))</f>
        <v/>
      </c>
      <c r="BK81">
        <f>IF(BD81="","",BJ81+BI81)</f>
        <v/>
      </c>
      <c r="BL81">
        <f>IF(BD81="","",BK81+BE81*WalkSec)</f>
        <v/>
      </c>
      <c r="BM81" t="n">
        <v>78</v>
      </c>
      <c r="BN81">
        <f>IF(78&gt;Passengers,"",MATCH(78,AD$4:AD$183,0))</f>
        <v/>
      </c>
      <c r="BO81">
        <f>IF(BN81="","",INDEX($B$4:$B$183,BN81))</f>
        <v/>
      </c>
      <c r="BP81">
        <f>IF(BN81="","",INDEX($C$4:$C$183,BN81))</f>
        <v/>
      </c>
      <c r="BQ81">
        <f>IF(BN81="","",INDEX($D$4:$D$183,BN81))</f>
        <v/>
      </c>
      <c r="BR81">
        <f>IF(BN81="","",COUNTIFS($B$4:$B$183,BO81,$C$4:$C$183,BP81,$D$4:$D$183,"&gt;"&amp;BQ81,AD$4:AD$183,"&lt;"&amp;78,$G$4:$G$183,1))</f>
        <v/>
      </c>
      <c r="BS81">
        <f>IF(BN81="","",INDEX($M$4:$M$183,BN81)+IF(BR81=1,Shuffle1,IF(BR81&gt;=2,Shuffle2,0)))</f>
        <v/>
      </c>
      <c r="BT81">
        <f>IF(BN81="","",MAX(DoorGap*77,SUMPRODUCT(MAX((BO$4:BO80&lt;=BO81)*BU$4:BU80)),SUMPRODUCT(MAX((BO$4:BO80&gt;BO81)*BT$4:BT80))+Headway))</f>
        <v/>
      </c>
      <c r="BU81">
        <f>IF(BN81="","",BT81+BS81)</f>
        <v/>
      </c>
      <c r="BV81">
        <f>IF(BN81="","",BU81+BO81*WalkSec)</f>
        <v/>
      </c>
      <c r="BW81">
        <f>IF($G81=0,"",INDEX(AR$4:AR$183,R81))</f>
        <v/>
      </c>
      <c r="BX81">
        <f>IF($G81=0,"",INDEX(BB$4:BB$183,V81))</f>
        <v/>
      </c>
      <c r="BY81">
        <f>IF($G81=0,"",INDEX(BL$4:BL$183,Z81))</f>
        <v/>
      </c>
      <c r="BZ81">
        <f>IF($G81=0,"",INDEX(BV$4:BV$183,AD81))</f>
        <v/>
      </c>
    </row>
    <row r="82">
      <c r="A82" t="n">
        <v>79</v>
      </c>
      <c r="B82" t="n">
        <v>14</v>
      </c>
      <c r="C82" t="n">
        <v>1</v>
      </c>
      <c r="D82" t="n">
        <v>1</v>
      </c>
      <c r="E82" t="n">
        <v>27</v>
      </c>
      <c r="F82">
        <f>RAND()</f>
        <v/>
      </c>
      <c r="G82">
        <f>IF(SUMPRODUCT(($F$4:$F$183&lt;F82)*1)+SUMPRODUCT(($F$4:$F$183=F82)*($A$4:$A$183&lt;A82))&lt;Passengers,1,0)</f>
        <v/>
      </c>
      <c r="H82">
        <f>RAND()</f>
        <v/>
      </c>
      <c r="I82">
        <f>RAND()</f>
        <v/>
      </c>
      <c r="J82">
        <f>RAND()</f>
        <v/>
      </c>
      <c r="K82">
        <f>RAND()</f>
        <v/>
      </c>
      <c r="L82">
        <f>RAND()</f>
        <v/>
      </c>
      <c r="M82">
        <f>IF(K82&lt;BagShare,EXP(NORMSINV(L82)*StowSigma+StowMu),StowNoBag)</f>
        <v/>
      </c>
      <c r="N82">
        <f>IF(INDEX($AG$4:$AG$63,E82)&lt;GroupShare,1,0)</f>
        <v/>
      </c>
      <c r="P82">
        <f>IF(G82=1,IF(I82&gt;Compliance,J82,$H82),2)</f>
        <v/>
      </c>
      <c r="Q82">
        <f>IF(G82=0,2,IF(N82=0,P82,1-SUMPRODUCT(MAX(($E$4:$E$183=E82)*($G$4:$G$183=1)*(1-P$4:P$183)))+0.000000001*D82))</f>
        <v/>
      </c>
      <c r="R82">
        <f>IF(G82=0,999,SUMPRODUCT((Q$4:Q$183&lt;Q82)*($G$4:$G$183=1))+SUMPRODUCT((Q$4:Q$183=Q82)*($G$4:$G$183=1)*($A$4:$A$183&lt;A82))+1)</f>
        <v/>
      </c>
      <c r="T82">
        <f>IF(G82=1,IF(I82&gt;Compliance,J82,(INT((30-$B82)/(30/Zones))+$H82)/Zones),2)</f>
        <v/>
      </c>
      <c r="U82">
        <f>IF(G82=0,2,IF(N82=0,T82,1-SUMPRODUCT(MAX(($E$4:$E$183=E82)*($G$4:$G$183=1)*(1-T$4:T$183)))+0.000000001*D82))</f>
        <v/>
      </c>
      <c r="V82">
        <f>IF(G82=0,999,SUMPRODUCT((U$4:U$183&lt;U82)*($G$4:$G$183=1))+SUMPRODUCT((U$4:U$183=U82)*($G$4:$G$183=1)*($A$4:$A$183&lt;A82))+1)</f>
        <v/>
      </c>
      <c r="X82">
        <f>IF(G82=1,IF(I82&gt;Compliance,J82,(($D82-1)+$H82)/3),2)</f>
        <v/>
      </c>
      <c r="Y82">
        <f>IF(G82=0,2,IF(N82=0,X82,1-SUMPRODUCT(MAX(($E$4:$E$183=E82)*($G$4:$G$183=1)*(1-X$4:X$183)))+0.000000001*D82))</f>
        <v/>
      </c>
      <c r="Z82">
        <f>IF(G82=0,999,SUMPRODUCT((Y$4:Y$183&lt;Y82)*($G$4:$G$183=1))+SUMPRODUCT((Y$4:Y$183=Y82)*($G$4:$G$183=1)*($A$4:$A$183&lt;A82))+1)</f>
        <v/>
      </c>
      <c r="AB82">
        <f>IF(G82=1,IF(I82&gt;Compliance,J82,((($D82-1)*4+($C82-1)*2+MOD($B82,2))+(30-$B82)/30)/12),2)</f>
        <v/>
      </c>
      <c r="AC82">
        <f>IF(G82=0,2,IF(N82=0,AB82,1-SUMPRODUCT(MAX(($E$4:$E$183=E82)*($G$4:$G$183=1)*(1-AB$4:AB$183)))+0.000000001*D82))</f>
        <v/>
      </c>
      <c r="AD82">
        <f>IF(G82=0,999,SUMPRODUCT((AC$4:AC$183&lt;AC82)*($G$4:$G$183=1))+SUMPRODUCT((AC$4:AC$183=AC82)*($G$4:$G$183=1)*($A$4:$A$183&lt;A82))+1)</f>
        <v/>
      </c>
      <c r="AI82" t="n">
        <v>79</v>
      </c>
      <c r="AJ82">
        <f>IF(79&gt;Passengers,"",MATCH(79,R$4:R$183,0))</f>
        <v/>
      </c>
      <c r="AK82">
        <f>IF(AJ82="","",INDEX($B$4:$B$183,AJ82))</f>
        <v/>
      </c>
      <c r="AL82">
        <f>IF(AJ82="","",INDEX($C$4:$C$183,AJ82))</f>
        <v/>
      </c>
      <c r="AM82">
        <f>IF(AJ82="","",INDEX($D$4:$D$183,AJ82))</f>
        <v/>
      </c>
      <c r="AN82">
        <f>IF(AJ82="","",COUNTIFS($B$4:$B$183,AK82,$C$4:$C$183,AL82,$D$4:$D$183,"&gt;"&amp;AM82,R$4:R$183,"&lt;"&amp;79,$G$4:$G$183,1))</f>
        <v/>
      </c>
      <c r="AO82">
        <f>IF(AJ82="","",INDEX($M$4:$M$183,AJ82)+IF(AN82=1,Shuffle1,IF(AN82&gt;=2,Shuffle2,0)))</f>
        <v/>
      </c>
      <c r="AP82">
        <f>IF(AJ82="","",MAX(DoorGap*78,SUMPRODUCT(MAX((AK$4:AK81&lt;=AK82)*AQ$4:AQ81)),SUMPRODUCT(MAX((AK$4:AK81&gt;AK82)*AP$4:AP81))+Headway))</f>
        <v/>
      </c>
      <c r="AQ82">
        <f>IF(AJ82="","",AP82+AO82)</f>
        <v/>
      </c>
      <c r="AR82">
        <f>IF(AJ82="","",AQ82+AK82*WalkSec)</f>
        <v/>
      </c>
      <c r="AS82" t="n">
        <v>79</v>
      </c>
      <c r="AT82">
        <f>IF(79&gt;Passengers,"",MATCH(79,V$4:V$183,0))</f>
        <v/>
      </c>
      <c r="AU82">
        <f>IF(AT82="","",INDEX($B$4:$B$183,AT82))</f>
        <v/>
      </c>
      <c r="AV82">
        <f>IF(AT82="","",INDEX($C$4:$C$183,AT82))</f>
        <v/>
      </c>
      <c r="AW82">
        <f>IF(AT82="","",INDEX($D$4:$D$183,AT82))</f>
        <v/>
      </c>
      <c r="AX82">
        <f>IF(AT82="","",COUNTIFS($B$4:$B$183,AU82,$C$4:$C$183,AV82,$D$4:$D$183,"&gt;"&amp;AW82,V$4:V$183,"&lt;"&amp;79,$G$4:$G$183,1))</f>
        <v/>
      </c>
      <c r="AY82">
        <f>IF(AT82="","",INDEX($M$4:$M$183,AT82)+IF(AX82=1,Shuffle1,IF(AX82&gt;=2,Shuffle2,0)))</f>
        <v/>
      </c>
      <c r="AZ82">
        <f>IF(AT82="","",MAX(DoorGap*78,SUMPRODUCT(MAX((AU$4:AU81&lt;=AU82)*BA$4:BA81)),SUMPRODUCT(MAX((AU$4:AU81&gt;AU82)*AZ$4:AZ81))+Headway))</f>
        <v/>
      </c>
      <c r="BA82">
        <f>IF(AT82="","",AZ82+AY82)</f>
        <v/>
      </c>
      <c r="BB82">
        <f>IF(AT82="","",BA82+AU82*WalkSec)</f>
        <v/>
      </c>
      <c r="BC82" t="n">
        <v>79</v>
      </c>
      <c r="BD82">
        <f>IF(79&gt;Passengers,"",MATCH(79,Z$4:Z$183,0))</f>
        <v/>
      </c>
      <c r="BE82">
        <f>IF(BD82="","",INDEX($B$4:$B$183,BD82))</f>
        <v/>
      </c>
      <c r="BF82">
        <f>IF(BD82="","",INDEX($C$4:$C$183,BD82))</f>
        <v/>
      </c>
      <c r="BG82">
        <f>IF(BD82="","",INDEX($D$4:$D$183,BD82))</f>
        <v/>
      </c>
      <c r="BH82">
        <f>IF(BD82="","",COUNTIFS($B$4:$B$183,BE82,$C$4:$C$183,BF82,$D$4:$D$183,"&gt;"&amp;BG82,Z$4:Z$183,"&lt;"&amp;79,$G$4:$G$183,1))</f>
        <v/>
      </c>
      <c r="BI82">
        <f>IF(BD82="","",INDEX($M$4:$M$183,BD82)+IF(BH82=1,Shuffle1,IF(BH82&gt;=2,Shuffle2,0)))</f>
        <v/>
      </c>
      <c r="BJ82">
        <f>IF(BD82="","",MAX(DoorGap*78,SUMPRODUCT(MAX((BE$4:BE81&lt;=BE82)*BK$4:BK81)),SUMPRODUCT(MAX((BE$4:BE81&gt;BE82)*BJ$4:BJ81))+Headway))</f>
        <v/>
      </c>
      <c r="BK82">
        <f>IF(BD82="","",BJ82+BI82)</f>
        <v/>
      </c>
      <c r="BL82">
        <f>IF(BD82="","",BK82+BE82*WalkSec)</f>
        <v/>
      </c>
      <c r="BM82" t="n">
        <v>79</v>
      </c>
      <c r="BN82">
        <f>IF(79&gt;Passengers,"",MATCH(79,AD$4:AD$183,0))</f>
        <v/>
      </c>
      <c r="BO82">
        <f>IF(BN82="","",INDEX($B$4:$B$183,BN82))</f>
        <v/>
      </c>
      <c r="BP82">
        <f>IF(BN82="","",INDEX($C$4:$C$183,BN82))</f>
        <v/>
      </c>
      <c r="BQ82">
        <f>IF(BN82="","",INDEX($D$4:$D$183,BN82))</f>
        <v/>
      </c>
      <c r="BR82">
        <f>IF(BN82="","",COUNTIFS($B$4:$B$183,BO82,$C$4:$C$183,BP82,$D$4:$D$183,"&gt;"&amp;BQ82,AD$4:AD$183,"&lt;"&amp;79,$G$4:$G$183,1))</f>
        <v/>
      </c>
      <c r="BS82">
        <f>IF(BN82="","",INDEX($M$4:$M$183,BN82)+IF(BR82=1,Shuffle1,IF(BR82&gt;=2,Shuffle2,0)))</f>
        <v/>
      </c>
      <c r="BT82">
        <f>IF(BN82="","",MAX(DoorGap*78,SUMPRODUCT(MAX((BO$4:BO81&lt;=BO82)*BU$4:BU81)),SUMPRODUCT(MAX((BO$4:BO81&gt;BO82)*BT$4:BT81))+Headway))</f>
        <v/>
      </c>
      <c r="BU82">
        <f>IF(BN82="","",BT82+BS82)</f>
        <v/>
      </c>
      <c r="BV82">
        <f>IF(BN82="","",BU82+BO82*WalkSec)</f>
        <v/>
      </c>
      <c r="BW82">
        <f>IF($G82=0,"",INDEX(AR$4:AR$183,R82))</f>
        <v/>
      </c>
      <c r="BX82">
        <f>IF($G82=0,"",INDEX(BB$4:BB$183,V82))</f>
        <v/>
      </c>
      <c r="BY82">
        <f>IF($G82=0,"",INDEX(BL$4:BL$183,Z82))</f>
        <v/>
      </c>
      <c r="BZ82">
        <f>IF($G82=0,"",INDEX(BV$4:BV$183,AD82))</f>
        <v/>
      </c>
    </row>
    <row r="83">
      <c r="A83" t="n">
        <v>80</v>
      </c>
      <c r="B83" t="n">
        <v>14</v>
      </c>
      <c r="C83" t="n">
        <v>1</v>
      </c>
      <c r="D83" t="n">
        <v>2</v>
      </c>
      <c r="E83" t="n">
        <v>27</v>
      </c>
      <c r="F83">
        <f>RAND()</f>
        <v/>
      </c>
      <c r="G83">
        <f>IF(SUMPRODUCT(($F$4:$F$183&lt;F83)*1)+SUMPRODUCT(($F$4:$F$183=F83)*($A$4:$A$183&lt;A83))&lt;Passengers,1,0)</f>
        <v/>
      </c>
      <c r="H83">
        <f>RAND()</f>
        <v/>
      </c>
      <c r="I83">
        <f>RAND()</f>
        <v/>
      </c>
      <c r="J83">
        <f>RAND()</f>
        <v/>
      </c>
      <c r="K83">
        <f>RAND()</f>
        <v/>
      </c>
      <c r="L83">
        <f>RAND()</f>
        <v/>
      </c>
      <c r="M83">
        <f>IF(K83&lt;BagShare,EXP(NORMSINV(L83)*StowSigma+StowMu),StowNoBag)</f>
        <v/>
      </c>
      <c r="N83">
        <f>IF(INDEX($AG$4:$AG$63,E83)&lt;GroupShare,1,0)</f>
        <v/>
      </c>
      <c r="P83">
        <f>IF(G83=1,IF(I83&gt;Compliance,J83,$H83),2)</f>
        <v/>
      </c>
      <c r="Q83">
        <f>IF(G83=0,2,IF(N83=0,P83,1-SUMPRODUCT(MAX(($E$4:$E$183=E83)*($G$4:$G$183=1)*(1-P$4:P$183)))+0.000000001*D83))</f>
        <v/>
      </c>
      <c r="R83">
        <f>IF(G83=0,999,SUMPRODUCT((Q$4:Q$183&lt;Q83)*($G$4:$G$183=1))+SUMPRODUCT((Q$4:Q$183=Q83)*($G$4:$G$183=1)*($A$4:$A$183&lt;A83))+1)</f>
        <v/>
      </c>
      <c r="T83">
        <f>IF(G83=1,IF(I83&gt;Compliance,J83,(INT((30-$B83)/(30/Zones))+$H83)/Zones),2)</f>
        <v/>
      </c>
      <c r="U83">
        <f>IF(G83=0,2,IF(N83=0,T83,1-SUMPRODUCT(MAX(($E$4:$E$183=E83)*($G$4:$G$183=1)*(1-T$4:T$183)))+0.000000001*D83))</f>
        <v/>
      </c>
      <c r="V83">
        <f>IF(G83=0,999,SUMPRODUCT((U$4:U$183&lt;U83)*($G$4:$G$183=1))+SUMPRODUCT((U$4:U$183=U83)*($G$4:$G$183=1)*($A$4:$A$183&lt;A83))+1)</f>
        <v/>
      </c>
      <c r="X83">
        <f>IF(G83=1,IF(I83&gt;Compliance,J83,(($D83-1)+$H83)/3),2)</f>
        <v/>
      </c>
      <c r="Y83">
        <f>IF(G83=0,2,IF(N83=0,X83,1-SUMPRODUCT(MAX(($E$4:$E$183=E83)*($G$4:$G$183=1)*(1-X$4:X$183)))+0.000000001*D83))</f>
        <v/>
      </c>
      <c r="Z83">
        <f>IF(G83=0,999,SUMPRODUCT((Y$4:Y$183&lt;Y83)*($G$4:$G$183=1))+SUMPRODUCT((Y$4:Y$183=Y83)*($G$4:$G$183=1)*($A$4:$A$183&lt;A83))+1)</f>
        <v/>
      </c>
      <c r="AB83">
        <f>IF(G83=1,IF(I83&gt;Compliance,J83,((($D83-1)*4+($C83-1)*2+MOD($B83,2))+(30-$B83)/30)/12),2)</f>
        <v/>
      </c>
      <c r="AC83">
        <f>IF(G83=0,2,IF(N83=0,AB83,1-SUMPRODUCT(MAX(($E$4:$E$183=E83)*($G$4:$G$183=1)*(1-AB$4:AB$183)))+0.000000001*D83))</f>
        <v/>
      </c>
      <c r="AD83">
        <f>IF(G83=0,999,SUMPRODUCT((AC$4:AC$183&lt;AC83)*($G$4:$G$183=1))+SUMPRODUCT((AC$4:AC$183=AC83)*($G$4:$G$183=1)*($A$4:$A$183&lt;A83))+1)</f>
        <v/>
      </c>
      <c r="AI83" t="n">
        <v>80</v>
      </c>
      <c r="AJ83">
        <f>IF(80&gt;Passengers,"",MATCH(80,R$4:R$183,0))</f>
        <v/>
      </c>
      <c r="AK83">
        <f>IF(AJ83="","",INDEX($B$4:$B$183,AJ83))</f>
        <v/>
      </c>
      <c r="AL83">
        <f>IF(AJ83="","",INDEX($C$4:$C$183,AJ83))</f>
        <v/>
      </c>
      <c r="AM83">
        <f>IF(AJ83="","",INDEX($D$4:$D$183,AJ83))</f>
        <v/>
      </c>
      <c r="AN83">
        <f>IF(AJ83="","",COUNTIFS($B$4:$B$183,AK83,$C$4:$C$183,AL83,$D$4:$D$183,"&gt;"&amp;AM83,R$4:R$183,"&lt;"&amp;80,$G$4:$G$183,1))</f>
        <v/>
      </c>
      <c r="AO83">
        <f>IF(AJ83="","",INDEX($M$4:$M$183,AJ83)+IF(AN83=1,Shuffle1,IF(AN83&gt;=2,Shuffle2,0)))</f>
        <v/>
      </c>
      <c r="AP83">
        <f>IF(AJ83="","",MAX(DoorGap*79,SUMPRODUCT(MAX((AK$4:AK82&lt;=AK83)*AQ$4:AQ82)),SUMPRODUCT(MAX((AK$4:AK82&gt;AK83)*AP$4:AP82))+Headway))</f>
        <v/>
      </c>
      <c r="AQ83">
        <f>IF(AJ83="","",AP83+AO83)</f>
        <v/>
      </c>
      <c r="AR83">
        <f>IF(AJ83="","",AQ83+AK83*WalkSec)</f>
        <v/>
      </c>
      <c r="AS83" t="n">
        <v>80</v>
      </c>
      <c r="AT83">
        <f>IF(80&gt;Passengers,"",MATCH(80,V$4:V$183,0))</f>
        <v/>
      </c>
      <c r="AU83">
        <f>IF(AT83="","",INDEX($B$4:$B$183,AT83))</f>
        <v/>
      </c>
      <c r="AV83">
        <f>IF(AT83="","",INDEX($C$4:$C$183,AT83))</f>
        <v/>
      </c>
      <c r="AW83">
        <f>IF(AT83="","",INDEX($D$4:$D$183,AT83))</f>
        <v/>
      </c>
      <c r="AX83">
        <f>IF(AT83="","",COUNTIFS($B$4:$B$183,AU83,$C$4:$C$183,AV83,$D$4:$D$183,"&gt;"&amp;AW83,V$4:V$183,"&lt;"&amp;80,$G$4:$G$183,1))</f>
        <v/>
      </c>
      <c r="AY83">
        <f>IF(AT83="","",INDEX($M$4:$M$183,AT83)+IF(AX83=1,Shuffle1,IF(AX83&gt;=2,Shuffle2,0)))</f>
        <v/>
      </c>
      <c r="AZ83">
        <f>IF(AT83="","",MAX(DoorGap*79,SUMPRODUCT(MAX((AU$4:AU82&lt;=AU83)*BA$4:BA82)),SUMPRODUCT(MAX((AU$4:AU82&gt;AU83)*AZ$4:AZ82))+Headway))</f>
        <v/>
      </c>
      <c r="BA83">
        <f>IF(AT83="","",AZ83+AY83)</f>
        <v/>
      </c>
      <c r="BB83">
        <f>IF(AT83="","",BA83+AU83*WalkSec)</f>
        <v/>
      </c>
      <c r="BC83" t="n">
        <v>80</v>
      </c>
      <c r="BD83">
        <f>IF(80&gt;Passengers,"",MATCH(80,Z$4:Z$183,0))</f>
        <v/>
      </c>
      <c r="BE83">
        <f>IF(BD83="","",INDEX($B$4:$B$183,BD83))</f>
        <v/>
      </c>
      <c r="BF83">
        <f>IF(BD83="","",INDEX($C$4:$C$183,BD83))</f>
        <v/>
      </c>
      <c r="BG83">
        <f>IF(BD83="","",INDEX($D$4:$D$183,BD83))</f>
        <v/>
      </c>
      <c r="BH83">
        <f>IF(BD83="","",COUNTIFS($B$4:$B$183,BE83,$C$4:$C$183,BF83,$D$4:$D$183,"&gt;"&amp;BG83,Z$4:Z$183,"&lt;"&amp;80,$G$4:$G$183,1))</f>
        <v/>
      </c>
      <c r="BI83">
        <f>IF(BD83="","",INDEX($M$4:$M$183,BD83)+IF(BH83=1,Shuffle1,IF(BH83&gt;=2,Shuffle2,0)))</f>
        <v/>
      </c>
      <c r="BJ83">
        <f>IF(BD83="","",MAX(DoorGap*79,SUMPRODUCT(MAX((BE$4:BE82&lt;=BE83)*BK$4:BK82)),SUMPRODUCT(MAX((BE$4:BE82&gt;BE83)*BJ$4:BJ82))+Headway))</f>
        <v/>
      </c>
      <c r="BK83">
        <f>IF(BD83="","",BJ83+BI83)</f>
        <v/>
      </c>
      <c r="BL83">
        <f>IF(BD83="","",BK83+BE83*WalkSec)</f>
        <v/>
      </c>
      <c r="BM83" t="n">
        <v>80</v>
      </c>
      <c r="BN83">
        <f>IF(80&gt;Passengers,"",MATCH(80,AD$4:AD$183,0))</f>
        <v/>
      </c>
      <c r="BO83">
        <f>IF(BN83="","",INDEX($B$4:$B$183,BN83))</f>
        <v/>
      </c>
      <c r="BP83">
        <f>IF(BN83="","",INDEX($C$4:$C$183,BN83))</f>
        <v/>
      </c>
      <c r="BQ83">
        <f>IF(BN83="","",INDEX($D$4:$D$183,BN83))</f>
        <v/>
      </c>
      <c r="BR83">
        <f>IF(BN83="","",COUNTIFS($B$4:$B$183,BO83,$C$4:$C$183,BP83,$D$4:$D$183,"&gt;"&amp;BQ83,AD$4:AD$183,"&lt;"&amp;80,$G$4:$G$183,1))</f>
        <v/>
      </c>
      <c r="BS83">
        <f>IF(BN83="","",INDEX($M$4:$M$183,BN83)+IF(BR83=1,Shuffle1,IF(BR83&gt;=2,Shuffle2,0)))</f>
        <v/>
      </c>
      <c r="BT83">
        <f>IF(BN83="","",MAX(DoorGap*79,SUMPRODUCT(MAX((BO$4:BO82&lt;=BO83)*BU$4:BU82)),SUMPRODUCT(MAX((BO$4:BO82&gt;BO83)*BT$4:BT82))+Headway))</f>
        <v/>
      </c>
      <c r="BU83">
        <f>IF(BN83="","",BT83+BS83)</f>
        <v/>
      </c>
      <c r="BV83">
        <f>IF(BN83="","",BU83+BO83*WalkSec)</f>
        <v/>
      </c>
      <c r="BW83">
        <f>IF($G83=0,"",INDEX(AR$4:AR$183,R83))</f>
        <v/>
      </c>
      <c r="BX83">
        <f>IF($G83=0,"",INDEX(BB$4:BB$183,V83))</f>
        <v/>
      </c>
      <c r="BY83">
        <f>IF($G83=0,"",INDEX(BL$4:BL$183,Z83))</f>
        <v/>
      </c>
      <c r="BZ83">
        <f>IF($G83=0,"",INDEX(BV$4:BV$183,AD83))</f>
        <v/>
      </c>
    </row>
    <row r="84">
      <c r="A84" t="n">
        <v>81</v>
      </c>
      <c r="B84" t="n">
        <v>14</v>
      </c>
      <c r="C84" t="n">
        <v>1</v>
      </c>
      <c r="D84" t="n">
        <v>3</v>
      </c>
      <c r="E84" t="n">
        <v>27</v>
      </c>
      <c r="F84">
        <f>RAND()</f>
        <v/>
      </c>
      <c r="G84">
        <f>IF(SUMPRODUCT(($F$4:$F$183&lt;F84)*1)+SUMPRODUCT(($F$4:$F$183=F84)*($A$4:$A$183&lt;A84))&lt;Passengers,1,0)</f>
        <v/>
      </c>
      <c r="H84">
        <f>RAND()</f>
        <v/>
      </c>
      <c r="I84">
        <f>RAND()</f>
        <v/>
      </c>
      <c r="J84">
        <f>RAND()</f>
        <v/>
      </c>
      <c r="K84">
        <f>RAND()</f>
        <v/>
      </c>
      <c r="L84">
        <f>RAND()</f>
        <v/>
      </c>
      <c r="M84">
        <f>IF(K84&lt;BagShare,EXP(NORMSINV(L84)*StowSigma+StowMu),StowNoBag)</f>
        <v/>
      </c>
      <c r="N84">
        <f>IF(INDEX($AG$4:$AG$63,E84)&lt;GroupShare,1,0)</f>
        <v/>
      </c>
      <c r="P84">
        <f>IF(G84=1,IF(I84&gt;Compliance,J84,$H84),2)</f>
        <v/>
      </c>
      <c r="Q84">
        <f>IF(G84=0,2,IF(N84=0,P84,1-SUMPRODUCT(MAX(($E$4:$E$183=E84)*($G$4:$G$183=1)*(1-P$4:P$183)))+0.000000001*D84))</f>
        <v/>
      </c>
      <c r="R84">
        <f>IF(G84=0,999,SUMPRODUCT((Q$4:Q$183&lt;Q84)*($G$4:$G$183=1))+SUMPRODUCT((Q$4:Q$183=Q84)*($G$4:$G$183=1)*($A$4:$A$183&lt;A84))+1)</f>
        <v/>
      </c>
      <c r="T84">
        <f>IF(G84=1,IF(I84&gt;Compliance,J84,(INT((30-$B84)/(30/Zones))+$H84)/Zones),2)</f>
        <v/>
      </c>
      <c r="U84">
        <f>IF(G84=0,2,IF(N84=0,T84,1-SUMPRODUCT(MAX(($E$4:$E$183=E84)*($G$4:$G$183=1)*(1-T$4:T$183)))+0.000000001*D84))</f>
        <v/>
      </c>
      <c r="V84">
        <f>IF(G84=0,999,SUMPRODUCT((U$4:U$183&lt;U84)*($G$4:$G$183=1))+SUMPRODUCT((U$4:U$183=U84)*($G$4:$G$183=1)*($A$4:$A$183&lt;A84))+1)</f>
        <v/>
      </c>
      <c r="X84">
        <f>IF(G84=1,IF(I84&gt;Compliance,J84,(($D84-1)+$H84)/3),2)</f>
        <v/>
      </c>
      <c r="Y84">
        <f>IF(G84=0,2,IF(N84=0,X84,1-SUMPRODUCT(MAX(($E$4:$E$183=E84)*($G$4:$G$183=1)*(1-X$4:X$183)))+0.000000001*D84))</f>
        <v/>
      </c>
      <c r="Z84">
        <f>IF(G84=0,999,SUMPRODUCT((Y$4:Y$183&lt;Y84)*($G$4:$G$183=1))+SUMPRODUCT((Y$4:Y$183=Y84)*($G$4:$G$183=1)*($A$4:$A$183&lt;A84))+1)</f>
        <v/>
      </c>
      <c r="AB84">
        <f>IF(G84=1,IF(I84&gt;Compliance,J84,((($D84-1)*4+($C84-1)*2+MOD($B84,2))+(30-$B84)/30)/12),2)</f>
        <v/>
      </c>
      <c r="AC84">
        <f>IF(G84=0,2,IF(N84=0,AB84,1-SUMPRODUCT(MAX(($E$4:$E$183=E84)*($G$4:$G$183=1)*(1-AB$4:AB$183)))+0.000000001*D84))</f>
        <v/>
      </c>
      <c r="AD84">
        <f>IF(G84=0,999,SUMPRODUCT((AC$4:AC$183&lt;AC84)*($G$4:$G$183=1))+SUMPRODUCT((AC$4:AC$183=AC84)*($G$4:$G$183=1)*($A$4:$A$183&lt;A84))+1)</f>
        <v/>
      </c>
      <c r="AI84" t="n">
        <v>81</v>
      </c>
      <c r="AJ84">
        <f>IF(81&gt;Passengers,"",MATCH(81,R$4:R$183,0))</f>
        <v/>
      </c>
      <c r="AK84">
        <f>IF(AJ84="","",INDEX($B$4:$B$183,AJ84))</f>
        <v/>
      </c>
      <c r="AL84">
        <f>IF(AJ84="","",INDEX($C$4:$C$183,AJ84))</f>
        <v/>
      </c>
      <c r="AM84">
        <f>IF(AJ84="","",INDEX($D$4:$D$183,AJ84))</f>
        <v/>
      </c>
      <c r="AN84">
        <f>IF(AJ84="","",COUNTIFS($B$4:$B$183,AK84,$C$4:$C$183,AL84,$D$4:$D$183,"&gt;"&amp;AM84,R$4:R$183,"&lt;"&amp;81,$G$4:$G$183,1))</f>
        <v/>
      </c>
      <c r="AO84">
        <f>IF(AJ84="","",INDEX($M$4:$M$183,AJ84)+IF(AN84=1,Shuffle1,IF(AN84&gt;=2,Shuffle2,0)))</f>
        <v/>
      </c>
      <c r="AP84">
        <f>IF(AJ84="","",MAX(DoorGap*80,SUMPRODUCT(MAX((AK$4:AK83&lt;=AK84)*AQ$4:AQ83)),SUMPRODUCT(MAX((AK$4:AK83&gt;AK84)*AP$4:AP83))+Headway))</f>
        <v/>
      </c>
      <c r="AQ84">
        <f>IF(AJ84="","",AP84+AO84)</f>
        <v/>
      </c>
      <c r="AR84">
        <f>IF(AJ84="","",AQ84+AK84*WalkSec)</f>
        <v/>
      </c>
      <c r="AS84" t="n">
        <v>81</v>
      </c>
      <c r="AT84">
        <f>IF(81&gt;Passengers,"",MATCH(81,V$4:V$183,0))</f>
        <v/>
      </c>
      <c r="AU84">
        <f>IF(AT84="","",INDEX($B$4:$B$183,AT84))</f>
        <v/>
      </c>
      <c r="AV84">
        <f>IF(AT84="","",INDEX($C$4:$C$183,AT84))</f>
        <v/>
      </c>
      <c r="AW84">
        <f>IF(AT84="","",INDEX($D$4:$D$183,AT84))</f>
        <v/>
      </c>
      <c r="AX84">
        <f>IF(AT84="","",COUNTIFS($B$4:$B$183,AU84,$C$4:$C$183,AV84,$D$4:$D$183,"&gt;"&amp;AW84,V$4:V$183,"&lt;"&amp;81,$G$4:$G$183,1))</f>
        <v/>
      </c>
      <c r="AY84">
        <f>IF(AT84="","",INDEX($M$4:$M$183,AT84)+IF(AX84=1,Shuffle1,IF(AX84&gt;=2,Shuffle2,0)))</f>
        <v/>
      </c>
      <c r="AZ84">
        <f>IF(AT84="","",MAX(DoorGap*80,SUMPRODUCT(MAX((AU$4:AU83&lt;=AU84)*BA$4:BA83)),SUMPRODUCT(MAX((AU$4:AU83&gt;AU84)*AZ$4:AZ83))+Headway))</f>
        <v/>
      </c>
      <c r="BA84">
        <f>IF(AT84="","",AZ84+AY84)</f>
        <v/>
      </c>
      <c r="BB84">
        <f>IF(AT84="","",BA84+AU84*WalkSec)</f>
        <v/>
      </c>
      <c r="BC84" t="n">
        <v>81</v>
      </c>
      <c r="BD84">
        <f>IF(81&gt;Passengers,"",MATCH(81,Z$4:Z$183,0))</f>
        <v/>
      </c>
      <c r="BE84">
        <f>IF(BD84="","",INDEX($B$4:$B$183,BD84))</f>
        <v/>
      </c>
      <c r="BF84">
        <f>IF(BD84="","",INDEX($C$4:$C$183,BD84))</f>
        <v/>
      </c>
      <c r="BG84">
        <f>IF(BD84="","",INDEX($D$4:$D$183,BD84))</f>
        <v/>
      </c>
      <c r="BH84">
        <f>IF(BD84="","",COUNTIFS($B$4:$B$183,BE84,$C$4:$C$183,BF84,$D$4:$D$183,"&gt;"&amp;BG84,Z$4:Z$183,"&lt;"&amp;81,$G$4:$G$183,1))</f>
        <v/>
      </c>
      <c r="BI84">
        <f>IF(BD84="","",INDEX($M$4:$M$183,BD84)+IF(BH84=1,Shuffle1,IF(BH84&gt;=2,Shuffle2,0)))</f>
        <v/>
      </c>
      <c r="BJ84">
        <f>IF(BD84="","",MAX(DoorGap*80,SUMPRODUCT(MAX((BE$4:BE83&lt;=BE84)*BK$4:BK83)),SUMPRODUCT(MAX((BE$4:BE83&gt;BE84)*BJ$4:BJ83))+Headway))</f>
        <v/>
      </c>
      <c r="BK84">
        <f>IF(BD84="","",BJ84+BI84)</f>
        <v/>
      </c>
      <c r="BL84">
        <f>IF(BD84="","",BK84+BE84*WalkSec)</f>
        <v/>
      </c>
      <c r="BM84" t="n">
        <v>81</v>
      </c>
      <c r="BN84">
        <f>IF(81&gt;Passengers,"",MATCH(81,AD$4:AD$183,0))</f>
        <v/>
      </c>
      <c r="BO84">
        <f>IF(BN84="","",INDEX($B$4:$B$183,BN84))</f>
        <v/>
      </c>
      <c r="BP84">
        <f>IF(BN84="","",INDEX($C$4:$C$183,BN84))</f>
        <v/>
      </c>
      <c r="BQ84">
        <f>IF(BN84="","",INDEX($D$4:$D$183,BN84))</f>
        <v/>
      </c>
      <c r="BR84">
        <f>IF(BN84="","",COUNTIFS($B$4:$B$183,BO84,$C$4:$C$183,BP84,$D$4:$D$183,"&gt;"&amp;BQ84,AD$4:AD$183,"&lt;"&amp;81,$G$4:$G$183,1))</f>
        <v/>
      </c>
      <c r="BS84">
        <f>IF(BN84="","",INDEX($M$4:$M$183,BN84)+IF(BR84=1,Shuffle1,IF(BR84&gt;=2,Shuffle2,0)))</f>
        <v/>
      </c>
      <c r="BT84">
        <f>IF(BN84="","",MAX(DoorGap*80,SUMPRODUCT(MAX((BO$4:BO83&lt;=BO84)*BU$4:BU83)),SUMPRODUCT(MAX((BO$4:BO83&gt;BO84)*BT$4:BT83))+Headway))</f>
        <v/>
      </c>
      <c r="BU84">
        <f>IF(BN84="","",BT84+BS84)</f>
        <v/>
      </c>
      <c r="BV84">
        <f>IF(BN84="","",BU84+BO84*WalkSec)</f>
        <v/>
      </c>
      <c r="BW84">
        <f>IF($G84=0,"",INDEX(AR$4:AR$183,R84))</f>
        <v/>
      </c>
      <c r="BX84">
        <f>IF($G84=0,"",INDEX(BB$4:BB$183,V84))</f>
        <v/>
      </c>
      <c r="BY84">
        <f>IF($G84=0,"",INDEX(BL$4:BL$183,Z84))</f>
        <v/>
      </c>
      <c r="BZ84">
        <f>IF($G84=0,"",INDEX(BV$4:BV$183,AD84))</f>
        <v/>
      </c>
    </row>
    <row r="85">
      <c r="A85" t="n">
        <v>82</v>
      </c>
      <c r="B85" t="n">
        <v>14</v>
      </c>
      <c r="C85" t="n">
        <v>2</v>
      </c>
      <c r="D85" t="n">
        <v>1</v>
      </c>
      <c r="E85" t="n">
        <v>28</v>
      </c>
      <c r="F85">
        <f>RAND()</f>
        <v/>
      </c>
      <c r="G85">
        <f>IF(SUMPRODUCT(($F$4:$F$183&lt;F85)*1)+SUMPRODUCT(($F$4:$F$183=F85)*($A$4:$A$183&lt;A85))&lt;Passengers,1,0)</f>
        <v/>
      </c>
      <c r="H85">
        <f>RAND()</f>
        <v/>
      </c>
      <c r="I85">
        <f>RAND()</f>
        <v/>
      </c>
      <c r="J85">
        <f>RAND()</f>
        <v/>
      </c>
      <c r="K85">
        <f>RAND()</f>
        <v/>
      </c>
      <c r="L85">
        <f>RAND()</f>
        <v/>
      </c>
      <c r="M85">
        <f>IF(K85&lt;BagShare,EXP(NORMSINV(L85)*StowSigma+StowMu),StowNoBag)</f>
        <v/>
      </c>
      <c r="N85">
        <f>IF(INDEX($AG$4:$AG$63,E85)&lt;GroupShare,1,0)</f>
        <v/>
      </c>
      <c r="P85">
        <f>IF(G85=1,IF(I85&gt;Compliance,J85,$H85),2)</f>
        <v/>
      </c>
      <c r="Q85">
        <f>IF(G85=0,2,IF(N85=0,P85,1-SUMPRODUCT(MAX(($E$4:$E$183=E85)*($G$4:$G$183=1)*(1-P$4:P$183)))+0.000000001*D85))</f>
        <v/>
      </c>
      <c r="R85">
        <f>IF(G85=0,999,SUMPRODUCT((Q$4:Q$183&lt;Q85)*($G$4:$G$183=1))+SUMPRODUCT((Q$4:Q$183=Q85)*($G$4:$G$183=1)*($A$4:$A$183&lt;A85))+1)</f>
        <v/>
      </c>
      <c r="T85">
        <f>IF(G85=1,IF(I85&gt;Compliance,J85,(INT((30-$B85)/(30/Zones))+$H85)/Zones),2)</f>
        <v/>
      </c>
      <c r="U85">
        <f>IF(G85=0,2,IF(N85=0,T85,1-SUMPRODUCT(MAX(($E$4:$E$183=E85)*($G$4:$G$183=1)*(1-T$4:T$183)))+0.000000001*D85))</f>
        <v/>
      </c>
      <c r="V85">
        <f>IF(G85=0,999,SUMPRODUCT((U$4:U$183&lt;U85)*($G$4:$G$183=1))+SUMPRODUCT((U$4:U$183=U85)*($G$4:$G$183=1)*($A$4:$A$183&lt;A85))+1)</f>
        <v/>
      </c>
      <c r="X85">
        <f>IF(G85=1,IF(I85&gt;Compliance,J85,(($D85-1)+$H85)/3),2)</f>
        <v/>
      </c>
      <c r="Y85">
        <f>IF(G85=0,2,IF(N85=0,X85,1-SUMPRODUCT(MAX(($E$4:$E$183=E85)*($G$4:$G$183=1)*(1-X$4:X$183)))+0.000000001*D85))</f>
        <v/>
      </c>
      <c r="Z85">
        <f>IF(G85=0,999,SUMPRODUCT((Y$4:Y$183&lt;Y85)*($G$4:$G$183=1))+SUMPRODUCT((Y$4:Y$183=Y85)*($G$4:$G$183=1)*($A$4:$A$183&lt;A85))+1)</f>
        <v/>
      </c>
      <c r="AB85">
        <f>IF(G85=1,IF(I85&gt;Compliance,J85,((($D85-1)*4+($C85-1)*2+MOD($B85,2))+(30-$B85)/30)/12),2)</f>
        <v/>
      </c>
      <c r="AC85">
        <f>IF(G85=0,2,IF(N85=0,AB85,1-SUMPRODUCT(MAX(($E$4:$E$183=E85)*($G$4:$G$183=1)*(1-AB$4:AB$183)))+0.000000001*D85))</f>
        <v/>
      </c>
      <c r="AD85">
        <f>IF(G85=0,999,SUMPRODUCT((AC$4:AC$183&lt;AC85)*($G$4:$G$183=1))+SUMPRODUCT((AC$4:AC$183=AC85)*($G$4:$G$183=1)*($A$4:$A$183&lt;A85))+1)</f>
        <v/>
      </c>
      <c r="AI85" t="n">
        <v>82</v>
      </c>
      <c r="AJ85">
        <f>IF(82&gt;Passengers,"",MATCH(82,R$4:R$183,0))</f>
        <v/>
      </c>
      <c r="AK85">
        <f>IF(AJ85="","",INDEX($B$4:$B$183,AJ85))</f>
        <v/>
      </c>
      <c r="AL85">
        <f>IF(AJ85="","",INDEX($C$4:$C$183,AJ85))</f>
        <v/>
      </c>
      <c r="AM85">
        <f>IF(AJ85="","",INDEX($D$4:$D$183,AJ85))</f>
        <v/>
      </c>
      <c r="AN85">
        <f>IF(AJ85="","",COUNTIFS($B$4:$B$183,AK85,$C$4:$C$183,AL85,$D$4:$D$183,"&gt;"&amp;AM85,R$4:R$183,"&lt;"&amp;82,$G$4:$G$183,1))</f>
        <v/>
      </c>
      <c r="AO85">
        <f>IF(AJ85="","",INDEX($M$4:$M$183,AJ85)+IF(AN85=1,Shuffle1,IF(AN85&gt;=2,Shuffle2,0)))</f>
        <v/>
      </c>
      <c r="AP85">
        <f>IF(AJ85="","",MAX(DoorGap*81,SUMPRODUCT(MAX((AK$4:AK84&lt;=AK85)*AQ$4:AQ84)),SUMPRODUCT(MAX((AK$4:AK84&gt;AK85)*AP$4:AP84))+Headway))</f>
        <v/>
      </c>
      <c r="AQ85">
        <f>IF(AJ85="","",AP85+AO85)</f>
        <v/>
      </c>
      <c r="AR85">
        <f>IF(AJ85="","",AQ85+AK85*WalkSec)</f>
        <v/>
      </c>
      <c r="AS85" t="n">
        <v>82</v>
      </c>
      <c r="AT85">
        <f>IF(82&gt;Passengers,"",MATCH(82,V$4:V$183,0))</f>
        <v/>
      </c>
      <c r="AU85">
        <f>IF(AT85="","",INDEX($B$4:$B$183,AT85))</f>
        <v/>
      </c>
      <c r="AV85">
        <f>IF(AT85="","",INDEX($C$4:$C$183,AT85))</f>
        <v/>
      </c>
      <c r="AW85">
        <f>IF(AT85="","",INDEX($D$4:$D$183,AT85))</f>
        <v/>
      </c>
      <c r="AX85">
        <f>IF(AT85="","",COUNTIFS($B$4:$B$183,AU85,$C$4:$C$183,AV85,$D$4:$D$183,"&gt;"&amp;AW85,V$4:V$183,"&lt;"&amp;82,$G$4:$G$183,1))</f>
        <v/>
      </c>
      <c r="AY85">
        <f>IF(AT85="","",INDEX($M$4:$M$183,AT85)+IF(AX85=1,Shuffle1,IF(AX85&gt;=2,Shuffle2,0)))</f>
        <v/>
      </c>
      <c r="AZ85">
        <f>IF(AT85="","",MAX(DoorGap*81,SUMPRODUCT(MAX((AU$4:AU84&lt;=AU85)*BA$4:BA84)),SUMPRODUCT(MAX((AU$4:AU84&gt;AU85)*AZ$4:AZ84))+Headway))</f>
        <v/>
      </c>
      <c r="BA85">
        <f>IF(AT85="","",AZ85+AY85)</f>
        <v/>
      </c>
      <c r="BB85">
        <f>IF(AT85="","",BA85+AU85*WalkSec)</f>
        <v/>
      </c>
      <c r="BC85" t="n">
        <v>82</v>
      </c>
      <c r="BD85">
        <f>IF(82&gt;Passengers,"",MATCH(82,Z$4:Z$183,0))</f>
        <v/>
      </c>
      <c r="BE85">
        <f>IF(BD85="","",INDEX($B$4:$B$183,BD85))</f>
        <v/>
      </c>
      <c r="BF85">
        <f>IF(BD85="","",INDEX($C$4:$C$183,BD85))</f>
        <v/>
      </c>
      <c r="BG85">
        <f>IF(BD85="","",INDEX($D$4:$D$183,BD85))</f>
        <v/>
      </c>
      <c r="BH85">
        <f>IF(BD85="","",COUNTIFS($B$4:$B$183,BE85,$C$4:$C$183,BF85,$D$4:$D$183,"&gt;"&amp;BG85,Z$4:Z$183,"&lt;"&amp;82,$G$4:$G$183,1))</f>
        <v/>
      </c>
      <c r="BI85">
        <f>IF(BD85="","",INDEX($M$4:$M$183,BD85)+IF(BH85=1,Shuffle1,IF(BH85&gt;=2,Shuffle2,0)))</f>
        <v/>
      </c>
      <c r="BJ85">
        <f>IF(BD85="","",MAX(DoorGap*81,SUMPRODUCT(MAX((BE$4:BE84&lt;=BE85)*BK$4:BK84)),SUMPRODUCT(MAX((BE$4:BE84&gt;BE85)*BJ$4:BJ84))+Headway))</f>
        <v/>
      </c>
      <c r="BK85">
        <f>IF(BD85="","",BJ85+BI85)</f>
        <v/>
      </c>
      <c r="BL85">
        <f>IF(BD85="","",BK85+BE85*WalkSec)</f>
        <v/>
      </c>
      <c r="BM85" t="n">
        <v>82</v>
      </c>
      <c r="BN85">
        <f>IF(82&gt;Passengers,"",MATCH(82,AD$4:AD$183,0))</f>
        <v/>
      </c>
      <c r="BO85">
        <f>IF(BN85="","",INDEX($B$4:$B$183,BN85))</f>
        <v/>
      </c>
      <c r="BP85">
        <f>IF(BN85="","",INDEX($C$4:$C$183,BN85))</f>
        <v/>
      </c>
      <c r="BQ85">
        <f>IF(BN85="","",INDEX($D$4:$D$183,BN85))</f>
        <v/>
      </c>
      <c r="BR85">
        <f>IF(BN85="","",COUNTIFS($B$4:$B$183,BO85,$C$4:$C$183,BP85,$D$4:$D$183,"&gt;"&amp;BQ85,AD$4:AD$183,"&lt;"&amp;82,$G$4:$G$183,1))</f>
        <v/>
      </c>
      <c r="BS85">
        <f>IF(BN85="","",INDEX($M$4:$M$183,BN85)+IF(BR85=1,Shuffle1,IF(BR85&gt;=2,Shuffle2,0)))</f>
        <v/>
      </c>
      <c r="BT85">
        <f>IF(BN85="","",MAX(DoorGap*81,SUMPRODUCT(MAX((BO$4:BO84&lt;=BO85)*BU$4:BU84)),SUMPRODUCT(MAX((BO$4:BO84&gt;BO85)*BT$4:BT84))+Headway))</f>
        <v/>
      </c>
      <c r="BU85">
        <f>IF(BN85="","",BT85+BS85)</f>
        <v/>
      </c>
      <c r="BV85">
        <f>IF(BN85="","",BU85+BO85*WalkSec)</f>
        <v/>
      </c>
      <c r="BW85">
        <f>IF($G85=0,"",INDEX(AR$4:AR$183,R85))</f>
        <v/>
      </c>
      <c r="BX85">
        <f>IF($G85=0,"",INDEX(BB$4:BB$183,V85))</f>
        <v/>
      </c>
      <c r="BY85">
        <f>IF($G85=0,"",INDEX(BL$4:BL$183,Z85))</f>
        <v/>
      </c>
      <c r="BZ85">
        <f>IF($G85=0,"",INDEX(BV$4:BV$183,AD85))</f>
        <v/>
      </c>
    </row>
    <row r="86">
      <c r="A86" t="n">
        <v>83</v>
      </c>
      <c r="B86" t="n">
        <v>14</v>
      </c>
      <c r="C86" t="n">
        <v>2</v>
      </c>
      <c r="D86" t="n">
        <v>2</v>
      </c>
      <c r="E86" t="n">
        <v>28</v>
      </c>
      <c r="F86">
        <f>RAND()</f>
        <v/>
      </c>
      <c r="G86">
        <f>IF(SUMPRODUCT(($F$4:$F$183&lt;F86)*1)+SUMPRODUCT(($F$4:$F$183=F86)*($A$4:$A$183&lt;A86))&lt;Passengers,1,0)</f>
        <v/>
      </c>
      <c r="H86">
        <f>RAND()</f>
        <v/>
      </c>
      <c r="I86">
        <f>RAND()</f>
        <v/>
      </c>
      <c r="J86">
        <f>RAND()</f>
        <v/>
      </c>
      <c r="K86">
        <f>RAND()</f>
        <v/>
      </c>
      <c r="L86">
        <f>RAND()</f>
        <v/>
      </c>
      <c r="M86">
        <f>IF(K86&lt;BagShare,EXP(NORMSINV(L86)*StowSigma+StowMu),StowNoBag)</f>
        <v/>
      </c>
      <c r="N86">
        <f>IF(INDEX($AG$4:$AG$63,E86)&lt;GroupShare,1,0)</f>
        <v/>
      </c>
      <c r="P86">
        <f>IF(G86=1,IF(I86&gt;Compliance,J86,$H86),2)</f>
        <v/>
      </c>
      <c r="Q86">
        <f>IF(G86=0,2,IF(N86=0,P86,1-SUMPRODUCT(MAX(($E$4:$E$183=E86)*($G$4:$G$183=1)*(1-P$4:P$183)))+0.000000001*D86))</f>
        <v/>
      </c>
      <c r="R86">
        <f>IF(G86=0,999,SUMPRODUCT((Q$4:Q$183&lt;Q86)*($G$4:$G$183=1))+SUMPRODUCT((Q$4:Q$183=Q86)*($G$4:$G$183=1)*($A$4:$A$183&lt;A86))+1)</f>
        <v/>
      </c>
      <c r="T86">
        <f>IF(G86=1,IF(I86&gt;Compliance,J86,(INT((30-$B86)/(30/Zones))+$H86)/Zones),2)</f>
        <v/>
      </c>
      <c r="U86">
        <f>IF(G86=0,2,IF(N86=0,T86,1-SUMPRODUCT(MAX(($E$4:$E$183=E86)*($G$4:$G$183=1)*(1-T$4:T$183)))+0.000000001*D86))</f>
        <v/>
      </c>
      <c r="V86">
        <f>IF(G86=0,999,SUMPRODUCT((U$4:U$183&lt;U86)*($G$4:$G$183=1))+SUMPRODUCT((U$4:U$183=U86)*($G$4:$G$183=1)*($A$4:$A$183&lt;A86))+1)</f>
        <v/>
      </c>
      <c r="X86">
        <f>IF(G86=1,IF(I86&gt;Compliance,J86,(($D86-1)+$H86)/3),2)</f>
        <v/>
      </c>
      <c r="Y86">
        <f>IF(G86=0,2,IF(N86=0,X86,1-SUMPRODUCT(MAX(($E$4:$E$183=E86)*($G$4:$G$183=1)*(1-X$4:X$183)))+0.000000001*D86))</f>
        <v/>
      </c>
      <c r="Z86">
        <f>IF(G86=0,999,SUMPRODUCT((Y$4:Y$183&lt;Y86)*($G$4:$G$183=1))+SUMPRODUCT((Y$4:Y$183=Y86)*($G$4:$G$183=1)*($A$4:$A$183&lt;A86))+1)</f>
        <v/>
      </c>
      <c r="AB86">
        <f>IF(G86=1,IF(I86&gt;Compliance,J86,((($D86-1)*4+($C86-1)*2+MOD($B86,2))+(30-$B86)/30)/12),2)</f>
        <v/>
      </c>
      <c r="AC86">
        <f>IF(G86=0,2,IF(N86=0,AB86,1-SUMPRODUCT(MAX(($E$4:$E$183=E86)*($G$4:$G$183=1)*(1-AB$4:AB$183)))+0.000000001*D86))</f>
        <v/>
      </c>
      <c r="AD86">
        <f>IF(G86=0,999,SUMPRODUCT((AC$4:AC$183&lt;AC86)*($G$4:$G$183=1))+SUMPRODUCT((AC$4:AC$183=AC86)*($G$4:$G$183=1)*($A$4:$A$183&lt;A86))+1)</f>
        <v/>
      </c>
      <c r="AI86" t="n">
        <v>83</v>
      </c>
      <c r="AJ86">
        <f>IF(83&gt;Passengers,"",MATCH(83,R$4:R$183,0))</f>
        <v/>
      </c>
      <c r="AK86">
        <f>IF(AJ86="","",INDEX($B$4:$B$183,AJ86))</f>
        <v/>
      </c>
      <c r="AL86">
        <f>IF(AJ86="","",INDEX($C$4:$C$183,AJ86))</f>
        <v/>
      </c>
      <c r="AM86">
        <f>IF(AJ86="","",INDEX($D$4:$D$183,AJ86))</f>
        <v/>
      </c>
      <c r="AN86">
        <f>IF(AJ86="","",COUNTIFS($B$4:$B$183,AK86,$C$4:$C$183,AL86,$D$4:$D$183,"&gt;"&amp;AM86,R$4:R$183,"&lt;"&amp;83,$G$4:$G$183,1))</f>
        <v/>
      </c>
      <c r="AO86">
        <f>IF(AJ86="","",INDEX($M$4:$M$183,AJ86)+IF(AN86=1,Shuffle1,IF(AN86&gt;=2,Shuffle2,0)))</f>
        <v/>
      </c>
      <c r="AP86">
        <f>IF(AJ86="","",MAX(DoorGap*82,SUMPRODUCT(MAX((AK$4:AK85&lt;=AK86)*AQ$4:AQ85)),SUMPRODUCT(MAX((AK$4:AK85&gt;AK86)*AP$4:AP85))+Headway))</f>
        <v/>
      </c>
      <c r="AQ86">
        <f>IF(AJ86="","",AP86+AO86)</f>
        <v/>
      </c>
      <c r="AR86">
        <f>IF(AJ86="","",AQ86+AK86*WalkSec)</f>
        <v/>
      </c>
      <c r="AS86" t="n">
        <v>83</v>
      </c>
      <c r="AT86">
        <f>IF(83&gt;Passengers,"",MATCH(83,V$4:V$183,0))</f>
        <v/>
      </c>
      <c r="AU86">
        <f>IF(AT86="","",INDEX($B$4:$B$183,AT86))</f>
        <v/>
      </c>
      <c r="AV86">
        <f>IF(AT86="","",INDEX($C$4:$C$183,AT86))</f>
        <v/>
      </c>
      <c r="AW86">
        <f>IF(AT86="","",INDEX($D$4:$D$183,AT86))</f>
        <v/>
      </c>
      <c r="AX86">
        <f>IF(AT86="","",COUNTIFS($B$4:$B$183,AU86,$C$4:$C$183,AV86,$D$4:$D$183,"&gt;"&amp;AW86,V$4:V$183,"&lt;"&amp;83,$G$4:$G$183,1))</f>
        <v/>
      </c>
      <c r="AY86">
        <f>IF(AT86="","",INDEX($M$4:$M$183,AT86)+IF(AX86=1,Shuffle1,IF(AX86&gt;=2,Shuffle2,0)))</f>
        <v/>
      </c>
      <c r="AZ86">
        <f>IF(AT86="","",MAX(DoorGap*82,SUMPRODUCT(MAX((AU$4:AU85&lt;=AU86)*BA$4:BA85)),SUMPRODUCT(MAX((AU$4:AU85&gt;AU86)*AZ$4:AZ85))+Headway))</f>
        <v/>
      </c>
      <c r="BA86">
        <f>IF(AT86="","",AZ86+AY86)</f>
        <v/>
      </c>
      <c r="BB86">
        <f>IF(AT86="","",BA86+AU86*WalkSec)</f>
        <v/>
      </c>
      <c r="BC86" t="n">
        <v>83</v>
      </c>
      <c r="BD86">
        <f>IF(83&gt;Passengers,"",MATCH(83,Z$4:Z$183,0))</f>
        <v/>
      </c>
      <c r="BE86">
        <f>IF(BD86="","",INDEX($B$4:$B$183,BD86))</f>
        <v/>
      </c>
      <c r="BF86">
        <f>IF(BD86="","",INDEX($C$4:$C$183,BD86))</f>
        <v/>
      </c>
      <c r="BG86">
        <f>IF(BD86="","",INDEX($D$4:$D$183,BD86))</f>
        <v/>
      </c>
      <c r="BH86">
        <f>IF(BD86="","",COUNTIFS($B$4:$B$183,BE86,$C$4:$C$183,BF86,$D$4:$D$183,"&gt;"&amp;BG86,Z$4:Z$183,"&lt;"&amp;83,$G$4:$G$183,1))</f>
        <v/>
      </c>
      <c r="BI86">
        <f>IF(BD86="","",INDEX($M$4:$M$183,BD86)+IF(BH86=1,Shuffle1,IF(BH86&gt;=2,Shuffle2,0)))</f>
        <v/>
      </c>
      <c r="BJ86">
        <f>IF(BD86="","",MAX(DoorGap*82,SUMPRODUCT(MAX((BE$4:BE85&lt;=BE86)*BK$4:BK85)),SUMPRODUCT(MAX((BE$4:BE85&gt;BE86)*BJ$4:BJ85))+Headway))</f>
        <v/>
      </c>
      <c r="BK86">
        <f>IF(BD86="","",BJ86+BI86)</f>
        <v/>
      </c>
      <c r="BL86">
        <f>IF(BD86="","",BK86+BE86*WalkSec)</f>
        <v/>
      </c>
      <c r="BM86" t="n">
        <v>83</v>
      </c>
      <c r="BN86">
        <f>IF(83&gt;Passengers,"",MATCH(83,AD$4:AD$183,0))</f>
        <v/>
      </c>
      <c r="BO86">
        <f>IF(BN86="","",INDEX($B$4:$B$183,BN86))</f>
        <v/>
      </c>
      <c r="BP86">
        <f>IF(BN86="","",INDEX($C$4:$C$183,BN86))</f>
        <v/>
      </c>
      <c r="BQ86">
        <f>IF(BN86="","",INDEX($D$4:$D$183,BN86))</f>
        <v/>
      </c>
      <c r="BR86">
        <f>IF(BN86="","",COUNTIFS($B$4:$B$183,BO86,$C$4:$C$183,BP86,$D$4:$D$183,"&gt;"&amp;BQ86,AD$4:AD$183,"&lt;"&amp;83,$G$4:$G$183,1))</f>
        <v/>
      </c>
      <c r="BS86">
        <f>IF(BN86="","",INDEX($M$4:$M$183,BN86)+IF(BR86=1,Shuffle1,IF(BR86&gt;=2,Shuffle2,0)))</f>
        <v/>
      </c>
      <c r="BT86">
        <f>IF(BN86="","",MAX(DoorGap*82,SUMPRODUCT(MAX((BO$4:BO85&lt;=BO86)*BU$4:BU85)),SUMPRODUCT(MAX((BO$4:BO85&gt;BO86)*BT$4:BT85))+Headway))</f>
        <v/>
      </c>
      <c r="BU86">
        <f>IF(BN86="","",BT86+BS86)</f>
        <v/>
      </c>
      <c r="BV86">
        <f>IF(BN86="","",BU86+BO86*WalkSec)</f>
        <v/>
      </c>
      <c r="BW86">
        <f>IF($G86=0,"",INDEX(AR$4:AR$183,R86))</f>
        <v/>
      </c>
      <c r="BX86">
        <f>IF($G86=0,"",INDEX(BB$4:BB$183,V86))</f>
        <v/>
      </c>
      <c r="BY86">
        <f>IF($G86=0,"",INDEX(BL$4:BL$183,Z86))</f>
        <v/>
      </c>
      <c r="BZ86">
        <f>IF($G86=0,"",INDEX(BV$4:BV$183,AD86))</f>
        <v/>
      </c>
    </row>
    <row r="87">
      <c r="A87" t="n">
        <v>84</v>
      </c>
      <c r="B87" t="n">
        <v>14</v>
      </c>
      <c r="C87" t="n">
        <v>2</v>
      </c>
      <c r="D87" t="n">
        <v>3</v>
      </c>
      <c r="E87" t="n">
        <v>28</v>
      </c>
      <c r="F87">
        <f>RAND()</f>
        <v/>
      </c>
      <c r="G87">
        <f>IF(SUMPRODUCT(($F$4:$F$183&lt;F87)*1)+SUMPRODUCT(($F$4:$F$183=F87)*($A$4:$A$183&lt;A87))&lt;Passengers,1,0)</f>
        <v/>
      </c>
      <c r="H87">
        <f>RAND()</f>
        <v/>
      </c>
      <c r="I87">
        <f>RAND()</f>
        <v/>
      </c>
      <c r="J87">
        <f>RAND()</f>
        <v/>
      </c>
      <c r="K87">
        <f>RAND()</f>
        <v/>
      </c>
      <c r="L87">
        <f>RAND()</f>
        <v/>
      </c>
      <c r="M87">
        <f>IF(K87&lt;BagShare,EXP(NORMSINV(L87)*StowSigma+StowMu),StowNoBag)</f>
        <v/>
      </c>
      <c r="N87">
        <f>IF(INDEX($AG$4:$AG$63,E87)&lt;GroupShare,1,0)</f>
        <v/>
      </c>
      <c r="P87">
        <f>IF(G87=1,IF(I87&gt;Compliance,J87,$H87),2)</f>
        <v/>
      </c>
      <c r="Q87">
        <f>IF(G87=0,2,IF(N87=0,P87,1-SUMPRODUCT(MAX(($E$4:$E$183=E87)*($G$4:$G$183=1)*(1-P$4:P$183)))+0.000000001*D87))</f>
        <v/>
      </c>
      <c r="R87">
        <f>IF(G87=0,999,SUMPRODUCT((Q$4:Q$183&lt;Q87)*($G$4:$G$183=1))+SUMPRODUCT((Q$4:Q$183=Q87)*($G$4:$G$183=1)*($A$4:$A$183&lt;A87))+1)</f>
        <v/>
      </c>
      <c r="T87">
        <f>IF(G87=1,IF(I87&gt;Compliance,J87,(INT((30-$B87)/(30/Zones))+$H87)/Zones),2)</f>
        <v/>
      </c>
      <c r="U87">
        <f>IF(G87=0,2,IF(N87=0,T87,1-SUMPRODUCT(MAX(($E$4:$E$183=E87)*($G$4:$G$183=1)*(1-T$4:T$183)))+0.000000001*D87))</f>
        <v/>
      </c>
      <c r="V87">
        <f>IF(G87=0,999,SUMPRODUCT((U$4:U$183&lt;U87)*($G$4:$G$183=1))+SUMPRODUCT((U$4:U$183=U87)*($G$4:$G$183=1)*($A$4:$A$183&lt;A87))+1)</f>
        <v/>
      </c>
      <c r="X87">
        <f>IF(G87=1,IF(I87&gt;Compliance,J87,(($D87-1)+$H87)/3),2)</f>
        <v/>
      </c>
      <c r="Y87">
        <f>IF(G87=0,2,IF(N87=0,X87,1-SUMPRODUCT(MAX(($E$4:$E$183=E87)*($G$4:$G$183=1)*(1-X$4:X$183)))+0.000000001*D87))</f>
        <v/>
      </c>
      <c r="Z87">
        <f>IF(G87=0,999,SUMPRODUCT((Y$4:Y$183&lt;Y87)*($G$4:$G$183=1))+SUMPRODUCT((Y$4:Y$183=Y87)*($G$4:$G$183=1)*($A$4:$A$183&lt;A87))+1)</f>
        <v/>
      </c>
      <c r="AB87">
        <f>IF(G87=1,IF(I87&gt;Compliance,J87,((($D87-1)*4+($C87-1)*2+MOD($B87,2))+(30-$B87)/30)/12),2)</f>
        <v/>
      </c>
      <c r="AC87">
        <f>IF(G87=0,2,IF(N87=0,AB87,1-SUMPRODUCT(MAX(($E$4:$E$183=E87)*($G$4:$G$183=1)*(1-AB$4:AB$183)))+0.000000001*D87))</f>
        <v/>
      </c>
      <c r="AD87">
        <f>IF(G87=0,999,SUMPRODUCT((AC$4:AC$183&lt;AC87)*($G$4:$G$183=1))+SUMPRODUCT((AC$4:AC$183=AC87)*($G$4:$G$183=1)*($A$4:$A$183&lt;A87))+1)</f>
        <v/>
      </c>
      <c r="AI87" t="n">
        <v>84</v>
      </c>
      <c r="AJ87">
        <f>IF(84&gt;Passengers,"",MATCH(84,R$4:R$183,0))</f>
        <v/>
      </c>
      <c r="AK87">
        <f>IF(AJ87="","",INDEX($B$4:$B$183,AJ87))</f>
        <v/>
      </c>
      <c r="AL87">
        <f>IF(AJ87="","",INDEX($C$4:$C$183,AJ87))</f>
        <v/>
      </c>
      <c r="AM87">
        <f>IF(AJ87="","",INDEX($D$4:$D$183,AJ87))</f>
        <v/>
      </c>
      <c r="AN87">
        <f>IF(AJ87="","",COUNTIFS($B$4:$B$183,AK87,$C$4:$C$183,AL87,$D$4:$D$183,"&gt;"&amp;AM87,R$4:R$183,"&lt;"&amp;84,$G$4:$G$183,1))</f>
        <v/>
      </c>
      <c r="AO87">
        <f>IF(AJ87="","",INDEX($M$4:$M$183,AJ87)+IF(AN87=1,Shuffle1,IF(AN87&gt;=2,Shuffle2,0)))</f>
        <v/>
      </c>
      <c r="AP87">
        <f>IF(AJ87="","",MAX(DoorGap*83,SUMPRODUCT(MAX((AK$4:AK86&lt;=AK87)*AQ$4:AQ86)),SUMPRODUCT(MAX((AK$4:AK86&gt;AK87)*AP$4:AP86))+Headway))</f>
        <v/>
      </c>
      <c r="AQ87">
        <f>IF(AJ87="","",AP87+AO87)</f>
        <v/>
      </c>
      <c r="AR87">
        <f>IF(AJ87="","",AQ87+AK87*WalkSec)</f>
        <v/>
      </c>
      <c r="AS87" t="n">
        <v>84</v>
      </c>
      <c r="AT87">
        <f>IF(84&gt;Passengers,"",MATCH(84,V$4:V$183,0))</f>
        <v/>
      </c>
      <c r="AU87">
        <f>IF(AT87="","",INDEX($B$4:$B$183,AT87))</f>
        <v/>
      </c>
      <c r="AV87">
        <f>IF(AT87="","",INDEX($C$4:$C$183,AT87))</f>
        <v/>
      </c>
      <c r="AW87">
        <f>IF(AT87="","",INDEX($D$4:$D$183,AT87))</f>
        <v/>
      </c>
      <c r="AX87">
        <f>IF(AT87="","",COUNTIFS($B$4:$B$183,AU87,$C$4:$C$183,AV87,$D$4:$D$183,"&gt;"&amp;AW87,V$4:V$183,"&lt;"&amp;84,$G$4:$G$183,1))</f>
        <v/>
      </c>
      <c r="AY87">
        <f>IF(AT87="","",INDEX($M$4:$M$183,AT87)+IF(AX87=1,Shuffle1,IF(AX87&gt;=2,Shuffle2,0)))</f>
        <v/>
      </c>
      <c r="AZ87">
        <f>IF(AT87="","",MAX(DoorGap*83,SUMPRODUCT(MAX((AU$4:AU86&lt;=AU87)*BA$4:BA86)),SUMPRODUCT(MAX((AU$4:AU86&gt;AU87)*AZ$4:AZ86))+Headway))</f>
        <v/>
      </c>
      <c r="BA87">
        <f>IF(AT87="","",AZ87+AY87)</f>
        <v/>
      </c>
      <c r="BB87">
        <f>IF(AT87="","",BA87+AU87*WalkSec)</f>
        <v/>
      </c>
      <c r="BC87" t="n">
        <v>84</v>
      </c>
      <c r="BD87">
        <f>IF(84&gt;Passengers,"",MATCH(84,Z$4:Z$183,0))</f>
        <v/>
      </c>
      <c r="BE87">
        <f>IF(BD87="","",INDEX($B$4:$B$183,BD87))</f>
        <v/>
      </c>
      <c r="BF87">
        <f>IF(BD87="","",INDEX($C$4:$C$183,BD87))</f>
        <v/>
      </c>
      <c r="BG87">
        <f>IF(BD87="","",INDEX($D$4:$D$183,BD87))</f>
        <v/>
      </c>
      <c r="BH87">
        <f>IF(BD87="","",COUNTIFS($B$4:$B$183,BE87,$C$4:$C$183,BF87,$D$4:$D$183,"&gt;"&amp;BG87,Z$4:Z$183,"&lt;"&amp;84,$G$4:$G$183,1))</f>
        <v/>
      </c>
      <c r="BI87">
        <f>IF(BD87="","",INDEX($M$4:$M$183,BD87)+IF(BH87=1,Shuffle1,IF(BH87&gt;=2,Shuffle2,0)))</f>
        <v/>
      </c>
      <c r="BJ87">
        <f>IF(BD87="","",MAX(DoorGap*83,SUMPRODUCT(MAX((BE$4:BE86&lt;=BE87)*BK$4:BK86)),SUMPRODUCT(MAX((BE$4:BE86&gt;BE87)*BJ$4:BJ86))+Headway))</f>
        <v/>
      </c>
      <c r="BK87">
        <f>IF(BD87="","",BJ87+BI87)</f>
        <v/>
      </c>
      <c r="BL87">
        <f>IF(BD87="","",BK87+BE87*WalkSec)</f>
        <v/>
      </c>
      <c r="BM87" t="n">
        <v>84</v>
      </c>
      <c r="BN87">
        <f>IF(84&gt;Passengers,"",MATCH(84,AD$4:AD$183,0))</f>
        <v/>
      </c>
      <c r="BO87">
        <f>IF(BN87="","",INDEX($B$4:$B$183,BN87))</f>
        <v/>
      </c>
      <c r="BP87">
        <f>IF(BN87="","",INDEX($C$4:$C$183,BN87))</f>
        <v/>
      </c>
      <c r="BQ87">
        <f>IF(BN87="","",INDEX($D$4:$D$183,BN87))</f>
        <v/>
      </c>
      <c r="BR87">
        <f>IF(BN87="","",COUNTIFS($B$4:$B$183,BO87,$C$4:$C$183,BP87,$D$4:$D$183,"&gt;"&amp;BQ87,AD$4:AD$183,"&lt;"&amp;84,$G$4:$G$183,1))</f>
        <v/>
      </c>
      <c r="BS87">
        <f>IF(BN87="","",INDEX($M$4:$M$183,BN87)+IF(BR87=1,Shuffle1,IF(BR87&gt;=2,Shuffle2,0)))</f>
        <v/>
      </c>
      <c r="BT87">
        <f>IF(BN87="","",MAX(DoorGap*83,SUMPRODUCT(MAX((BO$4:BO86&lt;=BO87)*BU$4:BU86)),SUMPRODUCT(MAX((BO$4:BO86&gt;BO87)*BT$4:BT86))+Headway))</f>
        <v/>
      </c>
      <c r="BU87">
        <f>IF(BN87="","",BT87+BS87)</f>
        <v/>
      </c>
      <c r="BV87">
        <f>IF(BN87="","",BU87+BO87*WalkSec)</f>
        <v/>
      </c>
      <c r="BW87">
        <f>IF($G87=0,"",INDEX(AR$4:AR$183,R87))</f>
        <v/>
      </c>
      <c r="BX87">
        <f>IF($G87=0,"",INDEX(BB$4:BB$183,V87))</f>
        <v/>
      </c>
      <c r="BY87">
        <f>IF($G87=0,"",INDEX(BL$4:BL$183,Z87))</f>
        <v/>
      </c>
      <c r="BZ87">
        <f>IF($G87=0,"",INDEX(BV$4:BV$183,AD87))</f>
        <v/>
      </c>
    </row>
    <row r="88">
      <c r="A88" t="n">
        <v>85</v>
      </c>
      <c r="B88" t="n">
        <v>15</v>
      </c>
      <c r="C88" t="n">
        <v>1</v>
      </c>
      <c r="D88" t="n">
        <v>1</v>
      </c>
      <c r="E88" t="n">
        <v>29</v>
      </c>
      <c r="F88">
        <f>RAND()</f>
        <v/>
      </c>
      <c r="G88">
        <f>IF(SUMPRODUCT(($F$4:$F$183&lt;F88)*1)+SUMPRODUCT(($F$4:$F$183=F88)*($A$4:$A$183&lt;A88))&lt;Passengers,1,0)</f>
        <v/>
      </c>
      <c r="H88">
        <f>RAND()</f>
        <v/>
      </c>
      <c r="I88">
        <f>RAND()</f>
        <v/>
      </c>
      <c r="J88">
        <f>RAND()</f>
        <v/>
      </c>
      <c r="K88">
        <f>RAND()</f>
        <v/>
      </c>
      <c r="L88">
        <f>RAND()</f>
        <v/>
      </c>
      <c r="M88">
        <f>IF(K88&lt;BagShare,EXP(NORMSINV(L88)*StowSigma+StowMu),StowNoBag)</f>
        <v/>
      </c>
      <c r="N88">
        <f>IF(INDEX($AG$4:$AG$63,E88)&lt;GroupShare,1,0)</f>
        <v/>
      </c>
      <c r="P88">
        <f>IF(G88=1,IF(I88&gt;Compliance,J88,$H88),2)</f>
        <v/>
      </c>
      <c r="Q88">
        <f>IF(G88=0,2,IF(N88=0,P88,1-SUMPRODUCT(MAX(($E$4:$E$183=E88)*($G$4:$G$183=1)*(1-P$4:P$183)))+0.000000001*D88))</f>
        <v/>
      </c>
      <c r="R88">
        <f>IF(G88=0,999,SUMPRODUCT((Q$4:Q$183&lt;Q88)*($G$4:$G$183=1))+SUMPRODUCT((Q$4:Q$183=Q88)*($G$4:$G$183=1)*($A$4:$A$183&lt;A88))+1)</f>
        <v/>
      </c>
      <c r="T88">
        <f>IF(G88=1,IF(I88&gt;Compliance,J88,(INT((30-$B88)/(30/Zones))+$H88)/Zones),2)</f>
        <v/>
      </c>
      <c r="U88">
        <f>IF(G88=0,2,IF(N88=0,T88,1-SUMPRODUCT(MAX(($E$4:$E$183=E88)*($G$4:$G$183=1)*(1-T$4:T$183)))+0.000000001*D88))</f>
        <v/>
      </c>
      <c r="V88">
        <f>IF(G88=0,999,SUMPRODUCT((U$4:U$183&lt;U88)*($G$4:$G$183=1))+SUMPRODUCT((U$4:U$183=U88)*($G$4:$G$183=1)*($A$4:$A$183&lt;A88))+1)</f>
        <v/>
      </c>
      <c r="X88">
        <f>IF(G88=1,IF(I88&gt;Compliance,J88,(($D88-1)+$H88)/3),2)</f>
        <v/>
      </c>
      <c r="Y88">
        <f>IF(G88=0,2,IF(N88=0,X88,1-SUMPRODUCT(MAX(($E$4:$E$183=E88)*($G$4:$G$183=1)*(1-X$4:X$183)))+0.000000001*D88))</f>
        <v/>
      </c>
      <c r="Z88">
        <f>IF(G88=0,999,SUMPRODUCT((Y$4:Y$183&lt;Y88)*($G$4:$G$183=1))+SUMPRODUCT((Y$4:Y$183=Y88)*($G$4:$G$183=1)*($A$4:$A$183&lt;A88))+1)</f>
        <v/>
      </c>
      <c r="AB88">
        <f>IF(G88=1,IF(I88&gt;Compliance,J88,((($D88-1)*4+($C88-1)*2+MOD($B88,2))+(30-$B88)/30)/12),2)</f>
        <v/>
      </c>
      <c r="AC88">
        <f>IF(G88=0,2,IF(N88=0,AB88,1-SUMPRODUCT(MAX(($E$4:$E$183=E88)*($G$4:$G$183=1)*(1-AB$4:AB$183)))+0.000000001*D88))</f>
        <v/>
      </c>
      <c r="AD88">
        <f>IF(G88=0,999,SUMPRODUCT((AC$4:AC$183&lt;AC88)*($G$4:$G$183=1))+SUMPRODUCT((AC$4:AC$183=AC88)*($G$4:$G$183=1)*($A$4:$A$183&lt;A88))+1)</f>
        <v/>
      </c>
      <c r="AI88" t="n">
        <v>85</v>
      </c>
      <c r="AJ88">
        <f>IF(85&gt;Passengers,"",MATCH(85,R$4:R$183,0))</f>
        <v/>
      </c>
      <c r="AK88">
        <f>IF(AJ88="","",INDEX($B$4:$B$183,AJ88))</f>
        <v/>
      </c>
      <c r="AL88">
        <f>IF(AJ88="","",INDEX($C$4:$C$183,AJ88))</f>
        <v/>
      </c>
      <c r="AM88">
        <f>IF(AJ88="","",INDEX($D$4:$D$183,AJ88))</f>
        <v/>
      </c>
      <c r="AN88">
        <f>IF(AJ88="","",COUNTIFS($B$4:$B$183,AK88,$C$4:$C$183,AL88,$D$4:$D$183,"&gt;"&amp;AM88,R$4:R$183,"&lt;"&amp;85,$G$4:$G$183,1))</f>
        <v/>
      </c>
      <c r="AO88">
        <f>IF(AJ88="","",INDEX($M$4:$M$183,AJ88)+IF(AN88=1,Shuffle1,IF(AN88&gt;=2,Shuffle2,0)))</f>
        <v/>
      </c>
      <c r="AP88">
        <f>IF(AJ88="","",MAX(DoorGap*84,SUMPRODUCT(MAX((AK$4:AK87&lt;=AK88)*AQ$4:AQ87)),SUMPRODUCT(MAX((AK$4:AK87&gt;AK88)*AP$4:AP87))+Headway))</f>
        <v/>
      </c>
      <c r="AQ88">
        <f>IF(AJ88="","",AP88+AO88)</f>
        <v/>
      </c>
      <c r="AR88">
        <f>IF(AJ88="","",AQ88+AK88*WalkSec)</f>
        <v/>
      </c>
      <c r="AS88" t="n">
        <v>85</v>
      </c>
      <c r="AT88">
        <f>IF(85&gt;Passengers,"",MATCH(85,V$4:V$183,0))</f>
        <v/>
      </c>
      <c r="AU88">
        <f>IF(AT88="","",INDEX($B$4:$B$183,AT88))</f>
        <v/>
      </c>
      <c r="AV88">
        <f>IF(AT88="","",INDEX($C$4:$C$183,AT88))</f>
        <v/>
      </c>
      <c r="AW88">
        <f>IF(AT88="","",INDEX($D$4:$D$183,AT88))</f>
        <v/>
      </c>
      <c r="AX88">
        <f>IF(AT88="","",COUNTIFS($B$4:$B$183,AU88,$C$4:$C$183,AV88,$D$4:$D$183,"&gt;"&amp;AW88,V$4:V$183,"&lt;"&amp;85,$G$4:$G$183,1))</f>
        <v/>
      </c>
      <c r="AY88">
        <f>IF(AT88="","",INDEX($M$4:$M$183,AT88)+IF(AX88=1,Shuffle1,IF(AX88&gt;=2,Shuffle2,0)))</f>
        <v/>
      </c>
      <c r="AZ88">
        <f>IF(AT88="","",MAX(DoorGap*84,SUMPRODUCT(MAX((AU$4:AU87&lt;=AU88)*BA$4:BA87)),SUMPRODUCT(MAX((AU$4:AU87&gt;AU88)*AZ$4:AZ87))+Headway))</f>
        <v/>
      </c>
      <c r="BA88">
        <f>IF(AT88="","",AZ88+AY88)</f>
        <v/>
      </c>
      <c r="BB88">
        <f>IF(AT88="","",BA88+AU88*WalkSec)</f>
        <v/>
      </c>
      <c r="BC88" t="n">
        <v>85</v>
      </c>
      <c r="BD88">
        <f>IF(85&gt;Passengers,"",MATCH(85,Z$4:Z$183,0))</f>
        <v/>
      </c>
      <c r="BE88">
        <f>IF(BD88="","",INDEX($B$4:$B$183,BD88))</f>
        <v/>
      </c>
      <c r="BF88">
        <f>IF(BD88="","",INDEX($C$4:$C$183,BD88))</f>
        <v/>
      </c>
      <c r="BG88">
        <f>IF(BD88="","",INDEX($D$4:$D$183,BD88))</f>
        <v/>
      </c>
      <c r="BH88">
        <f>IF(BD88="","",COUNTIFS($B$4:$B$183,BE88,$C$4:$C$183,BF88,$D$4:$D$183,"&gt;"&amp;BG88,Z$4:Z$183,"&lt;"&amp;85,$G$4:$G$183,1))</f>
        <v/>
      </c>
      <c r="BI88">
        <f>IF(BD88="","",INDEX($M$4:$M$183,BD88)+IF(BH88=1,Shuffle1,IF(BH88&gt;=2,Shuffle2,0)))</f>
        <v/>
      </c>
      <c r="BJ88">
        <f>IF(BD88="","",MAX(DoorGap*84,SUMPRODUCT(MAX((BE$4:BE87&lt;=BE88)*BK$4:BK87)),SUMPRODUCT(MAX((BE$4:BE87&gt;BE88)*BJ$4:BJ87))+Headway))</f>
        <v/>
      </c>
      <c r="BK88">
        <f>IF(BD88="","",BJ88+BI88)</f>
        <v/>
      </c>
      <c r="BL88">
        <f>IF(BD88="","",BK88+BE88*WalkSec)</f>
        <v/>
      </c>
      <c r="BM88" t="n">
        <v>85</v>
      </c>
      <c r="BN88">
        <f>IF(85&gt;Passengers,"",MATCH(85,AD$4:AD$183,0))</f>
        <v/>
      </c>
      <c r="BO88">
        <f>IF(BN88="","",INDEX($B$4:$B$183,BN88))</f>
        <v/>
      </c>
      <c r="BP88">
        <f>IF(BN88="","",INDEX($C$4:$C$183,BN88))</f>
        <v/>
      </c>
      <c r="BQ88">
        <f>IF(BN88="","",INDEX($D$4:$D$183,BN88))</f>
        <v/>
      </c>
      <c r="BR88">
        <f>IF(BN88="","",COUNTIFS($B$4:$B$183,BO88,$C$4:$C$183,BP88,$D$4:$D$183,"&gt;"&amp;BQ88,AD$4:AD$183,"&lt;"&amp;85,$G$4:$G$183,1))</f>
        <v/>
      </c>
      <c r="BS88">
        <f>IF(BN88="","",INDEX($M$4:$M$183,BN88)+IF(BR88=1,Shuffle1,IF(BR88&gt;=2,Shuffle2,0)))</f>
        <v/>
      </c>
      <c r="BT88">
        <f>IF(BN88="","",MAX(DoorGap*84,SUMPRODUCT(MAX((BO$4:BO87&lt;=BO88)*BU$4:BU87)),SUMPRODUCT(MAX((BO$4:BO87&gt;BO88)*BT$4:BT87))+Headway))</f>
        <v/>
      </c>
      <c r="BU88">
        <f>IF(BN88="","",BT88+BS88)</f>
        <v/>
      </c>
      <c r="BV88">
        <f>IF(BN88="","",BU88+BO88*WalkSec)</f>
        <v/>
      </c>
      <c r="BW88">
        <f>IF($G88=0,"",INDEX(AR$4:AR$183,R88))</f>
        <v/>
      </c>
      <c r="BX88">
        <f>IF($G88=0,"",INDEX(BB$4:BB$183,V88))</f>
        <v/>
      </c>
      <c r="BY88">
        <f>IF($G88=0,"",INDEX(BL$4:BL$183,Z88))</f>
        <v/>
      </c>
      <c r="BZ88">
        <f>IF($G88=0,"",INDEX(BV$4:BV$183,AD88))</f>
        <v/>
      </c>
    </row>
    <row r="89">
      <c r="A89" t="n">
        <v>86</v>
      </c>
      <c r="B89" t="n">
        <v>15</v>
      </c>
      <c r="C89" t="n">
        <v>1</v>
      </c>
      <c r="D89" t="n">
        <v>2</v>
      </c>
      <c r="E89" t="n">
        <v>29</v>
      </c>
      <c r="F89">
        <f>RAND()</f>
        <v/>
      </c>
      <c r="G89">
        <f>IF(SUMPRODUCT(($F$4:$F$183&lt;F89)*1)+SUMPRODUCT(($F$4:$F$183=F89)*($A$4:$A$183&lt;A89))&lt;Passengers,1,0)</f>
        <v/>
      </c>
      <c r="H89">
        <f>RAND()</f>
        <v/>
      </c>
      <c r="I89">
        <f>RAND()</f>
        <v/>
      </c>
      <c r="J89">
        <f>RAND()</f>
        <v/>
      </c>
      <c r="K89">
        <f>RAND()</f>
        <v/>
      </c>
      <c r="L89">
        <f>RAND()</f>
        <v/>
      </c>
      <c r="M89">
        <f>IF(K89&lt;BagShare,EXP(NORMSINV(L89)*StowSigma+StowMu),StowNoBag)</f>
        <v/>
      </c>
      <c r="N89">
        <f>IF(INDEX($AG$4:$AG$63,E89)&lt;GroupShare,1,0)</f>
        <v/>
      </c>
      <c r="P89">
        <f>IF(G89=1,IF(I89&gt;Compliance,J89,$H89),2)</f>
        <v/>
      </c>
      <c r="Q89">
        <f>IF(G89=0,2,IF(N89=0,P89,1-SUMPRODUCT(MAX(($E$4:$E$183=E89)*($G$4:$G$183=1)*(1-P$4:P$183)))+0.000000001*D89))</f>
        <v/>
      </c>
      <c r="R89">
        <f>IF(G89=0,999,SUMPRODUCT((Q$4:Q$183&lt;Q89)*($G$4:$G$183=1))+SUMPRODUCT((Q$4:Q$183=Q89)*($G$4:$G$183=1)*($A$4:$A$183&lt;A89))+1)</f>
        <v/>
      </c>
      <c r="T89">
        <f>IF(G89=1,IF(I89&gt;Compliance,J89,(INT((30-$B89)/(30/Zones))+$H89)/Zones),2)</f>
        <v/>
      </c>
      <c r="U89">
        <f>IF(G89=0,2,IF(N89=0,T89,1-SUMPRODUCT(MAX(($E$4:$E$183=E89)*($G$4:$G$183=1)*(1-T$4:T$183)))+0.000000001*D89))</f>
        <v/>
      </c>
      <c r="V89">
        <f>IF(G89=0,999,SUMPRODUCT((U$4:U$183&lt;U89)*($G$4:$G$183=1))+SUMPRODUCT((U$4:U$183=U89)*($G$4:$G$183=1)*($A$4:$A$183&lt;A89))+1)</f>
        <v/>
      </c>
      <c r="X89">
        <f>IF(G89=1,IF(I89&gt;Compliance,J89,(($D89-1)+$H89)/3),2)</f>
        <v/>
      </c>
      <c r="Y89">
        <f>IF(G89=0,2,IF(N89=0,X89,1-SUMPRODUCT(MAX(($E$4:$E$183=E89)*($G$4:$G$183=1)*(1-X$4:X$183)))+0.000000001*D89))</f>
        <v/>
      </c>
      <c r="Z89">
        <f>IF(G89=0,999,SUMPRODUCT((Y$4:Y$183&lt;Y89)*($G$4:$G$183=1))+SUMPRODUCT((Y$4:Y$183=Y89)*($G$4:$G$183=1)*($A$4:$A$183&lt;A89))+1)</f>
        <v/>
      </c>
      <c r="AB89">
        <f>IF(G89=1,IF(I89&gt;Compliance,J89,((($D89-1)*4+($C89-1)*2+MOD($B89,2))+(30-$B89)/30)/12),2)</f>
        <v/>
      </c>
      <c r="AC89">
        <f>IF(G89=0,2,IF(N89=0,AB89,1-SUMPRODUCT(MAX(($E$4:$E$183=E89)*($G$4:$G$183=1)*(1-AB$4:AB$183)))+0.000000001*D89))</f>
        <v/>
      </c>
      <c r="AD89">
        <f>IF(G89=0,999,SUMPRODUCT((AC$4:AC$183&lt;AC89)*($G$4:$G$183=1))+SUMPRODUCT((AC$4:AC$183=AC89)*($G$4:$G$183=1)*($A$4:$A$183&lt;A89))+1)</f>
        <v/>
      </c>
      <c r="AI89" t="n">
        <v>86</v>
      </c>
      <c r="AJ89">
        <f>IF(86&gt;Passengers,"",MATCH(86,R$4:R$183,0))</f>
        <v/>
      </c>
      <c r="AK89">
        <f>IF(AJ89="","",INDEX($B$4:$B$183,AJ89))</f>
        <v/>
      </c>
      <c r="AL89">
        <f>IF(AJ89="","",INDEX($C$4:$C$183,AJ89))</f>
        <v/>
      </c>
      <c r="AM89">
        <f>IF(AJ89="","",INDEX($D$4:$D$183,AJ89))</f>
        <v/>
      </c>
      <c r="AN89">
        <f>IF(AJ89="","",COUNTIFS($B$4:$B$183,AK89,$C$4:$C$183,AL89,$D$4:$D$183,"&gt;"&amp;AM89,R$4:R$183,"&lt;"&amp;86,$G$4:$G$183,1))</f>
        <v/>
      </c>
      <c r="AO89">
        <f>IF(AJ89="","",INDEX($M$4:$M$183,AJ89)+IF(AN89=1,Shuffle1,IF(AN89&gt;=2,Shuffle2,0)))</f>
        <v/>
      </c>
      <c r="AP89">
        <f>IF(AJ89="","",MAX(DoorGap*85,SUMPRODUCT(MAX((AK$4:AK88&lt;=AK89)*AQ$4:AQ88)),SUMPRODUCT(MAX((AK$4:AK88&gt;AK89)*AP$4:AP88))+Headway))</f>
        <v/>
      </c>
      <c r="AQ89">
        <f>IF(AJ89="","",AP89+AO89)</f>
        <v/>
      </c>
      <c r="AR89">
        <f>IF(AJ89="","",AQ89+AK89*WalkSec)</f>
        <v/>
      </c>
      <c r="AS89" t="n">
        <v>86</v>
      </c>
      <c r="AT89">
        <f>IF(86&gt;Passengers,"",MATCH(86,V$4:V$183,0))</f>
        <v/>
      </c>
      <c r="AU89">
        <f>IF(AT89="","",INDEX($B$4:$B$183,AT89))</f>
        <v/>
      </c>
      <c r="AV89">
        <f>IF(AT89="","",INDEX($C$4:$C$183,AT89))</f>
        <v/>
      </c>
      <c r="AW89">
        <f>IF(AT89="","",INDEX($D$4:$D$183,AT89))</f>
        <v/>
      </c>
      <c r="AX89">
        <f>IF(AT89="","",COUNTIFS($B$4:$B$183,AU89,$C$4:$C$183,AV89,$D$4:$D$183,"&gt;"&amp;AW89,V$4:V$183,"&lt;"&amp;86,$G$4:$G$183,1))</f>
        <v/>
      </c>
      <c r="AY89">
        <f>IF(AT89="","",INDEX($M$4:$M$183,AT89)+IF(AX89=1,Shuffle1,IF(AX89&gt;=2,Shuffle2,0)))</f>
        <v/>
      </c>
      <c r="AZ89">
        <f>IF(AT89="","",MAX(DoorGap*85,SUMPRODUCT(MAX((AU$4:AU88&lt;=AU89)*BA$4:BA88)),SUMPRODUCT(MAX((AU$4:AU88&gt;AU89)*AZ$4:AZ88))+Headway))</f>
        <v/>
      </c>
      <c r="BA89">
        <f>IF(AT89="","",AZ89+AY89)</f>
        <v/>
      </c>
      <c r="BB89">
        <f>IF(AT89="","",BA89+AU89*WalkSec)</f>
        <v/>
      </c>
      <c r="BC89" t="n">
        <v>86</v>
      </c>
      <c r="BD89">
        <f>IF(86&gt;Passengers,"",MATCH(86,Z$4:Z$183,0))</f>
        <v/>
      </c>
      <c r="BE89">
        <f>IF(BD89="","",INDEX($B$4:$B$183,BD89))</f>
        <v/>
      </c>
      <c r="BF89">
        <f>IF(BD89="","",INDEX($C$4:$C$183,BD89))</f>
        <v/>
      </c>
      <c r="BG89">
        <f>IF(BD89="","",INDEX($D$4:$D$183,BD89))</f>
        <v/>
      </c>
      <c r="BH89">
        <f>IF(BD89="","",COUNTIFS($B$4:$B$183,BE89,$C$4:$C$183,BF89,$D$4:$D$183,"&gt;"&amp;BG89,Z$4:Z$183,"&lt;"&amp;86,$G$4:$G$183,1))</f>
        <v/>
      </c>
      <c r="BI89">
        <f>IF(BD89="","",INDEX($M$4:$M$183,BD89)+IF(BH89=1,Shuffle1,IF(BH89&gt;=2,Shuffle2,0)))</f>
        <v/>
      </c>
      <c r="BJ89">
        <f>IF(BD89="","",MAX(DoorGap*85,SUMPRODUCT(MAX((BE$4:BE88&lt;=BE89)*BK$4:BK88)),SUMPRODUCT(MAX((BE$4:BE88&gt;BE89)*BJ$4:BJ88))+Headway))</f>
        <v/>
      </c>
      <c r="BK89">
        <f>IF(BD89="","",BJ89+BI89)</f>
        <v/>
      </c>
      <c r="BL89">
        <f>IF(BD89="","",BK89+BE89*WalkSec)</f>
        <v/>
      </c>
      <c r="BM89" t="n">
        <v>86</v>
      </c>
      <c r="BN89">
        <f>IF(86&gt;Passengers,"",MATCH(86,AD$4:AD$183,0))</f>
        <v/>
      </c>
      <c r="BO89">
        <f>IF(BN89="","",INDEX($B$4:$B$183,BN89))</f>
        <v/>
      </c>
      <c r="BP89">
        <f>IF(BN89="","",INDEX($C$4:$C$183,BN89))</f>
        <v/>
      </c>
      <c r="BQ89">
        <f>IF(BN89="","",INDEX($D$4:$D$183,BN89))</f>
        <v/>
      </c>
      <c r="BR89">
        <f>IF(BN89="","",COUNTIFS($B$4:$B$183,BO89,$C$4:$C$183,BP89,$D$4:$D$183,"&gt;"&amp;BQ89,AD$4:AD$183,"&lt;"&amp;86,$G$4:$G$183,1))</f>
        <v/>
      </c>
      <c r="BS89">
        <f>IF(BN89="","",INDEX($M$4:$M$183,BN89)+IF(BR89=1,Shuffle1,IF(BR89&gt;=2,Shuffle2,0)))</f>
        <v/>
      </c>
      <c r="BT89">
        <f>IF(BN89="","",MAX(DoorGap*85,SUMPRODUCT(MAX((BO$4:BO88&lt;=BO89)*BU$4:BU88)),SUMPRODUCT(MAX((BO$4:BO88&gt;BO89)*BT$4:BT88))+Headway))</f>
        <v/>
      </c>
      <c r="BU89">
        <f>IF(BN89="","",BT89+BS89)</f>
        <v/>
      </c>
      <c r="BV89">
        <f>IF(BN89="","",BU89+BO89*WalkSec)</f>
        <v/>
      </c>
      <c r="BW89">
        <f>IF($G89=0,"",INDEX(AR$4:AR$183,R89))</f>
        <v/>
      </c>
      <c r="BX89">
        <f>IF($G89=0,"",INDEX(BB$4:BB$183,V89))</f>
        <v/>
      </c>
      <c r="BY89">
        <f>IF($G89=0,"",INDEX(BL$4:BL$183,Z89))</f>
        <v/>
      </c>
      <c r="BZ89">
        <f>IF($G89=0,"",INDEX(BV$4:BV$183,AD89))</f>
        <v/>
      </c>
    </row>
    <row r="90">
      <c r="A90" t="n">
        <v>87</v>
      </c>
      <c r="B90" t="n">
        <v>15</v>
      </c>
      <c r="C90" t="n">
        <v>1</v>
      </c>
      <c r="D90" t="n">
        <v>3</v>
      </c>
      <c r="E90" t="n">
        <v>29</v>
      </c>
      <c r="F90">
        <f>RAND()</f>
        <v/>
      </c>
      <c r="G90">
        <f>IF(SUMPRODUCT(($F$4:$F$183&lt;F90)*1)+SUMPRODUCT(($F$4:$F$183=F90)*($A$4:$A$183&lt;A90))&lt;Passengers,1,0)</f>
        <v/>
      </c>
      <c r="H90">
        <f>RAND()</f>
        <v/>
      </c>
      <c r="I90">
        <f>RAND()</f>
        <v/>
      </c>
      <c r="J90">
        <f>RAND()</f>
        <v/>
      </c>
      <c r="K90">
        <f>RAND()</f>
        <v/>
      </c>
      <c r="L90">
        <f>RAND()</f>
        <v/>
      </c>
      <c r="M90">
        <f>IF(K90&lt;BagShare,EXP(NORMSINV(L90)*StowSigma+StowMu),StowNoBag)</f>
        <v/>
      </c>
      <c r="N90">
        <f>IF(INDEX($AG$4:$AG$63,E90)&lt;GroupShare,1,0)</f>
        <v/>
      </c>
      <c r="P90">
        <f>IF(G90=1,IF(I90&gt;Compliance,J90,$H90),2)</f>
        <v/>
      </c>
      <c r="Q90">
        <f>IF(G90=0,2,IF(N90=0,P90,1-SUMPRODUCT(MAX(($E$4:$E$183=E90)*($G$4:$G$183=1)*(1-P$4:P$183)))+0.000000001*D90))</f>
        <v/>
      </c>
      <c r="R90">
        <f>IF(G90=0,999,SUMPRODUCT((Q$4:Q$183&lt;Q90)*($G$4:$G$183=1))+SUMPRODUCT((Q$4:Q$183=Q90)*($G$4:$G$183=1)*($A$4:$A$183&lt;A90))+1)</f>
        <v/>
      </c>
      <c r="T90">
        <f>IF(G90=1,IF(I90&gt;Compliance,J90,(INT((30-$B90)/(30/Zones))+$H90)/Zones),2)</f>
        <v/>
      </c>
      <c r="U90">
        <f>IF(G90=0,2,IF(N90=0,T90,1-SUMPRODUCT(MAX(($E$4:$E$183=E90)*($G$4:$G$183=1)*(1-T$4:T$183)))+0.000000001*D90))</f>
        <v/>
      </c>
      <c r="V90">
        <f>IF(G90=0,999,SUMPRODUCT((U$4:U$183&lt;U90)*($G$4:$G$183=1))+SUMPRODUCT((U$4:U$183=U90)*($G$4:$G$183=1)*($A$4:$A$183&lt;A90))+1)</f>
        <v/>
      </c>
      <c r="X90">
        <f>IF(G90=1,IF(I90&gt;Compliance,J90,(($D90-1)+$H90)/3),2)</f>
        <v/>
      </c>
      <c r="Y90">
        <f>IF(G90=0,2,IF(N90=0,X90,1-SUMPRODUCT(MAX(($E$4:$E$183=E90)*($G$4:$G$183=1)*(1-X$4:X$183)))+0.000000001*D90))</f>
        <v/>
      </c>
      <c r="Z90">
        <f>IF(G90=0,999,SUMPRODUCT((Y$4:Y$183&lt;Y90)*($G$4:$G$183=1))+SUMPRODUCT((Y$4:Y$183=Y90)*($G$4:$G$183=1)*($A$4:$A$183&lt;A90))+1)</f>
        <v/>
      </c>
      <c r="AB90">
        <f>IF(G90=1,IF(I90&gt;Compliance,J90,((($D90-1)*4+($C90-1)*2+MOD($B90,2))+(30-$B90)/30)/12),2)</f>
        <v/>
      </c>
      <c r="AC90">
        <f>IF(G90=0,2,IF(N90=0,AB90,1-SUMPRODUCT(MAX(($E$4:$E$183=E90)*($G$4:$G$183=1)*(1-AB$4:AB$183)))+0.000000001*D90))</f>
        <v/>
      </c>
      <c r="AD90">
        <f>IF(G90=0,999,SUMPRODUCT((AC$4:AC$183&lt;AC90)*($G$4:$G$183=1))+SUMPRODUCT((AC$4:AC$183=AC90)*($G$4:$G$183=1)*($A$4:$A$183&lt;A90))+1)</f>
        <v/>
      </c>
      <c r="AI90" t="n">
        <v>87</v>
      </c>
      <c r="AJ90">
        <f>IF(87&gt;Passengers,"",MATCH(87,R$4:R$183,0))</f>
        <v/>
      </c>
      <c r="AK90">
        <f>IF(AJ90="","",INDEX($B$4:$B$183,AJ90))</f>
        <v/>
      </c>
      <c r="AL90">
        <f>IF(AJ90="","",INDEX($C$4:$C$183,AJ90))</f>
        <v/>
      </c>
      <c r="AM90">
        <f>IF(AJ90="","",INDEX($D$4:$D$183,AJ90))</f>
        <v/>
      </c>
      <c r="AN90">
        <f>IF(AJ90="","",COUNTIFS($B$4:$B$183,AK90,$C$4:$C$183,AL90,$D$4:$D$183,"&gt;"&amp;AM90,R$4:R$183,"&lt;"&amp;87,$G$4:$G$183,1))</f>
        <v/>
      </c>
      <c r="AO90">
        <f>IF(AJ90="","",INDEX($M$4:$M$183,AJ90)+IF(AN90=1,Shuffle1,IF(AN90&gt;=2,Shuffle2,0)))</f>
        <v/>
      </c>
      <c r="AP90">
        <f>IF(AJ90="","",MAX(DoorGap*86,SUMPRODUCT(MAX((AK$4:AK89&lt;=AK90)*AQ$4:AQ89)),SUMPRODUCT(MAX((AK$4:AK89&gt;AK90)*AP$4:AP89))+Headway))</f>
        <v/>
      </c>
      <c r="AQ90">
        <f>IF(AJ90="","",AP90+AO90)</f>
        <v/>
      </c>
      <c r="AR90">
        <f>IF(AJ90="","",AQ90+AK90*WalkSec)</f>
        <v/>
      </c>
      <c r="AS90" t="n">
        <v>87</v>
      </c>
      <c r="AT90">
        <f>IF(87&gt;Passengers,"",MATCH(87,V$4:V$183,0))</f>
        <v/>
      </c>
      <c r="AU90">
        <f>IF(AT90="","",INDEX($B$4:$B$183,AT90))</f>
        <v/>
      </c>
      <c r="AV90">
        <f>IF(AT90="","",INDEX($C$4:$C$183,AT90))</f>
        <v/>
      </c>
      <c r="AW90">
        <f>IF(AT90="","",INDEX($D$4:$D$183,AT90))</f>
        <v/>
      </c>
      <c r="AX90">
        <f>IF(AT90="","",COUNTIFS($B$4:$B$183,AU90,$C$4:$C$183,AV90,$D$4:$D$183,"&gt;"&amp;AW90,V$4:V$183,"&lt;"&amp;87,$G$4:$G$183,1))</f>
        <v/>
      </c>
      <c r="AY90">
        <f>IF(AT90="","",INDEX($M$4:$M$183,AT90)+IF(AX90=1,Shuffle1,IF(AX90&gt;=2,Shuffle2,0)))</f>
        <v/>
      </c>
      <c r="AZ90">
        <f>IF(AT90="","",MAX(DoorGap*86,SUMPRODUCT(MAX((AU$4:AU89&lt;=AU90)*BA$4:BA89)),SUMPRODUCT(MAX((AU$4:AU89&gt;AU90)*AZ$4:AZ89))+Headway))</f>
        <v/>
      </c>
      <c r="BA90">
        <f>IF(AT90="","",AZ90+AY90)</f>
        <v/>
      </c>
      <c r="BB90">
        <f>IF(AT90="","",BA90+AU90*WalkSec)</f>
        <v/>
      </c>
      <c r="BC90" t="n">
        <v>87</v>
      </c>
      <c r="BD90">
        <f>IF(87&gt;Passengers,"",MATCH(87,Z$4:Z$183,0))</f>
        <v/>
      </c>
      <c r="BE90">
        <f>IF(BD90="","",INDEX($B$4:$B$183,BD90))</f>
        <v/>
      </c>
      <c r="BF90">
        <f>IF(BD90="","",INDEX($C$4:$C$183,BD90))</f>
        <v/>
      </c>
      <c r="BG90">
        <f>IF(BD90="","",INDEX($D$4:$D$183,BD90))</f>
        <v/>
      </c>
      <c r="BH90">
        <f>IF(BD90="","",COUNTIFS($B$4:$B$183,BE90,$C$4:$C$183,BF90,$D$4:$D$183,"&gt;"&amp;BG90,Z$4:Z$183,"&lt;"&amp;87,$G$4:$G$183,1))</f>
        <v/>
      </c>
      <c r="BI90">
        <f>IF(BD90="","",INDEX($M$4:$M$183,BD90)+IF(BH90=1,Shuffle1,IF(BH90&gt;=2,Shuffle2,0)))</f>
        <v/>
      </c>
      <c r="BJ90">
        <f>IF(BD90="","",MAX(DoorGap*86,SUMPRODUCT(MAX((BE$4:BE89&lt;=BE90)*BK$4:BK89)),SUMPRODUCT(MAX((BE$4:BE89&gt;BE90)*BJ$4:BJ89))+Headway))</f>
        <v/>
      </c>
      <c r="BK90">
        <f>IF(BD90="","",BJ90+BI90)</f>
        <v/>
      </c>
      <c r="BL90">
        <f>IF(BD90="","",BK90+BE90*WalkSec)</f>
        <v/>
      </c>
      <c r="BM90" t="n">
        <v>87</v>
      </c>
      <c r="BN90">
        <f>IF(87&gt;Passengers,"",MATCH(87,AD$4:AD$183,0))</f>
        <v/>
      </c>
      <c r="BO90">
        <f>IF(BN90="","",INDEX($B$4:$B$183,BN90))</f>
        <v/>
      </c>
      <c r="BP90">
        <f>IF(BN90="","",INDEX($C$4:$C$183,BN90))</f>
        <v/>
      </c>
      <c r="BQ90">
        <f>IF(BN90="","",INDEX($D$4:$D$183,BN90))</f>
        <v/>
      </c>
      <c r="BR90">
        <f>IF(BN90="","",COUNTIFS($B$4:$B$183,BO90,$C$4:$C$183,BP90,$D$4:$D$183,"&gt;"&amp;BQ90,AD$4:AD$183,"&lt;"&amp;87,$G$4:$G$183,1))</f>
        <v/>
      </c>
      <c r="BS90">
        <f>IF(BN90="","",INDEX($M$4:$M$183,BN90)+IF(BR90=1,Shuffle1,IF(BR90&gt;=2,Shuffle2,0)))</f>
        <v/>
      </c>
      <c r="BT90">
        <f>IF(BN90="","",MAX(DoorGap*86,SUMPRODUCT(MAX((BO$4:BO89&lt;=BO90)*BU$4:BU89)),SUMPRODUCT(MAX((BO$4:BO89&gt;BO90)*BT$4:BT89))+Headway))</f>
        <v/>
      </c>
      <c r="BU90">
        <f>IF(BN90="","",BT90+BS90)</f>
        <v/>
      </c>
      <c r="BV90">
        <f>IF(BN90="","",BU90+BO90*WalkSec)</f>
        <v/>
      </c>
      <c r="BW90">
        <f>IF($G90=0,"",INDEX(AR$4:AR$183,R90))</f>
        <v/>
      </c>
      <c r="BX90">
        <f>IF($G90=0,"",INDEX(BB$4:BB$183,V90))</f>
        <v/>
      </c>
      <c r="BY90">
        <f>IF($G90=0,"",INDEX(BL$4:BL$183,Z90))</f>
        <v/>
      </c>
      <c r="BZ90">
        <f>IF($G90=0,"",INDEX(BV$4:BV$183,AD90))</f>
        <v/>
      </c>
    </row>
    <row r="91">
      <c r="A91" t="n">
        <v>88</v>
      </c>
      <c r="B91" t="n">
        <v>15</v>
      </c>
      <c r="C91" t="n">
        <v>2</v>
      </c>
      <c r="D91" t="n">
        <v>1</v>
      </c>
      <c r="E91" t="n">
        <v>30</v>
      </c>
      <c r="F91">
        <f>RAND()</f>
        <v/>
      </c>
      <c r="G91">
        <f>IF(SUMPRODUCT(($F$4:$F$183&lt;F91)*1)+SUMPRODUCT(($F$4:$F$183=F91)*($A$4:$A$183&lt;A91))&lt;Passengers,1,0)</f>
        <v/>
      </c>
      <c r="H91">
        <f>RAND()</f>
        <v/>
      </c>
      <c r="I91">
        <f>RAND()</f>
        <v/>
      </c>
      <c r="J91">
        <f>RAND()</f>
        <v/>
      </c>
      <c r="K91">
        <f>RAND()</f>
        <v/>
      </c>
      <c r="L91">
        <f>RAND()</f>
        <v/>
      </c>
      <c r="M91">
        <f>IF(K91&lt;BagShare,EXP(NORMSINV(L91)*StowSigma+StowMu),StowNoBag)</f>
        <v/>
      </c>
      <c r="N91">
        <f>IF(INDEX($AG$4:$AG$63,E91)&lt;GroupShare,1,0)</f>
        <v/>
      </c>
      <c r="P91">
        <f>IF(G91=1,IF(I91&gt;Compliance,J91,$H91),2)</f>
        <v/>
      </c>
      <c r="Q91">
        <f>IF(G91=0,2,IF(N91=0,P91,1-SUMPRODUCT(MAX(($E$4:$E$183=E91)*($G$4:$G$183=1)*(1-P$4:P$183)))+0.000000001*D91))</f>
        <v/>
      </c>
      <c r="R91">
        <f>IF(G91=0,999,SUMPRODUCT((Q$4:Q$183&lt;Q91)*($G$4:$G$183=1))+SUMPRODUCT((Q$4:Q$183=Q91)*($G$4:$G$183=1)*($A$4:$A$183&lt;A91))+1)</f>
        <v/>
      </c>
      <c r="T91">
        <f>IF(G91=1,IF(I91&gt;Compliance,J91,(INT((30-$B91)/(30/Zones))+$H91)/Zones),2)</f>
        <v/>
      </c>
      <c r="U91">
        <f>IF(G91=0,2,IF(N91=0,T91,1-SUMPRODUCT(MAX(($E$4:$E$183=E91)*($G$4:$G$183=1)*(1-T$4:T$183)))+0.000000001*D91))</f>
        <v/>
      </c>
      <c r="V91">
        <f>IF(G91=0,999,SUMPRODUCT((U$4:U$183&lt;U91)*($G$4:$G$183=1))+SUMPRODUCT((U$4:U$183=U91)*($G$4:$G$183=1)*($A$4:$A$183&lt;A91))+1)</f>
        <v/>
      </c>
      <c r="X91">
        <f>IF(G91=1,IF(I91&gt;Compliance,J91,(($D91-1)+$H91)/3),2)</f>
        <v/>
      </c>
      <c r="Y91">
        <f>IF(G91=0,2,IF(N91=0,X91,1-SUMPRODUCT(MAX(($E$4:$E$183=E91)*($G$4:$G$183=1)*(1-X$4:X$183)))+0.000000001*D91))</f>
        <v/>
      </c>
      <c r="Z91">
        <f>IF(G91=0,999,SUMPRODUCT((Y$4:Y$183&lt;Y91)*($G$4:$G$183=1))+SUMPRODUCT((Y$4:Y$183=Y91)*($G$4:$G$183=1)*($A$4:$A$183&lt;A91))+1)</f>
        <v/>
      </c>
      <c r="AB91">
        <f>IF(G91=1,IF(I91&gt;Compliance,J91,((($D91-1)*4+($C91-1)*2+MOD($B91,2))+(30-$B91)/30)/12),2)</f>
        <v/>
      </c>
      <c r="AC91">
        <f>IF(G91=0,2,IF(N91=0,AB91,1-SUMPRODUCT(MAX(($E$4:$E$183=E91)*($G$4:$G$183=1)*(1-AB$4:AB$183)))+0.000000001*D91))</f>
        <v/>
      </c>
      <c r="AD91">
        <f>IF(G91=0,999,SUMPRODUCT((AC$4:AC$183&lt;AC91)*($G$4:$G$183=1))+SUMPRODUCT((AC$4:AC$183=AC91)*($G$4:$G$183=1)*($A$4:$A$183&lt;A91))+1)</f>
        <v/>
      </c>
      <c r="AI91" t="n">
        <v>88</v>
      </c>
      <c r="AJ91">
        <f>IF(88&gt;Passengers,"",MATCH(88,R$4:R$183,0))</f>
        <v/>
      </c>
      <c r="AK91">
        <f>IF(AJ91="","",INDEX($B$4:$B$183,AJ91))</f>
        <v/>
      </c>
      <c r="AL91">
        <f>IF(AJ91="","",INDEX($C$4:$C$183,AJ91))</f>
        <v/>
      </c>
      <c r="AM91">
        <f>IF(AJ91="","",INDEX($D$4:$D$183,AJ91))</f>
        <v/>
      </c>
      <c r="AN91">
        <f>IF(AJ91="","",COUNTIFS($B$4:$B$183,AK91,$C$4:$C$183,AL91,$D$4:$D$183,"&gt;"&amp;AM91,R$4:R$183,"&lt;"&amp;88,$G$4:$G$183,1))</f>
        <v/>
      </c>
      <c r="AO91">
        <f>IF(AJ91="","",INDEX($M$4:$M$183,AJ91)+IF(AN91=1,Shuffle1,IF(AN91&gt;=2,Shuffle2,0)))</f>
        <v/>
      </c>
      <c r="AP91">
        <f>IF(AJ91="","",MAX(DoorGap*87,SUMPRODUCT(MAX((AK$4:AK90&lt;=AK91)*AQ$4:AQ90)),SUMPRODUCT(MAX((AK$4:AK90&gt;AK91)*AP$4:AP90))+Headway))</f>
        <v/>
      </c>
      <c r="AQ91">
        <f>IF(AJ91="","",AP91+AO91)</f>
        <v/>
      </c>
      <c r="AR91">
        <f>IF(AJ91="","",AQ91+AK91*WalkSec)</f>
        <v/>
      </c>
      <c r="AS91" t="n">
        <v>88</v>
      </c>
      <c r="AT91">
        <f>IF(88&gt;Passengers,"",MATCH(88,V$4:V$183,0))</f>
        <v/>
      </c>
      <c r="AU91">
        <f>IF(AT91="","",INDEX($B$4:$B$183,AT91))</f>
        <v/>
      </c>
      <c r="AV91">
        <f>IF(AT91="","",INDEX($C$4:$C$183,AT91))</f>
        <v/>
      </c>
      <c r="AW91">
        <f>IF(AT91="","",INDEX($D$4:$D$183,AT91))</f>
        <v/>
      </c>
      <c r="AX91">
        <f>IF(AT91="","",COUNTIFS($B$4:$B$183,AU91,$C$4:$C$183,AV91,$D$4:$D$183,"&gt;"&amp;AW91,V$4:V$183,"&lt;"&amp;88,$G$4:$G$183,1))</f>
        <v/>
      </c>
      <c r="AY91">
        <f>IF(AT91="","",INDEX($M$4:$M$183,AT91)+IF(AX91=1,Shuffle1,IF(AX91&gt;=2,Shuffle2,0)))</f>
        <v/>
      </c>
      <c r="AZ91">
        <f>IF(AT91="","",MAX(DoorGap*87,SUMPRODUCT(MAX((AU$4:AU90&lt;=AU91)*BA$4:BA90)),SUMPRODUCT(MAX((AU$4:AU90&gt;AU91)*AZ$4:AZ90))+Headway))</f>
        <v/>
      </c>
      <c r="BA91">
        <f>IF(AT91="","",AZ91+AY91)</f>
        <v/>
      </c>
      <c r="BB91">
        <f>IF(AT91="","",BA91+AU91*WalkSec)</f>
        <v/>
      </c>
      <c r="BC91" t="n">
        <v>88</v>
      </c>
      <c r="BD91">
        <f>IF(88&gt;Passengers,"",MATCH(88,Z$4:Z$183,0))</f>
        <v/>
      </c>
      <c r="BE91">
        <f>IF(BD91="","",INDEX($B$4:$B$183,BD91))</f>
        <v/>
      </c>
      <c r="BF91">
        <f>IF(BD91="","",INDEX($C$4:$C$183,BD91))</f>
        <v/>
      </c>
      <c r="BG91">
        <f>IF(BD91="","",INDEX($D$4:$D$183,BD91))</f>
        <v/>
      </c>
      <c r="BH91">
        <f>IF(BD91="","",COUNTIFS($B$4:$B$183,BE91,$C$4:$C$183,BF91,$D$4:$D$183,"&gt;"&amp;BG91,Z$4:Z$183,"&lt;"&amp;88,$G$4:$G$183,1))</f>
        <v/>
      </c>
      <c r="BI91">
        <f>IF(BD91="","",INDEX($M$4:$M$183,BD91)+IF(BH91=1,Shuffle1,IF(BH91&gt;=2,Shuffle2,0)))</f>
        <v/>
      </c>
      <c r="BJ91">
        <f>IF(BD91="","",MAX(DoorGap*87,SUMPRODUCT(MAX((BE$4:BE90&lt;=BE91)*BK$4:BK90)),SUMPRODUCT(MAX((BE$4:BE90&gt;BE91)*BJ$4:BJ90))+Headway))</f>
        <v/>
      </c>
      <c r="BK91">
        <f>IF(BD91="","",BJ91+BI91)</f>
        <v/>
      </c>
      <c r="BL91">
        <f>IF(BD91="","",BK91+BE91*WalkSec)</f>
        <v/>
      </c>
      <c r="BM91" t="n">
        <v>88</v>
      </c>
      <c r="BN91">
        <f>IF(88&gt;Passengers,"",MATCH(88,AD$4:AD$183,0))</f>
        <v/>
      </c>
      <c r="BO91">
        <f>IF(BN91="","",INDEX($B$4:$B$183,BN91))</f>
        <v/>
      </c>
      <c r="BP91">
        <f>IF(BN91="","",INDEX($C$4:$C$183,BN91))</f>
        <v/>
      </c>
      <c r="BQ91">
        <f>IF(BN91="","",INDEX($D$4:$D$183,BN91))</f>
        <v/>
      </c>
      <c r="BR91">
        <f>IF(BN91="","",COUNTIFS($B$4:$B$183,BO91,$C$4:$C$183,BP91,$D$4:$D$183,"&gt;"&amp;BQ91,AD$4:AD$183,"&lt;"&amp;88,$G$4:$G$183,1))</f>
        <v/>
      </c>
      <c r="BS91">
        <f>IF(BN91="","",INDEX($M$4:$M$183,BN91)+IF(BR91=1,Shuffle1,IF(BR91&gt;=2,Shuffle2,0)))</f>
        <v/>
      </c>
      <c r="BT91">
        <f>IF(BN91="","",MAX(DoorGap*87,SUMPRODUCT(MAX((BO$4:BO90&lt;=BO91)*BU$4:BU90)),SUMPRODUCT(MAX((BO$4:BO90&gt;BO91)*BT$4:BT90))+Headway))</f>
        <v/>
      </c>
      <c r="BU91">
        <f>IF(BN91="","",BT91+BS91)</f>
        <v/>
      </c>
      <c r="BV91">
        <f>IF(BN91="","",BU91+BO91*WalkSec)</f>
        <v/>
      </c>
      <c r="BW91">
        <f>IF($G91=0,"",INDEX(AR$4:AR$183,R91))</f>
        <v/>
      </c>
      <c r="BX91">
        <f>IF($G91=0,"",INDEX(BB$4:BB$183,V91))</f>
        <v/>
      </c>
      <c r="BY91">
        <f>IF($G91=0,"",INDEX(BL$4:BL$183,Z91))</f>
        <v/>
      </c>
      <c r="BZ91">
        <f>IF($G91=0,"",INDEX(BV$4:BV$183,AD91))</f>
        <v/>
      </c>
    </row>
    <row r="92">
      <c r="A92" t="n">
        <v>89</v>
      </c>
      <c r="B92" t="n">
        <v>15</v>
      </c>
      <c r="C92" t="n">
        <v>2</v>
      </c>
      <c r="D92" t="n">
        <v>2</v>
      </c>
      <c r="E92" t="n">
        <v>30</v>
      </c>
      <c r="F92">
        <f>RAND()</f>
        <v/>
      </c>
      <c r="G92">
        <f>IF(SUMPRODUCT(($F$4:$F$183&lt;F92)*1)+SUMPRODUCT(($F$4:$F$183=F92)*($A$4:$A$183&lt;A92))&lt;Passengers,1,0)</f>
        <v/>
      </c>
      <c r="H92">
        <f>RAND()</f>
        <v/>
      </c>
      <c r="I92">
        <f>RAND()</f>
        <v/>
      </c>
      <c r="J92">
        <f>RAND()</f>
        <v/>
      </c>
      <c r="K92">
        <f>RAND()</f>
        <v/>
      </c>
      <c r="L92">
        <f>RAND()</f>
        <v/>
      </c>
      <c r="M92">
        <f>IF(K92&lt;BagShare,EXP(NORMSINV(L92)*StowSigma+StowMu),StowNoBag)</f>
        <v/>
      </c>
      <c r="N92">
        <f>IF(INDEX($AG$4:$AG$63,E92)&lt;GroupShare,1,0)</f>
        <v/>
      </c>
      <c r="P92">
        <f>IF(G92=1,IF(I92&gt;Compliance,J92,$H92),2)</f>
        <v/>
      </c>
      <c r="Q92">
        <f>IF(G92=0,2,IF(N92=0,P92,1-SUMPRODUCT(MAX(($E$4:$E$183=E92)*($G$4:$G$183=1)*(1-P$4:P$183)))+0.000000001*D92))</f>
        <v/>
      </c>
      <c r="R92">
        <f>IF(G92=0,999,SUMPRODUCT((Q$4:Q$183&lt;Q92)*($G$4:$G$183=1))+SUMPRODUCT((Q$4:Q$183=Q92)*($G$4:$G$183=1)*($A$4:$A$183&lt;A92))+1)</f>
        <v/>
      </c>
      <c r="T92">
        <f>IF(G92=1,IF(I92&gt;Compliance,J92,(INT((30-$B92)/(30/Zones))+$H92)/Zones),2)</f>
        <v/>
      </c>
      <c r="U92">
        <f>IF(G92=0,2,IF(N92=0,T92,1-SUMPRODUCT(MAX(($E$4:$E$183=E92)*($G$4:$G$183=1)*(1-T$4:T$183)))+0.000000001*D92))</f>
        <v/>
      </c>
      <c r="V92">
        <f>IF(G92=0,999,SUMPRODUCT((U$4:U$183&lt;U92)*($G$4:$G$183=1))+SUMPRODUCT((U$4:U$183=U92)*($G$4:$G$183=1)*($A$4:$A$183&lt;A92))+1)</f>
        <v/>
      </c>
      <c r="X92">
        <f>IF(G92=1,IF(I92&gt;Compliance,J92,(($D92-1)+$H92)/3),2)</f>
        <v/>
      </c>
      <c r="Y92">
        <f>IF(G92=0,2,IF(N92=0,X92,1-SUMPRODUCT(MAX(($E$4:$E$183=E92)*($G$4:$G$183=1)*(1-X$4:X$183)))+0.000000001*D92))</f>
        <v/>
      </c>
      <c r="Z92">
        <f>IF(G92=0,999,SUMPRODUCT((Y$4:Y$183&lt;Y92)*($G$4:$G$183=1))+SUMPRODUCT((Y$4:Y$183=Y92)*($G$4:$G$183=1)*($A$4:$A$183&lt;A92))+1)</f>
        <v/>
      </c>
      <c r="AB92">
        <f>IF(G92=1,IF(I92&gt;Compliance,J92,((($D92-1)*4+($C92-1)*2+MOD($B92,2))+(30-$B92)/30)/12),2)</f>
        <v/>
      </c>
      <c r="AC92">
        <f>IF(G92=0,2,IF(N92=0,AB92,1-SUMPRODUCT(MAX(($E$4:$E$183=E92)*($G$4:$G$183=1)*(1-AB$4:AB$183)))+0.000000001*D92))</f>
        <v/>
      </c>
      <c r="AD92">
        <f>IF(G92=0,999,SUMPRODUCT((AC$4:AC$183&lt;AC92)*($G$4:$G$183=1))+SUMPRODUCT((AC$4:AC$183=AC92)*($G$4:$G$183=1)*($A$4:$A$183&lt;A92))+1)</f>
        <v/>
      </c>
      <c r="AI92" t="n">
        <v>89</v>
      </c>
      <c r="AJ92">
        <f>IF(89&gt;Passengers,"",MATCH(89,R$4:R$183,0))</f>
        <v/>
      </c>
      <c r="AK92">
        <f>IF(AJ92="","",INDEX($B$4:$B$183,AJ92))</f>
        <v/>
      </c>
      <c r="AL92">
        <f>IF(AJ92="","",INDEX($C$4:$C$183,AJ92))</f>
        <v/>
      </c>
      <c r="AM92">
        <f>IF(AJ92="","",INDEX($D$4:$D$183,AJ92))</f>
        <v/>
      </c>
      <c r="AN92">
        <f>IF(AJ92="","",COUNTIFS($B$4:$B$183,AK92,$C$4:$C$183,AL92,$D$4:$D$183,"&gt;"&amp;AM92,R$4:R$183,"&lt;"&amp;89,$G$4:$G$183,1))</f>
        <v/>
      </c>
      <c r="AO92">
        <f>IF(AJ92="","",INDEX($M$4:$M$183,AJ92)+IF(AN92=1,Shuffle1,IF(AN92&gt;=2,Shuffle2,0)))</f>
        <v/>
      </c>
      <c r="AP92">
        <f>IF(AJ92="","",MAX(DoorGap*88,SUMPRODUCT(MAX((AK$4:AK91&lt;=AK92)*AQ$4:AQ91)),SUMPRODUCT(MAX((AK$4:AK91&gt;AK92)*AP$4:AP91))+Headway))</f>
        <v/>
      </c>
      <c r="AQ92">
        <f>IF(AJ92="","",AP92+AO92)</f>
        <v/>
      </c>
      <c r="AR92">
        <f>IF(AJ92="","",AQ92+AK92*WalkSec)</f>
        <v/>
      </c>
      <c r="AS92" t="n">
        <v>89</v>
      </c>
      <c r="AT92">
        <f>IF(89&gt;Passengers,"",MATCH(89,V$4:V$183,0))</f>
        <v/>
      </c>
      <c r="AU92">
        <f>IF(AT92="","",INDEX($B$4:$B$183,AT92))</f>
        <v/>
      </c>
      <c r="AV92">
        <f>IF(AT92="","",INDEX($C$4:$C$183,AT92))</f>
        <v/>
      </c>
      <c r="AW92">
        <f>IF(AT92="","",INDEX($D$4:$D$183,AT92))</f>
        <v/>
      </c>
      <c r="AX92">
        <f>IF(AT92="","",COUNTIFS($B$4:$B$183,AU92,$C$4:$C$183,AV92,$D$4:$D$183,"&gt;"&amp;AW92,V$4:V$183,"&lt;"&amp;89,$G$4:$G$183,1))</f>
        <v/>
      </c>
      <c r="AY92">
        <f>IF(AT92="","",INDEX($M$4:$M$183,AT92)+IF(AX92=1,Shuffle1,IF(AX92&gt;=2,Shuffle2,0)))</f>
        <v/>
      </c>
      <c r="AZ92">
        <f>IF(AT92="","",MAX(DoorGap*88,SUMPRODUCT(MAX((AU$4:AU91&lt;=AU92)*BA$4:BA91)),SUMPRODUCT(MAX((AU$4:AU91&gt;AU92)*AZ$4:AZ91))+Headway))</f>
        <v/>
      </c>
      <c r="BA92">
        <f>IF(AT92="","",AZ92+AY92)</f>
        <v/>
      </c>
      <c r="BB92">
        <f>IF(AT92="","",BA92+AU92*WalkSec)</f>
        <v/>
      </c>
      <c r="BC92" t="n">
        <v>89</v>
      </c>
      <c r="BD92">
        <f>IF(89&gt;Passengers,"",MATCH(89,Z$4:Z$183,0))</f>
        <v/>
      </c>
      <c r="BE92">
        <f>IF(BD92="","",INDEX($B$4:$B$183,BD92))</f>
        <v/>
      </c>
      <c r="BF92">
        <f>IF(BD92="","",INDEX($C$4:$C$183,BD92))</f>
        <v/>
      </c>
      <c r="BG92">
        <f>IF(BD92="","",INDEX($D$4:$D$183,BD92))</f>
        <v/>
      </c>
      <c r="BH92">
        <f>IF(BD92="","",COUNTIFS($B$4:$B$183,BE92,$C$4:$C$183,BF92,$D$4:$D$183,"&gt;"&amp;BG92,Z$4:Z$183,"&lt;"&amp;89,$G$4:$G$183,1))</f>
        <v/>
      </c>
      <c r="BI92">
        <f>IF(BD92="","",INDEX($M$4:$M$183,BD92)+IF(BH92=1,Shuffle1,IF(BH92&gt;=2,Shuffle2,0)))</f>
        <v/>
      </c>
      <c r="BJ92">
        <f>IF(BD92="","",MAX(DoorGap*88,SUMPRODUCT(MAX((BE$4:BE91&lt;=BE92)*BK$4:BK91)),SUMPRODUCT(MAX((BE$4:BE91&gt;BE92)*BJ$4:BJ91))+Headway))</f>
        <v/>
      </c>
      <c r="BK92">
        <f>IF(BD92="","",BJ92+BI92)</f>
        <v/>
      </c>
      <c r="BL92">
        <f>IF(BD92="","",BK92+BE92*WalkSec)</f>
        <v/>
      </c>
      <c r="BM92" t="n">
        <v>89</v>
      </c>
      <c r="BN92">
        <f>IF(89&gt;Passengers,"",MATCH(89,AD$4:AD$183,0))</f>
        <v/>
      </c>
      <c r="BO92">
        <f>IF(BN92="","",INDEX($B$4:$B$183,BN92))</f>
        <v/>
      </c>
      <c r="BP92">
        <f>IF(BN92="","",INDEX($C$4:$C$183,BN92))</f>
        <v/>
      </c>
      <c r="BQ92">
        <f>IF(BN92="","",INDEX($D$4:$D$183,BN92))</f>
        <v/>
      </c>
      <c r="BR92">
        <f>IF(BN92="","",COUNTIFS($B$4:$B$183,BO92,$C$4:$C$183,BP92,$D$4:$D$183,"&gt;"&amp;BQ92,AD$4:AD$183,"&lt;"&amp;89,$G$4:$G$183,1))</f>
        <v/>
      </c>
      <c r="BS92">
        <f>IF(BN92="","",INDEX($M$4:$M$183,BN92)+IF(BR92=1,Shuffle1,IF(BR92&gt;=2,Shuffle2,0)))</f>
        <v/>
      </c>
      <c r="BT92">
        <f>IF(BN92="","",MAX(DoorGap*88,SUMPRODUCT(MAX((BO$4:BO91&lt;=BO92)*BU$4:BU91)),SUMPRODUCT(MAX((BO$4:BO91&gt;BO92)*BT$4:BT91))+Headway))</f>
        <v/>
      </c>
      <c r="BU92">
        <f>IF(BN92="","",BT92+BS92)</f>
        <v/>
      </c>
      <c r="BV92">
        <f>IF(BN92="","",BU92+BO92*WalkSec)</f>
        <v/>
      </c>
      <c r="BW92">
        <f>IF($G92=0,"",INDEX(AR$4:AR$183,R92))</f>
        <v/>
      </c>
      <c r="BX92">
        <f>IF($G92=0,"",INDEX(BB$4:BB$183,V92))</f>
        <v/>
      </c>
      <c r="BY92">
        <f>IF($G92=0,"",INDEX(BL$4:BL$183,Z92))</f>
        <v/>
      </c>
      <c r="BZ92">
        <f>IF($G92=0,"",INDEX(BV$4:BV$183,AD92))</f>
        <v/>
      </c>
    </row>
    <row r="93">
      <c r="A93" t="n">
        <v>90</v>
      </c>
      <c r="B93" t="n">
        <v>15</v>
      </c>
      <c r="C93" t="n">
        <v>2</v>
      </c>
      <c r="D93" t="n">
        <v>3</v>
      </c>
      <c r="E93" t="n">
        <v>30</v>
      </c>
      <c r="F93">
        <f>RAND()</f>
        <v/>
      </c>
      <c r="G93">
        <f>IF(SUMPRODUCT(($F$4:$F$183&lt;F93)*1)+SUMPRODUCT(($F$4:$F$183=F93)*($A$4:$A$183&lt;A93))&lt;Passengers,1,0)</f>
        <v/>
      </c>
      <c r="H93">
        <f>RAND()</f>
        <v/>
      </c>
      <c r="I93">
        <f>RAND()</f>
        <v/>
      </c>
      <c r="J93">
        <f>RAND()</f>
        <v/>
      </c>
      <c r="K93">
        <f>RAND()</f>
        <v/>
      </c>
      <c r="L93">
        <f>RAND()</f>
        <v/>
      </c>
      <c r="M93">
        <f>IF(K93&lt;BagShare,EXP(NORMSINV(L93)*StowSigma+StowMu),StowNoBag)</f>
        <v/>
      </c>
      <c r="N93">
        <f>IF(INDEX($AG$4:$AG$63,E93)&lt;GroupShare,1,0)</f>
        <v/>
      </c>
      <c r="P93">
        <f>IF(G93=1,IF(I93&gt;Compliance,J93,$H93),2)</f>
        <v/>
      </c>
      <c r="Q93">
        <f>IF(G93=0,2,IF(N93=0,P93,1-SUMPRODUCT(MAX(($E$4:$E$183=E93)*($G$4:$G$183=1)*(1-P$4:P$183)))+0.000000001*D93))</f>
        <v/>
      </c>
      <c r="R93">
        <f>IF(G93=0,999,SUMPRODUCT((Q$4:Q$183&lt;Q93)*($G$4:$G$183=1))+SUMPRODUCT((Q$4:Q$183=Q93)*($G$4:$G$183=1)*($A$4:$A$183&lt;A93))+1)</f>
        <v/>
      </c>
      <c r="T93">
        <f>IF(G93=1,IF(I93&gt;Compliance,J93,(INT((30-$B93)/(30/Zones))+$H93)/Zones),2)</f>
        <v/>
      </c>
      <c r="U93">
        <f>IF(G93=0,2,IF(N93=0,T93,1-SUMPRODUCT(MAX(($E$4:$E$183=E93)*($G$4:$G$183=1)*(1-T$4:T$183)))+0.000000001*D93))</f>
        <v/>
      </c>
      <c r="V93">
        <f>IF(G93=0,999,SUMPRODUCT((U$4:U$183&lt;U93)*($G$4:$G$183=1))+SUMPRODUCT((U$4:U$183=U93)*($G$4:$G$183=1)*($A$4:$A$183&lt;A93))+1)</f>
        <v/>
      </c>
      <c r="X93">
        <f>IF(G93=1,IF(I93&gt;Compliance,J93,(($D93-1)+$H93)/3),2)</f>
        <v/>
      </c>
      <c r="Y93">
        <f>IF(G93=0,2,IF(N93=0,X93,1-SUMPRODUCT(MAX(($E$4:$E$183=E93)*($G$4:$G$183=1)*(1-X$4:X$183)))+0.000000001*D93))</f>
        <v/>
      </c>
      <c r="Z93">
        <f>IF(G93=0,999,SUMPRODUCT((Y$4:Y$183&lt;Y93)*($G$4:$G$183=1))+SUMPRODUCT((Y$4:Y$183=Y93)*($G$4:$G$183=1)*($A$4:$A$183&lt;A93))+1)</f>
        <v/>
      </c>
      <c r="AB93">
        <f>IF(G93=1,IF(I93&gt;Compliance,J93,((($D93-1)*4+($C93-1)*2+MOD($B93,2))+(30-$B93)/30)/12),2)</f>
        <v/>
      </c>
      <c r="AC93">
        <f>IF(G93=0,2,IF(N93=0,AB93,1-SUMPRODUCT(MAX(($E$4:$E$183=E93)*($G$4:$G$183=1)*(1-AB$4:AB$183)))+0.000000001*D93))</f>
        <v/>
      </c>
      <c r="AD93">
        <f>IF(G93=0,999,SUMPRODUCT((AC$4:AC$183&lt;AC93)*($G$4:$G$183=1))+SUMPRODUCT((AC$4:AC$183=AC93)*($G$4:$G$183=1)*($A$4:$A$183&lt;A93))+1)</f>
        <v/>
      </c>
      <c r="AI93" t="n">
        <v>90</v>
      </c>
      <c r="AJ93">
        <f>IF(90&gt;Passengers,"",MATCH(90,R$4:R$183,0))</f>
        <v/>
      </c>
      <c r="AK93">
        <f>IF(AJ93="","",INDEX($B$4:$B$183,AJ93))</f>
        <v/>
      </c>
      <c r="AL93">
        <f>IF(AJ93="","",INDEX($C$4:$C$183,AJ93))</f>
        <v/>
      </c>
      <c r="AM93">
        <f>IF(AJ93="","",INDEX($D$4:$D$183,AJ93))</f>
        <v/>
      </c>
      <c r="AN93">
        <f>IF(AJ93="","",COUNTIFS($B$4:$B$183,AK93,$C$4:$C$183,AL93,$D$4:$D$183,"&gt;"&amp;AM93,R$4:R$183,"&lt;"&amp;90,$G$4:$G$183,1))</f>
        <v/>
      </c>
      <c r="AO93">
        <f>IF(AJ93="","",INDEX($M$4:$M$183,AJ93)+IF(AN93=1,Shuffle1,IF(AN93&gt;=2,Shuffle2,0)))</f>
        <v/>
      </c>
      <c r="AP93">
        <f>IF(AJ93="","",MAX(DoorGap*89,SUMPRODUCT(MAX((AK$4:AK92&lt;=AK93)*AQ$4:AQ92)),SUMPRODUCT(MAX((AK$4:AK92&gt;AK93)*AP$4:AP92))+Headway))</f>
        <v/>
      </c>
      <c r="AQ93">
        <f>IF(AJ93="","",AP93+AO93)</f>
        <v/>
      </c>
      <c r="AR93">
        <f>IF(AJ93="","",AQ93+AK93*WalkSec)</f>
        <v/>
      </c>
      <c r="AS93" t="n">
        <v>90</v>
      </c>
      <c r="AT93">
        <f>IF(90&gt;Passengers,"",MATCH(90,V$4:V$183,0))</f>
        <v/>
      </c>
      <c r="AU93">
        <f>IF(AT93="","",INDEX($B$4:$B$183,AT93))</f>
        <v/>
      </c>
      <c r="AV93">
        <f>IF(AT93="","",INDEX($C$4:$C$183,AT93))</f>
        <v/>
      </c>
      <c r="AW93">
        <f>IF(AT93="","",INDEX($D$4:$D$183,AT93))</f>
        <v/>
      </c>
      <c r="AX93">
        <f>IF(AT93="","",COUNTIFS($B$4:$B$183,AU93,$C$4:$C$183,AV93,$D$4:$D$183,"&gt;"&amp;AW93,V$4:V$183,"&lt;"&amp;90,$G$4:$G$183,1))</f>
        <v/>
      </c>
      <c r="AY93">
        <f>IF(AT93="","",INDEX($M$4:$M$183,AT93)+IF(AX93=1,Shuffle1,IF(AX93&gt;=2,Shuffle2,0)))</f>
        <v/>
      </c>
      <c r="AZ93">
        <f>IF(AT93="","",MAX(DoorGap*89,SUMPRODUCT(MAX((AU$4:AU92&lt;=AU93)*BA$4:BA92)),SUMPRODUCT(MAX((AU$4:AU92&gt;AU93)*AZ$4:AZ92))+Headway))</f>
        <v/>
      </c>
      <c r="BA93">
        <f>IF(AT93="","",AZ93+AY93)</f>
        <v/>
      </c>
      <c r="BB93">
        <f>IF(AT93="","",BA93+AU93*WalkSec)</f>
        <v/>
      </c>
      <c r="BC93" t="n">
        <v>90</v>
      </c>
      <c r="BD93">
        <f>IF(90&gt;Passengers,"",MATCH(90,Z$4:Z$183,0))</f>
        <v/>
      </c>
      <c r="BE93">
        <f>IF(BD93="","",INDEX($B$4:$B$183,BD93))</f>
        <v/>
      </c>
      <c r="BF93">
        <f>IF(BD93="","",INDEX($C$4:$C$183,BD93))</f>
        <v/>
      </c>
      <c r="BG93">
        <f>IF(BD93="","",INDEX($D$4:$D$183,BD93))</f>
        <v/>
      </c>
      <c r="BH93">
        <f>IF(BD93="","",COUNTIFS($B$4:$B$183,BE93,$C$4:$C$183,BF93,$D$4:$D$183,"&gt;"&amp;BG93,Z$4:Z$183,"&lt;"&amp;90,$G$4:$G$183,1))</f>
        <v/>
      </c>
      <c r="BI93">
        <f>IF(BD93="","",INDEX($M$4:$M$183,BD93)+IF(BH93=1,Shuffle1,IF(BH93&gt;=2,Shuffle2,0)))</f>
        <v/>
      </c>
      <c r="BJ93">
        <f>IF(BD93="","",MAX(DoorGap*89,SUMPRODUCT(MAX((BE$4:BE92&lt;=BE93)*BK$4:BK92)),SUMPRODUCT(MAX((BE$4:BE92&gt;BE93)*BJ$4:BJ92))+Headway))</f>
        <v/>
      </c>
      <c r="BK93">
        <f>IF(BD93="","",BJ93+BI93)</f>
        <v/>
      </c>
      <c r="BL93">
        <f>IF(BD93="","",BK93+BE93*WalkSec)</f>
        <v/>
      </c>
      <c r="BM93" t="n">
        <v>90</v>
      </c>
      <c r="BN93">
        <f>IF(90&gt;Passengers,"",MATCH(90,AD$4:AD$183,0))</f>
        <v/>
      </c>
      <c r="BO93">
        <f>IF(BN93="","",INDEX($B$4:$B$183,BN93))</f>
        <v/>
      </c>
      <c r="BP93">
        <f>IF(BN93="","",INDEX($C$4:$C$183,BN93))</f>
        <v/>
      </c>
      <c r="BQ93">
        <f>IF(BN93="","",INDEX($D$4:$D$183,BN93))</f>
        <v/>
      </c>
      <c r="BR93">
        <f>IF(BN93="","",COUNTIFS($B$4:$B$183,BO93,$C$4:$C$183,BP93,$D$4:$D$183,"&gt;"&amp;BQ93,AD$4:AD$183,"&lt;"&amp;90,$G$4:$G$183,1))</f>
        <v/>
      </c>
      <c r="BS93">
        <f>IF(BN93="","",INDEX($M$4:$M$183,BN93)+IF(BR93=1,Shuffle1,IF(BR93&gt;=2,Shuffle2,0)))</f>
        <v/>
      </c>
      <c r="BT93">
        <f>IF(BN93="","",MAX(DoorGap*89,SUMPRODUCT(MAX((BO$4:BO92&lt;=BO93)*BU$4:BU92)),SUMPRODUCT(MAX((BO$4:BO92&gt;BO93)*BT$4:BT92))+Headway))</f>
        <v/>
      </c>
      <c r="BU93">
        <f>IF(BN93="","",BT93+BS93)</f>
        <v/>
      </c>
      <c r="BV93">
        <f>IF(BN93="","",BU93+BO93*WalkSec)</f>
        <v/>
      </c>
      <c r="BW93">
        <f>IF($G93=0,"",INDEX(AR$4:AR$183,R93))</f>
        <v/>
      </c>
      <c r="BX93">
        <f>IF($G93=0,"",INDEX(BB$4:BB$183,V93))</f>
        <v/>
      </c>
      <c r="BY93">
        <f>IF($G93=0,"",INDEX(BL$4:BL$183,Z93))</f>
        <v/>
      </c>
      <c r="BZ93">
        <f>IF($G93=0,"",INDEX(BV$4:BV$183,AD93))</f>
        <v/>
      </c>
    </row>
    <row r="94">
      <c r="A94" t="n">
        <v>91</v>
      </c>
      <c r="B94" t="n">
        <v>16</v>
      </c>
      <c r="C94" t="n">
        <v>1</v>
      </c>
      <c r="D94" t="n">
        <v>1</v>
      </c>
      <c r="E94" t="n">
        <v>31</v>
      </c>
      <c r="F94">
        <f>RAND()</f>
        <v/>
      </c>
      <c r="G94">
        <f>IF(SUMPRODUCT(($F$4:$F$183&lt;F94)*1)+SUMPRODUCT(($F$4:$F$183=F94)*($A$4:$A$183&lt;A94))&lt;Passengers,1,0)</f>
        <v/>
      </c>
      <c r="H94">
        <f>RAND()</f>
        <v/>
      </c>
      <c r="I94">
        <f>RAND()</f>
        <v/>
      </c>
      <c r="J94">
        <f>RAND()</f>
        <v/>
      </c>
      <c r="K94">
        <f>RAND()</f>
        <v/>
      </c>
      <c r="L94">
        <f>RAND()</f>
        <v/>
      </c>
      <c r="M94">
        <f>IF(K94&lt;BagShare,EXP(NORMSINV(L94)*StowSigma+StowMu),StowNoBag)</f>
        <v/>
      </c>
      <c r="N94">
        <f>IF(INDEX($AG$4:$AG$63,E94)&lt;GroupShare,1,0)</f>
        <v/>
      </c>
      <c r="P94">
        <f>IF(G94=1,IF(I94&gt;Compliance,J94,$H94),2)</f>
        <v/>
      </c>
      <c r="Q94">
        <f>IF(G94=0,2,IF(N94=0,P94,1-SUMPRODUCT(MAX(($E$4:$E$183=E94)*($G$4:$G$183=1)*(1-P$4:P$183)))+0.000000001*D94))</f>
        <v/>
      </c>
      <c r="R94">
        <f>IF(G94=0,999,SUMPRODUCT((Q$4:Q$183&lt;Q94)*($G$4:$G$183=1))+SUMPRODUCT((Q$4:Q$183=Q94)*($G$4:$G$183=1)*($A$4:$A$183&lt;A94))+1)</f>
        <v/>
      </c>
      <c r="T94">
        <f>IF(G94=1,IF(I94&gt;Compliance,J94,(INT((30-$B94)/(30/Zones))+$H94)/Zones),2)</f>
        <v/>
      </c>
      <c r="U94">
        <f>IF(G94=0,2,IF(N94=0,T94,1-SUMPRODUCT(MAX(($E$4:$E$183=E94)*($G$4:$G$183=1)*(1-T$4:T$183)))+0.000000001*D94))</f>
        <v/>
      </c>
      <c r="V94">
        <f>IF(G94=0,999,SUMPRODUCT((U$4:U$183&lt;U94)*($G$4:$G$183=1))+SUMPRODUCT((U$4:U$183=U94)*($G$4:$G$183=1)*($A$4:$A$183&lt;A94))+1)</f>
        <v/>
      </c>
      <c r="X94">
        <f>IF(G94=1,IF(I94&gt;Compliance,J94,(($D94-1)+$H94)/3),2)</f>
        <v/>
      </c>
      <c r="Y94">
        <f>IF(G94=0,2,IF(N94=0,X94,1-SUMPRODUCT(MAX(($E$4:$E$183=E94)*($G$4:$G$183=1)*(1-X$4:X$183)))+0.000000001*D94))</f>
        <v/>
      </c>
      <c r="Z94">
        <f>IF(G94=0,999,SUMPRODUCT((Y$4:Y$183&lt;Y94)*($G$4:$G$183=1))+SUMPRODUCT((Y$4:Y$183=Y94)*($G$4:$G$183=1)*($A$4:$A$183&lt;A94))+1)</f>
        <v/>
      </c>
      <c r="AB94">
        <f>IF(G94=1,IF(I94&gt;Compliance,J94,((($D94-1)*4+($C94-1)*2+MOD($B94,2))+(30-$B94)/30)/12),2)</f>
        <v/>
      </c>
      <c r="AC94">
        <f>IF(G94=0,2,IF(N94=0,AB94,1-SUMPRODUCT(MAX(($E$4:$E$183=E94)*($G$4:$G$183=1)*(1-AB$4:AB$183)))+0.000000001*D94))</f>
        <v/>
      </c>
      <c r="AD94">
        <f>IF(G94=0,999,SUMPRODUCT((AC$4:AC$183&lt;AC94)*($G$4:$G$183=1))+SUMPRODUCT((AC$4:AC$183=AC94)*($G$4:$G$183=1)*($A$4:$A$183&lt;A94))+1)</f>
        <v/>
      </c>
      <c r="AI94" t="n">
        <v>91</v>
      </c>
      <c r="AJ94">
        <f>IF(91&gt;Passengers,"",MATCH(91,R$4:R$183,0))</f>
        <v/>
      </c>
      <c r="AK94">
        <f>IF(AJ94="","",INDEX($B$4:$B$183,AJ94))</f>
        <v/>
      </c>
      <c r="AL94">
        <f>IF(AJ94="","",INDEX($C$4:$C$183,AJ94))</f>
        <v/>
      </c>
      <c r="AM94">
        <f>IF(AJ94="","",INDEX($D$4:$D$183,AJ94))</f>
        <v/>
      </c>
      <c r="AN94">
        <f>IF(AJ94="","",COUNTIFS($B$4:$B$183,AK94,$C$4:$C$183,AL94,$D$4:$D$183,"&gt;"&amp;AM94,R$4:R$183,"&lt;"&amp;91,$G$4:$G$183,1))</f>
        <v/>
      </c>
      <c r="AO94">
        <f>IF(AJ94="","",INDEX($M$4:$M$183,AJ94)+IF(AN94=1,Shuffle1,IF(AN94&gt;=2,Shuffle2,0)))</f>
        <v/>
      </c>
      <c r="AP94">
        <f>IF(AJ94="","",MAX(DoorGap*90,SUMPRODUCT(MAX((AK$4:AK93&lt;=AK94)*AQ$4:AQ93)),SUMPRODUCT(MAX((AK$4:AK93&gt;AK94)*AP$4:AP93))+Headway))</f>
        <v/>
      </c>
      <c r="AQ94">
        <f>IF(AJ94="","",AP94+AO94)</f>
        <v/>
      </c>
      <c r="AR94">
        <f>IF(AJ94="","",AQ94+AK94*WalkSec)</f>
        <v/>
      </c>
      <c r="AS94" t="n">
        <v>91</v>
      </c>
      <c r="AT94">
        <f>IF(91&gt;Passengers,"",MATCH(91,V$4:V$183,0))</f>
        <v/>
      </c>
      <c r="AU94">
        <f>IF(AT94="","",INDEX($B$4:$B$183,AT94))</f>
        <v/>
      </c>
      <c r="AV94">
        <f>IF(AT94="","",INDEX($C$4:$C$183,AT94))</f>
        <v/>
      </c>
      <c r="AW94">
        <f>IF(AT94="","",INDEX($D$4:$D$183,AT94))</f>
        <v/>
      </c>
      <c r="AX94">
        <f>IF(AT94="","",COUNTIFS($B$4:$B$183,AU94,$C$4:$C$183,AV94,$D$4:$D$183,"&gt;"&amp;AW94,V$4:V$183,"&lt;"&amp;91,$G$4:$G$183,1))</f>
        <v/>
      </c>
      <c r="AY94">
        <f>IF(AT94="","",INDEX($M$4:$M$183,AT94)+IF(AX94=1,Shuffle1,IF(AX94&gt;=2,Shuffle2,0)))</f>
        <v/>
      </c>
      <c r="AZ94">
        <f>IF(AT94="","",MAX(DoorGap*90,SUMPRODUCT(MAX((AU$4:AU93&lt;=AU94)*BA$4:BA93)),SUMPRODUCT(MAX((AU$4:AU93&gt;AU94)*AZ$4:AZ93))+Headway))</f>
        <v/>
      </c>
      <c r="BA94">
        <f>IF(AT94="","",AZ94+AY94)</f>
        <v/>
      </c>
      <c r="BB94">
        <f>IF(AT94="","",BA94+AU94*WalkSec)</f>
        <v/>
      </c>
      <c r="BC94" t="n">
        <v>91</v>
      </c>
      <c r="BD94">
        <f>IF(91&gt;Passengers,"",MATCH(91,Z$4:Z$183,0))</f>
        <v/>
      </c>
      <c r="BE94">
        <f>IF(BD94="","",INDEX($B$4:$B$183,BD94))</f>
        <v/>
      </c>
      <c r="BF94">
        <f>IF(BD94="","",INDEX($C$4:$C$183,BD94))</f>
        <v/>
      </c>
      <c r="BG94">
        <f>IF(BD94="","",INDEX($D$4:$D$183,BD94))</f>
        <v/>
      </c>
      <c r="BH94">
        <f>IF(BD94="","",COUNTIFS($B$4:$B$183,BE94,$C$4:$C$183,BF94,$D$4:$D$183,"&gt;"&amp;BG94,Z$4:Z$183,"&lt;"&amp;91,$G$4:$G$183,1))</f>
        <v/>
      </c>
      <c r="BI94">
        <f>IF(BD94="","",INDEX($M$4:$M$183,BD94)+IF(BH94=1,Shuffle1,IF(BH94&gt;=2,Shuffle2,0)))</f>
        <v/>
      </c>
      <c r="BJ94">
        <f>IF(BD94="","",MAX(DoorGap*90,SUMPRODUCT(MAX((BE$4:BE93&lt;=BE94)*BK$4:BK93)),SUMPRODUCT(MAX((BE$4:BE93&gt;BE94)*BJ$4:BJ93))+Headway))</f>
        <v/>
      </c>
      <c r="BK94">
        <f>IF(BD94="","",BJ94+BI94)</f>
        <v/>
      </c>
      <c r="BL94">
        <f>IF(BD94="","",BK94+BE94*WalkSec)</f>
        <v/>
      </c>
      <c r="BM94" t="n">
        <v>91</v>
      </c>
      <c r="BN94">
        <f>IF(91&gt;Passengers,"",MATCH(91,AD$4:AD$183,0))</f>
        <v/>
      </c>
      <c r="BO94">
        <f>IF(BN94="","",INDEX($B$4:$B$183,BN94))</f>
        <v/>
      </c>
      <c r="BP94">
        <f>IF(BN94="","",INDEX($C$4:$C$183,BN94))</f>
        <v/>
      </c>
      <c r="BQ94">
        <f>IF(BN94="","",INDEX($D$4:$D$183,BN94))</f>
        <v/>
      </c>
      <c r="BR94">
        <f>IF(BN94="","",COUNTIFS($B$4:$B$183,BO94,$C$4:$C$183,BP94,$D$4:$D$183,"&gt;"&amp;BQ94,AD$4:AD$183,"&lt;"&amp;91,$G$4:$G$183,1))</f>
        <v/>
      </c>
      <c r="BS94">
        <f>IF(BN94="","",INDEX($M$4:$M$183,BN94)+IF(BR94=1,Shuffle1,IF(BR94&gt;=2,Shuffle2,0)))</f>
        <v/>
      </c>
      <c r="BT94">
        <f>IF(BN94="","",MAX(DoorGap*90,SUMPRODUCT(MAX((BO$4:BO93&lt;=BO94)*BU$4:BU93)),SUMPRODUCT(MAX((BO$4:BO93&gt;BO94)*BT$4:BT93))+Headway))</f>
        <v/>
      </c>
      <c r="BU94">
        <f>IF(BN94="","",BT94+BS94)</f>
        <v/>
      </c>
      <c r="BV94">
        <f>IF(BN94="","",BU94+BO94*WalkSec)</f>
        <v/>
      </c>
      <c r="BW94">
        <f>IF($G94=0,"",INDEX(AR$4:AR$183,R94))</f>
        <v/>
      </c>
      <c r="BX94">
        <f>IF($G94=0,"",INDEX(BB$4:BB$183,V94))</f>
        <v/>
      </c>
      <c r="BY94">
        <f>IF($G94=0,"",INDEX(BL$4:BL$183,Z94))</f>
        <v/>
      </c>
      <c r="BZ94">
        <f>IF($G94=0,"",INDEX(BV$4:BV$183,AD94))</f>
        <v/>
      </c>
    </row>
    <row r="95">
      <c r="A95" t="n">
        <v>92</v>
      </c>
      <c r="B95" t="n">
        <v>16</v>
      </c>
      <c r="C95" t="n">
        <v>1</v>
      </c>
      <c r="D95" t="n">
        <v>2</v>
      </c>
      <c r="E95" t="n">
        <v>31</v>
      </c>
      <c r="F95">
        <f>RAND()</f>
        <v/>
      </c>
      <c r="G95">
        <f>IF(SUMPRODUCT(($F$4:$F$183&lt;F95)*1)+SUMPRODUCT(($F$4:$F$183=F95)*($A$4:$A$183&lt;A95))&lt;Passengers,1,0)</f>
        <v/>
      </c>
      <c r="H95">
        <f>RAND()</f>
        <v/>
      </c>
      <c r="I95">
        <f>RAND()</f>
        <v/>
      </c>
      <c r="J95">
        <f>RAND()</f>
        <v/>
      </c>
      <c r="K95">
        <f>RAND()</f>
        <v/>
      </c>
      <c r="L95">
        <f>RAND()</f>
        <v/>
      </c>
      <c r="M95">
        <f>IF(K95&lt;BagShare,EXP(NORMSINV(L95)*StowSigma+StowMu),StowNoBag)</f>
        <v/>
      </c>
      <c r="N95">
        <f>IF(INDEX($AG$4:$AG$63,E95)&lt;GroupShare,1,0)</f>
        <v/>
      </c>
      <c r="P95">
        <f>IF(G95=1,IF(I95&gt;Compliance,J95,$H95),2)</f>
        <v/>
      </c>
      <c r="Q95">
        <f>IF(G95=0,2,IF(N95=0,P95,1-SUMPRODUCT(MAX(($E$4:$E$183=E95)*($G$4:$G$183=1)*(1-P$4:P$183)))+0.000000001*D95))</f>
        <v/>
      </c>
      <c r="R95">
        <f>IF(G95=0,999,SUMPRODUCT((Q$4:Q$183&lt;Q95)*($G$4:$G$183=1))+SUMPRODUCT((Q$4:Q$183=Q95)*($G$4:$G$183=1)*($A$4:$A$183&lt;A95))+1)</f>
        <v/>
      </c>
      <c r="T95">
        <f>IF(G95=1,IF(I95&gt;Compliance,J95,(INT((30-$B95)/(30/Zones))+$H95)/Zones),2)</f>
        <v/>
      </c>
      <c r="U95">
        <f>IF(G95=0,2,IF(N95=0,T95,1-SUMPRODUCT(MAX(($E$4:$E$183=E95)*($G$4:$G$183=1)*(1-T$4:T$183)))+0.000000001*D95))</f>
        <v/>
      </c>
      <c r="V95">
        <f>IF(G95=0,999,SUMPRODUCT((U$4:U$183&lt;U95)*($G$4:$G$183=1))+SUMPRODUCT((U$4:U$183=U95)*($G$4:$G$183=1)*($A$4:$A$183&lt;A95))+1)</f>
        <v/>
      </c>
      <c r="X95">
        <f>IF(G95=1,IF(I95&gt;Compliance,J95,(($D95-1)+$H95)/3),2)</f>
        <v/>
      </c>
      <c r="Y95">
        <f>IF(G95=0,2,IF(N95=0,X95,1-SUMPRODUCT(MAX(($E$4:$E$183=E95)*($G$4:$G$183=1)*(1-X$4:X$183)))+0.000000001*D95))</f>
        <v/>
      </c>
      <c r="Z95">
        <f>IF(G95=0,999,SUMPRODUCT((Y$4:Y$183&lt;Y95)*($G$4:$G$183=1))+SUMPRODUCT((Y$4:Y$183=Y95)*($G$4:$G$183=1)*($A$4:$A$183&lt;A95))+1)</f>
        <v/>
      </c>
      <c r="AB95">
        <f>IF(G95=1,IF(I95&gt;Compliance,J95,((($D95-1)*4+($C95-1)*2+MOD($B95,2))+(30-$B95)/30)/12),2)</f>
        <v/>
      </c>
      <c r="AC95">
        <f>IF(G95=0,2,IF(N95=0,AB95,1-SUMPRODUCT(MAX(($E$4:$E$183=E95)*($G$4:$G$183=1)*(1-AB$4:AB$183)))+0.000000001*D95))</f>
        <v/>
      </c>
      <c r="AD95">
        <f>IF(G95=0,999,SUMPRODUCT((AC$4:AC$183&lt;AC95)*($G$4:$G$183=1))+SUMPRODUCT((AC$4:AC$183=AC95)*($G$4:$G$183=1)*($A$4:$A$183&lt;A95))+1)</f>
        <v/>
      </c>
      <c r="AI95" t="n">
        <v>92</v>
      </c>
      <c r="AJ95">
        <f>IF(92&gt;Passengers,"",MATCH(92,R$4:R$183,0))</f>
        <v/>
      </c>
      <c r="AK95">
        <f>IF(AJ95="","",INDEX($B$4:$B$183,AJ95))</f>
        <v/>
      </c>
      <c r="AL95">
        <f>IF(AJ95="","",INDEX($C$4:$C$183,AJ95))</f>
        <v/>
      </c>
      <c r="AM95">
        <f>IF(AJ95="","",INDEX($D$4:$D$183,AJ95))</f>
        <v/>
      </c>
      <c r="AN95">
        <f>IF(AJ95="","",COUNTIFS($B$4:$B$183,AK95,$C$4:$C$183,AL95,$D$4:$D$183,"&gt;"&amp;AM95,R$4:R$183,"&lt;"&amp;92,$G$4:$G$183,1))</f>
        <v/>
      </c>
      <c r="AO95">
        <f>IF(AJ95="","",INDEX($M$4:$M$183,AJ95)+IF(AN95=1,Shuffle1,IF(AN95&gt;=2,Shuffle2,0)))</f>
        <v/>
      </c>
      <c r="AP95">
        <f>IF(AJ95="","",MAX(DoorGap*91,SUMPRODUCT(MAX((AK$4:AK94&lt;=AK95)*AQ$4:AQ94)),SUMPRODUCT(MAX((AK$4:AK94&gt;AK95)*AP$4:AP94))+Headway))</f>
        <v/>
      </c>
      <c r="AQ95">
        <f>IF(AJ95="","",AP95+AO95)</f>
        <v/>
      </c>
      <c r="AR95">
        <f>IF(AJ95="","",AQ95+AK95*WalkSec)</f>
        <v/>
      </c>
      <c r="AS95" t="n">
        <v>92</v>
      </c>
      <c r="AT95">
        <f>IF(92&gt;Passengers,"",MATCH(92,V$4:V$183,0))</f>
        <v/>
      </c>
      <c r="AU95">
        <f>IF(AT95="","",INDEX($B$4:$B$183,AT95))</f>
        <v/>
      </c>
      <c r="AV95">
        <f>IF(AT95="","",INDEX($C$4:$C$183,AT95))</f>
        <v/>
      </c>
      <c r="AW95">
        <f>IF(AT95="","",INDEX($D$4:$D$183,AT95))</f>
        <v/>
      </c>
      <c r="AX95">
        <f>IF(AT95="","",COUNTIFS($B$4:$B$183,AU95,$C$4:$C$183,AV95,$D$4:$D$183,"&gt;"&amp;AW95,V$4:V$183,"&lt;"&amp;92,$G$4:$G$183,1))</f>
        <v/>
      </c>
      <c r="AY95">
        <f>IF(AT95="","",INDEX($M$4:$M$183,AT95)+IF(AX95=1,Shuffle1,IF(AX95&gt;=2,Shuffle2,0)))</f>
        <v/>
      </c>
      <c r="AZ95">
        <f>IF(AT95="","",MAX(DoorGap*91,SUMPRODUCT(MAX((AU$4:AU94&lt;=AU95)*BA$4:BA94)),SUMPRODUCT(MAX((AU$4:AU94&gt;AU95)*AZ$4:AZ94))+Headway))</f>
        <v/>
      </c>
      <c r="BA95">
        <f>IF(AT95="","",AZ95+AY95)</f>
        <v/>
      </c>
      <c r="BB95">
        <f>IF(AT95="","",BA95+AU95*WalkSec)</f>
        <v/>
      </c>
      <c r="BC95" t="n">
        <v>92</v>
      </c>
      <c r="BD95">
        <f>IF(92&gt;Passengers,"",MATCH(92,Z$4:Z$183,0))</f>
        <v/>
      </c>
      <c r="BE95">
        <f>IF(BD95="","",INDEX($B$4:$B$183,BD95))</f>
        <v/>
      </c>
      <c r="BF95">
        <f>IF(BD95="","",INDEX($C$4:$C$183,BD95))</f>
        <v/>
      </c>
      <c r="BG95">
        <f>IF(BD95="","",INDEX($D$4:$D$183,BD95))</f>
        <v/>
      </c>
      <c r="BH95">
        <f>IF(BD95="","",COUNTIFS($B$4:$B$183,BE95,$C$4:$C$183,BF95,$D$4:$D$183,"&gt;"&amp;BG95,Z$4:Z$183,"&lt;"&amp;92,$G$4:$G$183,1))</f>
        <v/>
      </c>
      <c r="BI95">
        <f>IF(BD95="","",INDEX($M$4:$M$183,BD95)+IF(BH95=1,Shuffle1,IF(BH95&gt;=2,Shuffle2,0)))</f>
        <v/>
      </c>
      <c r="BJ95">
        <f>IF(BD95="","",MAX(DoorGap*91,SUMPRODUCT(MAX((BE$4:BE94&lt;=BE95)*BK$4:BK94)),SUMPRODUCT(MAX((BE$4:BE94&gt;BE95)*BJ$4:BJ94))+Headway))</f>
        <v/>
      </c>
      <c r="BK95">
        <f>IF(BD95="","",BJ95+BI95)</f>
        <v/>
      </c>
      <c r="BL95">
        <f>IF(BD95="","",BK95+BE95*WalkSec)</f>
        <v/>
      </c>
      <c r="BM95" t="n">
        <v>92</v>
      </c>
      <c r="BN95">
        <f>IF(92&gt;Passengers,"",MATCH(92,AD$4:AD$183,0))</f>
        <v/>
      </c>
      <c r="BO95">
        <f>IF(BN95="","",INDEX($B$4:$B$183,BN95))</f>
        <v/>
      </c>
      <c r="BP95">
        <f>IF(BN95="","",INDEX($C$4:$C$183,BN95))</f>
        <v/>
      </c>
      <c r="BQ95">
        <f>IF(BN95="","",INDEX($D$4:$D$183,BN95))</f>
        <v/>
      </c>
      <c r="BR95">
        <f>IF(BN95="","",COUNTIFS($B$4:$B$183,BO95,$C$4:$C$183,BP95,$D$4:$D$183,"&gt;"&amp;BQ95,AD$4:AD$183,"&lt;"&amp;92,$G$4:$G$183,1))</f>
        <v/>
      </c>
      <c r="BS95">
        <f>IF(BN95="","",INDEX($M$4:$M$183,BN95)+IF(BR95=1,Shuffle1,IF(BR95&gt;=2,Shuffle2,0)))</f>
        <v/>
      </c>
      <c r="BT95">
        <f>IF(BN95="","",MAX(DoorGap*91,SUMPRODUCT(MAX((BO$4:BO94&lt;=BO95)*BU$4:BU94)),SUMPRODUCT(MAX((BO$4:BO94&gt;BO95)*BT$4:BT94))+Headway))</f>
        <v/>
      </c>
      <c r="BU95">
        <f>IF(BN95="","",BT95+BS95)</f>
        <v/>
      </c>
      <c r="BV95">
        <f>IF(BN95="","",BU95+BO95*WalkSec)</f>
        <v/>
      </c>
      <c r="BW95">
        <f>IF($G95=0,"",INDEX(AR$4:AR$183,R95))</f>
        <v/>
      </c>
      <c r="BX95">
        <f>IF($G95=0,"",INDEX(BB$4:BB$183,V95))</f>
        <v/>
      </c>
      <c r="BY95">
        <f>IF($G95=0,"",INDEX(BL$4:BL$183,Z95))</f>
        <v/>
      </c>
      <c r="BZ95">
        <f>IF($G95=0,"",INDEX(BV$4:BV$183,AD95))</f>
        <v/>
      </c>
    </row>
    <row r="96">
      <c r="A96" t="n">
        <v>93</v>
      </c>
      <c r="B96" t="n">
        <v>16</v>
      </c>
      <c r="C96" t="n">
        <v>1</v>
      </c>
      <c r="D96" t="n">
        <v>3</v>
      </c>
      <c r="E96" t="n">
        <v>31</v>
      </c>
      <c r="F96">
        <f>RAND()</f>
        <v/>
      </c>
      <c r="G96">
        <f>IF(SUMPRODUCT(($F$4:$F$183&lt;F96)*1)+SUMPRODUCT(($F$4:$F$183=F96)*($A$4:$A$183&lt;A96))&lt;Passengers,1,0)</f>
        <v/>
      </c>
      <c r="H96">
        <f>RAND()</f>
        <v/>
      </c>
      <c r="I96">
        <f>RAND()</f>
        <v/>
      </c>
      <c r="J96">
        <f>RAND()</f>
        <v/>
      </c>
      <c r="K96">
        <f>RAND()</f>
        <v/>
      </c>
      <c r="L96">
        <f>RAND()</f>
        <v/>
      </c>
      <c r="M96">
        <f>IF(K96&lt;BagShare,EXP(NORMSINV(L96)*StowSigma+StowMu),StowNoBag)</f>
        <v/>
      </c>
      <c r="N96">
        <f>IF(INDEX($AG$4:$AG$63,E96)&lt;GroupShare,1,0)</f>
        <v/>
      </c>
      <c r="P96">
        <f>IF(G96=1,IF(I96&gt;Compliance,J96,$H96),2)</f>
        <v/>
      </c>
      <c r="Q96">
        <f>IF(G96=0,2,IF(N96=0,P96,1-SUMPRODUCT(MAX(($E$4:$E$183=E96)*($G$4:$G$183=1)*(1-P$4:P$183)))+0.000000001*D96))</f>
        <v/>
      </c>
      <c r="R96">
        <f>IF(G96=0,999,SUMPRODUCT((Q$4:Q$183&lt;Q96)*($G$4:$G$183=1))+SUMPRODUCT((Q$4:Q$183=Q96)*($G$4:$G$183=1)*($A$4:$A$183&lt;A96))+1)</f>
        <v/>
      </c>
      <c r="T96">
        <f>IF(G96=1,IF(I96&gt;Compliance,J96,(INT((30-$B96)/(30/Zones))+$H96)/Zones),2)</f>
        <v/>
      </c>
      <c r="U96">
        <f>IF(G96=0,2,IF(N96=0,T96,1-SUMPRODUCT(MAX(($E$4:$E$183=E96)*($G$4:$G$183=1)*(1-T$4:T$183)))+0.000000001*D96))</f>
        <v/>
      </c>
      <c r="V96">
        <f>IF(G96=0,999,SUMPRODUCT((U$4:U$183&lt;U96)*($G$4:$G$183=1))+SUMPRODUCT((U$4:U$183=U96)*($G$4:$G$183=1)*($A$4:$A$183&lt;A96))+1)</f>
        <v/>
      </c>
      <c r="X96">
        <f>IF(G96=1,IF(I96&gt;Compliance,J96,(($D96-1)+$H96)/3),2)</f>
        <v/>
      </c>
      <c r="Y96">
        <f>IF(G96=0,2,IF(N96=0,X96,1-SUMPRODUCT(MAX(($E$4:$E$183=E96)*($G$4:$G$183=1)*(1-X$4:X$183)))+0.000000001*D96))</f>
        <v/>
      </c>
      <c r="Z96">
        <f>IF(G96=0,999,SUMPRODUCT((Y$4:Y$183&lt;Y96)*($G$4:$G$183=1))+SUMPRODUCT((Y$4:Y$183=Y96)*($G$4:$G$183=1)*($A$4:$A$183&lt;A96))+1)</f>
        <v/>
      </c>
      <c r="AB96">
        <f>IF(G96=1,IF(I96&gt;Compliance,J96,((($D96-1)*4+($C96-1)*2+MOD($B96,2))+(30-$B96)/30)/12),2)</f>
        <v/>
      </c>
      <c r="AC96">
        <f>IF(G96=0,2,IF(N96=0,AB96,1-SUMPRODUCT(MAX(($E$4:$E$183=E96)*($G$4:$G$183=1)*(1-AB$4:AB$183)))+0.000000001*D96))</f>
        <v/>
      </c>
      <c r="AD96">
        <f>IF(G96=0,999,SUMPRODUCT((AC$4:AC$183&lt;AC96)*($G$4:$G$183=1))+SUMPRODUCT((AC$4:AC$183=AC96)*($G$4:$G$183=1)*($A$4:$A$183&lt;A96))+1)</f>
        <v/>
      </c>
      <c r="AI96" t="n">
        <v>93</v>
      </c>
      <c r="AJ96">
        <f>IF(93&gt;Passengers,"",MATCH(93,R$4:R$183,0))</f>
        <v/>
      </c>
      <c r="AK96">
        <f>IF(AJ96="","",INDEX($B$4:$B$183,AJ96))</f>
        <v/>
      </c>
      <c r="AL96">
        <f>IF(AJ96="","",INDEX($C$4:$C$183,AJ96))</f>
        <v/>
      </c>
      <c r="AM96">
        <f>IF(AJ96="","",INDEX($D$4:$D$183,AJ96))</f>
        <v/>
      </c>
      <c r="AN96">
        <f>IF(AJ96="","",COUNTIFS($B$4:$B$183,AK96,$C$4:$C$183,AL96,$D$4:$D$183,"&gt;"&amp;AM96,R$4:R$183,"&lt;"&amp;93,$G$4:$G$183,1))</f>
        <v/>
      </c>
      <c r="AO96">
        <f>IF(AJ96="","",INDEX($M$4:$M$183,AJ96)+IF(AN96=1,Shuffle1,IF(AN96&gt;=2,Shuffle2,0)))</f>
        <v/>
      </c>
      <c r="AP96">
        <f>IF(AJ96="","",MAX(DoorGap*92,SUMPRODUCT(MAX((AK$4:AK95&lt;=AK96)*AQ$4:AQ95)),SUMPRODUCT(MAX((AK$4:AK95&gt;AK96)*AP$4:AP95))+Headway))</f>
        <v/>
      </c>
      <c r="AQ96">
        <f>IF(AJ96="","",AP96+AO96)</f>
        <v/>
      </c>
      <c r="AR96">
        <f>IF(AJ96="","",AQ96+AK96*WalkSec)</f>
        <v/>
      </c>
      <c r="AS96" t="n">
        <v>93</v>
      </c>
      <c r="AT96">
        <f>IF(93&gt;Passengers,"",MATCH(93,V$4:V$183,0))</f>
        <v/>
      </c>
      <c r="AU96">
        <f>IF(AT96="","",INDEX($B$4:$B$183,AT96))</f>
        <v/>
      </c>
      <c r="AV96">
        <f>IF(AT96="","",INDEX($C$4:$C$183,AT96))</f>
        <v/>
      </c>
      <c r="AW96">
        <f>IF(AT96="","",INDEX($D$4:$D$183,AT96))</f>
        <v/>
      </c>
      <c r="AX96">
        <f>IF(AT96="","",COUNTIFS($B$4:$B$183,AU96,$C$4:$C$183,AV96,$D$4:$D$183,"&gt;"&amp;AW96,V$4:V$183,"&lt;"&amp;93,$G$4:$G$183,1))</f>
        <v/>
      </c>
      <c r="AY96">
        <f>IF(AT96="","",INDEX($M$4:$M$183,AT96)+IF(AX96=1,Shuffle1,IF(AX96&gt;=2,Shuffle2,0)))</f>
        <v/>
      </c>
      <c r="AZ96">
        <f>IF(AT96="","",MAX(DoorGap*92,SUMPRODUCT(MAX((AU$4:AU95&lt;=AU96)*BA$4:BA95)),SUMPRODUCT(MAX((AU$4:AU95&gt;AU96)*AZ$4:AZ95))+Headway))</f>
        <v/>
      </c>
      <c r="BA96">
        <f>IF(AT96="","",AZ96+AY96)</f>
        <v/>
      </c>
      <c r="BB96">
        <f>IF(AT96="","",BA96+AU96*WalkSec)</f>
        <v/>
      </c>
      <c r="BC96" t="n">
        <v>93</v>
      </c>
      <c r="BD96">
        <f>IF(93&gt;Passengers,"",MATCH(93,Z$4:Z$183,0))</f>
        <v/>
      </c>
      <c r="BE96">
        <f>IF(BD96="","",INDEX($B$4:$B$183,BD96))</f>
        <v/>
      </c>
      <c r="BF96">
        <f>IF(BD96="","",INDEX($C$4:$C$183,BD96))</f>
        <v/>
      </c>
      <c r="BG96">
        <f>IF(BD96="","",INDEX($D$4:$D$183,BD96))</f>
        <v/>
      </c>
      <c r="BH96">
        <f>IF(BD96="","",COUNTIFS($B$4:$B$183,BE96,$C$4:$C$183,BF96,$D$4:$D$183,"&gt;"&amp;BG96,Z$4:Z$183,"&lt;"&amp;93,$G$4:$G$183,1))</f>
        <v/>
      </c>
      <c r="BI96">
        <f>IF(BD96="","",INDEX($M$4:$M$183,BD96)+IF(BH96=1,Shuffle1,IF(BH96&gt;=2,Shuffle2,0)))</f>
        <v/>
      </c>
      <c r="BJ96">
        <f>IF(BD96="","",MAX(DoorGap*92,SUMPRODUCT(MAX((BE$4:BE95&lt;=BE96)*BK$4:BK95)),SUMPRODUCT(MAX((BE$4:BE95&gt;BE96)*BJ$4:BJ95))+Headway))</f>
        <v/>
      </c>
      <c r="BK96">
        <f>IF(BD96="","",BJ96+BI96)</f>
        <v/>
      </c>
      <c r="BL96">
        <f>IF(BD96="","",BK96+BE96*WalkSec)</f>
        <v/>
      </c>
      <c r="BM96" t="n">
        <v>93</v>
      </c>
      <c r="BN96">
        <f>IF(93&gt;Passengers,"",MATCH(93,AD$4:AD$183,0))</f>
        <v/>
      </c>
      <c r="BO96">
        <f>IF(BN96="","",INDEX($B$4:$B$183,BN96))</f>
        <v/>
      </c>
      <c r="BP96">
        <f>IF(BN96="","",INDEX($C$4:$C$183,BN96))</f>
        <v/>
      </c>
      <c r="BQ96">
        <f>IF(BN96="","",INDEX($D$4:$D$183,BN96))</f>
        <v/>
      </c>
      <c r="BR96">
        <f>IF(BN96="","",COUNTIFS($B$4:$B$183,BO96,$C$4:$C$183,BP96,$D$4:$D$183,"&gt;"&amp;BQ96,AD$4:AD$183,"&lt;"&amp;93,$G$4:$G$183,1))</f>
        <v/>
      </c>
      <c r="BS96">
        <f>IF(BN96="","",INDEX($M$4:$M$183,BN96)+IF(BR96=1,Shuffle1,IF(BR96&gt;=2,Shuffle2,0)))</f>
        <v/>
      </c>
      <c r="BT96">
        <f>IF(BN96="","",MAX(DoorGap*92,SUMPRODUCT(MAX((BO$4:BO95&lt;=BO96)*BU$4:BU95)),SUMPRODUCT(MAX((BO$4:BO95&gt;BO96)*BT$4:BT95))+Headway))</f>
        <v/>
      </c>
      <c r="BU96">
        <f>IF(BN96="","",BT96+BS96)</f>
        <v/>
      </c>
      <c r="BV96">
        <f>IF(BN96="","",BU96+BO96*WalkSec)</f>
        <v/>
      </c>
      <c r="BW96">
        <f>IF($G96=0,"",INDEX(AR$4:AR$183,R96))</f>
        <v/>
      </c>
      <c r="BX96">
        <f>IF($G96=0,"",INDEX(BB$4:BB$183,V96))</f>
        <v/>
      </c>
      <c r="BY96">
        <f>IF($G96=0,"",INDEX(BL$4:BL$183,Z96))</f>
        <v/>
      </c>
      <c r="BZ96">
        <f>IF($G96=0,"",INDEX(BV$4:BV$183,AD96))</f>
        <v/>
      </c>
    </row>
    <row r="97">
      <c r="A97" t="n">
        <v>94</v>
      </c>
      <c r="B97" t="n">
        <v>16</v>
      </c>
      <c r="C97" t="n">
        <v>2</v>
      </c>
      <c r="D97" t="n">
        <v>1</v>
      </c>
      <c r="E97" t="n">
        <v>32</v>
      </c>
      <c r="F97">
        <f>RAND()</f>
        <v/>
      </c>
      <c r="G97">
        <f>IF(SUMPRODUCT(($F$4:$F$183&lt;F97)*1)+SUMPRODUCT(($F$4:$F$183=F97)*($A$4:$A$183&lt;A97))&lt;Passengers,1,0)</f>
        <v/>
      </c>
      <c r="H97">
        <f>RAND()</f>
        <v/>
      </c>
      <c r="I97">
        <f>RAND()</f>
        <v/>
      </c>
      <c r="J97">
        <f>RAND()</f>
        <v/>
      </c>
      <c r="K97">
        <f>RAND()</f>
        <v/>
      </c>
      <c r="L97">
        <f>RAND()</f>
        <v/>
      </c>
      <c r="M97">
        <f>IF(K97&lt;BagShare,EXP(NORMSINV(L97)*StowSigma+StowMu),StowNoBag)</f>
        <v/>
      </c>
      <c r="N97">
        <f>IF(INDEX($AG$4:$AG$63,E97)&lt;GroupShare,1,0)</f>
        <v/>
      </c>
      <c r="P97">
        <f>IF(G97=1,IF(I97&gt;Compliance,J97,$H97),2)</f>
        <v/>
      </c>
      <c r="Q97">
        <f>IF(G97=0,2,IF(N97=0,P97,1-SUMPRODUCT(MAX(($E$4:$E$183=E97)*($G$4:$G$183=1)*(1-P$4:P$183)))+0.000000001*D97))</f>
        <v/>
      </c>
      <c r="R97">
        <f>IF(G97=0,999,SUMPRODUCT((Q$4:Q$183&lt;Q97)*($G$4:$G$183=1))+SUMPRODUCT((Q$4:Q$183=Q97)*($G$4:$G$183=1)*($A$4:$A$183&lt;A97))+1)</f>
        <v/>
      </c>
      <c r="T97">
        <f>IF(G97=1,IF(I97&gt;Compliance,J97,(INT((30-$B97)/(30/Zones))+$H97)/Zones),2)</f>
        <v/>
      </c>
      <c r="U97">
        <f>IF(G97=0,2,IF(N97=0,T97,1-SUMPRODUCT(MAX(($E$4:$E$183=E97)*($G$4:$G$183=1)*(1-T$4:T$183)))+0.000000001*D97))</f>
        <v/>
      </c>
      <c r="V97">
        <f>IF(G97=0,999,SUMPRODUCT((U$4:U$183&lt;U97)*($G$4:$G$183=1))+SUMPRODUCT((U$4:U$183=U97)*($G$4:$G$183=1)*($A$4:$A$183&lt;A97))+1)</f>
        <v/>
      </c>
      <c r="X97">
        <f>IF(G97=1,IF(I97&gt;Compliance,J97,(($D97-1)+$H97)/3),2)</f>
        <v/>
      </c>
      <c r="Y97">
        <f>IF(G97=0,2,IF(N97=0,X97,1-SUMPRODUCT(MAX(($E$4:$E$183=E97)*($G$4:$G$183=1)*(1-X$4:X$183)))+0.000000001*D97))</f>
        <v/>
      </c>
      <c r="Z97">
        <f>IF(G97=0,999,SUMPRODUCT((Y$4:Y$183&lt;Y97)*($G$4:$G$183=1))+SUMPRODUCT((Y$4:Y$183=Y97)*($G$4:$G$183=1)*($A$4:$A$183&lt;A97))+1)</f>
        <v/>
      </c>
      <c r="AB97">
        <f>IF(G97=1,IF(I97&gt;Compliance,J97,((($D97-1)*4+($C97-1)*2+MOD($B97,2))+(30-$B97)/30)/12),2)</f>
        <v/>
      </c>
      <c r="AC97">
        <f>IF(G97=0,2,IF(N97=0,AB97,1-SUMPRODUCT(MAX(($E$4:$E$183=E97)*($G$4:$G$183=1)*(1-AB$4:AB$183)))+0.000000001*D97))</f>
        <v/>
      </c>
      <c r="AD97">
        <f>IF(G97=0,999,SUMPRODUCT((AC$4:AC$183&lt;AC97)*($G$4:$G$183=1))+SUMPRODUCT((AC$4:AC$183=AC97)*($G$4:$G$183=1)*($A$4:$A$183&lt;A97))+1)</f>
        <v/>
      </c>
      <c r="AI97" t="n">
        <v>94</v>
      </c>
      <c r="AJ97">
        <f>IF(94&gt;Passengers,"",MATCH(94,R$4:R$183,0))</f>
        <v/>
      </c>
      <c r="AK97">
        <f>IF(AJ97="","",INDEX($B$4:$B$183,AJ97))</f>
        <v/>
      </c>
      <c r="AL97">
        <f>IF(AJ97="","",INDEX($C$4:$C$183,AJ97))</f>
        <v/>
      </c>
      <c r="AM97">
        <f>IF(AJ97="","",INDEX($D$4:$D$183,AJ97))</f>
        <v/>
      </c>
      <c r="AN97">
        <f>IF(AJ97="","",COUNTIFS($B$4:$B$183,AK97,$C$4:$C$183,AL97,$D$4:$D$183,"&gt;"&amp;AM97,R$4:R$183,"&lt;"&amp;94,$G$4:$G$183,1))</f>
        <v/>
      </c>
      <c r="AO97">
        <f>IF(AJ97="","",INDEX($M$4:$M$183,AJ97)+IF(AN97=1,Shuffle1,IF(AN97&gt;=2,Shuffle2,0)))</f>
        <v/>
      </c>
      <c r="AP97">
        <f>IF(AJ97="","",MAX(DoorGap*93,SUMPRODUCT(MAX((AK$4:AK96&lt;=AK97)*AQ$4:AQ96)),SUMPRODUCT(MAX((AK$4:AK96&gt;AK97)*AP$4:AP96))+Headway))</f>
        <v/>
      </c>
      <c r="AQ97">
        <f>IF(AJ97="","",AP97+AO97)</f>
        <v/>
      </c>
      <c r="AR97">
        <f>IF(AJ97="","",AQ97+AK97*WalkSec)</f>
        <v/>
      </c>
      <c r="AS97" t="n">
        <v>94</v>
      </c>
      <c r="AT97">
        <f>IF(94&gt;Passengers,"",MATCH(94,V$4:V$183,0))</f>
        <v/>
      </c>
      <c r="AU97">
        <f>IF(AT97="","",INDEX($B$4:$B$183,AT97))</f>
        <v/>
      </c>
      <c r="AV97">
        <f>IF(AT97="","",INDEX($C$4:$C$183,AT97))</f>
        <v/>
      </c>
      <c r="AW97">
        <f>IF(AT97="","",INDEX($D$4:$D$183,AT97))</f>
        <v/>
      </c>
      <c r="AX97">
        <f>IF(AT97="","",COUNTIFS($B$4:$B$183,AU97,$C$4:$C$183,AV97,$D$4:$D$183,"&gt;"&amp;AW97,V$4:V$183,"&lt;"&amp;94,$G$4:$G$183,1))</f>
        <v/>
      </c>
      <c r="AY97">
        <f>IF(AT97="","",INDEX($M$4:$M$183,AT97)+IF(AX97=1,Shuffle1,IF(AX97&gt;=2,Shuffle2,0)))</f>
        <v/>
      </c>
      <c r="AZ97">
        <f>IF(AT97="","",MAX(DoorGap*93,SUMPRODUCT(MAX((AU$4:AU96&lt;=AU97)*BA$4:BA96)),SUMPRODUCT(MAX((AU$4:AU96&gt;AU97)*AZ$4:AZ96))+Headway))</f>
        <v/>
      </c>
      <c r="BA97">
        <f>IF(AT97="","",AZ97+AY97)</f>
        <v/>
      </c>
      <c r="BB97">
        <f>IF(AT97="","",BA97+AU97*WalkSec)</f>
        <v/>
      </c>
      <c r="BC97" t="n">
        <v>94</v>
      </c>
      <c r="BD97">
        <f>IF(94&gt;Passengers,"",MATCH(94,Z$4:Z$183,0))</f>
        <v/>
      </c>
      <c r="BE97">
        <f>IF(BD97="","",INDEX($B$4:$B$183,BD97))</f>
        <v/>
      </c>
      <c r="BF97">
        <f>IF(BD97="","",INDEX($C$4:$C$183,BD97))</f>
        <v/>
      </c>
      <c r="BG97">
        <f>IF(BD97="","",INDEX($D$4:$D$183,BD97))</f>
        <v/>
      </c>
      <c r="BH97">
        <f>IF(BD97="","",COUNTIFS($B$4:$B$183,BE97,$C$4:$C$183,BF97,$D$4:$D$183,"&gt;"&amp;BG97,Z$4:Z$183,"&lt;"&amp;94,$G$4:$G$183,1))</f>
        <v/>
      </c>
      <c r="BI97">
        <f>IF(BD97="","",INDEX($M$4:$M$183,BD97)+IF(BH97=1,Shuffle1,IF(BH97&gt;=2,Shuffle2,0)))</f>
        <v/>
      </c>
      <c r="BJ97">
        <f>IF(BD97="","",MAX(DoorGap*93,SUMPRODUCT(MAX((BE$4:BE96&lt;=BE97)*BK$4:BK96)),SUMPRODUCT(MAX((BE$4:BE96&gt;BE97)*BJ$4:BJ96))+Headway))</f>
        <v/>
      </c>
      <c r="BK97">
        <f>IF(BD97="","",BJ97+BI97)</f>
        <v/>
      </c>
      <c r="BL97">
        <f>IF(BD97="","",BK97+BE97*WalkSec)</f>
        <v/>
      </c>
      <c r="BM97" t="n">
        <v>94</v>
      </c>
      <c r="BN97">
        <f>IF(94&gt;Passengers,"",MATCH(94,AD$4:AD$183,0))</f>
        <v/>
      </c>
      <c r="BO97">
        <f>IF(BN97="","",INDEX($B$4:$B$183,BN97))</f>
        <v/>
      </c>
      <c r="BP97">
        <f>IF(BN97="","",INDEX($C$4:$C$183,BN97))</f>
        <v/>
      </c>
      <c r="BQ97">
        <f>IF(BN97="","",INDEX($D$4:$D$183,BN97))</f>
        <v/>
      </c>
      <c r="BR97">
        <f>IF(BN97="","",COUNTIFS($B$4:$B$183,BO97,$C$4:$C$183,BP97,$D$4:$D$183,"&gt;"&amp;BQ97,AD$4:AD$183,"&lt;"&amp;94,$G$4:$G$183,1))</f>
        <v/>
      </c>
      <c r="BS97">
        <f>IF(BN97="","",INDEX($M$4:$M$183,BN97)+IF(BR97=1,Shuffle1,IF(BR97&gt;=2,Shuffle2,0)))</f>
        <v/>
      </c>
      <c r="BT97">
        <f>IF(BN97="","",MAX(DoorGap*93,SUMPRODUCT(MAX((BO$4:BO96&lt;=BO97)*BU$4:BU96)),SUMPRODUCT(MAX((BO$4:BO96&gt;BO97)*BT$4:BT96))+Headway))</f>
        <v/>
      </c>
      <c r="BU97">
        <f>IF(BN97="","",BT97+BS97)</f>
        <v/>
      </c>
      <c r="BV97">
        <f>IF(BN97="","",BU97+BO97*WalkSec)</f>
        <v/>
      </c>
      <c r="BW97">
        <f>IF($G97=0,"",INDEX(AR$4:AR$183,R97))</f>
        <v/>
      </c>
      <c r="BX97">
        <f>IF($G97=0,"",INDEX(BB$4:BB$183,V97))</f>
        <v/>
      </c>
      <c r="BY97">
        <f>IF($G97=0,"",INDEX(BL$4:BL$183,Z97))</f>
        <v/>
      </c>
      <c r="BZ97">
        <f>IF($G97=0,"",INDEX(BV$4:BV$183,AD97))</f>
        <v/>
      </c>
    </row>
    <row r="98">
      <c r="A98" t="n">
        <v>95</v>
      </c>
      <c r="B98" t="n">
        <v>16</v>
      </c>
      <c r="C98" t="n">
        <v>2</v>
      </c>
      <c r="D98" t="n">
        <v>2</v>
      </c>
      <c r="E98" t="n">
        <v>32</v>
      </c>
      <c r="F98">
        <f>RAND()</f>
        <v/>
      </c>
      <c r="G98">
        <f>IF(SUMPRODUCT(($F$4:$F$183&lt;F98)*1)+SUMPRODUCT(($F$4:$F$183=F98)*($A$4:$A$183&lt;A98))&lt;Passengers,1,0)</f>
        <v/>
      </c>
      <c r="H98">
        <f>RAND()</f>
        <v/>
      </c>
      <c r="I98">
        <f>RAND()</f>
        <v/>
      </c>
      <c r="J98">
        <f>RAND()</f>
        <v/>
      </c>
      <c r="K98">
        <f>RAND()</f>
        <v/>
      </c>
      <c r="L98">
        <f>RAND()</f>
        <v/>
      </c>
      <c r="M98">
        <f>IF(K98&lt;BagShare,EXP(NORMSINV(L98)*StowSigma+StowMu),StowNoBag)</f>
        <v/>
      </c>
      <c r="N98">
        <f>IF(INDEX($AG$4:$AG$63,E98)&lt;GroupShare,1,0)</f>
        <v/>
      </c>
      <c r="P98">
        <f>IF(G98=1,IF(I98&gt;Compliance,J98,$H98),2)</f>
        <v/>
      </c>
      <c r="Q98">
        <f>IF(G98=0,2,IF(N98=0,P98,1-SUMPRODUCT(MAX(($E$4:$E$183=E98)*($G$4:$G$183=1)*(1-P$4:P$183)))+0.000000001*D98))</f>
        <v/>
      </c>
      <c r="R98">
        <f>IF(G98=0,999,SUMPRODUCT((Q$4:Q$183&lt;Q98)*($G$4:$G$183=1))+SUMPRODUCT((Q$4:Q$183=Q98)*($G$4:$G$183=1)*($A$4:$A$183&lt;A98))+1)</f>
        <v/>
      </c>
      <c r="T98">
        <f>IF(G98=1,IF(I98&gt;Compliance,J98,(INT((30-$B98)/(30/Zones))+$H98)/Zones),2)</f>
        <v/>
      </c>
      <c r="U98">
        <f>IF(G98=0,2,IF(N98=0,T98,1-SUMPRODUCT(MAX(($E$4:$E$183=E98)*($G$4:$G$183=1)*(1-T$4:T$183)))+0.000000001*D98))</f>
        <v/>
      </c>
      <c r="V98">
        <f>IF(G98=0,999,SUMPRODUCT((U$4:U$183&lt;U98)*($G$4:$G$183=1))+SUMPRODUCT((U$4:U$183=U98)*($G$4:$G$183=1)*($A$4:$A$183&lt;A98))+1)</f>
        <v/>
      </c>
      <c r="X98">
        <f>IF(G98=1,IF(I98&gt;Compliance,J98,(($D98-1)+$H98)/3),2)</f>
        <v/>
      </c>
      <c r="Y98">
        <f>IF(G98=0,2,IF(N98=0,X98,1-SUMPRODUCT(MAX(($E$4:$E$183=E98)*($G$4:$G$183=1)*(1-X$4:X$183)))+0.000000001*D98))</f>
        <v/>
      </c>
      <c r="Z98">
        <f>IF(G98=0,999,SUMPRODUCT((Y$4:Y$183&lt;Y98)*($G$4:$G$183=1))+SUMPRODUCT((Y$4:Y$183=Y98)*($G$4:$G$183=1)*($A$4:$A$183&lt;A98))+1)</f>
        <v/>
      </c>
      <c r="AB98">
        <f>IF(G98=1,IF(I98&gt;Compliance,J98,((($D98-1)*4+($C98-1)*2+MOD($B98,2))+(30-$B98)/30)/12),2)</f>
        <v/>
      </c>
      <c r="AC98">
        <f>IF(G98=0,2,IF(N98=0,AB98,1-SUMPRODUCT(MAX(($E$4:$E$183=E98)*($G$4:$G$183=1)*(1-AB$4:AB$183)))+0.000000001*D98))</f>
        <v/>
      </c>
      <c r="AD98">
        <f>IF(G98=0,999,SUMPRODUCT((AC$4:AC$183&lt;AC98)*($G$4:$G$183=1))+SUMPRODUCT((AC$4:AC$183=AC98)*($G$4:$G$183=1)*($A$4:$A$183&lt;A98))+1)</f>
        <v/>
      </c>
      <c r="AI98" t="n">
        <v>95</v>
      </c>
      <c r="AJ98">
        <f>IF(95&gt;Passengers,"",MATCH(95,R$4:R$183,0))</f>
        <v/>
      </c>
      <c r="AK98">
        <f>IF(AJ98="","",INDEX($B$4:$B$183,AJ98))</f>
        <v/>
      </c>
      <c r="AL98">
        <f>IF(AJ98="","",INDEX($C$4:$C$183,AJ98))</f>
        <v/>
      </c>
      <c r="AM98">
        <f>IF(AJ98="","",INDEX($D$4:$D$183,AJ98))</f>
        <v/>
      </c>
      <c r="AN98">
        <f>IF(AJ98="","",COUNTIFS($B$4:$B$183,AK98,$C$4:$C$183,AL98,$D$4:$D$183,"&gt;"&amp;AM98,R$4:R$183,"&lt;"&amp;95,$G$4:$G$183,1))</f>
        <v/>
      </c>
      <c r="AO98">
        <f>IF(AJ98="","",INDEX($M$4:$M$183,AJ98)+IF(AN98=1,Shuffle1,IF(AN98&gt;=2,Shuffle2,0)))</f>
        <v/>
      </c>
      <c r="AP98">
        <f>IF(AJ98="","",MAX(DoorGap*94,SUMPRODUCT(MAX((AK$4:AK97&lt;=AK98)*AQ$4:AQ97)),SUMPRODUCT(MAX((AK$4:AK97&gt;AK98)*AP$4:AP97))+Headway))</f>
        <v/>
      </c>
      <c r="AQ98">
        <f>IF(AJ98="","",AP98+AO98)</f>
        <v/>
      </c>
      <c r="AR98">
        <f>IF(AJ98="","",AQ98+AK98*WalkSec)</f>
        <v/>
      </c>
      <c r="AS98" t="n">
        <v>95</v>
      </c>
      <c r="AT98">
        <f>IF(95&gt;Passengers,"",MATCH(95,V$4:V$183,0))</f>
        <v/>
      </c>
      <c r="AU98">
        <f>IF(AT98="","",INDEX($B$4:$B$183,AT98))</f>
        <v/>
      </c>
      <c r="AV98">
        <f>IF(AT98="","",INDEX($C$4:$C$183,AT98))</f>
        <v/>
      </c>
      <c r="AW98">
        <f>IF(AT98="","",INDEX($D$4:$D$183,AT98))</f>
        <v/>
      </c>
      <c r="AX98">
        <f>IF(AT98="","",COUNTIFS($B$4:$B$183,AU98,$C$4:$C$183,AV98,$D$4:$D$183,"&gt;"&amp;AW98,V$4:V$183,"&lt;"&amp;95,$G$4:$G$183,1))</f>
        <v/>
      </c>
      <c r="AY98">
        <f>IF(AT98="","",INDEX($M$4:$M$183,AT98)+IF(AX98=1,Shuffle1,IF(AX98&gt;=2,Shuffle2,0)))</f>
        <v/>
      </c>
      <c r="AZ98">
        <f>IF(AT98="","",MAX(DoorGap*94,SUMPRODUCT(MAX((AU$4:AU97&lt;=AU98)*BA$4:BA97)),SUMPRODUCT(MAX((AU$4:AU97&gt;AU98)*AZ$4:AZ97))+Headway))</f>
        <v/>
      </c>
      <c r="BA98">
        <f>IF(AT98="","",AZ98+AY98)</f>
        <v/>
      </c>
      <c r="BB98">
        <f>IF(AT98="","",BA98+AU98*WalkSec)</f>
        <v/>
      </c>
      <c r="BC98" t="n">
        <v>95</v>
      </c>
      <c r="BD98">
        <f>IF(95&gt;Passengers,"",MATCH(95,Z$4:Z$183,0))</f>
        <v/>
      </c>
      <c r="BE98">
        <f>IF(BD98="","",INDEX($B$4:$B$183,BD98))</f>
        <v/>
      </c>
      <c r="BF98">
        <f>IF(BD98="","",INDEX($C$4:$C$183,BD98))</f>
        <v/>
      </c>
      <c r="BG98">
        <f>IF(BD98="","",INDEX($D$4:$D$183,BD98))</f>
        <v/>
      </c>
      <c r="BH98">
        <f>IF(BD98="","",COUNTIFS($B$4:$B$183,BE98,$C$4:$C$183,BF98,$D$4:$D$183,"&gt;"&amp;BG98,Z$4:Z$183,"&lt;"&amp;95,$G$4:$G$183,1))</f>
        <v/>
      </c>
      <c r="BI98">
        <f>IF(BD98="","",INDEX($M$4:$M$183,BD98)+IF(BH98=1,Shuffle1,IF(BH98&gt;=2,Shuffle2,0)))</f>
        <v/>
      </c>
      <c r="BJ98">
        <f>IF(BD98="","",MAX(DoorGap*94,SUMPRODUCT(MAX((BE$4:BE97&lt;=BE98)*BK$4:BK97)),SUMPRODUCT(MAX((BE$4:BE97&gt;BE98)*BJ$4:BJ97))+Headway))</f>
        <v/>
      </c>
      <c r="BK98">
        <f>IF(BD98="","",BJ98+BI98)</f>
        <v/>
      </c>
      <c r="BL98">
        <f>IF(BD98="","",BK98+BE98*WalkSec)</f>
        <v/>
      </c>
      <c r="BM98" t="n">
        <v>95</v>
      </c>
      <c r="BN98">
        <f>IF(95&gt;Passengers,"",MATCH(95,AD$4:AD$183,0))</f>
        <v/>
      </c>
      <c r="BO98">
        <f>IF(BN98="","",INDEX($B$4:$B$183,BN98))</f>
        <v/>
      </c>
      <c r="BP98">
        <f>IF(BN98="","",INDEX($C$4:$C$183,BN98))</f>
        <v/>
      </c>
      <c r="BQ98">
        <f>IF(BN98="","",INDEX($D$4:$D$183,BN98))</f>
        <v/>
      </c>
      <c r="BR98">
        <f>IF(BN98="","",COUNTIFS($B$4:$B$183,BO98,$C$4:$C$183,BP98,$D$4:$D$183,"&gt;"&amp;BQ98,AD$4:AD$183,"&lt;"&amp;95,$G$4:$G$183,1))</f>
        <v/>
      </c>
      <c r="BS98">
        <f>IF(BN98="","",INDEX($M$4:$M$183,BN98)+IF(BR98=1,Shuffle1,IF(BR98&gt;=2,Shuffle2,0)))</f>
        <v/>
      </c>
      <c r="BT98">
        <f>IF(BN98="","",MAX(DoorGap*94,SUMPRODUCT(MAX((BO$4:BO97&lt;=BO98)*BU$4:BU97)),SUMPRODUCT(MAX((BO$4:BO97&gt;BO98)*BT$4:BT97))+Headway))</f>
        <v/>
      </c>
      <c r="BU98">
        <f>IF(BN98="","",BT98+BS98)</f>
        <v/>
      </c>
      <c r="BV98">
        <f>IF(BN98="","",BU98+BO98*WalkSec)</f>
        <v/>
      </c>
      <c r="BW98">
        <f>IF($G98=0,"",INDEX(AR$4:AR$183,R98))</f>
        <v/>
      </c>
      <c r="BX98">
        <f>IF($G98=0,"",INDEX(BB$4:BB$183,V98))</f>
        <v/>
      </c>
      <c r="BY98">
        <f>IF($G98=0,"",INDEX(BL$4:BL$183,Z98))</f>
        <v/>
      </c>
      <c r="BZ98">
        <f>IF($G98=0,"",INDEX(BV$4:BV$183,AD98))</f>
        <v/>
      </c>
    </row>
    <row r="99">
      <c r="A99" t="n">
        <v>96</v>
      </c>
      <c r="B99" t="n">
        <v>16</v>
      </c>
      <c r="C99" t="n">
        <v>2</v>
      </c>
      <c r="D99" t="n">
        <v>3</v>
      </c>
      <c r="E99" t="n">
        <v>32</v>
      </c>
      <c r="F99">
        <f>RAND()</f>
        <v/>
      </c>
      <c r="G99">
        <f>IF(SUMPRODUCT(($F$4:$F$183&lt;F99)*1)+SUMPRODUCT(($F$4:$F$183=F99)*($A$4:$A$183&lt;A99))&lt;Passengers,1,0)</f>
        <v/>
      </c>
      <c r="H99">
        <f>RAND()</f>
        <v/>
      </c>
      <c r="I99">
        <f>RAND()</f>
        <v/>
      </c>
      <c r="J99">
        <f>RAND()</f>
        <v/>
      </c>
      <c r="K99">
        <f>RAND()</f>
        <v/>
      </c>
      <c r="L99">
        <f>RAND()</f>
        <v/>
      </c>
      <c r="M99">
        <f>IF(K99&lt;BagShare,EXP(NORMSINV(L99)*StowSigma+StowMu),StowNoBag)</f>
        <v/>
      </c>
      <c r="N99">
        <f>IF(INDEX($AG$4:$AG$63,E99)&lt;GroupShare,1,0)</f>
        <v/>
      </c>
      <c r="P99">
        <f>IF(G99=1,IF(I99&gt;Compliance,J99,$H99),2)</f>
        <v/>
      </c>
      <c r="Q99">
        <f>IF(G99=0,2,IF(N99=0,P99,1-SUMPRODUCT(MAX(($E$4:$E$183=E99)*($G$4:$G$183=1)*(1-P$4:P$183)))+0.000000001*D99))</f>
        <v/>
      </c>
      <c r="R99">
        <f>IF(G99=0,999,SUMPRODUCT((Q$4:Q$183&lt;Q99)*($G$4:$G$183=1))+SUMPRODUCT((Q$4:Q$183=Q99)*($G$4:$G$183=1)*($A$4:$A$183&lt;A99))+1)</f>
        <v/>
      </c>
      <c r="T99">
        <f>IF(G99=1,IF(I99&gt;Compliance,J99,(INT((30-$B99)/(30/Zones))+$H99)/Zones),2)</f>
        <v/>
      </c>
      <c r="U99">
        <f>IF(G99=0,2,IF(N99=0,T99,1-SUMPRODUCT(MAX(($E$4:$E$183=E99)*($G$4:$G$183=1)*(1-T$4:T$183)))+0.000000001*D99))</f>
        <v/>
      </c>
      <c r="V99">
        <f>IF(G99=0,999,SUMPRODUCT((U$4:U$183&lt;U99)*($G$4:$G$183=1))+SUMPRODUCT((U$4:U$183=U99)*($G$4:$G$183=1)*($A$4:$A$183&lt;A99))+1)</f>
        <v/>
      </c>
      <c r="X99">
        <f>IF(G99=1,IF(I99&gt;Compliance,J99,(($D99-1)+$H99)/3),2)</f>
        <v/>
      </c>
      <c r="Y99">
        <f>IF(G99=0,2,IF(N99=0,X99,1-SUMPRODUCT(MAX(($E$4:$E$183=E99)*($G$4:$G$183=1)*(1-X$4:X$183)))+0.000000001*D99))</f>
        <v/>
      </c>
      <c r="Z99">
        <f>IF(G99=0,999,SUMPRODUCT((Y$4:Y$183&lt;Y99)*($G$4:$G$183=1))+SUMPRODUCT((Y$4:Y$183=Y99)*($G$4:$G$183=1)*($A$4:$A$183&lt;A99))+1)</f>
        <v/>
      </c>
      <c r="AB99">
        <f>IF(G99=1,IF(I99&gt;Compliance,J99,((($D99-1)*4+($C99-1)*2+MOD($B99,2))+(30-$B99)/30)/12),2)</f>
        <v/>
      </c>
      <c r="AC99">
        <f>IF(G99=0,2,IF(N99=0,AB99,1-SUMPRODUCT(MAX(($E$4:$E$183=E99)*($G$4:$G$183=1)*(1-AB$4:AB$183)))+0.000000001*D99))</f>
        <v/>
      </c>
      <c r="AD99">
        <f>IF(G99=0,999,SUMPRODUCT((AC$4:AC$183&lt;AC99)*($G$4:$G$183=1))+SUMPRODUCT((AC$4:AC$183=AC99)*($G$4:$G$183=1)*($A$4:$A$183&lt;A99))+1)</f>
        <v/>
      </c>
      <c r="AI99" t="n">
        <v>96</v>
      </c>
      <c r="AJ99">
        <f>IF(96&gt;Passengers,"",MATCH(96,R$4:R$183,0))</f>
        <v/>
      </c>
      <c r="AK99">
        <f>IF(AJ99="","",INDEX($B$4:$B$183,AJ99))</f>
        <v/>
      </c>
      <c r="AL99">
        <f>IF(AJ99="","",INDEX($C$4:$C$183,AJ99))</f>
        <v/>
      </c>
      <c r="AM99">
        <f>IF(AJ99="","",INDEX($D$4:$D$183,AJ99))</f>
        <v/>
      </c>
      <c r="AN99">
        <f>IF(AJ99="","",COUNTIFS($B$4:$B$183,AK99,$C$4:$C$183,AL99,$D$4:$D$183,"&gt;"&amp;AM99,R$4:R$183,"&lt;"&amp;96,$G$4:$G$183,1))</f>
        <v/>
      </c>
      <c r="AO99">
        <f>IF(AJ99="","",INDEX($M$4:$M$183,AJ99)+IF(AN99=1,Shuffle1,IF(AN99&gt;=2,Shuffle2,0)))</f>
        <v/>
      </c>
      <c r="AP99">
        <f>IF(AJ99="","",MAX(DoorGap*95,SUMPRODUCT(MAX((AK$4:AK98&lt;=AK99)*AQ$4:AQ98)),SUMPRODUCT(MAX((AK$4:AK98&gt;AK99)*AP$4:AP98))+Headway))</f>
        <v/>
      </c>
      <c r="AQ99">
        <f>IF(AJ99="","",AP99+AO99)</f>
        <v/>
      </c>
      <c r="AR99">
        <f>IF(AJ99="","",AQ99+AK99*WalkSec)</f>
        <v/>
      </c>
      <c r="AS99" t="n">
        <v>96</v>
      </c>
      <c r="AT99">
        <f>IF(96&gt;Passengers,"",MATCH(96,V$4:V$183,0))</f>
        <v/>
      </c>
      <c r="AU99">
        <f>IF(AT99="","",INDEX($B$4:$B$183,AT99))</f>
        <v/>
      </c>
      <c r="AV99">
        <f>IF(AT99="","",INDEX($C$4:$C$183,AT99))</f>
        <v/>
      </c>
      <c r="AW99">
        <f>IF(AT99="","",INDEX($D$4:$D$183,AT99))</f>
        <v/>
      </c>
      <c r="AX99">
        <f>IF(AT99="","",COUNTIFS($B$4:$B$183,AU99,$C$4:$C$183,AV99,$D$4:$D$183,"&gt;"&amp;AW99,V$4:V$183,"&lt;"&amp;96,$G$4:$G$183,1))</f>
        <v/>
      </c>
      <c r="AY99">
        <f>IF(AT99="","",INDEX($M$4:$M$183,AT99)+IF(AX99=1,Shuffle1,IF(AX99&gt;=2,Shuffle2,0)))</f>
        <v/>
      </c>
      <c r="AZ99">
        <f>IF(AT99="","",MAX(DoorGap*95,SUMPRODUCT(MAX((AU$4:AU98&lt;=AU99)*BA$4:BA98)),SUMPRODUCT(MAX((AU$4:AU98&gt;AU99)*AZ$4:AZ98))+Headway))</f>
        <v/>
      </c>
      <c r="BA99">
        <f>IF(AT99="","",AZ99+AY99)</f>
        <v/>
      </c>
      <c r="BB99">
        <f>IF(AT99="","",BA99+AU99*WalkSec)</f>
        <v/>
      </c>
      <c r="BC99" t="n">
        <v>96</v>
      </c>
      <c r="BD99">
        <f>IF(96&gt;Passengers,"",MATCH(96,Z$4:Z$183,0))</f>
        <v/>
      </c>
      <c r="BE99">
        <f>IF(BD99="","",INDEX($B$4:$B$183,BD99))</f>
        <v/>
      </c>
      <c r="BF99">
        <f>IF(BD99="","",INDEX($C$4:$C$183,BD99))</f>
        <v/>
      </c>
      <c r="BG99">
        <f>IF(BD99="","",INDEX($D$4:$D$183,BD99))</f>
        <v/>
      </c>
      <c r="BH99">
        <f>IF(BD99="","",COUNTIFS($B$4:$B$183,BE99,$C$4:$C$183,BF99,$D$4:$D$183,"&gt;"&amp;BG99,Z$4:Z$183,"&lt;"&amp;96,$G$4:$G$183,1))</f>
        <v/>
      </c>
      <c r="BI99">
        <f>IF(BD99="","",INDEX($M$4:$M$183,BD99)+IF(BH99=1,Shuffle1,IF(BH99&gt;=2,Shuffle2,0)))</f>
        <v/>
      </c>
      <c r="BJ99">
        <f>IF(BD99="","",MAX(DoorGap*95,SUMPRODUCT(MAX((BE$4:BE98&lt;=BE99)*BK$4:BK98)),SUMPRODUCT(MAX((BE$4:BE98&gt;BE99)*BJ$4:BJ98))+Headway))</f>
        <v/>
      </c>
      <c r="BK99">
        <f>IF(BD99="","",BJ99+BI99)</f>
        <v/>
      </c>
      <c r="BL99">
        <f>IF(BD99="","",BK99+BE99*WalkSec)</f>
        <v/>
      </c>
      <c r="BM99" t="n">
        <v>96</v>
      </c>
      <c r="BN99">
        <f>IF(96&gt;Passengers,"",MATCH(96,AD$4:AD$183,0))</f>
        <v/>
      </c>
      <c r="BO99">
        <f>IF(BN99="","",INDEX($B$4:$B$183,BN99))</f>
        <v/>
      </c>
      <c r="BP99">
        <f>IF(BN99="","",INDEX($C$4:$C$183,BN99))</f>
        <v/>
      </c>
      <c r="BQ99">
        <f>IF(BN99="","",INDEX($D$4:$D$183,BN99))</f>
        <v/>
      </c>
      <c r="BR99">
        <f>IF(BN99="","",COUNTIFS($B$4:$B$183,BO99,$C$4:$C$183,BP99,$D$4:$D$183,"&gt;"&amp;BQ99,AD$4:AD$183,"&lt;"&amp;96,$G$4:$G$183,1))</f>
        <v/>
      </c>
      <c r="BS99">
        <f>IF(BN99="","",INDEX($M$4:$M$183,BN99)+IF(BR99=1,Shuffle1,IF(BR99&gt;=2,Shuffle2,0)))</f>
        <v/>
      </c>
      <c r="BT99">
        <f>IF(BN99="","",MAX(DoorGap*95,SUMPRODUCT(MAX((BO$4:BO98&lt;=BO99)*BU$4:BU98)),SUMPRODUCT(MAX((BO$4:BO98&gt;BO99)*BT$4:BT98))+Headway))</f>
        <v/>
      </c>
      <c r="BU99">
        <f>IF(BN99="","",BT99+BS99)</f>
        <v/>
      </c>
      <c r="BV99">
        <f>IF(BN99="","",BU99+BO99*WalkSec)</f>
        <v/>
      </c>
      <c r="BW99">
        <f>IF($G99=0,"",INDEX(AR$4:AR$183,R99))</f>
        <v/>
      </c>
      <c r="BX99">
        <f>IF($G99=0,"",INDEX(BB$4:BB$183,V99))</f>
        <v/>
      </c>
      <c r="BY99">
        <f>IF($G99=0,"",INDEX(BL$4:BL$183,Z99))</f>
        <v/>
      </c>
      <c r="BZ99">
        <f>IF($G99=0,"",INDEX(BV$4:BV$183,AD99))</f>
        <v/>
      </c>
    </row>
    <row r="100">
      <c r="A100" t="n">
        <v>97</v>
      </c>
      <c r="B100" t="n">
        <v>17</v>
      </c>
      <c r="C100" t="n">
        <v>1</v>
      </c>
      <c r="D100" t="n">
        <v>1</v>
      </c>
      <c r="E100" t="n">
        <v>33</v>
      </c>
      <c r="F100">
        <f>RAND()</f>
        <v/>
      </c>
      <c r="G100">
        <f>IF(SUMPRODUCT(($F$4:$F$183&lt;F100)*1)+SUMPRODUCT(($F$4:$F$183=F100)*($A$4:$A$183&lt;A100))&lt;Passengers,1,0)</f>
        <v/>
      </c>
      <c r="H100">
        <f>RAND()</f>
        <v/>
      </c>
      <c r="I100">
        <f>RAND()</f>
        <v/>
      </c>
      <c r="J100">
        <f>RAND()</f>
        <v/>
      </c>
      <c r="K100">
        <f>RAND()</f>
        <v/>
      </c>
      <c r="L100">
        <f>RAND()</f>
        <v/>
      </c>
      <c r="M100">
        <f>IF(K100&lt;BagShare,EXP(NORMSINV(L100)*StowSigma+StowMu),StowNoBag)</f>
        <v/>
      </c>
      <c r="N100">
        <f>IF(INDEX($AG$4:$AG$63,E100)&lt;GroupShare,1,0)</f>
        <v/>
      </c>
      <c r="P100">
        <f>IF(G100=1,IF(I100&gt;Compliance,J100,$H100),2)</f>
        <v/>
      </c>
      <c r="Q100">
        <f>IF(G100=0,2,IF(N100=0,P100,1-SUMPRODUCT(MAX(($E$4:$E$183=E100)*($G$4:$G$183=1)*(1-P$4:P$183)))+0.000000001*D100))</f>
        <v/>
      </c>
      <c r="R100">
        <f>IF(G100=0,999,SUMPRODUCT((Q$4:Q$183&lt;Q100)*($G$4:$G$183=1))+SUMPRODUCT((Q$4:Q$183=Q100)*($G$4:$G$183=1)*($A$4:$A$183&lt;A100))+1)</f>
        <v/>
      </c>
      <c r="T100">
        <f>IF(G100=1,IF(I100&gt;Compliance,J100,(INT((30-$B100)/(30/Zones))+$H100)/Zones),2)</f>
        <v/>
      </c>
      <c r="U100">
        <f>IF(G100=0,2,IF(N100=0,T100,1-SUMPRODUCT(MAX(($E$4:$E$183=E100)*($G$4:$G$183=1)*(1-T$4:T$183)))+0.000000001*D100))</f>
        <v/>
      </c>
      <c r="V100">
        <f>IF(G100=0,999,SUMPRODUCT((U$4:U$183&lt;U100)*($G$4:$G$183=1))+SUMPRODUCT((U$4:U$183=U100)*($G$4:$G$183=1)*($A$4:$A$183&lt;A100))+1)</f>
        <v/>
      </c>
      <c r="X100">
        <f>IF(G100=1,IF(I100&gt;Compliance,J100,(($D100-1)+$H100)/3),2)</f>
        <v/>
      </c>
      <c r="Y100">
        <f>IF(G100=0,2,IF(N100=0,X100,1-SUMPRODUCT(MAX(($E$4:$E$183=E100)*($G$4:$G$183=1)*(1-X$4:X$183)))+0.000000001*D100))</f>
        <v/>
      </c>
      <c r="Z100">
        <f>IF(G100=0,999,SUMPRODUCT((Y$4:Y$183&lt;Y100)*($G$4:$G$183=1))+SUMPRODUCT((Y$4:Y$183=Y100)*($G$4:$G$183=1)*($A$4:$A$183&lt;A100))+1)</f>
        <v/>
      </c>
      <c r="AB100">
        <f>IF(G100=1,IF(I100&gt;Compliance,J100,((($D100-1)*4+($C100-1)*2+MOD($B100,2))+(30-$B100)/30)/12),2)</f>
        <v/>
      </c>
      <c r="AC100">
        <f>IF(G100=0,2,IF(N100=0,AB100,1-SUMPRODUCT(MAX(($E$4:$E$183=E100)*($G$4:$G$183=1)*(1-AB$4:AB$183)))+0.000000001*D100))</f>
        <v/>
      </c>
      <c r="AD100">
        <f>IF(G100=0,999,SUMPRODUCT((AC$4:AC$183&lt;AC100)*($G$4:$G$183=1))+SUMPRODUCT((AC$4:AC$183=AC100)*($G$4:$G$183=1)*($A$4:$A$183&lt;A100))+1)</f>
        <v/>
      </c>
      <c r="AI100" t="n">
        <v>97</v>
      </c>
      <c r="AJ100">
        <f>IF(97&gt;Passengers,"",MATCH(97,R$4:R$183,0))</f>
        <v/>
      </c>
      <c r="AK100">
        <f>IF(AJ100="","",INDEX($B$4:$B$183,AJ100))</f>
        <v/>
      </c>
      <c r="AL100">
        <f>IF(AJ100="","",INDEX($C$4:$C$183,AJ100))</f>
        <v/>
      </c>
      <c r="AM100">
        <f>IF(AJ100="","",INDEX($D$4:$D$183,AJ100))</f>
        <v/>
      </c>
      <c r="AN100">
        <f>IF(AJ100="","",COUNTIFS($B$4:$B$183,AK100,$C$4:$C$183,AL100,$D$4:$D$183,"&gt;"&amp;AM100,R$4:R$183,"&lt;"&amp;97,$G$4:$G$183,1))</f>
        <v/>
      </c>
      <c r="AO100">
        <f>IF(AJ100="","",INDEX($M$4:$M$183,AJ100)+IF(AN100=1,Shuffle1,IF(AN100&gt;=2,Shuffle2,0)))</f>
        <v/>
      </c>
      <c r="AP100">
        <f>IF(AJ100="","",MAX(DoorGap*96,SUMPRODUCT(MAX((AK$4:AK99&lt;=AK100)*AQ$4:AQ99)),SUMPRODUCT(MAX((AK$4:AK99&gt;AK100)*AP$4:AP99))+Headway))</f>
        <v/>
      </c>
      <c r="AQ100">
        <f>IF(AJ100="","",AP100+AO100)</f>
        <v/>
      </c>
      <c r="AR100">
        <f>IF(AJ100="","",AQ100+AK100*WalkSec)</f>
        <v/>
      </c>
      <c r="AS100" t="n">
        <v>97</v>
      </c>
      <c r="AT100">
        <f>IF(97&gt;Passengers,"",MATCH(97,V$4:V$183,0))</f>
        <v/>
      </c>
      <c r="AU100">
        <f>IF(AT100="","",INDEX($B$4:$B$183,AT100))</f>
        <v/>
      </c>
      <c r="AV100">
        <f>IF(AT100="","",INDEX($C$4:$C$183,AT100))</f>
        <v/>
      </c>
      <c r="AW100">
        <f>IF(AT100="","",INDEX($D$4:$D$183,AT100))</f>
        <v/>
      </c>
      <c r="AX100">
        <f>IF(AT100="","",COUNTIFS($B$4:$B$183,AU100,$C$4:$C$183,AV100,$D$4:$D$183,"&gt;"&amp;AW100,V$4:V$183,"&lt;"&amp;97,$G$4:$G$183,1))</f>
        <v/>
      </c>
      <c r="AY100">
        <f>IF(AT100="","",INDEX($M$4:$M$183,AT100)+IF(AX100=1,Shuffle1,IF(AX100&gt;=2,Shuffle2,0)))</f>
        <v/>
      </c>
      <c r="AZ100">
        <f>IF(AT100="","",MAX(DoorGap*96,SUMPRODUCT(MAX((AU$4:AU99&lt;=AU100)*BA$4:BA99)),SUMPRODUCT(MAX((AU$4:AU99&gt;AU100)*AZ$4:AZ99))+Headway))</f>
        <v/>
      </c>
      <c r="BA100">
        <f>IF(AT100="","",AZ100+AY100)</f>
        <v/>
      </c>
      <c r="BB100">
        <f>IF(AT100="","",BA100+AU100*WalkSec)</f>
        <v/>
      </c>
      <c r="BC100" t="n">
        <v>97</v>
      </c>
      <c r="BD100">
        <f>IF(97&gt;Passengers,"",MATCH(97,Z$4:Z$183,0))</f>
        <v/>
      </c>
      <c r="BE100">
        <f>IF(BD100="","",INDEX($B$4:$B$183,BD100))</f>
        <v/>
      </c>
      <c r="BF100">
        <f>IF(BD100="","",INDEX($C$4:$C$183,BD100))</f>
        <v/>
      </c>
      <c r="BG100">
        <f>IF(BD100="","",INDEX($D$4:$D$183,BD100))</f>
        <v/>
      </c>
      <c r="BH100">
        <f>IF(BD100="","",COUNTIFS($B$4:$B$183,BE100,$C$4:$C$183,BF100,$D$4:$D$183,"&gt;"&amp;BG100,Z$4:Z$183,"&lt;"&amp;97,$G$4:$G$183,1))</f>
        <v/>
      </c>
      <c r="BI100">
        <f>IF(BD100="","",INDEX($M$4:$M$183,BD100)+IF(BH100=1,Shuffle1,IF(BH100&gt;=2,Shuffle2,0)))</f>
        <v/>
      </c>
      <c r="BJ100">
        <f>IF(BD100="","",MAX(DoorGap*96,SUMPRODUCT(MAX((BE$4:BE99&lt;=BE100)*BK$4:BK99)),SUMPRODUCT(MAX((BE$4:BE99&gt;BE100)*BJ$4:BJ99))+Headway))</f>
        <v/>
      </c>
      <c r="BK100">
        <f>IF(BD100="","",BJ100+BI100)</f>
        <v/>
      </c>
      <c r="BL100">
        <f>IF(BD100="","",BK100+BE100*WalkSec)</f>
        <v/>
      </c>
      <c r="BM100" t="n">
        <v>97</v>
      </c>
      <c r="BN100">
        <f>IF(97&gt;Passengers,"",MATCH(97,AD$4:AD$183,0))</f>
        <v/>
      </c>
      <c r="BO100">
        <f>IF(BN100="","",INDEX($B$4:$B$183,BN100))</f>
        <v/>
      </c>
      <c r="BP100">
        <f>IF(BN100="","",INDEX($C$4:$C$183,BN100))</f>
        <v/>
      </c>
      <c r="BQ100">
        <f>IF(BN100="","",INDEX($D$4:$D$183,BN100))</f>
        <v/>
      </c>
      <c r="BR100">
        <f>IF(BN100="","",COUNTIFS($B$4:$B$183,BO100,$C$4:$C$183,BP100,$D$4:$D$183,"&gt;"&amp;BQ100,AD$4:AD$183,"&lt;"&amp;97,$G$4:$G$183,1))</f>
        <v/>
      </c>
      <c r="BS100">
        <f>IF(BN100="","",INDEX($M$4:$M$183,BN100)+IF(BR100=1,Shuffle1,IF(BR100&gt;=2,Shuffle2,0)))</f>
        <v/>
      </c>
      <c r="BT100">
        <f>IF(BN100="","",MAX(DoorGap*96,SUMPRODUCT(MAX((BO$4:BO99&lt;=BO100)*BU$4:BU99)),SUMPRODUCT(MAX((BO$4:BO99&gt;BO100)*BT$4:BT99))+Headway))</f>
        <v/>
      </c>
      <c r="BU100">
        <f>IF(BN100="","",BT100+BS100)</f>
        <v/>
      </c>
      <c r="BV100">
        <f>IF(BN100="","",BU100+BO100*WalkSec)</f>
        <v/>
      </c>
      <c r="BW100">
        <f>IF($G100=0,"",INDEX(AR$4:AR$183,R100))</f>
        <v/>
      </c>
      <c r="BX100">
        <f>IF($G100=0,"",INDEX(BB$4:BB$183,V100))</f>
        <v/>
      </c>
      <c r="BY100">
        <f>IF($G100=0,"",INDEX(BL$4:BL$183,Z100))</f>
        <v/>
      </c>
      <c r="BZ100">
        <f>IF($G100=0,"",INDEX(BV$4:BV$183,AD100))</f>
        <v/>
      </c>
    </row>
    <row r="101">
      <c r="A101" t="n">
        <v>98</v>
      </c>
      <c r="B101" t="n">
        <v>17</v>
      </c>
      <c r="C101" t="n">
        <v>1</v>
      </c>
      <c r="D101" t="n">
        <v>2</v>
      </c>
      <c r="E101" t="n">
        <v>33</v>
      </c>
      <c r="F101">
        <f>RAND()</f>
        <v/>
      </c>
      <c r="G101">
        <f>IF(SUMPRODUCT(($F$4:$F$183&lt;F101)*1)+SUMPRODUCT(($F$4:$F$183=F101)*($A$4:$A$183&lt;A101))&lt;Passengers,1,0)</f>
        <v/>
      </c>
      <c r="H101">
        <f>RAND()</f>
        <v/>
      </c>
      <c r="I101">
        <f>RAND()</f>
        <v/>
      </c>
      <c r="J101">
        <f>RAND()</f>
        <v/>
      </c>
      <c r="K101">
        <f>RAND()</f>
        <v/>
      </c>
      <c r="L101">
        <f>RAND()</f>
        <v/>
      </c>
      <c r="M101">
        <f>IF(K101&lt;BagShare,EXP(NORMSINV(L101)*StowSigma+StowMu),StowNoBag)</f>
        <v/>
      </c>
      <c r="N101">
        <f>IF(INDEX($AG$4:$AG$63,E101)&lt;GroupShare,1,0)</f>
        <v/>
      </c>
      <c r="P101">
        <f>IF(G101=1,IF(I101&gt;Compliance,J101,$H101),2)</f>
        <v/>
      </c>
      <c r="Q101">
        <f>IF(G101=0,2,IF(N101=0,P101,1-SUMPRODUCT(MAX(($E$4:$E$183=E101)*($G$4:$G$183=1)*(1-P$4:P$183)))+0.000000001*D101))</f>
        <v/>
      </c>
      <c r="R101">
        <f>IF(G101=0,999,SUMPRODUCT((Q$4:Q$183&lt;Q101)*($G$4:$G$183=1))+SUMPRODUCT((Q$4:Q$183=Q101)*($G$4:$G$183=1)*($A$4:$A$183&lt;A101))+1)</f>
        <v/>
      </c>
      <c r="T101">
        <f>IF(G101=1,IF(I101&gt;Compliance,J101,(INT((30-$B101)/(30/Zones))+$H101)/Zones),2)</f>
        <v/>
      </c>
      <c r="U101">
        <f>IF(G101=0,2,IF(N101=0,T101,1-SUMPRODUCT(MAX(($E$4:$E$183=E101)*($G$4:$G$183=1)*(1-T$4:T$183)))+0.000000001*D101))</f>
        <v/>
      </c>
      <c r="V101">
        <f>IF(G101=0,999,SUMPRODUCT((U$4:U$183&lt;U101)*($G$4:$G$183=1))+SUMPRODUCT((U$4:U$183=U101)*($G$4:$G$183=1)*($A$4:$A$183&lt;A101))+1)</f>
        <v/>
      </c>
      <c r="X101">
        <f>IF(G101=1,IF(I101&gt;Compliance,J101,(($D101-1)+$H101)/3),2)</f>
        <v/>
      </c>
      <c r="Y101">
        <f>IF(G101=0,2,IF(N101=0,X101,1-SUMPRODUCT(MAX(($E$4:$E$183=E101)*($G$4:$G$183=1)*(1-X$4:X$183)))+0.000000001*D101))</f>
        <v/>
      </c>
      <c r="Z101">
        <f>IF(G101=0,999,SUMPRODUCT((Y$4:Y$183&lt;Y101)*($G$4:$G$183=1))+SUMPRODUCT((Y$4:Y$183=Y101)*($G$4:$G$183=1)*($A$4:$A$183&lt;A101))+1)</f>
        <v/>
      </c>
      <c r="AB101">
        <f>IF(G101=1,IF(I101&gt;Compliance,J101,((($D101-1)*4+($C101-1)*2+MOD($B101,2))+(30-$B101)/30)/12),2)</f>
        <v/>
      </c>
      <c r="AC101">
        <f>IF(G101=0,2,IF(N101=0,AB101,1-SUMPRODUCT(MAX(($E$4:$E$183=E101)*($G$4:$G$183=1)*(1-AB$4:AB$183)))+0.000000001*D101))</f>
        <v/>
      </c>
      <c r="AD101">
        <f>IF(G101=0,999,SUMPRODUCT((AC$4:AC$183&lt;AC101)*($G$4:$G$183=1))+SUMPRODUCT((AC$4:AC$183=AC101)*($G$4:$G$183=1)*($A$4:$A$183&lt;A101))+1)</f>
        <v/>
      </c>
      <c r="AI101" t="n">
        <v>98</v>
      </c>
      <c r="AJ101">
        <f>IF(98&gt;Passengers,"",MATCH(98,R$4:R$183,0))</f>
        <v/>
      </c>
      <c r="AK101">
        <f>IF(AJ101="","",INDEX($B$4:$B$183,AJ101))</f>
        <v/>
      </c>
      <c r="AL101">
        <f>IF(AJ101="","",INDEX($C$4:$C$183,AJ101))</f>
        <v/>
      </c>
      <c r="AM101">
        <f>IF(AJ101="","",INDEX($D$4:$D$183,AJ101))</f>
        <v/>
      </c>
      <c r="AN101">
        <f>IF(AJ101="","",COUNTIFS($B$4:$B$183,AK101,$C$4:$C$183,AL101,$D$4:$D$183,"&gt;"&amp;AM101,R$4:R$183,"&lt;"&amp;98,$G$4:$G$183,1))</f>
        <v/>
      </c>
      <c r="AO101">
        <f>IF(AJ101="","",INDEX($M$4:$M$183,AJ101)+IF(AN101=1,Shuffle1,IF(AN101&gt;=2,Shuffle2,0)))</f>
        <v/>
      </c>
      <c r="AP101">
        <f>IF(AJ101="","",MAX(DoorGap*97,SUMPRODUCT(MAX((AK$4:AK100&lt;=AK101)*AQ$4:AQ100)),SUMPRODUCT(MAX((AK$4:AK100&gt;AK101)*AP$4:AP100))+Headway))</f>
        <v/>
      </c>
      <c r="AQ101">
        <f>IF(AJ101="","",AP101+AO101)</f>
        <v/>
      </c>
      <c r="AR101">
        <f>IF(AJ101="","",AQ101+AK101*WalkSec)</f>
        <v/>
      </c>
      <c r="AS101" t="n">
        <v>98</v>
      </c>
      <c r="AT101">
        <f>IF(98&gt;Passengers,"",MATCH(98,V$4:V$183,0))</f>
        <v/>
      </c>
      <c r="AU101">
        <f>IF(AT101="","",INDEX($B$4:$B$183,AT101))</f>
        <v/>
      </c>
      <c r="AV101">
        <f>IF(AT101="","",INDEX($C$4:$C$183,AT101))</f>
        <v/>
      </c>
      <c r="AW101">
        <f>IF(AT101="","",INDEX($D$4:$D$183,AT101))</f>
        <v/>
      </c>
      <c r="AX101">
        <f>IF(AT101="","",COUNTIFS($B$4:$B$183,AU101,$C$4:$C$183,AV101,$D$4:$D$183,"&gt;"&amp;AW101,V$4:V$183,"&lt;"&amp;98,$G$4:$G$183,1))</f>
        <v/>
      </c>
      <c r="AY101">
        <f>IF(AT101="","",INDEX($M$4:$M$183,AT101)+IF(AX101=1,Shuffle1,IF(AX101&gt;=2,Shuffle2,0)))</f>
        <v/>
      </c>
      <c r="AZ101">
        <f>IF(AT101="","",MAX(DoorGap*97,SUMPRODUCT(MAX((AU$4:AU100&lt;=AU101)*BA$4:BA100)),SUMPRODUCT(MAX((AU$4:AU100&gt;AU101)*AZ$4:AZ100))+Headway))</f>
        <v/>
      </c>
      <c r="BA101">
        <f>IF(AT101="","",AZ101+AY101)</f>
        <v/>
      </c>
      <c r="BB101">
        <f>IF(AT101="","",BA101+AU101*WalkSec)</f>
        <v/>
      </c>
      <c r="BC101" t="n">
        <v>98</v>
      </c>
      <c r="BD101">
        <f>IF(98&gt;Passengers,"",MATCH(98,Z$4:Z$183,0))</f>
        <v/>
      </c>
      <c r="BE101">
        <f>IF(BD101="","",INDEX($B$4:$B$183,BD101))</f>
        <v/>
      </c>
      <c r="BF101">
        <f>IF(BD101="","",INDEX($C$4:$C$183,BD101))</f>
        <v/>
      </c>
      <c r="BG101">
        <f>IF(BD101="","",INDEX($D$4:$D$183,BD101))</f>
        <v/>
      </c>
      <c r="BH101">
        <f>IF(BD101="","",COUNTIFS($B$4:$B$183,BE101,$C$4:$C$183,BF101,$D$4:$D$183,"&gt;"&amp;BG101,Z$4:Z$183,"&lt;"&amp;98,$G$4:$G$183,1))</f>
        <v/>
      </c>
      <c r="BI101">
        <f>IF(BD101="","",INDEX($M$4:$M$183,BD101)+IF(BH101=1,Shuffle1,IF(BH101&gt;=2,Shuffle2,0)))</f>
        <v/>
      </c>
      <c r="BJ101">
        <f>IF(BD101="","",MAX(DoorGap*97,SUMPRODUCT(MAX((BE$4:BE100&lt;=BE101)*BK$4:BK100)),SUMPRODUCT(MAX((BE$4:BE100&gt;BE101)*BJ$4:BJ100))+Headway))</f>
        <v/>
      </c>
      <c r="BK101">
        <f>IF(BD101="","",BJ101+BI101)</f>
        <v/>
      </c>
      <c r="BL101">
        <f>IF(BD101="","",BK101+BE101*WalkSec)</f>
        <v/>
      </c>
      <c r="BM101" t="n">
        <v>98</v>
      </c>
      <c r="BN101">
        <f>IF(98&gt;Passengers,"",MATCH(98,AD$4:AD$183,0))</f>
        <v/>
      </c>
      <c r="BO101">
        <f>IF(BN101="","",INDEX($B$4:$B$183,BN101))</f>
        <v/>
      </c>
      <c r="BP101">
        <f>IF(BN101="","",INDEX($C$4:$C$183,BN101))</f>
        <v/>
      </c>
      <c r="BQ101">
        <f>IF(BN101="","",INDEX($D$4:$D$183,BN101))</f>
        <v/>
      </c>
      <c r="BR101">
        <f>IF(BN101="","",COUNTIFS($B$4:$B$183,BO101,$C$4:$C$183,BP101,$D$4:$D$183,"&gt;"&amp;BQ101,AD$4:AD$183,"&lt;"&amp;98,$G$4:$G$183,1))</f>
        <v/>
      </c>
      <c r="BS101">
        <f>IF(BN101="","",INDEX($M$4:$M$183,BN101)+IF(BR101=1,Shuffle1,IF(BR101&gt;=2,Shuffle2,0)))</f>
        <v/>
      </c>
      <c r="BT101">
        <f>IF(BN101="","",MAX(DoorGap*97,SUMPRODUCT(MAX((BO$4:BO100&lt;=BO101)*BU$4:BU100)),SUMPRODUCT(MAX((BO$4:BO100&gt;BO101)*BT$4:BT100))+Headway))</f>
        <v/>
      </c>
      <c r="BU101">
        <f>IF(BN101="","",BT101+BS101)</f>
        <v/>
      </c>
      <c r="BV101">
        <f>IF(BN101="","",BU101+BO101*WalkSec)</f>
        <v/>
      </c>
      <c r="BW101">
        <f>IF($G101=0,"",INDEX(AR$4:AR$183,R101))</f>
        <v/>
      </c>
      <c r="BX101">
        <f>IF($G101=0,"",INDEX(BB$4:BB$183,V101))</f>
        <v/>
      </c>
      <c r="BY101">
        <f>IF($G101=0,"",INDEX(BL$4:BL$183,Z101))</f>
        <v/>
      </c>
      <c r="BZ101">
        <f>IF($G101=0,"",INDEX(BV$4:BV$183,AD101))</f>
        <v/>
      </c>
    </row>
    <row r="102">
      <c r="A102" t="n">
        <v>99</v>
      </c>
      <c r="B102" t="n">
        <v>17</v>
      </c>
      <c r="C102" t="n">
        <v>1</v>
      </c>
      <c r="D102" t="n">
        <v>3</v>
      </c>
      <c r="E102" t="n">
        <v>33</v>
      </c>
      <c r="F102">
        <f>RAND()</f>
        <v/>
      </c>
      <c r="G102">
        <f>IF(SUMPRODUCT(($F$4:$F$183&lt;F102)*1)+SUMPRODUCT(($F$4:$F$183=F102)*($A$4:$A$183&lt;A102))&lt;Passengers,1,0)</f>
        <v/>
      </c>
      <c r="H102">
        <f>RAND()</f>
        <v/>
      </c>
      <c r="I102">
        <f>RAND()</f>
        <v/>
      </c>
      <c r="J102">
        <f>RAND()</f>
        <v/>
      </c>
      <c r="K102">
        <f>RAND()</f>
        <v/>
      </c>
      <c r="L102">
        <f>RAND()</f>
        <v/>
      </c>
      <c r="M102">
        <f>IF(K102&lt;BagShare,EXP(NORMSINV(L102)*StowSigma+StowMu),StowNoBag)</f>
        <v/>
      </c>
      <c r="N102">
        <f>IF(INDEX($AG$4:$AG$63,E102)&lt;GroupShare,1,0)</f>
        <v/>
      </c>
      <c r="P102">
        <f>IF(G102=1,IF(I102&gt;Compliance,J102,$H102),2)</f>
        <v/>
      </c>
      <c r="Q102">
        <f>IF(G102=0,2,IF(N102=0,P102,1-SUMPRODUCT(MAX(($E$4:$E$183=E102)*($G$4:$G$183=1)*(1-P$4:P$183)))+0.000000001*D102))</f>
        <v/>
      </c>
      <c r="R102">
        <f>IF(G102=0,999,SUMPRODUCT((Q$4:Q$183&lt;Q102)*($G$4:$G$183=1))+SUMPRODUCT((Q$4:Q$183=Q102)*($G$4:$G$183=1)*($A$4:$A$183&lt;A102))+1)</f>
        <v/>
      </c>
      <c r="T102">
        <f>IF(G102=1,IF(I102&gt;Compliance,J102,(INT((30-$B102)/(30/Zones))+$H102)/Zones),2)</f>
        <v/>
      </c>
      <c r="U102">
        <f>IF(G102=0,2,IF(N102=0,T102,1-SUMPRODUCT(MAX(($E$4:$E$183=E102)*($G$4:$G$183=1)*(1-T$4:T$183)))+0.000000001*D102))</f>
        <v/>
      </c>
      <c r="V102">
        <f>IF(G102=0,999,SUMPRODUCT((U$4:U$183&lt;U102)*($G$4:$G$183=1))+SUMPRODUCT((U$4:U$183=U102)*($G$4:$G$183=1)*($A$4:$A$183&lt;A102))+1)</f>
        <v/>
      </c>
      <c r="X102">
        <f>IF(G102=1,IF(I102&gt;Compliance,J102,(($D102-1)+$H102)/3),2)</f>
        <v/>
      </c>
      <c r="Y102">
        <f>IF(G102=0,2,IF(N102=0,X102,1-SUMPRODUCT(MAX(($E$4:$E$183=E102)*($G$4:$G$183=1)*(1-X$4:X$183)))+0.000000001*D102))</f>
        <v/>
      </c>
      <c r="Z102">
        <f>IF(G102=0,999,SUMPRODUCT((Y$4:Y$183&lt;Y102)*($G$4:$G$183=1))+SUMPRODUCT((Y$4:Y$183=Y102)*($G$4:$G$183=1)*($A$4:$A$183&lt;A102))+1)</f>
        <v/>
      </c>
      <c r="AB102">
        <f>IF(G102=1,IF(I102&gt;Compliance,J102,((($D102-1)*4+($C102-1)*2+MOD($B102,2))+(30-$B102)/30)/12),2)</f>
        <v/>
      </c>
      <c r="AC102">
        <f>IF(G102=0,2,IF(N102=0,AB102,1-SUMPRODUCT(MAX(($E$4:$E$183=E102)*($G$4:$G$183=1)*(1-AB$4:AB$183)))+0.000000001*D102))</f>
        <v/>
      </c>
      <c r="AD102">
        <f>IF(G102=0,999,SUMPRODUCT((AC$4:AC$183&lt;AC102)*($G$4:$G$183=1))+SUMPRODUCT((AC$4:AC$183=AC102)*($G$4:$G$183=1)*($A$4:$A$183&lt;A102))+1)</f>
        <v/>
      </c>
      <c r="AI102" t="n">
        <v>99</v>
      </c>
      <c r="AJ102">
        <f>IF(99&gt;Passengers,"",MATCH(99,R$4:R$183,0))</f>
        <v/>
      </c>
      <c r="AK102">
        <f>IF(AJ102="","",INDEX($B$4:$B$183,AJ102))</f>
        <v/>
      </c>
      <c r="AL102">
        <f>IF(AJ102="","",INDEX($C$4:$C$183,AJ102))</f>
        <v/>
      </c>
      <c r="AM102">
        <f>IF(AJ102="","",INDEX($D$4:$D$183,AJ102))</f>
        <v/>
      </c>
      <c r="AN102">
        <f>IF(AJ102="","",COUNTIFS($B$4:$B$183,AK102,$C$4:$C$183,AL102,$D$4:$D$183,"&gt;"&amp;AM102,R$4:R$183,"&lt;"&amp;99,$G$4:$G$183,1))</f>
        <v/>
      </c>
      <c r="AO102">
        <f>IF(AJ102="","",INDEX($M$4:$M$183,AJ102)+IF(AN102=1,Shuffle1,IF(AN102&gt;=2,Shuffle2,0)))</f>
        <v/>
      </c>
      <c r="AP102">
        <f>IF(AJ102="","",MAX(DoorGap*98,SUMPRODUCT(MAX((AK$4:AK101&lt;=AK102)*AQ$4:AQ101)),SUMPRODUCT(MAX((AK$4:AK101&gt;AK102)*AP$4:AP101))+Headway))</f>
        <v/>
      </c>
      <c r="AQ102">
        <f>IF(AJ102="","",AP102+AO102)</f>
        <v/>
      </c>
      <c r="AR102">
        <f>IF(AJ102="","",AQ102+AK102*WalkSec)</f>
        <v/>
      </c>
      <c r="AS102" t="n">
        <v>99</v>
      </c>
      <c r="AT102">
        <f>IF(99&gt;Passengers,"",MATCH(99,V$4:V$183,0))</f>
        <v/>
      </c>
      <c r="AU102">
        <f>IF(AT102="","",INDEX($B$4:$B$183,AT102))</f>
        <v/>
      </c>
      <c r="AV102">
        <f>IF(AT102="","",INDEX($C$4:$C$183,AT102))</f>
        <v/>
      </c>
      <c r="AW102">
        <f>IF(AT102="","",INDEX($D$4:$D$183,AT102))</f>
        <v/>
      </c>
      <c r="AX102">
        <f>IF(AT102="","",COUNTIFS($B$4:$B$183,AU102,$C$4:$C$183,AV102,$D$4:$D$183,"&gt;"&amp;AW102,V$4:V$183,"&lt;"&amp;99,$G$4:$G$183,1))</f>
        <v/>
      </c>
      <c r="AY102">
        <f>IF(AT102="","",INDEX($M$4:$M$183,AT102)+IF(AX102=1,Shuffle1,IF(AX102&gt;=2,Shuffle2,0)))</f>
        <v/>
      </c>
      <c r="AZ102">
        <f>IF(AT102="","",MAX(DoorGap*98,SUMPRODUCT(MAX((AU$4:AU101&lt;=AU102)*BA$4:BA101)),SUMPRODUCT(MAX((AU$4:AU101&gt;AU102)*AZ$4:AZ101))+Headway))</f>
        <v/>
      </c>
      <c r="BA102">
        <f>IF(AT102="","",AZ102+AY102)</f>
        <v/>
      </c>
      <c r="BB102">
        <f>IF(AT102="","",BA102+AU102*WalkSec)</f>
        <v/>
      </c>
      <c r="BC102" t="n">
        <v>99</v>
      </c>
      <c r="BD102">
        <f>IF(99&gt;Passengers,"",MATCH(99,Z$4:Z$183,0))</f>
        <v/>
      </c>
      <c r="BE102">
        <f>IF(BD102="","",INDEX($B$4:$B$183,BD102))</f>
        <v/>
      </c>
      <c r="BF102">
        <f>IF(BD102="","",INDEX($C$4:$C$183,BD102))</f>
        <v/>
      </c>
      <c r="BG102">
        <f>IF(BD102="","",INDEX($D$4:$D$183,BD102))</f>
        <v/>
      </c>
      <c r="BH102">
        <f>IF(BD102="","",COUNTIFS($B$4:$B$183,BE102,$C$4:$C$183,BF102,$D$4:$D$183,"&gt;"&amp;BG102,Z$4:Z$183,"&lt;"&amp;99,$G$4:$G$183,1))</f>
        <v/>
      </c>
      <c r="BI102">
        <f>IF(BD102="","",INDEX($M$4:$M$183,BD102)+IF(BH102=1,Shuffle1,IF(BH102&gt;=2,Shuffle2,0)))</f>
        <v/>
      </c>
      <c r="BJ102">
        <f>IF(BD102="","",MAX(DoorGap*98,SUMPRODUCT(MAX((BE$4:BE101&lt;=BE102)*BK$4:BK101)),SUMPRODUCT(MAX((BE$4:BE101&gt;BE102)*BJ$4:BJ101))+Headway))</f>
        <v/>
      </c>
      <c r="BK102">
        <f>IF(BD102="","",BJ102+BI102)</f>
        <v/>
      </c>
      <c r="BL102">
        <f>IF(BD102="","",BK102+BE102*WalkSec)</f>
        <v/>
      </c>
      <c r="BM102" t="n">
        <v>99</v>
      </c>
      <c r="BN102">
        <f>IF(99&gt;Passengers,"",MATCH(99,AD$4:AD$183,0))</f>
        <v/>
      </c>
      <c r="BO102">
        <f>IF(BN102="","",INDEX($B$4:$B$183,BN102))</f>
        <v/>
      </c>
      <c r="BP102">
        <f>IF(BN102="","",INDEX($C$4:$C$183,BN102))</f>
        <v/>
      </c>
      <c r="BQ102">
        <f>IF(BN102="","",INDEX($D$4:$D$183,BN102))</f>
        <v/>
      </c>
      <c r="BR102">
        <f>IF(BN102="","",COUNTIFS($B$4:$B$183,BO102,$C$4:$C$183,BP102,$D$4:$D$183,"&gt;"&amp;BQ102,AD$4:AD$183,"&lt;"&amp;99,$G$4:$G$183,1))</f>
        <v/>
      </c>
      <c r="BS102">
        <f>IF(BN102="","",INDEX($M$4:$M$183,BN102)+IF(BR102=1,Shuffle1,IF(BR102&gt;=2,Shuffle2,0)))</f>
        <v/>
      </c>
      <c r="BT102">
        <f>IF(BN102="","",MAX(DoorGap*98,SUMPRODUCT(MAX((BO$4:BO101&lt;=BO102)*BU$4:BU101)),SUMPRODUCT(MAX((BO$4:BO101&gt;BO102)*BT$4:BT101))+Headway))</f>
        <v/>
      </c>
      <c r="BU102">
        <f>IF(BN102="","",BT102+BS102)</f>
        <v/>
      </c>
      <c r="BV102">
        <f>IF(BN102="","",BU102+BO102*WalkSec)</f>
        <v/>
      </c>
      <c r="BW102">
        <f>IF($G102=0,"",INDEX(AR$4:AR$183,R102))</f>
        <v/>
      </c>
      <c r="BX102">
        <f>IF($G102=0,"",INDEX(BB$4:BB$183,V102))</f>
        <v/>
      </c>
      <c r="BY102">
        <f>IF($G102=0,"",INDEX(BL$4:BL$183,Z102))</f>
        <v/>
      </c>
      <c r="BZ102">
        <f>IF($G102=0,"",INDEX(BV$4:BV$183,AD102))</f>
        <v/>
      </c>
    </row>
    <row r="103">
      <c r="A103" t="n">
        <v>100</v>
      </c>
      <c r="B103" t="n">
        <v>17</v>
      </c>
      <c r="C103" t="n">
        <v>2</v>
      </c>
      <c r="D103" t="n">
        <v>1</v>
      </c>
      <c r="E103" t="n">
        <v>34</v>
      </c>
      <c r="F103">
        <f>RAND()</f>
        <v/>
      </c>
      <c r="G103">
        <f>IF(SUMPRODUCT(($F$4:$F$183&lt;F103)*1)+SUMPRODUCT(($F$4:$F$183=F103)*($A$4:$A$183&lt;A103))&lt;Passengers,1,0)</f>
        <v/>
      </c>
      <c r="H103">
        <f>RAND()</f>
        <v/>
      </c>
      <c r="I103">
        <f>RAND()</f>
        <v/>
      </c>
      <c r="J103">
        <f>RAND()</f>
        <v/>
      </c>
      <c r="K103">
        <f>RAND()</f>
        <v/>
      </c>
      <c r="L103">
        <f>RAND()</f>
        <v/>
      </c>
      <c r="M103">
        <f>IF(K103&lt;BagShare,EXP(NORMSINV(L103)*StowSigma+StowMu),StowNoBag)</f>
        <v/>
      </c>
      <c r="N103">
        <f>IF(INDEX($AG$4:$AG$63,E103)&lt;GroupShare,1,0)</f>
        <v/>
      </c>
      <c r="P103">
        <f>IF(G103=1,IF(I103&gt;Compliance,J103,$H103),2)</f>
        <v/>
      </c>
      <c r="Q103">
        <f>IF(G103=0,2,IF(N103=0,P103,1-SUMPRODUCT(MAX(($E$4:$E$183=E103)*($G$4:$G$183=1)*(1-P$4:P$183)))+0.000000001*D103))</f>
        <v/>
      </c>
      <c r="R103">
        <f>IF(G103=0,999,SUMPRODUCT((Q$4:Q$183&lt;Q103)*($G$4:$G$183=1))+SUMPRODUCT((Q$4:Q$183=Q103)*($G$4:$G$183=1)*($A$4:$A$183&lt;A103))+1)</f>
        <v/>
      </c>
      <c r="T103">
        <f>IF(G103=1,IF(I103&gt;Compliance,J103,(INT((30-$B103)/(30/Zones))+$H103)/Zones),2)</f>
        <v/>
      </c>
      <c r="U103">
        <f>IF(G103=0,2,IF(N103=0,T103,1-SUMPRODUCT(MAX(($E$4:$E$183=E103)*($G$4:$G$183=1)*(1-T$4:T$183)))+0.000000001*D103))</f>
        <v/>
      </c>
      <c r="V103">
        <f>IF(G103=0,999,SUMPRODUCT((U$4:U$183&lt;U103)*($G$4:$G$183=1))+SUMPRODUCT((U$4:U$183=U103)*($G$4:$G$183=1)*($A$4:$A$183&lt;A103))+1)</f>
        <v/>
      </c>
      <c r="X103">
        <f>IF(G103=1,IF(I103&gt;Compliance,J103,(($D103-1)+$H103)/3),2)</f>
        <v/>
      </c>
      <c r="Y103">
        <f>IF(G103=0,2,IF(N103=0,X103,1-SUMPRODUCT(MAX(($E$4:$E$183=E103)*($G$4:$G$183=1)*(1-X$4:X$183)))+0.000000001*D103))</f>
        <v/>
      </c>
      <c r="Z103">
        <f>IF(G103=0,999,SUMPRODUCT((Y$4:Y$183&lt;Y103)*($G$4:$G$183=1))+SUMPRODUCT((Y$4:Y$183=Y103)*($G$4:$G$183=1)*($A$4:$A$183&lt;A103))+1)</f>
        <v/>
      </c>
      <c r="AB103">
        <f>IF(G103=1,IF(I103&gt;Compliance,J103,((($D103-1)*4+($C103-1)*2+MOD($B103,2))+(30-$B103)/30)/12),2)</f>
        <v/>
      </c>
      <c r="AC103">
        <f>IF(G103=0,2,IF(N103=0,AB103,1-SUMPRODUCT(MAX(($E$4:$E$183=E103)*($G$4:$G$183=1)*(1-AB$4:AB$183)))+0.000000001*D103))</f>
        <v/>
      </c>
      <c r="AD103">
        <f>IF(G103=0,999,SUMPRODUCT((AC$4:AC$183&lt;AC103)*($G$4:$G$183=1))+SUMPRODUCT((AC$4:AC$183=AC103)*($G$4:$G$183=1)*($A$4:$A$183&lt;A103))+1)</f>
        <v/>
      </c>
      <c r="AI103" t="n">
        <v>100</v>
      </c>
      <c r="AJ103">
        <f>IF(100&gt;Passengers,"",MATCH(100,R$4:R$183,0))</f>
        <v/>
      </c>
      <c r="AK103">
        <f>IF(AJ103="","",INDEX($B$4:$B$183,AJ103))</f>
        <v/>
      </c>
      <c r="AL103">
        <f>IF(AJ103="","",INDEX($C$4:$C$183,AJ103))</f>
        <v/>
      </c>
      <c r="AM103">
        <f>IF(AJ103="","",INDEX($D$4:$D$183,AJ103))</f>
        <v/>
      </c>
      <c r="AN103">
        <f>IF(AJ103="","",COUNTIFS($B$4:$B$183,AK103,$C$4:$C$183,AL103,$D$4:$D$183,"&gt;"&amp;AM103,R$4:R$183,"&lt;"&amp;100,$G$4:$G$183,1))</f>
        <v/>
      </c>
      <c r="AO103">
        <f>IF(AJ103="","",INDEX($M$4:$M$183,AJ103)+IF(AN103=1,Shuffle1,IF(AN103&gt;=2,Shuffle2,0)))</f>
        <v/>
      </c>
      <c r="AP103">
        <f>IF(AJ103="","",MAX(DoorGap*99,SUMPRODUCT(MAX((AK$4:AK102&lt;=AK103)*AQ$4:AQ102)),SUMPRODUCT(MAX((AK$4:AK102&gt;AK103)*AP$4:AP102))+Headway))</f>
        <v/>
      </c>
      <c r="AQ103">
        <f>IF(AJ103="","",AP103+AO103)</f>
        <v/>
      </c>
      <c r="AR103">
        <f>IF(AJ103="","",AQ103+AK103*WalkSec)</f>
        <v/>
      </c>
      <c r="AS103" t="n">
        <v>100</v>
      </c>
      <c r="AT103">
        <f>IF(100&gt;Passengers,"",MATCH(100,V$4:V$183,0))</f>
        <v/>
      </c>
      <c r="AU103">
        <f>IF(AT103="","",INDEX($B$4:$B$183,AT103))</f>
        <v/>
      </c>
      <c r="AV103">
        <f>IF(AT103="","",INDEX($C$4:$C$183,AT103))</f>
        <v/>
      </c>
      <c r="AW103">
        <f>IF(AT103="","",INDEX($D$4:$D$183,AT103))</f>
        <v/>
      </c>
      <c r="AX103">
        <f>IF(AT103="","",COUNTIFS($B$4:$B$183,AU103,$C$4:$C$183,AV103,$D$4:$D$183,"&gt;"&amp;AW103,V$4:V$183,"&lt;"&amp;100,$G$4:$G$183,1))</f>
        <v/>
      </c>
      <c r="AY103">
        <f>IF(AT103="","",INDEX($M$4:$M$183,AT103)+IF(AX103=1,Shuffle1,IF(AX103&gt;=2,Shuffle2,0)))</f>
        <v/>
      </c>
      <c r="AZ103">
        <f>IF(AT103="","",MAX(DoorGap*99,SUMPRODUCT(MAX((AU$4:AU102&lt;=AU103)*BA$4:BA102)),SUMPRODUCT(MAX((AU$4:AU102&gt;AU103)*AZ$4:AZ102))+Headway))</f>
        <v/>
      </c>
      <c r="BA103">
        <f>IF(AT103="","",AZ103+AY103)</f>
        <v/>
      </c>
      <c r="BB103">
        <f>IF(AT103="","",BA103+AU103*WalkSec)</f>
        <v/>
      </c>
      <c r="BC103" t="n">
        <v>100</v>
      </c>
      <c r="BD103">
        <f>IF(100&gt;Passengers,"",MATCH(100,Z$4:Z$183,0))</f>
        <v/>
      </c>
      <c r="BE103">
        <f>IF(BD103="","",INDEX($B$4:$B$183,BD103))</f>
        <v/>
      </c>
      <c r="BF103">
        <f>IF(BD103="","",INDEX($C$4:$C$183,BD103))</f>
        <v/>
      </c>
      <c r="BG103">
        <f>IF(BD103="","",INDEX($D$4:$D$183,BD103))</f>
        <v/>
      </c>
      <c r="BH103">
        <f>IF(BD103="","",COUNTIFS($B$4:$B$183,BE103,$C$4:$C$183,BF103,$D$4:$D$183,"&gt;"&amp;BG103,Z$4:Z$183,"&lt;"&amp;100,$G$4:$G$183,1))</f>
        <v/>
      </c>
      <c r="BI103">
        <f>IF(BD103="","",INDEX($M$4:$M$183,BD103)+IF(BH103=1,Shuffle1,IF(BH103&gt;=2,Shuffle2,0)))</f>
        <v/>
      </c>
      <c r="BJ103">
        <f>IF(BD103="","",MAX(DoorGap*99,SUMPRODUCT(MAX((BE$4:BE102&lt;=BE103)*BK$4:BK102)),SUMPRODUCT(MAX((BE$4:BE102&gt;BE103)*BJ$4:BJ102))+Headway))</f>
        <v/>
      </c>
      <c r="BK103">
        <f>IF(BD103="","",BJ103+BI103)</f>
        <v/>
      </c>
      <c r="BL103">
        <f>IF(BD103="","",BK103+BE103*WalkSec)</f>
        <v/>
      </c>
      <c r="BM103" t="n">
        <v>100</v>
      </c>
      <c r="BN103">
        <f>IF(100&gt;Passengers,"",MATCH(100,AD$4:AD$183,0))</f>
        <v/>
      </c>
      <c r="BO103">
        <f>IF(BN103="","",INDEX($B$4:$B$183,BN103))</f>
        <v/>
      </c>
      <c r="BP103">
        <f>IF(BN103="","",INDEX($C$4:$C$183,BN103))</f>
        <v/>
      </c>
      <c r="BQ103">
        <f>IF(BN103="","",INDEX($D$4:$D$183,BN103))</f>
        <v/>
      </c>
      <c r="BR103">
        <f>IF(BN103="","",COUNTIFS($B$4:$B$183,BO103,$C$4:$C$183,BP103,$D$4:$D$183,"&gt;"&amp;BQ103,AD$4:AD$183,"&lt;"&amp;100,$G$4:$G$183,1))</f>
        <v/>
      </c>
      <c r="BS103">
        <f>IF(BN103="","",INDEX($M$4:$M$183,BN103)+IF(BR103=1,Shuffle1,IF(BR103&gt;=2,Shuffle2,0)))</f>
        <v/>
      </c>
      <c r="BT103">
        <f>IF(BN103="","",MAX(DoorGap*99,SUMPRODUCT(MAX((BO$4:BO102&lt;=BO103)*BU$4:BU102)),SUMPRODUCT(MAX((BO$4:BO102&gt;BO103)*BT$4:BT102))+Headway))</f>
        <v/>
      </c>
      <c r="BU103">
        <f>IF(BN103="","",BT103+BS103)</f>
        <v/>
      </c>
      <c r="BV103">
        <f>IF(BN103="","",BU103+BO103*WalkSec)</f>
        <v/>
      </c>
      <c r="BW103">
        <f>IF($G103=0,"",INDEX(AR$4:AR$183,R103))</f>
        <v/>
      </c>
      <c r="BX103">
        <f>IF($G103=0,"",INDEX(BB$4:BB$183,V103))</f>
        <v/>
      </c>
      <c r="BY103">
        <f>IF($G103=0,"",INDEX(BL$4:BL$183,Z103))</f>
        <v/>
      </c>
      <c r="BZ103">
        <f>IF($G103=0,"",INDEX(BV$4:BV$183,AD103))</f>
        <v/>
      </c>
    </row>
    <row r="104">
      <c r="A104" t="n">
        <v>101</v>
      </c>
      <c r="B104" t="n">
        <v>17</v>
      </c>
      <c r="C104" t="n">
        <v>2</v>
      </c>
      <c r="D104" t="n">
        <v>2</v>
      </c>
      <c r="E104" t="n">
        <v>34</v>
      </c>
      <c r="F104">
        <f>RAND()</f>
        <v/>
      </c>
      <c r="G104">
        <f>IF(SUMPRODUCT(($F$4:$F$183&lt;F104)*1)+SUMPRODUCT(($F$4:$F$183=F104)*($A$4:$A$183&lt;A104))&lt;Passengers,1,0)</f>
        <v/>
      </c>
      <c r="H104">
        <f>RAND()</f>
        <v/>
      </c>
      <c r="I104">
        <f>RAND()</f>
        <v/>
      </c>
      <c r="J104">
        <f>RAND()</f>
        <v/>
      </c>
      <c r="K104">
        <f>RAND()</f>
        <v/>
      </c>
      <c r="L104">
        <f>RAND()</f>
        <v/>
      </c>
      <c r="M104">
        <f>IF(K104&lt;BagShare,EXP(NORMSINV(L104)*StowSigma+StowMu),StowNoBag)</f>
        <v/>
      </c>
      <c r="N104">
        <f>IF(INDEX($AG$4:$AG$63,E104)&lt;GroupShare,1,0)</f>
        <v/>
      </c>
      <c r="P104">
        <f>IF(G104=1,IF(I104&gt;Compliance,J104,$H104),2)</f>
        <v/>
      </c>
      <c r="Q104">
        <f>IF(G104=0,2,IF(N104=0,P104,1-SUMPRODUCT(MAX(($E$4:$E$183=E104)*($G$4:$G$183=1)*(1-P$4:P$183)))+0.000000001*D104))</f>
        <v/>
      </c>
      <c r="R104">
        <f>IF(G104=0,999,SUMPRODUCT((Q$4:Q$183&lt;Q104)*($G$4:$G$183=1))+SUMPRODUCT((Q$4:Q$183=Q104)*($G$4:$G$183=1)*($A$4:$A$183&lt;A104))+1)</f>
        <v/>
      </c>
      <c r="T104">
        <f>IF(G104=1,IF(I104&gt;Compliance,J104,(INT((30-$B104)/(30/Zones))+$H104)/Zones),2)</f>
        <v/>
      </c>
      <c r="U104">
        <f>IF(G104=0,2,IF(N104=0,T104,1-SUMPRODUCT(MAX(($E$4:$E$183=E104)*($G$4:$G$183=1)*(1-T$4:T$183)))+0.000000001*D104))</f>
        <v/>
      </c>
      <c r="V104">
        <f>IF(G104=0,999,SUMPRODUCT((U$4:U$183&lt;U104)*($G$4:$G$183=1))+SUMPRODUCT((U$4:U$183=U104)*($G$4:$G$183=1)*($A$4:$A$183&lt;A104))+1)</f>
        <v/>
      </c>
      <c r="X104">
        <f>IF(G104=1,IF(I104&gt;Compliance,J104,(($D104-1)+$H104)/3),2)</f>
        <v/>
      </c>
      <c r="Y104">
        <f>IF(G104=0,2,IF(N104=0,X104,1-SUMPRODUCT(MAX(($E$4:$E$183=E104)*($G$4:$G$183=1)*(1-X$4:X$183)))+0.000000001*D104))</f>
        <v/>
      </c>
      <c r="Z104">
        <f>IF(G104=0,999,SUMPRODUCT((Y$4:Y$183&lt;Y104)*($G$4:$G$183=1))+SUMPRODUCT((Y$4:Y$183=Y104)*($G$4:$G$183=1)*($A$4:$A$183&lt;A104))+1)</f>
        <v/>
      </c>
      <c r="AB104">
        <f>IF(G104=1,IF(I104&gt;Compliance,J104,((($D104-1)*4+($C104-1)*2+MOD($B104,2))+(30-$B104)/30)/12),2)</f>
        <v/>
      </c>
      <c r="AC104">
        <f>IF(G104=0,2,IF(N104=0,AB104,1-SUMPRODUCT(MAX(($E$4:$E$183=E104)*($G$4:$G$183=1)*(1-AB$4:AB$183)))+0.000000001*D104))</f>
        <v/>
      </c>
      <c r="AD104">
        <f>IF(G104=0,999,SUMPRODUCT((AC$4:AC$183&lt;AC104)*($G$4:$G$183=1))+SUMPRODUCT((AC$4:AC$183=AC104)*($G$4:$G$183=1)*($A$4:$A$183&lt;A104))+1)</f>
        <v/>
      </c>
      <c r="AI104" t="n">
        <v>101</v>
      </c>
      <c r="AJ104">
        <f>IF(101&gt;Passengers,"",MATCH(101,R$4:R$183,0))</f>
        <v/>
      </c>
      <c r="AK104">
        <f>IF(AJ104="","",INDEX($B$4:$B$183,AJ104))</f>
        <v/>
      </c>
      <c r="AL104">
        <f>IF(AJ104="","",INDEX($C$4:$C$183,AJ104))</f>
        <v/>
      </c>
      <c r="AM104">
        <f>IF(AJ104="","",INDEX($D$4:$D$183,AJ104))</f>
        <v/>
      </c>
      <c r="AN104">
        <f>IF(AJ104="","",COUNTIFS($B$4:$B$183,AK104,$C$4:$C$183,AL104,$D$4:$D$183,"&gt;"&amp;AM104,R$4:R$183,"&lt;"&amp;101,$G$4:$G$183,1))</f>
        <v/>
      </c>
      <c r="AO104">
        <f>IF(AJ104="","",INDEX($M$4:$M$183,AJ104)+IF(AN104=1,Shuffle1,IF(AN104&gt;=2,Shuffle2,0)))</f>
        <v/>
      </c>
      <c r="AP104">
        <f>IF(AJ104="","",MAX(DoorGap*100,SUMPRODUCT(MAX((AK$4:AK103&lt;=AK104)*AQ$4:AQ103)),SUMPRODUCT(MAX((AK$4:AK103&gt;AK104)*AP$4:AP103))+Headway))</f>
        <v/>
      </c>
      <c r="AQ104">
        <f>IF(AJ104="","",AP104+AO104)</f>
        <v/>
      </c>
      <c r="AR104">
        <f>IF(AJ104="","",AQ104+AK104*WalkSec)</f>
        <v/>
      </c>
      <c r="AS104" t="n">
        <v>101</v>
      </c>
      <c r="AT104">
        <f>IF(101&gt;Passengers,"",MATCH(101,V$4:V$183,0))</f>
        <v/>
      </c>
      <c r="AU104">
        <f>IF(AT104="","",INDEX($B$4:$B$183,AT104))</f>
        <v/>
      </c>
      <c r="AV104">
        <f>IF(AT104="","",INDEX($C$4:$C$183,AT104))</f>
        <v/>
      </c>
      <c r="AW104">
        <f>IF(AT104="","",INDEX($D$4:$D$183,AT104))</f>
        <v/>
      </c>
      <c r="AX104">
        <f>IF(AT104="","",COUNTIFS($B$4:$B$183,AU104,$C$4:$C$183,AV104,$D$4:$D$183,"&gt;"&amp;AW104,V$4:V$183,"&lt;"&amp;101,$G$4:$G$183,1))</f>
        <v/>
      </c>
      <c r="AY104">
        <f>IF(AT104="","",INDEX($M$4:$M$183,AT104)+IF(AX104=1,Shuffle1,IF(AX104&gt;=2,Shuffle2,0)))</f>
        <v/>
      </c>
      <c r="AZ104">
        <f>IF(AT104="","",MAX(DoorGap*100,SUMPRODUCT(MAX((AU$4:AU103&lt;=AU104)*BA$4:BA103)),SUMPRODUCT(MAX((AU$4:AU103&gt;AU104)*AZ$4:AZ103))+Headway))</f>
        <v/>
      </c>
      <c r="BA104">
        <f>IF(AT104="","",AZ104+AY104)</f>
        <v/>
      </c>
      <c r="BB104">
        <f>IF(AT104="","",BA104+AU104*WalkSec)</f>
        <v/>
      </c>
      <c r="BC104" t="n">
        <v>101</v>
      </c>
      <c r="BD104">
        <f>IF(101&gt;Passengers,"",MATCH(101,Z$4:Z$183,0))</f>
        <v/>
      </c>
      <c r="BE104">
        <f>IF(BD104="","",INDEX($B$4:$B$183,BD104))</f>
        <v/>
      </c>
      <c r="BF104">
        <f>IF(BD104="","",INDEX($C$4:$C$183,BD104))</f>
        <v/>
      </c>
      <c r="BG104">
        <f>IF(BD104="","",INDEX($D$4:$D$183,BD104))</f>
        <v/>
      </c>
      <c r="BH104">
        <f>IF(BD104="","",COUNTIFS($B$4:$B$183,BE104,$C$4:$C$183,BF104,$D$4:$D$183,"&gt;"&amp;BG104,Z$4:Z$183,"&lt;"&amp;101,$G$4:$G$183,1))</f>
        <v/>
      </c>
      <c r="BI104">
        <f>IF(BD104="","",INDEX($M$4:$M$183,BD104)+IF(BH104=1,Shuffle1,IF(BH104&gt;=2,Shuffle2,0)))</f>
        <v/>
      </c>
      <c r="BJ104">
        <f>IF(BD104="","",MAX(DoorGap*100,SUMPRODUCT(MAX((BE$4:BE103&lt;=BE104)*BK$4:BK103)),SUMPRODUCT(MAX((BE$4:BE103&gt;BE104)*BJ$4:BJ103))+Headway))</f>
        <v/>
      </c>
      <c r="BK104">
        <f>IF(BD104="","",BJ104+BI104)</f>
        <v/>
      </c>
      <c r="BL104">
        <f>IF(BD104="","",BK104+BE104*WalkSec)</f>
        <v/>
      </c>
      <c r="BM104" t="n">
        <v>101</v>
      </c>
      <c r="BN104">
        <f>IF(101&gt;Passengers,"",MATCH(101,AD$4:AD$183,0))</f>
        <v/>
      </c>
      <c r="BO104">
        <f>IF(BN104="","",INDEX($B$4:$B$183,BN104))</f>
        <v/>
      </c>
      <c r="BP104">
        <f>IF(BN104="","",INDEX($C$4:$C$183,BN104))</f>
        <v/>
      </c>
      <c r="BQ104">
        <f>IF(BN104="","",INDEX($D$4:$D$183,BN104))</f>
        <v/>
      </c>
      <c r="BR104">
        <f>IF(BN104="","",COUNTIFS($B$4:$B$183,BO104,$C$4:$C$183,BP104,$D$4:$D$183,"&gt;"&amp;BQ104,AD$4:AD$183,"&lt;"&amp;101,$G$4:$G$183,1))</f>
        <v/>
      </c>
      <c r="BS104">
        <f>IF(BN104="","",INDEX($M$4:$M$183,BN104)+IF(BR104=1,Shuffle1,IF(BR104&gt;=2,Shuffle2,0)))</f>
        <v/>
      </c>
      <c r="BT104">
        <f>IF(BN104="","",MAX(DoorGap*100,SUMPRODUCT(MAX((BO$4:BO103&lt;=BO104)*BU$4:BU103)),SUMPRODUCT(MAX((BO$4:BO103&gt;BO104)*BT$4:BT103))+Headway))</f>
        <v/>
      </c>
      <c r="BU104">
        <f>IF(BN104="","",BT104+BS104)</f>
        <v/>
      </c>
      <c r="BV104">
        <f>IF(BN104="","",BU104+BO104*WalkSec)</f>
        <v/>
      </c>
      <c r="BW104">
        <f>IF($G104=0,"",INDEX(AR$4:AR$183,R104))</f>
        <v/>
      </c>
      <c r="BX104">
        <f>IF($G104=0,"",INDEX(BB$4:BB$183,V104))</f>
        <v/>
      </c>
      <c r="BY104">
        <f>IF($G104=0,"",INDEX(BL$4:BL$183,Z104))</f>
        <v/>
      </c>
      <c r="BZ104">
        <f>IF($G104=0,"",INDEX(BV$4:BV$183,AD104))</f>
        <v/>
      </c>
    </row>
    <row r="105">
      <c r="A105" t="n">
        <v>102</v>
      </c>
      <c r="B105" t="n">
        <v>17</v>
      </c>
      <c r="C105" t="n">
        <v>2</v>
      </c>
      <c r="D105" t="n">
        <v>3</v>
      </c>
      <c r="E105" t="n">
        <v>34</v>
      </c>
      <c r="F105">
        <f>RAND()</f>
        <v/>
      </c>
      <c r="G105">
        <f>IF(SUMPRODUCT(($F$4:$F$183&lt;F105)*1)+SUMPRODUCT(($F$4:$F$183=F105)*($A$4:$A$183&lt;A105))&lt;Passengers,1,0)</f>
        <v/>
      </c>
      <c r="H105">
        <f>RAND()</f>
        <v/>
      </c>
      <c r="I105">
        <f>RAND()</f>
        <v/>
      </c>
      <c r="J105">
        <f>RAND()</f>
        <v/>
      </c>
      <c r="K105">
        <f>RAND()</f>
        <v/>
      </c>
      <c r="L105">
        <f>RAND()</f>
        <v/>
      </c>
      <c r="M105">
        <f>IF(K105&lt;BagShare,EXP(NORMSINV(L105)*StowSigma+StowMu),StowNoBag)</f>
        <v/>
      </c>
      <c r="N105">
        <f>IF(INDEX($AG$4:$AG$63,E105)&lt;GroupShare,1,0)</f>
        <v/>
      </c>
      <c r="P105">
        <f>IF(G105=1,IF(I105&gt;Compliance,J105,$H105),2)</f>
        <v/>
      </c>
      <c r="Q105">
        <f>IF(G105=0,2,IF(N105=0,P105,1-SUMPRODUCT(MAX(($E$4:$E$183=E105)*($G$4:$G$183=1)*(1-P$4:P$183)))+0.000000001*D105))</f>
        <v/>
      </c>
      <c r="R105">
        <f>IF(G105=0,999,SUMPRODUCT((Q$4:Q$183&lt;Q105)*($G$4:$G$183=1))+SUMPRODUCT((Q$4:Q$183=Q105)*($G$4:$G$183=1)*($A$4:$A$183&lt;A105))+1)</f>
        <v/>
      </c>
      <c r="T105">
        <f>IF(G105=1,IF(I105&gt;Compliance,J105,(INT((30-$B105)/(30/Zones))+$H105)/Zones),2)</f>
        <v/>
      </c>
      <c r="U105">
        <f>IF(G105=0,2,IF(N105=0,T105,1-SUMPRODUCT(MAX(($E$4:$E$183=E105)*($G$4:$G$183=1)*(1-T$4:T$183)))+0.000000001*D105))</f>
        <v/>
      </c>
      <c r="V105">
        <f>IF(G105=0,999,SUMPRODUCT((U$4:U$183&lt;U105)*($G$4:$G$183=1))+SUMPRODUCT((U$4:U$183=U105)*($G$4:$G$183=1)*($A$4:$A$183&lt;A105))+1)</f>
        <v/>
      </c>
      <c r="X105">
        <f>IF(G105=1,IF(I105&gt;Compliance,J105,(($D105-1)+$H105)/3),2)</f>
        <v/>
      </c>
      <c r="Y105">
        <f>IF(G105=0,2,IF(N105=0,X105,1-SUMPRODUCT(MAX(($E$4:$E$183=E105)*($G$4:$G$183=1)*(1-X$4:X$183)))+0.000000001*D105))</f>
        <v/>
      </c>
      <c r="Z105">
        <f>IF(G105=0,999,SUMPRODUCT((Y$4:Y$183&lt;Y105)*($G$4:$G$183=1))+SUMPRODUCT((Y$4:Y$183=Y105)*($G$4:$G$183=1)*($A$4:$A$183&lt;A105))+1)</f>
        <v/>
      </c>
      <c r="AB105">
        <f>IF(G105=1,IF(I105&gt;Compliance,J105,((($D105-1)*4+($C105-1)*2+MOD($B105,2))+(30-$B105)/30)/12),2)</f>
        <v/>
      </c>
      <c r="AC105">
        <f>IF(G105=0,2,IF(N105=0,AB105,1-SUMPRODUCT(MAX(($E$4:$E$183=E105)*($G$4:$G$183=1)*(1-AB$4:AB$183)))+0.000000001*D105))</f>
        <v/>
      </c>
      <c r="AD105">
        <f>IF(G105=0,999,SUMPRODUCT((AC$4:AC$183&lt;AC105)*($G$4:$G$183=1))+SUMPRODUCT((AC$4:AC$183=AC105)*($G$4:$G$183=1)*($A$4:$A$183&lt;A105))+1)</f>
        <v/>
      </c>
      <c r="AI105" t="n">
        <v>102</v>
      </c>
      <c r="AJ105">
        <f>IF(102&gt;Passengers,"",MATCH(102,R$4:R$183,0))</f>
        <v/>
      </c>
      <c r="AK105">
        <f>IF(AJ105="","",INDEX($B$4:$B$183,AJ105))</f>
        <v/>
      </c>
      <c r="AL105">
        <f>IF(AJ105="","",INDEX($C$4:$C$183,AJ105))</f>
        <v/>
      </c>
      <c r="AM105">
        <f>IF(AJ105="","",INDEX($D$4:$D$183,AJ105))</f>
        <v/>
      </c>
      <c r="AN105">
        <f>IF(AJ105="","",COUNTIFS($B$4:$B$183,AK105,$C$4:$C$183,AL105,$D$4:$D$183,"&gt;"&amp;AM105,R$4:R$183,"&lt;"&amp;102,$G$4:$G$183,1))</f>
        <v/>
      </c>
      <c r="AO105">
        <f>IF(AJ105="","",INDEX($M$4:$M$183,AJ105)+IF(AN105=1,Shuffle1,IF(AN105&gt;=2,Shuffle2,0)))</f>
        <v/>
      </c>
      <c r="AP105">
        <f>IF(AJ105="","",MAX(DoorGap*101,SUMPRODUCT(MAX((AK$4:AK104&lt;=AK105)*AQ$4:AQ104)),SUMPRODUCT(MAX((AK$4:AK104&gt;AK105)*AP$4:AP104))+Headway))</f>
        <v/>
      </c>
      <c r="AQ105">
        <f>IF(AJ105="","",AP105+AO105)</f>
        <v/>
      </c>
      <c r="AR105">
        <f>IF(AJ105="","",AQ105+AK105*WalkSec)</f>
        <v/>
      </c>
      <c r="AS105" t="n">
        <v>102</v>
      </c>
      <c r="AT105">
        <f>IF(102&gt;Passengers,"",MATCH(102,V$4:V$183,0))</f>
        <v/>
      </c>
      <c r="AU105">
        <f>IF(AT105="","",INDEX($B$4:$B$183,AT105))</f>
        <v/>
      </c>
      <c r="AV105">
        <f>IF(AT105="","",INDEX($C$4:$C$183,AT105))</f>
        <v/>
      </c>
      <c r="AW105">
        <f>IF(AT105="","",INDEX($D$4:$D$183,AT105))</f>
        <v/>
      </c>
      <c r="AX105">
        <f>IF(AT105="","",COUNTIFS($B$4:$B$183,AU105,$C$4:$C$183,AV105,$D$4:$D$183,"&gt;"&amp;AW105,V$4:V$183,"&lt;"&amp;102,$G$4:$G$183,1))</f>
        <v/>
      </c>
      <c r="AY105">
        <f>IF(AT105="","",INDEX($M$4:$M$183,AT105)+IF(AX105=1,Shuffle1,IF(AX105&gt;=2,Shuffle2,0)))</f>
        <v/>
      </c>
      <c r="AZ105">
        <f>IF(AT105="","",MAX(DoorGap*101,SUMPRODUCT(MAX((AU$4:AU104&lt;=AU105)*BA$4:BA104)),SUMPRODUCT(MAX((AU$4:AU104&gt;AU105)*AZ$4:AZ104))+Headway))</f>
        <v/>
      </c>
      <c r="BA105">
        <f>IF(AT105="","",AZ105+AY105)</f>
        <v/>
      </c>
      <c r="BB105">
        <f>IF(AT105="","",BA105+AU105*WalkSec)</f>
        <v/>
      </c>
      <c r="BC105" t="n">
        <v>102</v>
      </c>
      <c r="BD105">
        <f>IF(102&gt;Passengers,"",MATCH(102,Z$4:Z$183,0))</f>
        <v/>
      </c>
      <c r="BE105">
        <f>IF(BD105="","",INDEX($B$4:$B$183,BD105))</f>
        <v/>
      </c>
      <c r="BF105">
        <f>IF(BD105="","",INDEX($C$4:$C$183,BD105))</f>
        <v/>
      </c>
      <c r="BG105">
        <f>IF(BD105="","",INDEX($D$4:$D$183,BD105))</f>
        <v/>
      </c>
      <c r="BH105">
        <f>IF(BD105="","",COUNTIFS($B$4:$B$183,BE105,$C$4:$C$183,BF105,$D$4:$D$183,"&gt;"&amp;BG105,Z$4:Z$183,"&lt;"&amp;102,$G$4:$G$183,1))</f>
        <v/>
      </c>
      <c r="BI105">
        <f>IF(BD105="","",INDEX($M$4:$M$183,BD105)+IF(BH105=1,Shuffle1,IF(BH105&gt;=2,Shuffle2,0)))</f>
        <v/>
      </c>
      <c r="BJ105">
        <f>IF(BD105="","",MAX(DoorGap*101,SUMPRODUCT(MAX((BE$4:BE104&lt;=BE105)*BK$4:BK104)),SUMPRODUCT(MAX((BE$4:BE104&gt;BE105)*BJ$4:BJ104))+Headway))</f>
        <v/>
      </c>
      <c r="BK105">
        <f>IF(BD105="","",BJ105+BI105)</f>
        <v/>
      </c>
      <c r="BL105">
        <f>IF(BD105="","",BK105+BE105*WalkSec)</f>
        <v/>
      </c>
      <c r="BM105" t="n">
        <v>102</v>
      </c>
      <c r="BN105">
        <f>IF(102&gt;Passengers,"",MATCH(102,AD$4:AD$183,0))</f>
        <v/>
      </c>
      <c r="BO105">
        <f>IF(BN105="","",INDEX($B$4:$B$183,BN105))</f>
        <v/>
      </c>
      <c r="BP105">
        <f>IF(BN105="","",INDEX($C$4:$C$183,BN105))</f>
        <v/>
      </c>
      <c r="BQ105">
        <f>IF(BN105="","",INDEX($D$4:$D$183,BN105))</f>
        <v/>
      </c>
      <c r="BR105">
        <f>IF(BN105="","",COUNTIFS($B$4:$B$183,BO105,$C$4:$C$183,BP105,$D$4:$D$183,"&gt;"&amp;BQ105,AD$4:AD$183,"&lt;"&amp;102,$G$4:$G$183,1))</f>
        <v/>
      </c>
      <c r="BS105">
        <f>IF(BN105="","",INDEX($M$4:$M$183,BN105)+IF(BR105=1,Shuffle1,IF(BR105&gt;=2,Shuffle2,0)))</f>
        <v/>
      </c>
      <c r="BT105">
        <f>IF(BN105="","",MAX(DoorGap*101,SUMPRODUCT(MAX((BO$4:BO104&lt;=BO105)*BU$4:BU104)),SUMPRODUCT(MAX((BO$4:BO104&gt;BO105)*BT$4:BT104))+Headway))</f>
        <v/>
      </c>
      <c r="BU105">
        <f>IF(BN105="","",BT105+BS105)</f>
        <v/>
      </c>
      <c r="BV105">
        <f>IF(BN105="","",BU105+BO105*WalkSec)</f>
        <v/>
      </c>
      <c r="BW105">
        <f>IF($G105=0,"",INDEX(AR$4:AR$183,R105))</f>
        <v/>
      </c>
      <c r="BX105">
        <f>IF($G105=0,"",INDEX(BB$4:BB$183,V105))</f>
        <v/>
      </c>
      <c r="BY105">
        <f>IF($G105=0,"",INDEX(BL$4:BL$183,Z105))</f>
        <v/>
      </c>
      <c r="BZ105">
        <f>IF($G105=0,"",INDEX(BV$4:BV$183,AD105))</f>
        <v/>
      </c>
    </row>
    <row r="106">
      <c r="A106" t="n">
        <v>103</v>
      </c>
      <c r="B106" t="n">
        <v>18</v>
      </c>
      <c r="C106" t="n">
        <v>1</v>
      </c>
      <c r="D106" t="n">
        <v>1</v>
      </c>
      <c r="E106" t="n">
        <v>35</v>
      </c>
      <c r="F106">
        <f>RAND()</f>
        <v/>
      </c>
      <c r="G106">
        <f>IF(SUMPRODUCT(($F$4:$F$183&lt;F106)*1)+SUMPRODUCT(($F$4:$F$183=F106)*($A$4:$A$183&lt;A106))&lt;Passengers,1,0)</f>
        <v/>
      </c>
      <c r="H106">
        <f>RAND()</f>
        <v/>
      </c>
      <c r="I106">
        <f>RAND()</f>
        <v/>
      </c>
      <c r="J106">
        <f>RAND()</f>
        <v/>
      </c>
      <c r="K106">
        <f>RAND()</f>
        <v/>
      </c>
      <c r="L106">
        <f>RAND()</f>
        <v/>
      </c>
      <c r="M106">
        <f>IF(K106&lt;BagShare,EXP(NORMSINV(L106)*StowSigma+StowMu),StowNoBag)</f>
        <v/>
      </c>
      <c r="N106">
        <f>IF(INDEX($AG$4:$AG$63,E106)&lt;GroupShare,1,0)</f>
        <v/>
      </c>
      <c r="P106">
        <f>IF(G106=1,IF(I106&gt;Compliance,J106,$H106),2)</f>
        <v/>
      </c>
      <c r="Q106">
        <f>IF(G106=0,2,IF(N106=0,P106,1-SUMPRODUCT(MAX(($E$4:$E$183=E106)*($G$4:$G$183=1)*(1-P$4:P$183)))+0.000000001*D106))</f>
        <v/>
      </c>
      <c r="R106">
        <f>IF(G106=0,999,SUMPRODUCT((Q$4:Q$183&lt;Q106)*($G$4:$G$183=1))+SUMPRODUCT((Q$4:Q$183=Q106)*($G$4:$G$183=1)*($A$4:$A$183&lt;A106))+1)</f>
        <v/>
      </c>
      <c r="T106">
        <f>IF(G106=1,IF(I106&gt;Compliance,J106,(INT((30-$B106)/(30/Zones))+$H106)/Zones),2)</f>
        <v/>
      </c>
      <c r="U106">
        <f>IF(G106=0,2,IF(N106=0,T106,1-SUMPRODUCT(MAX(($E$4:$E$183=E106)*($G$4:$G$183=1)*(1-T$4:T$183)))+0.000000001*D106))</f>
        <v/>
      </c>
      <c r="V106">
        <f>IF(G106=0,999,SUMPRODUCT((U$4:U$183&lt;U106)*($G$4:$G$183=1))+SUMPRODUCT((U$4:U$183=U106)*($G$4:$G$183=1)*($A$4:$A$183&lt;A106))+1)</f>
        <v/>
      </c>
      <c r="X106">
        <f>IF(G106=1,IF(I106&gt;Compliance,J106,(($D106-1)+$H106)/3),2)</f>
        <v/>
      </c>
      <c r="Y106">
        <f>IF(G106=0,2,IF(N106=0,X106,1-SUMPRODUCT(MAX(($E$4:$E$183=E106)*($G$4:$G$183=1)*(1-X$4:X$183)))+0.000000001*D106))</f>
        <v/>
      </c>
      <c r="Z106">
        <f>IF(G106=0,999,SUMPRODUCT((Y$4:Y$183&lt;Y106)*($G$4:$G$183=1))+SUMPRODUCT((Y$4:Y$183=Y106)*($G$4:$G$183=1)*($A$4:$A$183&lt;A106))+1)</f>
        <v/>
      </c>
      <c r="AB106">
        <f>IF(G106=1,IF(I106&gt;Compliance,J106,((($D106-1)*4+($C106-1)*2+MOD($B106,2))+(30-$B106)/30)/12),2)</f>
        <v/>
      </c>
      <c r="AC106">
        <f>IF(G106=0,2,IF(N106=0,AB106,1-SUMPRODUCT(MAX(($E$4:$E$183=E106)*($G$4:$G$183=1)*(1-AB$4:AB$183)))+0.000000001*D106))</f>
        <v/>
      </c>
      <c r="AD106">
        <f>IF(G106=0,999,SUMPRODUCT((AC$4:AC$183&lt;AC106)*($G$4:$G$183=1))+SUMPRODUCT((AC$4:AC$183=AC106)*($G$4:$G$183=1)*($A$4:$A$183&lt;A106))+1)</f>
        <v/>
      </c>
      <c r="AI106" t="n">
        <v>103</v>
      </c>
      <c r="AJ106">
        <f>IF(103&gt;Passengers,"",MATCH(103,R$4:R$183,0))</f>
        <v/>
      </c>
      <c r="AK106">
        <f>IF(AJ106="","",INDEX($B$4:$B$183,AJ106))</f>
        <v/>
      </c>
      <c r="AL106">
        <f>IF(AJ106="","",INDEX($C$4:$C$183,AJ106))</f>
        <v/>
      </c>
      <c r="AM106">
        <f>IF(AJ106="","",INDEX($D$4:$D$183,AJ106))</f>
        <v/>
      </c>
      <c r="AN106">
        <f>IF(AJ106="","",COUNTIFS($B$4:$B$183,AK106,$C$4:$C$183,AL106,$D$4:$D$183,"&gt;"&amp;AM106,R$4:R$183,"&lt;"&amp;103,$G$4:$G$183,1))</f>
        <v/>
      </c>
      <c r="AO106">
        <f>IF(AJ106="","",INDEX($M$4:$M$183,AJ106)+IF(AN106=1,Shuffle1,IF(AN106&gt;=2,Shuffle2,0)))</f>
        <v/>
      </c>
      <c r="AP106">
        <f>IF(AJ106="","",MAX(DoorGap*102,SUMPRODUCT(MAX((AK$4:AK105&lt;=AK106)*AQ$4:AQ105)),SUMPRODUCT(MAX((AK$4:AK105&gt;AK106)*AP$4:AP105))+Headway))</f>
        <v/>
      </c>
      <c r="AQ106">
        <f>IF(AJ106="","",AP106+AO106)</f>
        <v/>
      </c>
      <c r="AR106">
        <f>IF(AJ106="","",AQ106+AK106*WalkSec)</f>
        <v/>
      </c>
      <c r="AS106" t="n">
        <v>103</v>
      </c>
      <c r="AT106">
        <f>IF(103&gt;Passengers,"",MATCH(103,V$4:V$183,0))</f>
        <v/>
      </c>
      <c r="AU106">
        <f>IF(AT106="","",INDEX($B$4:$B$183,AT106))</f>
        <v/>
      </c>
      <c r="AV106">
        <f>IF(AT106="","",INDEX($C$4:$C$183,AT106))</f>
        <v/>
      </c>
      <c r="AW106">
        <f>IF(AT106="","",INDEX($D$4:$D$183,AT106))</f>
        <v/>
      </c>
      <c r="AX106">
        <f>IF(AT106="","",COUNTIFS($B$4:$B$183,AU106,$C$4:$C$183,AV106,$D$4:$D$183,"&gt;"&amp;AW106,V$4:V$183,"&lt;"&amp;103,$G$4:$G$183,1))</f>
        <v/>
      </c>
      <c r="AY106">
        <f>IF(AT106="","",INDEX($M$4:$M$183,AT106)+IF(AX106=1,Shuffle1,IF(AX106&gt;=2,Shuffle2,0)))</f>
        <v/>
      </c>
      <c r="AZ106">
        <f>IF(AT106="","",MAX(DoorGap*102,SUMPRODUCT(MAX((AU$4:AU105&lt;=AU106)*BA$4:BA105)),SUMPRODUCT(MAX((AU$4:AU105&gt;AU106)*AZ$4:AZ105))+Headway))</f>
        <v/>
      </c>
      <c r="BA106">
        <f>IF(AT106="","",AZ106+AY106)</f>
        <v/>
      </c>
      <c r="BB106">
        <f>IF(AT106="","",BA106+AU106*WalkSec)</f>
        <v/>
      </c>
      <c r="BC106" t="n">
        <v>103</v>
      </c>
      <c r="BD106">
        <f>IF(103&gt;Passengers,"",MATCH(103,Z$4:Z$183,0))</f>
        <v/>
      </c>
      <c r="BE106">
        <f>IF(BD106="","",INDEX($B$4:$B$183,BD106))</f>
        <v/>
      </c>
      <c r="BF106">
        <f>IF(BD106="","",INDEX($C$4:$C$183,BD106))</f>
        <v/>
      </c>
      <c r="BG106">
        <f>IF(BD106="","",INDEX($D$4:$D$183,BD106))</f>
        <v/>
      </c>
      <c r="BH106">
        <f>IF(BD106="","",COUNTIFS($B$4:$B$183,BE106,$C$4:$C$183,BF106,$D$4:$D$183,"&gt;"&amp;BG106,Z$4:Z$183,"&lt;"&amp;103,$G$4:$G$183,1))</f>
        <v/>
      </c>
      <c r="BI106">
        <f>IF(BD106="","",INDEX($M$4:$M$183,BD106)+IF(BH106=1,Shuffle1,IF(BH106&gt;=2,Shuffle2,0)))</f>
        <v/>
      </c>
      <c r="BJ106">
        <f>IF(BD106="","",MAX(DoorGap*102,SUMPRODUCT(MAX((BE$4:BE105&lt;=BE106)*BK$4:BK105)),SUMPRODUCT(MAX((BE$4:BE105&gt;BE106)*BJ$4:BJ105))+Headway))</f>
        <v/>
      </c>
      <c r="BK106">
        <f>IF(BD106="","",BJ106+BI106)</f>
        <v/>
      </c>
      <c r="BL106">
        <f>IF(BD106="","",BK106+BE106*WalkSec)</f>
        <v/>
      </c>
      <c r="BM106" t="n">
        <v>103</v>
      </c>
      <c r="BN106">
        <f>IF(103&gt;Passengers,"",MATCH(103,AD$4:AD$183,0))</f>
        <v/>
      </c>
      <c r="BO106">
        <f>IF(BN106="","",INDEX($B$4:$B$183,BN106))</f>
        <v/>
      </c>
      <c r="BP106">
        <f>IF(BN106="","",INDEX($C$4:$C$183,BN106))</f>
        <v/>
      </c>
      <c r="BQ106">
        <f>IF(BN106="","",INDEX($D$4:$D$183,BN106))</f>
        <v/>
      </c>
      <c r="BR106">
        <f>IF(BN106="","",COUNTIFS($B$4:$B$183,BO106,$C$4:$C$183,BP106,$D$4:$D$183,"&gt;"&amp;BQ106,AD$4:AD$183,"&lt;"&amp;103,$G$4:$G$183,1))</f>
        <v/>
      </c>
      <c r="BS106">
        <f>IF(BN106="","",INDEX($M$4:$M$183,BN106)+IF(BR106=1,Shuffle1,IF(BR106&gt;=2,Shuffle2,0)))</f>
        <v/>
      </c>
      <c r="BT106">
        <f>IF(BN106="","",MAX(DoorGap*102,SUMPRODUCT(MAX((BO$4:BO105&lt;=BO106)*BU$4:BU105)),SUMPRODUCT(MAX((BO$4:BO105&gt;BO106)*BT$4:BT105))+Headway))</f>
        <v/>
      </c>
      <c r="BU106">
        <f>IF(BN106="","",BT106+BS106)</f>
        <v/>
      </c>
      <c r="BV106">
        <f>IF(BN106="","",BU106+BO106*WalkSec)</f>
        <v/>
      </c>
      <c r="BW106">
        <f>IF($G106=0,"",INDEX(AR$4:AR$183,R106))</f>
        <v/>
      </c>
      <c r="BX106">
        <f>IF($G106=0,"",INDEX(BB$4:BB$183,V106))</f>
        <v/>
      </c>
      <c r="BY106">
        <f>IF($G106=0,"",INDEX(BL$4:BL$183,Z106))</f>
        <v/>
      </c>
      <c r="BZ106">
        <f>IF($G106=0,"",INDEX(BV$4:BV$183,AD106))</f>
        <v/>
      </c>
    </row>
    <row r="107">
      <c r="A107" t="n">
        <v>104</v>
      </c>
      <c r="B107" t="n">
        <v>18</v>
      </c>
      <c r="C107" t="n">
        <v>1</v>
      </c>
      <c r="D107" t="n">
        <v>2</v>
      </c>
      <c r="E107" t="n">
        <v>35</v>
      </c>
      <c r="F107">
        <f>RAND()</f>
        <v/>
      </c>
      <c r="G107">
        <f>IF(SUMPRODUCT(($F$4:$F$183&lt;F107)*1)+SUMPRODUCT(($F$4:$F$183=F107)*($A$4:$A$183&lt;A107))&lt;Passengers,1,0)</f>
        <v/>
      </c>
      <c r="H107">
        <f>RAND()</f>
        <v/>
      </c>
      <c r="I107">
        <f>RAND()</f>
        <v/>
      </c>
      <c r="J107">
        <f>RAND()</f>
        <v/>
      </c>
      <c r="K107">
        <f>RAND()</f>
        <v/>
      </c>
      <c r="L107">
        <f>RAND()</f>
        <v/>
      </c>
      <c r="M107">
        <f>IF(K107&lt;BagShare,EXP(NORMSINV(L107)*StowSigma+StowMu),StowNoBag)</f>
        <v/>
      </c>
      <c r="N107">
        <f>IF(INDEX($AG$4:$AG$63,E107)&lt;GroupShare,1,0)</f>
        <v/>
      </c>
      <c r="P107">
        <f>IF(G107=1,IF(I107&gt;Compliance,J107,$H107),2)</f>
        <v/>
      </c>
      <c r="Q107">
        <f>IF(G107=0,2,IF(N107=0,P107,1-SUMPRODUCT(MAX(($E$4:$E$183=E107)*($G$4:$G$183=1)*(1-P$4:P$183)))+0.000000001*D107))</f>
        <v/>
      </c>
      <c r="R107">
        <f>IF(G107=0,999,SUMPRODUCT((Q$4:Q$183&lt;Q107)*($G$4:$G$183=1))+SUMPRODUCT((Q$4:Q$183=Q107)*($G$4:$G$183=1)*($A$4:$A$183&lt;A107))+1)</f>
        <v/>
      </c>
      <c r="T107">
        <f>IF(G107=1,IF(I107&gt;Compliance,J107,(INT((30-$B107)/(30/Zones))+$H107)/Zones),2)</f>
        <v/>
      </c>
      <c r="U107">
        <f>IF(G107=0,2,IF(N107=0,T107,1-SUMPRODUCT(MAX(($E$4:$E$183=E107)*($G$4:$G$183=1)*(1-T$4:T$183)))+0.000000001*D107))</f>
        <v/>
      </c>
      <c r="V107">
        <f>IF(G107=0,999,SUMPRODUCT((U$4:U$183&lt;U107)*($G$4:$G$183=1))+SUMPRODUCT((U$4:U$183=U107)*($G$4:$G$183=1)*($A$4:$A$183&lt;A107))+1)</f>
        <v/>
      </c>
      <c r="X107">
        <f>IF(G107=1,IF(I107&gt;Compliance,J107,(($D107-1)+$H107)/3),2)</f>
        <v/>
      </c>
      <c r="Y107">
        <f>IF(G107=0,2,IF(N107=0,X107,1-SUMPRODUCT(MAX(($E$4:$E$183=E107)*($G$4:$G$183=1)*(1-X$4:X$183)))+0.000000001*D107))</f>
        <v/>
      </c>
      <c r="Z107">
        <f>IF(G107=0,999,SUMPRODUCT((Y$4:Y$183&lt;Y107)*($G$4:$G$183=1))+SUMPRODUCT((Y$4:Y$183=Y107)*($G$4:$G$183=1)*($A$4:$A$183&lt;A107))+1)</f>
        <v/>
      </c>
      <c r="AB107">
        <f>IF(G107=1,IF(I107&gt;Compliance,J107,((($D107-1)*4+($C107-1)*2+MOD($B107,2))+(30-$B107)/30)/12),2)</f>
        <v/>
      </c>
      <c r="AC107">
        <f>IF(G107=0,2,IF(N107=0,AB107,1-SUMPRODUCT(MAX(($E$4:$E$183=E107)*($G$4:$G$183=1)*(1-AB$4:AB$183)))+0.000000001*D107))</f>
        <v/>
      </c>
      <c r="AD107">
        <f>IF(G107=0,999,SUMPRODUCT((AC$4:AC$183&lt;AC107)*($G$4:$G$183=1))+SUMPRODUCT((AC$4:AC$183=AC107)*($G$4:$G$183=1)*($A$4:$A$183&lt;A107))+1)</f>
        <v/>
      </c>
      <c r="AI107" t="n">
        <v>104</v>
      </c>
      <c r="AJ107">
        <f>IF(104&gt;Passengers,"",MATCH(104,R$4:R$183,0))</f>
        <v/>
      </c>
      <c r="AK107">
        <f>IF(AJ107="","",INDEX($B$4:$B$183,AJ107))</f>
        <v/>
      </c>
      <c r="AL107">
        <f>IF(AJ107="","",INDEX($C$4:$C$183,AJ107))</f>
        <v/>
      </c>
      <c r="AM107">
        <f>IF(AJ107="","",INDEX($D$4:$D$183,AJ107))</f>
        <v/>
      </c>
      <c r="AN107">
        <f>IF(AJ107="","",COUNTIFS($B$4:$B$183,AK107,$C$4:$C$183,AL107,$D$4:$D$183,"&gt;"&amp;AM107,R$4:R$183,"&lt;"&amp;104,$G$4:$G$183,1))</f>
        <v/>
      </c>
      <c r="AO107">
        <f>IF(AJ107="","",INDEX($M$4:$M$183,AJ107)+IF(AN107=1,Shuffle1,IF(AN107&gt;=2,Shuffle2,0)))</f>
        <v/>
      </c>
      <c r="AP107">
        <f>IF(AJ107="","",MAX(DoorGap*103,SUMPRODUCT(MAX((AK$4:AK106&lt;=AK107)*AQ$4:AQ106)),SUMPRODUCT(MAX((AK$4:AK106&gt;AK107)*AP$4:AP106))+Headway))</f>
        <v/>
      </c>
      <c r="AQ107">
        <f>IF(AJ107="","",AP107+AO107)</f>
        <v/>
      </c>
      <c r="AR107">
        <f>IF(AJ107="","",AQ107+AK107*WalkSec)</f>
        <v/>
      </c>
      <c r="AS107" t="n">
        <v>104</v>
      </c>
      <c r="AT107">
        <f>IF(104&gt;Passengers,"",MATCH(104,V$4:V$183,0))</f>
        <v/>
      </c>
      <c r="AU107">
        <f>IF(AT107="","",INDEX($B$4:$B$183,AT107))</f>
        <v/>
      </c>
      <c r="AV107">
        <f>IF(AT107="","",INDEX($C$4:$C$183,AT107))</f>
        <v/>
      </c>
      <c r="AW107">
        <f>IF(AT107="","",INDEX($D$4:$D$183,AT107))</f>
        <v/>
      </c>
      <c r="AX107">
        <f>IF(AT107="","",COUNTIFS($B$4:$B$183,AU107,$C$4:$C$183,AV107,$D$4:$D$183,"&gt;"&amp;AW107,V$4:V$183,"&lt;"&amp;104,$G$4:$G$183,1))</f>
        <v/>
      </c>
      <c r="AY107">
        <f>IF(AT107="","",INDEX($M$4:$M$183,AT107)+IF(AX107=1,Shuffle1,IF(AX107&gt;=2,Shuffle2,0)))</f>
        <v/>
      </c>
      <c r="AZ107">
        <f>IF(AT107="","",MAX(DoorGap*103,SUMPRODUCT(MAX((AU$4:AU106&lt;=AU107)*BA$4:BA106)),SUMPRODUCT(MAX((AU$4:AU106&gt;AU107)*AZ$4:AZ106))+Headway))</f>
        <v/>
      </c>
      <c r="BA107">
        <f>IF(AT107="","",AZ107+AY107)</f>
        <v/>
      </c>
      <c r="BB107">
        <f>IF(AT107="","",BA107+AU107*WalkSec)</f>
        <v/>
      </c>
      <c r="BC107" t="n">
        <v>104</v>
      </c>
      <c r="BD107">
        <f>IF(104&gt;Passengers,"",MATCH(104,Z$4:Z$183,0))</f>
        <v/>
      </c>
      <c r="BE107">
        <f>IF(BD107="","",INDEX($B$4:$B$183,BD107))</f>
        <v/>
      </c>
      <c r="BF107">
        <f>IF(BD107="","",INDEX($C$4:$C$183,BD107))</f>
        <v/>
      </c>
      <c r="BG107">
        <f>IF(BD107="","",INDEX($D$4:$D$183,BD107))</f>
        <v/>
      </c>
      <c r="BH107">
        <f>IF(BD107="","",COUNTIFS($B$4:$B$183,BE107,$C$4:$C$183,BF107,$D$4:$D$183,"&gt;"&amp;BG107,Z$4:Z$183,"&lt;"&amp;104,$G$4:$G$183,1))</f>
        <v/>
      </c>
      <c r="BI107">
        <f>IF(BD107="","",INDEX($M$4:$M$183,BD107)+IF(BH107=1,Shuffle1,IF(BH107&gt;=2,Shuffle2,0)))</f>
        <v/>
      </c>
      <c r="BJ107">
        <f>IF(BD107="","",MAX(DoorGap*103,SUMPRODUCT(MAX((BE$4:BE106&lt;=BE107)*BK$4:BK106)),SUMPRODUCT(MAX((BE$4:BE106&gt;BE107)*BJ$4:BJ106))+Headway))</f>
        <v/>
      </c>
      <c r="BK107">
        <f>IF(BD107="","",BJ107+BI107)</f>
        <v/>
      </c>
      <c r="BL107">
        <f>IF(BD107="","",BK107+BE107*WalkSec)</f>
        <v/>
      </c>
      <c r="BM107" t="n">
        <v>104</v>
      </c>
      <c r="BN107">
        <f>IF(104&gt;Passengers,"",MATCH(104,AD$4:AD$183,0))</f>
        <v/>
      </c>
      <c r="BO107">
        <f>IF(BN107="","",INDEX($B$4:$B$183,BN107))</f>
        <v/>
      </c>
      <c r="BP107">
        <f>IF(BN107="","",INDEX($C$4:$C$183,BN107))</f>
        <v/>
      </c>
      <c r="BQ107">
        <f>IF(BN107="","",INDEX($D$4:$D$183,BN107))</f>
        <v/>
      </c>
      <c r="BR107">
        <f>IF(BN107="","",COUNTIFS($B$4:$B$183,BO107,$C$4:$C$183,BP107,$D$4:$D$183,"&gt;"&amp;BQ107,AD$4:AD$183,"&lt;"&amp;104,$G$4:$G$183,1))</f>
        <v/>
      </c>
      <c r="BS107">
        <f>IF(BN107="","",INDEX($M$4:$M$183,BN107)+IF(BR107=1,Shuffle1,IF(BR107&gt;=2,Shuffle2,0)))</f>
        <v/>
      </c>
      <c r="BT107">
        <f>IF(BN107="","",MAX(DoorGap*103,SUMPRODUCT(MAX((BO$4:BO106&lt;=BO107)*BU$4:BU106)),SUMPRODUCT(MAX((BO$4:BO106&gt;BO107)*BT$4:BT106))+Headway))</f>
        <v/>
      </c>
      <c r="BU107">
        <f>IF(BN107="","",BT107+BS107)</f>
        <v/>
      </c>
      <c r="BV107">
        <f>IF(BN107="","",BU107+BO107*WalkSec)</f>
        <v/>
      </c>
      <c r="BW107">
        <f>IF($G107=0,"",INDEX(AR$4:AR$183,R107))</f>
        <v/>
      </c>
      <c r="BX107">
        <f>IF($G107=0,"",INDEX(BB$4:BB$183,V107))</f>
        <v/>
      </c>
      <c r="BY107">
        <f>IF($G107=0,"",INDEX(BL$4:BL$183,Z107))</f>
        <v/>
      </c>
      <c r="BZ107">
        <f>IF($G107=0,"",INDEX(BV$4:BV$183,AD107))</f>
        <v/>
      </c>
    </row>
    <row r="108">
      <c r="A108" t="n">
        <v>105</v>
      </c>
      <c r="B108" t="n">
        <v>18</v>
      </c>
      <c r="C108" t="n">
        <v>1</v>
      </c>
      <c r="D108" t="n">
        <v>3</v>
      </c>
      <c r="E108" t="n">
        <v>35</v>
      </c>
      <c r="F108">
        <f>RAND()</f>
        <v/>
      </c>
      <c r="G108">
        <f>IF(SUMPRODUCT(($F$4:$F$183&lt;F108)*1)+SUMPRODUCT(($F$4:$F$183=F108)*($A$4:$A$183&lt;A108))&lt;Passengers,1,0)</f>
        <v/>
      </c>
      <c r="H108">
        <f>RAND()</f>
        <v/>
      </c>
      <c r="I108">
        <f>RAND()</f>
        <v/>
      </c>
      <c r="J108">
        <f>RAND()</f>
        <v/>
      </c>
      <c r="K108">
        <f>RAND()</f>
        <v/>
      </c>
      <c r="L108">
        <f>RAND()</f>
        <v/>
      </c>
      <c r="M108">
        <f>IF(K108&lt;BagShare,EXP(NORMSINV(L108)*StowSigma+StowMu),StowNoBag)</f>
        <v/>
      </c>
      <c r="N108">
        <f>IF(INDEX($AG$4:$AG$63,E108)&lt;GroupShare,1,0)</f>
        <v/>
      </c>
      <c r="P108">
        <f>IF(G108=1,IF(I108&gt;Compliance,J108,$H108),2)</f>
        <v/>
      </c>
      <c r="Q108">
        <f>IF(G108=0,2,IF(N108=0,P108,1-SUMPRODUCT(MAX(($E$4:$E$183=E108)*($G$4:$G$183=1)*(1-P$4:P$183)))+0.000000001*D108))</f>
        <v/>
      </c>
      <c r="R108">
        <f>IF(G108=0,999,SUMPRODUCT((Q$4:Q$183&lt;Q108)*($G$4:$G$183=1))+SUMPRODUCT((Q$4:Q$183=Q108)*($G$4:$G$183=1)*($A$4:$A$183&lt;A108))+1)</f>
        <v/>
      </c>
      <c r="T108">
        <f>IF(G108=1,IF(I108&gt;Compliance,J108,(INT((30-$B108)/(30/Zones))+$H108)/Zones),2)</f>
        <v/>
      </c>
      <c r="U108">
        <f>IF(G108=0,2,IF(N108=0,T108,1-SUMPRODUCT(MAX(($E$4:$E$183=E108)*($G$4:$G$183=1)*(1-T$4:T$183)))+0.000000001*D108))</f>
        <v/>
      </c>
      <c r="V108">
        <f>IF(G108=0,999,SUMPRODUCT((U$4:U$183&lt;U108)*($G$4:$G$183=1))+SUMPRODUCT((U$4:U$183=U108)*($G$4:$G$183=1)*($A$4:$A$183&lt;A108))+1)</f>
        <v/>
      </c>
      <c r="X108">
        <f>IF(G108=1,IF(I108&gt;Compliance,J108,(($D108-1)+$H108)/3),2)</f>
        <v/>
      </c>
      <c r="Y108">
        <f>IF(G108=0,2,IF(N108=0,X108,1-SUMPRODUCT(MAX(($E$4:$E$183=E108)*($G$4:$G$183=1)*(1-X$4:X$183)))+0.000000001*D108))</f>
        <v/>
      </c>
      <c r="Z108">
        <f>IF(G108=0,999,SUMPRODUCT((Y$4:Y$183&lt;Y108)*($G$4:$G$183=1))+SUMPRODUCT((Y$4:Y$183=Y108)*($G$4:$G$183=1)*($A$4:$A$183&lt;A108))+1)</f>
        <v/>
      </c>
      <c r="AB108">
        <f>IF(G108=1,IF(I108&gt;Compliance,J108,((($D108-1)*4+($C108-1)*2+MOD($B108,2))+(30-$B108)/30)/12),2)</f>
        <v/>
      </c>
      <c r="AC108">
        <f>IF(G108=0,2,IF(N108=0,AB108,1-SUMPRODUCT(MAX(($E$4:$E$183=E108)*($G$4:$G$183=1)*(1-AB$4:AB$183)))+0.000000001*D108))</f>
        <v/>
      </c>
      <c r="AD108">
        <f>IF(G108=0,999,SUMPRODUCT((AC$4:AC$183&lt;AC108)*($G$4:$G$183=1))+SUMPRODUCT((AC$4:AC$183=AC108)*($G$4:$G$183=1)*($A$4:$A$183&lt;A108))+1)</f>
        <v/>
      </c>
      <c r="AI108" t="n">
        <v>105</v>
      </c>
      <c r="AJ108">
        <f>IF(105&gt;Passengers,"",MATCH(105,R$4:R$183,0))</f>
        <v/>
      </c>
      <c r="AK108">
        <f>IF(AJ108="","",INDEX($B$4:$B$183,AJ108))</f>
        <v/>
      </c>
      <c r="AL108">
        <f>IF(AJ108="","",INDEX($C$4:$C$183,AJ108))</f>
        <v/>
      </c>
      <c r="AM108">
        <f>IF(AJ108="","",INDEX($D$4:$D$183,AJ108))</f>
        <v/>
      </c>
      <c r="AN108">
        <f>IF(AJ108="","",COUNTIFS($B$4:$B$183,AK108,$C$4:$C$183,AL108,$D$4:$D$183,"&gt;"&amp;AM108,R$4:R$183,"&lt;"&amp;105,$G$4:$G$183,1))</f>
        <v/>
      </c>
      <c r="AO108">
        <f>IF(AJ108="","",INDEX($M$4:$M$183,AJ108)+IF(AN108=1,Shuffle1,IF(AN108&gt;=2,Shuffle2,0)))</f>
        <v/>
      </c>
      <c r="AP108">
        <f>IF(AJ108="","",MAX(DoorGap*104,SUMPRODUCT(MAX((AK$4:AK107&lt;=AK108)*AQ$4:AQ107)),SUMPRODUCT(MAX((AK$4:AK107&gt;AK108)*AP$4:AP107))+Headway))</f>
        <v/>
      </c>
      <c r="AQ108">
        <f>IF(AJ108="","",AP108+AO108)</f>
        <v/>
      </c>
      <c r="AR108">
        <f>IF(AJ108="","",AQ108+AK108*WalkSec)</f>
        <v/>
      </c>
      <c r="AS108" t="n">
        <v>105</v>
      </c>
      <c r="AT108">
        <f>IF(105&gt;Passengers,"",MATCH(105,V$4:V$183,0))</f>
        <v/>
      </c>
      <c r="AU108">
        <f>IF(AT108="","",INDEX($B$4:$B$183,AT108))</f>
        <v/>
      </c>
      <c r="AV108">
        <f>IF(AT108="","",INDEX($C$4:$C$183,AT108))</f>
        <v/>
      </c>
      <c r="AW108">
        <f>IF(AT108="","",INDEX($D$4:$D$183,AT108))</f>
        <v/>
      </c>
      <c r="AX108">
        <f>IF(AT108="","",COUNTIFS($B$4:$B$183,AU108,$C$4:$C$183,AV108,$D$4:$D$183,"&gt;"&amp;AW108,V$4:V$183,"&lt;"&amp;105,$G$4:$G$183,1))</f>
        <v/>
      </c>
      <c r="AY108">
        <f>IF(AT108="","",INDEX($M$4:$M$183,AT108)+IF(AX108=1,Shuffle1,IF(AX108&gt;=2,Shuffle2,0)))</f>
        <v/>
      </c>
      <c r="AZ108">
        <f>IF(AT108="","",MAX(DoorGap*104,SUMPRODUCT(MAX((AU$4:AU107&lt;=AU108)*BA$4:BA107)),SUMPRODUCT(MAX((AU$4:AU107&gt;AU108)*AZ$4:AZ107))+Headway))</f>
        <v/>
      </c>
      <c r="BA108">
        <f>IF(AT108="","",AZ108+AY108)</f>
        <v/>
      </c>
      <c r="BB108">
        <f>IF(AT108="","",BA108+AU108*WalkSec)</f>
        <v/>
      </c>
      <c r="BC108" t="n">
        <v>105</v>
      </c>
      <c r="BD108">
        <f>IF(105&gt;Passengers,"",MATCH(105,Z$4:Z$183,0))</f>
        <v/>
      </c>
      <c r="BE108">
        <f>IF(BD108="","",INDEX($B$4:$B$183,BD108))</f>
        <v/>
      </c>
      <c r="BF108">
        <f>IF(BD108="","",INDEX($C$4:$C$183,BD108))</f>
        <v/>
      </c>
      <c r="BG108">
        <f>IF(BD108="","",INDEX($D$4:$D$183,BD108))</f>
        <v/>
      </c>
      <c r="BH108">
        <f>IF(BD108="","",COUNTIFS($B$4:$B$183,BE108,$C$4:$C$183,BF108,$D$4:$D$183,"&gt;"&amp;BG108,Z$4:Z$183,"&lt;"&amp;105,$G$4:$G$183,1))</f>
        <v/>
      </c>
      <c r="BI108">
        <f>IF(BD108="","",INDEX($M$4:$M$183,BD108)+IF(BH108=1,Shuffle1,IF(BH108&gt;=2,Shuffle2,0)))</f>
        <v/>
      </c>
      <c r="BJ108">
        <f>IF(BD108="","",MAX(DoorGap*104,SUMPRODUCT(MAX((BE$4:BE107&lt;=BE108)*BK$4:BK107)),SUMPRODUCT(MAX((BE$4:BE107&gt;BE108)*BJ$4:BJ107))+Headway))</f>
        <v/>
      </c>
      <c r="BK108">
        <f>IF(BD108="","",BJ108+BI108)</f>
        <v/>
      </c>
      <c r="BL108">
        <f>IF(BD108="","",BK108+BE108*WalkSec)</f>
        <v/>
      </c>
      <c r="BM108" t="n">
        <v>105</v>
      </c>
      <c r="BN108">
        <f>IF(105&gt;Passengers,"",MATCH(105,AD$4:AD$183,0))</f>
        <v/>
      </c>
      <c r="BO108">
        <f>IF(BN108="","",INDEX($B$4:$B$183,BN108))</f>
        <v/>
      </c>
      <c r="BP108">
        <f>IF(BN108="","",INDEX($C$4:$C$183,BN108))</f>
        <v/>
      </c>
      <c r="BQ108">
        <f>IF(BN108="","",INDEX($D$4:$D$183,BN108))</f>
        <v/>
      </c>
      <c r="BR108">
        <f>IF(BN108="","",COUNTIFS($B$4:$B$183,BO108,$C$4:$C$183,BP108,$D$4:$D$183,"&gt;"&amp;BQ108,AD$4:AD$183,"&lt;"&amp;105,$G$4:$G$183,1))</f>
        <v/>
      </c>
      <c r="BS108">
        <f>IF(BN108="","",INDEX($M$4:$M$183,BN108)+IF(BR108=1,Shuffle1,IF(BR108&gt;=2,Shuffle2,0)))</f>
        <v/>
      </c>
      <c r="BT108">
        <f>IF(BN108="","",MAX(DoorGap*104,SUMPRODUCT(MAX((BO$4:BO107&lt;=BO108)*BU$4:BU107)),SUMPRODUCT(MAX((BO$4:BO107&gt;BO108)*BT$4:BT107))+Headway))</f>
        <v/>
      </c>
      <c r="BU108">
        <f>IF(BN108="","",BT108+BS108)</f>
        <v/>
      </c>
      <c r="BV108">
        <f>IF(BN108="","",BU108+BO108*WalkSec)</f>
        <v/>
      </c>
      <c r="BW108">
        <f>IF($G108=0,"",INDEX(AR$4:AR$183,R108))</f>
        <v/>
      </c>
      <c r="BX108">
        <f>IF($G108=0,"",INDEX(BB$4:BB$183,V108))</f>
        <v/>
      </c>
      <c r="BY108">
        <f>IF($G108=0,"",INDEX(BL$4:BL$183,Z108))</f>
        <v/>
      </c>
      <c r="BZ108">
        <f>IF($G108=0,"",INDEX(BV$4:BV$183,AD108))</f>
        <v/>
      </c>
    </row>
    <row r="109">
      <c r="A109" t="n">
        <v>106</v>
      </c>
      <c r="B109" t="n">
        <v>18</v>
      </c>
      <c r="C109" t="n">
        <v>2</v>
      </c>
      <c r="D109" t="n">
        <v>1</v>
      </c>
      <c r="E109" t="n">
        <v>36</v>
      </c>
      <c r="F109">
        <f>RAND()</f>
        <v/>
      </c>
      <c r="G109">
        <f>IF(SUMPRODUCT(($F$4:$F$183&lt;F109)*1)+SUMPRODUCT(($F$4:$F$183=F109)*($A$4:$A$183&lt;A109))&lt;Passengers,1,0)</f>
        <v/>
      </c>
      <c r="H109">
        <f>RAND()</f>
        <v/>
      </c>
      <c r="I109">
        <f>RAND()</f>
        <v/>
      </c>
      <c r="J109">
        <f>RAND()</f>
        <v/>
      </c>
      <c r="K109">
        <f>RAND()</f>
        <v/>
      </c>
      <c r="L109">
        <f>RAND()</f>
        <v/>
      </c>
      <c r="M109">
        <f>IF(K109&lt;BagShare,EXP(NORMSINV(L109)*StowSigma+StowMu),StowNoBag)</f>
        <v/>
      </c>
      <c r="N109">
        <f>IF(INDEX($AG$4:$AG$63,E109)&lt;GroupShare,1,0)</f>
        <v/>
      </c>
      <c r="P109">
        <f>IF(G109=1,IF(I109&gt;Compliance,J109,$H109),2)</f>
        <v/>
      </c>
      <c r="Q109">
        <f>IF(G109=0,2,IF(N109=0,P109,1-SUMPRODUCT(MAX(($E$4:$E$183=E109)*($G$4:$G$183=1)*(1-P$4:P$183)))+0.000000001*D109))</f>
        <v/>
      </c>
      <c r="R109">
        <f>IF(G109=0,999,SUMPRODUCT((Q$4:Q$183&lt;Q109)*($G$4:$G$183=1))+SUMPRODUCT((Q$4:Q$183=Q109)*($G$4:$G$183=1)*($A$4:$A$183&lt;A109))+1)</f>
        <v/>
      </c>
      <c r="T109">
        <f>IF(G109=1,IF(I109&gt;Compliance,J109,(INT((30-$B109)/(30/Zones))+$H109)/Zones),2)</f>
        <v/>
      </c>
      <c r="U109">
        <f>IF(G109=0,2,IF(N109=0,T109,1-SUMPRODUCT(MAX(($E$4:$E$183=E109)*($G$4:$G$183=1)*(1-T$4:T$183)))+0.000000001*D109))</f>
        <v/>
      </c>
      <c r="V109">
        <f>IF(G109=0,999,SUMPRODUCT((U$4:U$183&lt;U109)*($G$4:$G$183=1))+SUMPRODUCT((U$4:U$183=U109)*($G$4:$G$183=1)*($A$4:$A$183&lt;A109))+1)</f>
        <v/>
      </c>
      <c r="X109">
        <f>IF(G109=1,IF(I109&gt;Compliance,J109,(($D109-1)+$H109)/3),2)</f>
        <v/>
      </c>
      <c r="Y109">
        <f>IF(G109=0,2,IF(N109=0,X109,1-SUMPRODUCT(MAX(($E$4:$E$183=E109)*($G$4:$G$183=1)*(1-X$4:X$183)))+0.000000001*D109))</f>
        <v/>
      </c>
      <c r="Z109">
        <f>IF(G109=0,999,SUMPRODUCT((Y$4:Y$183&lt;Y109)*($G$4:$G$183=1))+SUMPRODUCT((Y$4:Y$183=Y109)*($G$4:$G$183=1)*($A$4:$A$183&lt;A109))+1)</f>
        <v/>
      </c>
      <c r="AB109">
        <f>IF(G109=1,IF(I109&gt;Compliance,J109,((($D109-1)*4+($C109-1)*2+MOD($B109,2))+(30-$B109)/30)/12),2)</f>
        <v/>
      </c>
      <c r="AC109">
        <f>IF(G109=0,2,IF(N109=0,AB109,1-SUMPRODUCT(MAX(($E$4:$E$183=E109)*($G$4:$G$183=1)*(1-AB$4:AB$183)))+0.000000001*D109))</f>
        <v/>
      </c>
      <c r="AD109">
        <f>IF(G109=0,999,SUMPRODUCT((AC$4:AC$183&lt;AC109)*($G$4:$G$183=1))+SUMPRODUCT((AC$4:AC$183=AC109)*($G$4:$G$183=1)*($A$4:$A$183&lt;A109))+1)</f>
        <v/>
      </c>
      <c r="AI109" t="n">
        <v>106</v>
      </c>
      <c r="AJ109">
        <f>IF(106&gt;Passengers,"",MATCH(106,R$4:R$183,0))</f>
        <v/>
      </c>
      <c r="AK109">
        <f>IF(AJ109="","",INDEX($B$4:$B$183,AJ109))</f>
        <v/>
      </c>
      <c r="AL109">
        <f>IF(AJ109="","",INDEX($C$4:$C$183,AJ109))</f>
        <v/>
      </c>
      <c r="AM109">
        <f>IF(AJ109="","",INDEX($D$4:$D$183,AJ109))</f>
        <v/>
      </c>
      <c r="AN109">
        <f>IF(AJ109="","",COUNTIFS($B$4:$B$183,AK109,$C$4:$C$183,AL109,$D$4:$D$183,"&gt;"&amp;AM109,R$4:R$183,"&lt;"&amp;106,$G$4:$G$183,1))</f>
        <v/>
      </c>
      <c r="AO109">
        <f>IF(AJ109="","",INDEX($M$4:$M$183,AJ109)+IF(AN109=1,Shuffle1,IF(AN109&gt;=2,Shuffle2,0)))</f>
        <v/>
      </c>
      <c r="AP109">
        <f>IF(AJ109="","",MAX(DoorGap*105,SUMPRODUCT(MAX((AK$4:AK108&lt;=AK109)*AQ$4:AQ108)),SUMPRODUCT(MAX((AK$4:AK108&gt;AK109)*AP$4:AP108))+Headway))</f>
        <v/>
      </c>
      <c r="AQ109">
        <f>IF(AJ109="","",AP109+AO109)</f>
        <v/>
      </c>
      <c r="AR109">
        <f>IF(AJ109="","",AQ109+AK109*WalkSec)</f>
        <v/>
      </c>
      <c r="AS109" t="n">
        <v>106</v>
      </c>
      <c r="AT109">
        <f>IF(106&gt;Passengers,"",MATCH(106,V$4:V$183,0))</f>
        <v/>
      </c>
      <c r="AU109">
        <f>IF(AT109="","",INDEX($B$4:$B$183,AT109))</f>
        <v/>
      </c>
      <c r="AV109">
        <f>IF(AT109="","",INDEX($C$4:$C$183,AT109))</f>
        <v/>
      </c>
      <c r="AW109">
        <f>IF(AT109="","",INDEX($D$4:$D$183,AT109))</f>
        <v/>
      </c>
      <c r="AX109">
        <f>IF(AT109="","",COUNTIFS($B$4:$B$183,AU109,$C$4:$C$183,AV109,$D$4:$D$183,"&gt;"&amp;AW109,V$4:V$183,"&lt;"&amp;106,$G$4:$G$183,1))</f>
        <v/>
      </c>
      <c r="AY109">
        <f>IF(AT109="","",INDEX($M$4:$M$183,AT109)+IF(AX109=1,Shuffle1,IF(AX109&gt;=2,Shuffle2,0)))</f>
        <v/>
      </c>
      <c r="AZ109">
        <f>IF(AT109="","",MAX(DoorGap*105,SUMPRODUCT(MAX((AU$4:AU108&lt;=AU109)*BA$4:BA108)),SUMPRODUCT(MAX((AU$4:AU108&gt;AU109)*AZ$4:AZ108))+Headway))</f>
        <v/>
      </c>
      <c r="BA109">
        <f>IF(AT109="","",AZ109+AY109)</f>
        <v/>
      </c>
      <c r="BB109">
        <f>IF(AT109="","",BA109+AU109*WalkSec)</f>
        <v/>
      </c>
      <c r="BC109" t="n">
        <v>106</v>
      </c>
      <c r="BD109">
        <f>IF(106&gt;Passengers,"",MATCH(106,Z$4:Z$183,0))</f>
        <v/>
      </c>
      <c r="BE109">
        <f>IF(BD109="","",INDEX($B$4:$B$183,BD109))</f>
        <v/>
      </c>
      <c r="BF109">
        <f>IF(BD109="","",INDEX($C$4:$C$183,BD109))</f>
        <v/>
      </c>
      <c r="BG109">
        <f>IF(BD109="","",INDEX($D$4:$D$183,BD109))</f>
        <v/>
      </c>
      <c r="BH109">
        <f>IF(BD109="","",COUNTIFS($B$4:$B$183,BE109,$C$4:$C$183,BF109,$D$4:$D$183,"&gt;"&amp;BG109,Z$4:Z$183,"&lt;"&amp;106,$G$4:$G$183,1))</f>
        <v/>
      </c>
      <c r="BI109">
        <f>IF(BD109="","",INDEX($M$4:$M$183,BD109)+IF(BH109=1,Shuffle1,IF(BH109&gt;=2,Shuffle2,0)))</f>
        <v/>
      </c>
      <c r="BJ109">
        <f>IF(BD109="","",MAX(DoorGap*105,SUMPRODUCT(MAX((BE$4:BE108&lt;=BE109)*BK$4:BK108)),SUMPRODUCT(MAX((BE$4:BE108&gt;BE109)*BJ$4:BJ108))+Headway))</f>
        <v/>
      </c>
      <c r="BK109">
        <f>IF(BD109="","",BJ109+BI109)</f>
        <v/>
      </c>
      <c r="BL109">
        <f>IF(BD109="","",BK109+BE109*WalkSec)</f>
        <v/>
      </c>
      <c r="BM109" t="n">
        <v>106</v>
      </c>
      <c r="BN109">
        <f>IF(106&gt;Passengers,"",MATCH(106,AD$4:AD$183,0))</f>
        <v/>
      </c>
      <c r="BO109">
        <f>IF(BN109="","",INDEX($B$4:$B$183,BN109))</f>
        <v/>
      </c>
      <c r="BP109">
        <f>IF(BN109="","",INDEX($C$4:$C$183,BN109))</f>
        <v/>
      </c>
      <c r="BQ109">
        <f>IF(BN109="","",INDEX($D$4:$D$183,BN109))</f>
        <v/>
      </c>
      <c r="BR109">
        <f>IF(BN109="","",COUNTIFS($B$4:$B$183,BO109,$C$4:$C$183,BP109,$D$4:$D$183,"&gt;"&amp;BQ109,AD$4:AD$183,"&lt;"&amp;106,$G$4:$G$183,1))</f>
        <v/>
      </c>
      <c r="BS109">
        <f>IF(BN109="","",INDEX($M$4:$M$183,BN109)+IF(BR109=1,Shuffle1,IF(BR109&gt;=2,Shuffle2,0)))</f>
        <v/>
      </c>
      <c r="BT109">
        <f>IF(BN109="","",MAX(DoorGap*105,SUMPRODUCT(MAX((BO$4:BO108&lt;=BO109)*BU$4:BU108)),SUMPRODUCT(MAX((BO$4:BO108&gt;BO109)*BT$4:BT108))+Headway))</f>
        <v/>
      </c>
      <c r="BU109">
        <f>IF(BN109="","",BT109+BS109)</f>
        <v/>
      </c>
      <c r="BV109">
        <f>IF(BN109="","",BU109+BO109*WalkSec)</f>
        <v/>
      </c>
      <c r="BW109">
        <f>IF($G109=0,"",INDEX(AR$4:AR$183,R109))</f>
        <v/>
      </c>
      <c r="BX109">
        <f>IF($G109=0,"",INDEX(BB$4:BB$183,V109))</f>
        <v/>
      </c>
      <c r="BY109">
        <f>IF($G109=0,"",INDEX(BL$4:BL$183,Z109))</f>
        <v/>
      </c>
      <c r="BZ109">
        <f>IF($G109=0,"",INDEX(BV$4:BV$183,AD109))</f>
        <v/>
      </c>
    </row>
    <row r="110">
      <c r="A110" t="n">
        <v>107</v>
      </c>
      <c r="B110" t="n">
        <v>18</v>
      </c>
      <c r="C110" t="n">
        <v>2</v>
      </c>
      <c r="D110" t="n">
        <v>2</v>
      </c>
      <c r="E110" t="n">
        <v>36</v>
      </c>
      <c r="F110">
        <f>RAND()</f>
        <v/>
      </c>
      <c r="G110">
        <f>IF(SUMPRODUCT(($F$4:$F$183&lt;F110)*1)+SUMPRODUCT(($F$4:$F$183=F110)*($A$4:$A$183&lt;A110))&lt;Passengers,1,0)</f>
        <v/>
      </c>
      <c r="H110">
        <f>RAND()</f>
        <v/>
      </c>
      <c r="I110">
        <f>RAND()</f>
        <v/>
      </c>
      <c r="J110">
        <f>RAND()</f>
        <v/>
      </c>
      <c r="K110">
        <f>RAND()</f>
        <v/>
      </c>
      <c r="L110">
        <f>RAND()</f>
        <v/>
      </c>
      <c r="M110">
        <f>IF(K110&lt;BagShare,EXP(NORMSINV(L110)*StowSigma+StowMu),StowNoBag)</f>
        <v/>
      </c>
      <c r="N110">
        <f>IF(INDEX($AG$4:$AG$63,E110)&lt;GroupShare,1,0)</f>
        <v/>
      </c>
      <c r="P110">
        <f>IF(G110=1,IF(I110&gt;Compliance,J110,$H110),2)</f>
        <v/>
      </c>
      <c r="Q110">
        <f>IF(G110=0,2,IF(N110=0,P110,1-SUMPRODUCT(MAX(($E$4:$E$183=E110)*($G$4:$G$183=1)*(1-P$4:P$183)))+0.000000001*D110))</f>
        <v/>
      </c>
      <c r="R110">
        <f>IF(G110=0,999,SUMPRODUCT((Q$4:Q$183&lt;Q110)*($G$4:$G$183=1))+SUMPRODUCT((Q$4:Q$183=Q110)*($G$4:$G$183=1)*($A$4:$A$183&lt;A110))+1)</f>
        <v/>
      </c>
      <c r="T110">
        <f>IF(G110=1,IF(I110&gt;Compliance,J110,(INT((30-$B110)/(30/Zones))+$H110)/Zones),2)</f>
        <v/>
      </c>
      <c r="U110">
        <f>IF(G110=0,2,IF(N110=0,T110,1-SUMPRODUCT(MAX(($E$4:$E$183=E110)*($G$4:$G$183=1)*(1-T$4:T$183)))+0.000000001*D110))</f>
        <v/>
      </c>
      <c r="V110">
        <f>IF(G110=0,999,SUMPRODUCT((U$4:U$183&lt;U110)*($G$4:$G$183=1))+SUMPRODUCT((U$4:U$183=U110)*($G$4:$G$183=1)*($A$4:$A$183&lt;A110))+1)</f>
        <v/>
      </c>
      <c r="X110">
        <f>IF(G110=1,IF(I110&gt;Compliance,J110,(($D110-1)+$H110)/3),2)</f>
        <v/>
      </c>
      <c r="Y110">
        <f>IF(G110=0,2,IF(N110=0,X110,1-SUMPRODUCT(MAX(($E$4:$E$183=E110)*($G$4:$G$183=1)*(1-X$4:X$183)))+0.000000001*D110))</f>
        <v/>
      </c>
      <c r="Z110">
        <f>IF(G110=0,999,SUMPRODUCT((Y$4:Y$183&lt;Y110)*($G$4:$G$183=1))+SUMPRODUCT((Y$4:Y$183=Y110)*($G$4:$G$183=1)*($A$4:$A$183&lt;A110))+1)</f>
        <v/>
      </c>
      <c r="AB110">
        <f>IF(G110=1,IF(I110&gt;Compliance,J110,((($D110-1)*4+($C110-1)*2+MOD($B110,2))+(30-$B110)/30)/12),2)</f>
        <v/>
      </c>
      <c r="AC110">
        <f>IF(G110=0,2,IF(N110=0,AB110,1-SUMPRODUCT(MAX(($E$4:$E$183=E110)*($G$4:$G$183=1)*(1-AB$4:AB$183)))+0.000000001*D110))</f>
        <v/>
      </c>
      <c r="AD110">
        <f>IF(G110=0,999,SUMPRODUCT((AC$4:AC$183&lt;AC110)*($G$4:$G$183=1))+SUMPRODUCT((AC$4:AC$183=AC110)*($G$4:$G$183=1)*($A$4:$A$183&lt;A110))+1)</f>
        <v/>
      </c>
      <c r="AI110" t="n">
        <v>107</v>
      </c>
      <c r="AJ110">
        <f>IF(107&gt;Passengers,"",MATCH(107,R$4:R$183,0))</f>
        <v/>
      </c>
      <c r="AK110">
        <f>IF(AJ110="","",INDEX($B$4:$B$183,AJ110))</f>
        <v/>
      </c>
      <c r="AL110">
        <f>IF(AJ110="","",INDEX($C$4:$C$183,AJ110))</f>
        <v/>
      </c>
      <c r="AM110">
        <f>IF(AJ110="","",INDEX($D$4:$D$183,AJ110))</f>
        <v/>
      </c>
      <c r="AN110">
        <f>IF(AJ110="","",COUNTIFS($B$4:$B$183,AK110,$C$4:$C$183,AL110,$D$4:$D$183,"&gt;"&amp;AM110,R$4:R$183,"&lt;"&amp;107,$G$4:$G$183,1))</f>
        <v/>
      </c>
      <c r="AO110">
        <f>IF(AJ110="","",INDEX($M$4:$M$183,AJ110)+IF(AN110=1,Shuffle1,IF(AN110&gt;=2,Shuffle2,0)))</f>
        <v/>
      </c>
      <c r="AP110">
        <f>IF(AJ110="","",MAX(DoorGap*106,SUMPRODUCT(MAX((AK$4:AK109&lt;=AK110)*AQ$4:AQ109)),SUMPRODUCT(MAX((AK$4:AK109&gt;AK110)*AP$4:AP109))+Headway))</f>
        <v/>
      </c>
      <c r="AQ110">
        <f>IF(AJ110="","",AP110+AO110)</f>
        <v/>
      </c>
      <c r="AR110">
        <f>IF(AJ110="","",AQ110+AK110*WalkSec)</f>
        <v/>
      </c>
      <c r="AS110" t="n">
        <v>107</v>
      </c>
      <c r="AT110">
        <f>IF(107&gt;Passengers,"",MATCH(107,V$4:V$183,0))</f>
        <v/>
      </c>
      <c r="AU110">
        <f>IF(AT110="","",INDEX($B$4:$B$183,AT110))</f>
        <v/>
      </c>
      <c r="AV110">
        <f>IF(AT110="","",INDEX($C$4:$C$183,AT110))</f>
        <v/>
      </c>
      <c r="AW110">
        <f>IF(AT110="","",INDEX($D$4:$D$183,AT110))</f>
        <v/>
      </c>
      <c r="AX110">
        <f>IF(AT110="","",COUNTIFS($B$4:$B$183,AU110,$C$4:$C$183,AV110,$D$4:$D$183,"&gt;"&amp;AW110,V$4:V$183,"&lt;"&amp;107,$G$4:$G$183,1))</f>
        <v/>
      </c>
      <c r="AY110">
        <f>IF(AT110="","",INDEX($M$4:$M$183,AT110)+IF(AX110=1,Shuffle1,IF(AX110&gt;=2,Shuffle2,0)))</f>
        <v/>
      </c>
      <c r="AZ110">
        <f>IF(AT110="","",MAX(DoorGap*106,SUMPRODUCT(MAX((AU$4:AU109&lt;=AU110)*BA$4:BA109)),SUMPRODUCT(MAX((AU$4:AU109&gt;AU110)*AZ$4:AZ109))+Headway))</f>
        <v/>
      </c>
      <c r="BA110">
        <f>IF(AT110="","",AZ110+AY110)</f>
        <v/>
      </c>
      <c r="BB110">
        <f>IF(AT110="","",BA110+AU110*WalkSec)</f>
        <v/>
      </c>
      <c r="BC110" t="n">
        <v>107</v>
      </c>
      <c r="BD110">
        <f>IF(107&gt;Passengers,"",MATCH(107,Z$4:Z$183,0))</f>
        <v/>
      </c>
      <c r="BE110">
        <f>IF(BD110="","",INDEX($B$4:$B$183,BD110))</f>
        <v/>
      </c>
      <c r="BF110">
        <f>IF(BD110="","",INDEX($C$4:$C$183,BD110))</f>
        <v/>
      </c>
      <c r="BG110">
        <f>IF(BD110="","",INDEX($D$4:$D$183,BD110))</f>
        <v/>
      </c>
      <c r="BH110">
        <f>IF(BD110="","",COUNTIFS($B$4:$B$183,BE110,$C$4:$C$183,BF110,$D$4:$D$183,"&gt;"&amp;BG110,Z$4:Z$183,"&lt;"&amp;107,$G$4:$G$183,1))</f>
        <v/>
      </c>
      <c r="BI110">
        <f>IF(BD110="","",INDEX($M$4:$M$183,BD110)+IF(BH110=1,Shuffle1,IF(BH110&gt;=2,Shuffle2,0)))</f>
        <v/>
      </c>
      <c r="BJ110">
        <f>IF(BD110="","",MAX(DoorGap*106,SUMPRODUCT(MAX((BE$4:BE109&lt;=BE110)*BK$4:BK109)),SUMPRODUCT(MAX((BE$4:BE109&gt;BE110)*BJ$4:BJ109))+Headway))</f>
        <v/>
      </c>
      <c r="BK110">
        <f>IF(BD110="","",BJ110+BI110)</f>
        <v/>
      </c>
      <c r="BL110">
        <f>IF(BD110="","",BK110+BE110*WalkSec)</f>
        <v/>
      </c>
      <c r="BM110" t="n">
        <v>107</v>
      </c>
      <c r="BN110">
        <f>IF(107&gt;Passengers,"",MATCH(107,AD$4:AD$183,0))</f>
        <v/>
      </c>
      <c r="BO110">
        <f>IF(BN110="","",INDEX($B$4:$B$183,BN110))</f>
        <v/>
      </c>
      <c r="BP110">
        <f>IF(BN110="","",INDEX($C$4:$C$183,BN110))</f>
        <v/>
      </c>
      <c r="BQ110">
        <f>IF(BN110="","",INDEX($D$4:$D$183,BN110))</f>
        <v/>
      </c>
      <c r="BR110">
        <f>IF(BN110="","",COUNTIFS($B$4:$B$183,BO110,$C$4:$C$183,BP110,$D$4:$D$183,"&gt;"&amp;BQ110,AD$4:AD$183,"&lt;"&amp;107,$G$4:$G$183,1))</f>
        <v/>
      </c>
      <c r="BS110">
        <f>IF(BN110="","",INDEX($M$4:$M$183,BN110)+IF(BR110=1,Shuffle1,IF(BR110&gt;=2,Shuffle2,0)))</f>
        <v/>
      </c>
      <c r="BT110">
        <f>IF(BN110="","",MAX(DoorGap*106,SUMPRODUCT(MAX((BO$4:BO109&lt;=BO110)*BU$4:BU109)),SUMPRODUCT(MAX((BO$4:BO109&gt;BO110)*BT$4:BT109))+Headway))</f>
        <v/>
      </c>
      <c r="BU110">
        <f>IF(BN110="","",BT110+BS110)</f>
        <v/>
      </c>
      <c r="BV110">
        <f>IF(BN110="","",BU110+BO110*WalkSec)</f>
        <v/>
      </c>
      <c r="BW110">
        <f>IF($G110=0,"",INDEX(AR$4:AR$183,R110))</f>
        <v/>
      </c>
      <c r="BX110">
        <f>IF($G110=0,"",INDEX(BB$4:BB$183,V110))</f>
        <v/>
      </c>
      <c r="BY110">
        <f>IF($G110=0,"",INDEX(BL$4:BL$183,Z110))</f>
        <v/>
      </c>
      <c r="BZ110">
        <f>IF($G110=0,"",INDEX(BV$4:BV$183,AD110))</f>
        <v/>
      </c>
    </row>
    <row r="111">
      <c r="A111" t="n">
        <v>108</v>
      </c>
      <c r="B111" t="n">
        <v>18</v>
      </c>
      <c r="C111" t="n">
        <v>2</v>
      </c>
      <c r="D111" t="n">
        <v>3</v>
      </c>
      <c r="E111" t="n">
        <v>36</v>
      </c>
      <c r="F111">
        <f>RAND()</f>
        <v/>
      </c>
      <c r="G111">
        <f>IF(SUMPRODUCT(($F$4:$F$183&lt;F111)*1)+SUMPRODUCT(($F$4:$F$183=F111)*($A$4:$A$183&lt;A111))&lt;Passengers,1,0)</f>
        <v/>
      </c>
      <c r="H111">
        <f>RAND()</f>
        <v/>
      </c>
      <c r="I111">
        <f>RAND()</f>
        <v/>
      </c>
      <c r="J111">
        <f>RAND()</f>
        <v/>
      </c>
      <c r="K111">
        <f>RAND()</f>
        <v/>
      </c>
      <c r="L111">
        <f>RAND()</f>
        <v/>
      </c>
      <c r="M111">
        <f>IF(K111&lt;BagShare,EXP(NORMSINV(L111)*StowSigma+StowMu),StowNoBag)</f>
        <v/>
      </c>
      <c r="N111">
        <f>IF(INDEX($AG$4:$AG$63,E111)&lt;GroupShare,1,0)</f>
        <v/>
      </c>
      <c r="P111">
        <f>IF(G111=1,IF(I111&gt;Compliance,J111,$H111),2)</f>
        <v/>
      </c>
      <c r="Q111">
        <f>IF(G111=0,2,IF(N111=0,P111,1-SUMPRODUCT(MAX(($E$4:$E$183=E111)*($G$4:$G$183=1)*(1-P$4:P$183)))+0.000000001*D111))</f>
        <v/>
      </c>
      <c r="R111">
        <f>IF(G111=0,999,SUMPRODUCT((Q$4:Q$183&lt;Q111)*($G$4:$G$183=1))+SUMPRODUCT((Q$4:Q$183=Q111)*($G$4:$G$183=1)*($A$4:$A$183&lt;A111))+1)</f>
        <v/>
      </c>
      <c r="T111">
        <f>IF(G111=1,IF(I111&gt;Compliance,J111,(INT((30-$B111)/(30/Zones))+$H111)/Zones),2)</f>
        <v/>
      </c>
      <c r="U111">
        <f>IF(G111=0,2,IF(N111=0,T111,1-SUMPRODUCT(MAX(($E$4:$E$183=E111)*($G$4:$G$183=1)*(1-T$4:T$183)))+0.000000001*D111))</f>
        <v/>
      </c>
      <c r="V111">
        <f>IF(G111=0,999,SUMPRODUCT((U$4:U$183&lt;U111)*($G$4:$G$183=1))+SUMPRODUCT((U$4:U$183=U111)*($G$4:$G$183=1)*($A$4:$A$183&lt;A111))+1)</f>
        <v/>
      </c>
      <c r="X111">
        <f>IF(G111=1,IF(I111&gt;Compliance,J111,(($D111-1)+$H111)/3),2)</f>
        <v/>
      </c>
      <c r="Y111">
        <f>IF(G111=0,2,IF(N111=0,X111,1-SUMPRODUCT(MAX(($E$4:$E$183=E111)*($G$4:$G$183=1)*(1-X$4:X$183)))+0.000000001*D111))</f>
        <v/>
      </c>
      <c r="Z111">
        <f>IF(G111=0,999,SUMPRODUCT((Y$4:Y$183&lt;Y111)*($G$4:$G$183=1))+SUMPRODUCT((Y$4:Y$183=Y111)*($G$4:$G$183=1)*($A$4:$A$183&lt;A111))+1)</f>
        <v/>
      </c>
      <c r="AB111">
        <f>IF(G111=1,IF(I111&gt;Compliance,J111,((($D111-1)*4+($C111-1)*2+MOD($B111,2))+(30-$B111)/30)/12),2)</f>
        <v/>
      </c>
      <c r="AC111">
        <f>IF(G111=0,2,IF(N111=0,AB111,1-SUMPRODUCT(MAX(($E$4:$E$183=E111)*($G$4:$G$183=1)*(1-AB$4:AB$183)))+0.000000001*D111))</f>
        <v/>
      </c>
      <c r="AD111">
        <f>IF(G111=0,999,SUMPRODUCT((AC$4:AC$183&lt;AC111)*($G$4:$G$183=1))+SUMPRODUCT((AC$4:AC$183=AC111)*($G$4:$G$183=1)*($A$4:$A$183&lt;A111))+1)</f>
        <v/>
      </c>
      <c r="AI111" t="n">
        <v>108</v>
      </c>
      <c r="AJ111">
        <f>IF(108&gt;Passengers,"",MATCH(108,R$4:R$183,0))</f>
        <v/>
      </c>
      <c r="AK111">
        <f>IF(AJ111="","",INDEX($B$4:$B$183,AJ111))</f>
        <v/>
      </c>
      <c r="AL111">
        <f>IF(AJ111="","",INDEX($C$4:$C$183,AJ111))</f>
        <v/>
      </c>
      <c r="AM111">
        <f>IF(AJ111="","",INDEX($D$4:$D$183,AJ111))</f>
        <v/>
      </c>
      <c r="AN111">
        <f>IF(AJ111="","",COUNTIFS($B$4:$B$183,AK111,$C$4:$C$183,AL111,$D$4:$D$183,"&gt;"&amp;AM111,R$4:R$183,"&lt;"&amp;108,$G$4:$G$183,1))</f>
        <v/>
      </c>
      <c r="AO111">
        <f>IF(AJ111="","",INDEX($M$4:$M$183,AJ111)+IF(AN111=1,Shuffle1,IF(AN111&gt;=2,Shuffle2,0)))</f>
        <v/>
      </c>
      <c r="AP111">
        <f>IF(AJ111="","",MAX(DoorGap*107,SUMPRODUCT(MAX((AK$4:AK110&lt;=AK111)*AQ$4:AQ110)),SUMPRODUCT(MAX((AK$4:AK110&gt;AK111)*AP$4:AP110))+Headway))</f>
        <v/>
      </c>
      <c r="AQ111">
        <f>IF(AJ111="","",AP111+AO111)</f>
        <v/>
      </c>
      <c r="AR111">
        <f>IF(AJ111="","",AQ111+AK111*WalkSec)</f>
        <v/>
      </c>
      <c r="AS111" t="n">
        <v>108</v>
      </c>
      <c r="AT111">
        <f>IF(108&gt;Passengers,"",MATCH(108,V$4:V$183,0))</f>
        <v/>
      </c>
      <c r="AU111">
        <f>IF(AT111="","",INDEX($B$4:$B$183,AT111))</f>
        <v/>
      </c>
      <c r="AV111">
        <f>IF(AT111="","",INDEX($C$4:$C$183,AT111))</f>
        <v/>
      </c>
      <c r="AW111">
        <f>IF(AT111="","",INDEX($D$4:$D$183,AT111))</f>
        <v/>
      </c>
      <c r="AX111">
        <f>IF(AT111="","",COUNTIFS($B$4:$B$183,AU111,$C$4:$C$183,AV111,$D$4:$D$183,"&gt;"&amp;AW111,V$4:V$183,"&lt;"&amp;108,$G$4:$G$183,1))</f>
        <v/>
      </c>
      <c r="AY111">
        <f>IF(AT111="","",INDEX($M$4:$M$183,AT111)+IF(AX111=1,Shuffle1,IF(AX111&gt;=2,Shuffle2,0)))</f>
        <v/>
      </c>
      <c r="AZ111">
        <f>IF(AT111="","",MAX(DoorGap*107,SUMPRODUCT(MAX((AU$4:AU110&lt;=AU111)*BA$4:BA110)),SUMPRODUCT(MAX((AU$4:AU110&gt;AU111)*AZ$4:AZ110))+Headway))</f>
        <v/>
      </c>
      <c r="BA111">
        <f>IF(AT111="","",AZ111+AY111)</f>
        <v/>
      </c>
      <c r="BB111">
        <f>IF(AT111="","",BA111+AU111*WalkSec)</f>
        <v/>
      </c>
      <c r="BC111" t="n">
        <v>108</v>
      </c>
      <c r="BD111">
        <f>IF(108&gt;Passengers,"",MATCH(108,Z$4:Z$183,0))</f>
        <v/>
      </c>
      <c r="BE111">
        <f>IF(BD111="","",INDEX($B$4:$B$183,BD111))</f>
        <v/>
      </c>
      <c r="BF111">
        <f>IF(BD111="","",INDEX($C$4:$C$183,BD111))</f>
        <v/>
      </c>
      <c r="BG111">
        <f>IF(BD111="","",INDEX($D$4:$D$183,BD111))</f>
        <v/>
      </c>
      <c r="BH111">
        <f>IF(BD111="","",COUNTIFS($B$4:$B$183,BE111,$C$4:$C$183,BF111,$D$4:$D$183,"&gt;"&amp;BG111,Z$4:Z$183,"&lt;"&amp;108,$G$4:$G$183,1))</f>
        <v/>
      </c>
      <c r="BI111">
        <f>IF(BD111="","",INDEX($M$4:$M$183,BD111)+IF(BH111=1,Shuffle1,IF(BH111&gt;=2,Shuffle2,0)))</f>
        <v/>
      </c>
      <c r="BJ111">
        <f>IF(BD111="","",MAX(DoorGap*107,SUMPRODUCT(MAX((BE$4:BE110&lt;=BE111)*BK$4:BK110)),SUMPRODUCT(MAX((BE$4:BE110&gt;BE111)*BJ$4:BJ110))+Headway))</f>
        <v/>
      </c>
      <c r="BK111">
        <f>IF(BD111="","",BJ111+BI111)</f>
        <v/>
      </c>
      <c r="BL111">
        <f>IF(BD111="","",BK111+BE111*WalkSec)</f>
        <v/>
      </c>
      <c r="BM111" t="n">
        <v>108</v>
      </c>
      <c r="BN111">
        <f>IF(108&gt;Passengers,"",MATCH(108,AD$4:AD$183,0))</f>
        <v/>
      </c>
      <c r="BO111">
        <f>IF(BN111="","",INDEX($B$4:$B$183,BN111))</f>
        <v/>
      </c>
      <c r="BP111">
        <f>IF(BN111="","",INDEX($C$4:$C$183,BN111))</f>
        <v/>
      </c>
      <c r="BQ111">
        <f>IF(BN111="","",INDEX($D$4:$D$183,BN111))</f>
        <v/>
      </c>
      <c r="BR111">
        <f>IF(BN111="","",COUNTIFS($B$4:$B$183,BO111,$C$4:$C$183,BP111,$D$4:$D$183,"&gt;"&amp;BQ111,AD$4:AD$183,"&lt;"&amp;108,$G$4:$G$183,1))</f>
        <v/>
      </c>
      <c r="BS111">
        <f>IF(BN111="","",INDEX($M$4:$M$183,BN111)+IF(BR111=1,Shuffle1,IF(BR111&gt;=2,Shuffle2,0)))</f>
        <v/>
      </c>
      <c r="BT111">
        <f>IF(BN111="","",MAX(DoorGap*107,SUMPRODUCT(MAX((BO$4:BO110&lt;=BO111)*BU$4:BU110)),SUMPRODUCT(MAX((BO$4:BO110&gt;BO111)*BT$4:BT110))+Headway))</f>
        <v/>
      </c>
      <c r="BU111">
        <f>IF(BN111="","",BT111+BS111)</f>
        <v/>
      </c>
      <c r="BV111">
        <f>IF(BN111="","",BU111+BO111*WalkSec)</f>
        <v/>
      </c>
      <c r="BW111">
        <f>IF($G111=0,"",INDEX(AR$4:AR$183,R111))</f>
        <v/>
      </c>
      <c r="BX111">
        <f>IF($G111=0,"",INDEX(BB$4:BB$183,V111))</f>
        <v/>
      </c>
      <c r="BY111">
        <f>IF($G111=0,"",INDEX(BL$4:BL$183,Z111))</f>
        <v/>
      </c>
      <c r="BZ111">
        <f>IF($G111=0,"",INDEX(BV$4:BV$183,AD111))</f>
        <v/>
      </c>
    </row>
    <row r="112">
      <c r="A112" t="n">
        <v>109</v>
      </c>
      <c r="B112" t="n">
        <v>19</v>
      </c>
      <c r="C112" t="n">
        <v>1</v>
      </c>
      <c r="D112" t="n">
        <v>1</v>
      </c>
      <c r="E112" t="n">
        <v>37</v>
      </c>
      <c r="F112">
        <f>RAND()</f>
        <v/>
      </c>
      <c r="G112">
        <f>IF(SUMPRODUCT(($F$4:$F$183&lt;F112)*1)+SUMPRODUCT(($F$4:$F$183=F112)*($A$4:$A$183&lt;A112))&lt;Passengers,1,0)</f>
        <v/>
      </c>
      <c r="H112">
        <f>RAND()</f>
        <v/>
      </c>
      <c r="I112">
        <f>RAND()</f>
        <v/>
      </c>
      <c r="J112">
        <f>RAND()</f>
        <v/>
      </c>
      <c r="K112">
        <f>RAND()</f>
        <v/>
      </c>
      <c r="L112">
        <f>RAND()</f>
        <v/>
      </c>
      <c r="M112">
        <f>IF(K112&lt;BagShare,EXP(NORMSINV(L112)*StowSigma+StowMu),StowNoBag)</f>
        <v/>
      </c>
      <c r="N112">
        <f>IF(INDEX($AG$4:$AG$63,E112)&lt;GroupShare,1,0)</f>
        <v/>
      </c>
      <c r="P112">
        <f>IF(G112=1,IF(I112&gt;Compliance,J112,$H112),2)</f>
        <v/>
      </c>
      <c r="Q112">
        <f>IF(G112=0,2,IF(N112=0,P112,1-SUMPRODUCT(MAX(($E$4:$E$183=E112)*($G$4:$G$183=1)*(1-P$4:P$183)))+0.000000001*D112))</f>
        <v/>
      </c>
      <c r="R112">
        <f>IF(G112=0,999,SUMPRODUCT((Q$4:Q$183&lt;Q112)*($G$4:$G$183=1))+SUMPRODUCT((Q$4:Q$183=Q112)*($G$4:$G$183=1)*($A$4:$A$183&lt;A112))+1)</f>
        <v/>
      </c>
      <c r="T112">
        <f>IF(G112=1,IF(I112&gt;Compliance,J112,(INT((30-$B112)/(30/Zones))+$H112)/Zones),2)</f>
        <v/>
      </c>
      <c r="U112">
        <f>IF(G112=0,2,IF(N112=0,T112,1-SUMPRODUCT(MAX(($E$4:$E$183=E112)*($G$4:$G$183=1)*(1-T$4:T$183)))+0.000000001*D112))</f>
        <v/>
      </c>
      <c r="V112">
        <f>IF(G112=0,999,SUMPRODUCT((U$4:U$183&lt;U112)*($G$4:$G$183=1))+SUMPRODUCT((U$4:U$183=U112)*($G$4:$G$183=1)*($A$4:$A$183&lt;A112))+1)</f>
        <v/>
      </c>
      <c r="X112">
        <f>IF(G112=1,IF(I112&gt;Compliance,J112,(($D112-1)+$H112)/3),2)</f>
        <v/>
      </c>
      <c r="Y112">
        <f>IF(G112=0,2,IF(N112=0,X112,1-SUMPRODUCT(MAX(($E$4:$E$183=E112)*($G$4:$G$183=1)*(1-X$4:X$183)))+0.000000001*D112))</f>
        <v/>
      </c>
      <c r="Z112">
        <f>IF(G112=0,999,SUMPRODUCT((Y$4:Y$183&lt;Y112)*($G$4:$G$183=1))+SUMPRODUCT((Y$4:Y$183=Y112)*($G$4:$G$183=1)*($A$4:$A$183&lt;A112))+1)</f>
        <v/>
      </c>
      <c r="AB112">
        <f>IF(G112=1,IF(I112&gt;Compliance,J112,((($D112-1)*4+($C112-1)*2+MOD($B112,2))+(30-$B112)/30)/12),2)</f>
        <v/>
      </c>
      <c r="AC112">
        <f>IF(G112=0,2,IF(N112=0,AB112,1-SUMPRODUCT(MAX(($E$4:$E$183=E112)*($G$4:$G$183=1)*(1-AB$4:AB$183)))+0.000000001*D112))</f>
        <v/>
      </c>
      <c r="AD112">
        <f>IF(G112=0,999,SUMPRODUCT((AC$4:AC$183&lt;AC112)*($G$4:$G$183=1))+SUMPRODUCT((AC$4:AC$183=AC112)*($G$4:$G$183=1)*($A$4:$A$183&lt;A112))+1)</f>
        <v/>
      </c>
      <c r="AI112" t="n">
        <v>109</v>
      </c>
      <c r="AJ112">
        <f>IF(109&gt;Passengers,"",MATCH(109,R$4:R$183,0))</f>
        <v/>
      </c>
      <c r="AK112">
        <f>IF(AJ112="","",INDEX($B$4:$B$183,AJ112))</f>
        <v/>
      </c>
      <c r="AL112">
        <f>IF(AJ112="","",INDEX($C$4:$C$183,AJ112))</f>
        <v/>
      </c>
      <c r="AM112">
        <f>IF(AJ112="","",INDEX($D$4:$D$183,AJ112))</f>
        <v/>
      </c>
      <c r="AN112">
        <f>IF(AJ112="","",COUNTIFS($B$4:$B$183,AK112,$C$4:$C$183,AL112,$D$4:$D$183,"&gt;"&amp;AM112,R$4:R$183,"&lt;"&amp;109,$G$4:$G$183,1))</f>
        <v/>
      </c>
      <c r="AO112">
        <f>IF(AJ112="","",INDEX($M$4:$M$183,AJ112)+IF(AN112=1,Shuffle1,IF(AN112&gt;=2,Shuffle2,0)))</f>
        <v/>
      </c>
      <c r="AP112">
        <f>IF(AJ112="","",MAX(DoorGap*108,SUMPRODUCT(MAX((AK$4:AK111&lt;=AK112)*AQ$4:AQ111)),SUMPRODUCT(MAX((AK$4:AK111&gt;AK112)*AP$4:AP111))+Headway))</f>
        <v/>
      </c>
      <c r="AQ112">
        <f>IF(AJ112="","",AP112+AO112)</f>
        <v/>
      </c>
      <c r="AR112">
        <f>IF(AJ112="","",AQ112+AK112*WalkSec)</f>
        <v/>
      </c>
      <c r="AS112" t="n">
        <v>109</v>
      </c>
      <c r="AT112">
        <f>IF(109&gt;Passengers,"",MATCH(109,V$4:V$183,0))</f>
        <v/>
      </c>
      <c r="AU112">
        <f>IF(AT112="","",INDEX($B$4:$B$183,AT112))</f>
        <v/>
      </c>
      <c r="AV112">
        <f>IF(AT112="","",INDEX($C$4:$C$183,AT112))</f>
        <v/>
      </c>
      <c r="AW112">
        <f>IF(AT112="","",INDEX($D$4:$D$183,AT112))</f>
        <v/>
      </c>
      <c r="AX112">
        <f>IF(AT112="","",COUNTIFS($B$4:$B$183,AU112,$C$4:$C$183,AV112,$D$4:$D$183,"&gt;"&amp;AW112,V$4:V$183,"&lt;"&amp;109,$G$4:$G$183,1))</f>
        <v/>
      </c>
      <c r="AY112">
        <f>IF(AT112="","",INDEX($M$4:$M$183,AT112)+IF(AX112=1,Shuffle1,IF(AX112&gt;=2,Shuffle2,0)))</f>
        <v/>
      </c>
      <c r="AZ112">
        <f>IF(AT112="","",MAX(DoorGap*108,SUMPRODUCT(MAX((AU$4:AU111&lt;=AU112)*BA$4:BA111)),SUMPRODUCT(MAX((AU$4:AU111&gt;AU112)*AZ$4:AZ111))+Headway))</f>
        <v/>
      </c>
      <c r="BA112">
        <f>IF(AT112="","",AZ112+AY112)</f>
        <v/>
      </c>
      <c r="BB112">
        <f>IF(AT112="","",BA112+AU112*WalkSec)</f>
        <v/>
      </c>
      <c r="BC112" t="n">
        <v>109</v>
      </c>
      <c r="BD112">
        <f>IF(109&gt;Passengers,"",MATCH(109,Z$4:Z$183,0))</f>
        <v/>
      </c>
      <c r="BE112">
        <f>IF(BD112="","",INDEX($B$4:$B$183,BD112))</f>
        <v/>
      </c>
      <c r="BF112">
        <f>IF(BD112="","",INDEX($C$4:$C$183,BD112))</f>
        <v/>
      </c>
      <c r="BG112">
        <f>IF(BD112="","",INDEX($D$4:$D$183,BD112))</f>
        <v/>
      </c>
      <c r="BH112">
        <f>IF(BD112="","",COUNTIFS($B$4:$B$183,BE112,$C$4:$C$183,BF112,$D$4:$D$183,"&gt;"&amp;BG112,Z$4:Z$183,"&lt;"&amp;109,$G$4:$G$183,1))</f>
        <v/>
      </c>
      <c r="BI112">
        <f>IF(BD112="","",INDEX($M$4:$M$183,BD112)+IF(BH112=1,Shuffle1,IF(BH112&gt;=2,Shuffle2,0)))</f>
        <v/>
      </c>
      <c r="BJ112">
        <f>IF(BD112="","",MAX(DoorGap*108,SUMPRODUCT(MAX((BE$4:BE111&lt;=BE112)*BK$4:BK111)),SUMPRODUCT(MAX((BE$4:BE111&gt;BE112)*BJ$4:BJ111))+Headway))</f>
        <v/>
      </c>
      <c r="BK112">
        <f>IF(BD112="","",BJ112+BI112)</f>
        <v/>
      </c>
      <c r="BL112">
        <f>IF(BD112="","",BK112+BE112*WalkSec)</f>
        <v/>
      </c>
      <c r="BM112" t="n">
        <v>109</v>
      </c>
      <c r="BN112">
        <f>IF(109&gt;Passengers,"",MATCH(109,AD$4:AD$183,0))</f>
        <v/>
      </c>
      <c r="BO112">
        <f>IF(BN112="","",INDEX($B$4:$B$183,BN112))</f>
        <v/>
      </c>
      <c r="BP112">
        <f>IF(BN112="","",INDEX($C$4:$C$183,BN112))</f>
        <v/>
      </c>
      <c r="BQ112">
        <f>IF(BN112="","",INDEX($D$4:$D$183,BN112))</f>
        <v/>
      </c>
      <c r="BR112">
        <f>IF(BN112="","",COUNTIFS($B$4:$B$183,BO112,$C$4:$C$183,BP112,$D$4:$D$183,"&gt;"&amp;BQ112,AD$4:AD$183,"&lt;"&amp;109,$G$4:$G$183,1))</f>
        <v/>
      </c>
      <c r="BS112">
        <f>IF(BN112="","",INDEX($M$4:$M$183,BN112)+IF(BR112=1,Shuffle1,IF(BR112&gt;=2,Shuffle2,0)))</f>
        <v/>
      </c>
      <c r="BT112">
        <f>IF(BN112="","",MAX(DoorGap*108,SUMPRODUCT(MAX((BO$4:BO111&lt;=BO112)*BU$4:BU111)),SUMPRODUCT(MAX((BO$4:BO111&gt;BO112)*BT$4:BT111))+Headway))</f>
        <v/>
      </c>
      <c r="BU112">
        <f>IF(BN112="","",BT112+BS112)</f>
        <v/>
      </c>
      <c r="BV112">
        <f>IF(BN112="","",BU112+BO112*WalkSec)</f>
        <v/>
      </c>
      <c r="BW112">
        <f>IF($G112=0,"",INDEX(AR$4:AR$183,R112))</f>
        <v/>
      </c>
      <c r="BX112">
        <f>IF($G112=0,"",INDEX(BB$4:BB$183,V112))</f>
        <v/>
      </c>
      <c r="BY112">
        <f>IF($G112=0,"",INDEX(BL$4:BL$183,Z112))</f>
        <v/>
      </c>
      <c r="BZ112">
        <f>IF($G112=0,"",INDEX(BV$4:BV$183,AD112))</f>
        <v/>
      </c>
    </row>
    <row r="113">
      <c r="A113" t="n">
        <v>110</v>
      </c>
      <c r="B113" t="n">
        <v>19</v>
      </c>
      <c r="C113" t="n">
        <v>1</v>
      </c>
      <c r="D113" t="n">
        <v>2</v>
      </c>
      <c r="E113" t="n">
        <v>37</v>
      </c>
      <c r="F113">
        <f>RAND()</f>
        <v/>
      </c>
      <c r="G113">
        <f>IF(SUMPRODUCT(($F$4:$F$183&lt;F113)*1)+SUMPRODUCT(($F$4:$F$183=F113)*($A$4:$A$183&lt;A113))&lt;Passengers,1,0)</f>
        <v/>
      </c>
      <c r="H113">
        <f>RAND()</f>
        <v/>
      </c>
      <c r="I113">
        <f>RAND()</f>
        <v/>
      </c>
      <c r="J113">
        <f>RAND()</f>
        <v/>
      </c>
      <c r="K113">
        <f>RAND()</f>
        <v/>
      </c>
      <c r="L113">
        <f>RAND()</f>
        <v/>
      </c>
      <c r="M113">
        <f>IF(K113&lt;BagShare,EXP(NORMSINV(L113)*StowSigma+StowMu),StowNoBag)</f>
        <v/>
      </c>
      <c r="N113">
        <f>IF(INDEX($AG$4:$AG$63,E113)&lt;GroupShare,1,0)</f>
        <v/>
      </c>
      <c r="P113">
        <f>IF(G113=1,IF(I113&gt;Compliance,J113,$H113),2)</f>
        <v/>
      </c>
      <c r="Q113">
        <f>IF(G113=0,2,IF(N113=0,P113,1-SUMPRODUCT(MAX(($E$4:$E$183=E113)*($G$4:$G$183=1)*(1-P$4:P$183)))+0.000000001*D113))</f>
        <v/>
      </c>
      <c r="R113">
        <f>IF(G113=0,999,SUMPRODUCT((Q$4:Q$183&lt;Q113)*($G$4:$G$183=1))+SUMPRODUCT((Q$4:Q$183=Q113)*($G$4:$G$183=1)*($A$4:$A$183&lt;A113))+1)</f>
        <v/>
      </c>
      <c r="T113">
        <f>IF(G113=1,IF(I113&gt;Compliance,J113,(INT((30-$B113)/(30/Zones))+$H113)/Zones),2)</f>
        <v/>
      </c>
      <c r="U113">
        <f>IF(G113=0,2,IF(N113=0,T113,1-SUMPRODUCT(MAX(($E$4:$E$183=E113)*($G$4:$G$183=1)*(1-T$4:T$183)))+0.000000001*D113))</f>
        <v/>
      </c>
      <c r="V113">
        <f>IF(G113=0,999,SUMPRODUCT((U$4:U$183&lt;U113)*($G$4:$G$183=1))+SUMPRODUCT((U$4:U$183=U113)*($G$4:$G$183=1)*($A$4:$A$183&lt;A113))+1)</f>
        <v/>
      </c>
      <c r="X113">
        <f>IF(G113=1,IF(I113&gt;Compliance,J113,(($D113-1)+$H113)/3),2)</f>
        <v/>
      </c>
      <c r="Y113">
        <f>IF(G113=0,2,IF(N113=0,X113,1-SUMPRODUCT(MAX(($E$4:$E$183=E113)*($G$4:$G$183=1)*(1-X$4:X$183)))+0.000000001*D113))</f>
        <v/>
      </c>
      <c r="Z113">
        <f>IF(G113=0,999,SUMPRODUCT((Y$4:Y$183&lt;Y113)*($G$4:$G$183=1))+SUMPRODUCT((Y$4:Y$183=Y113)*($G$4:$G$183=1)*($A$4:$A$183&lt;A113))+1)</f>
        <v/>
      </c>
      <c r="AB113">
        <f>IF(G113=1,IF(I113&gt;Compliance,J113,((($D113-1)*4+($C113-1)*2+MOD($B113,2))+(30-$B113)/30)/12),2)</f>
        <v/>
      </c>
      <c r="AC113">
        <f>IF(G113=0,2,IF(N113=0,AB113,1-SUMPRODUCT(MAX(($E$4:$E$183=E113)*($G$4:$G$183=1)*(1-AB$4:AB$183)))+0.000000001*D113))</f>
        <v/>
      </c>
      <c r="AD113">
        <f>IF(G113=0,999,SUMPRODUCT((AC$4:AC$183&lt;AC113)*($G$4:$G$183=1))+SUMPRODUCT((AC$4:AC$183=AC113)*($G$4:$G$183=1)*($A$4:$A$183&lt;A113))+1)</f>
        <v/>
      </c>
      <c r="AI113" t="n">
        <v>110</v>
      </c>
      <c r="AJ113">
        <f>IF(110&gt;Passengers,"",MATCH(110,R$4:R$183,0))</f>
        <v/>
      </c>
      <c r="AK113">
        <f>IF(AJ113="","",INDEX($B$4:$B$183,AJ113))</f>
        <v/>
      </c>
      <c r="AL113">
        <f>IF(AJ113="","",INDEX($C$4:$C$183,AJ113))</f>
        <v/>
      </c>
      <c r="AM113">
        <f>IF(AJ113="","",INDEX($D$4:$D$183,AJ113))</f>
        <v/>
      </c>
      <c r="AN113">
        <f>IF(AJ113="","",COUNTIFS($B$4:$B$183,AK113,$C$4:$C$183,AL113,$D$4:$D$183,"&gt;"&amp;AM113,R$4:R$183,"&lt;"&amp;110,$G$4:$G$183,1))</f>
        <v/>
      </c>
      <c r="AO113">
        <f>IF(AJ113="","",INDEX($M$4:$M$183,AJ113)+IF(AN113=1,Shuffle1,IF(AN113&gt;=2,Shuffle2,0)))</f>
        <v/>
      </c>
      <c r="AP113">
        <f>IF(AJ113="","",MAX(DoorGap*109,SUMPRODUCT(MAX((AK$4:AK112&lt;=AK113)*AQ$4:AQ112)),SUMPRODUCT(MAX((AK$4:AK112&gt;AK113)*AP$4:AP112))+Headway))</f>
        <v/>
      </c>
      <c r="AQ113">
        <f>IF(AJ113="","",AP113+AO113)</f>
        <v/>
      </c>
      <c r="AR113">
        <f>IF(AJ113="","",AQ113+AK113*WalkSec)</f>
        <v/>
      </c>
      <c r="AS113" t="n">
        <v>110</v>
      </c>
      <c r="AT113">
        <f>IF(110&gt;Passengers,"",MATCH(110,V$4:V$183,0))</f>
        <v/>
      </c>
      <c r="AU113">
        <f>IF(AT113="","",INDEX($B$4:$B$183,AT113))</f>
        <v/>
      </c>
      <c r="AV113">
        <f>IF(AT113="","",INDEX($C$4:$C$183,AT113))</f>
        <v/>
      </c>
      <c r="AW113">
        <f>IF(AT113="","",INDEX($D$4:$D$183,AT113))</f>
        <v/>
      </c>
      <c r="AX113">
        <f>IF(AT113="","",COUNTIFS($B$4:$B$183,AU113,$C$4:$C$183,AV113,$D$4:$D$183,"&gt;"&amp;AW113,V$4:V$183,"&lt;"&amp;110,$G$4:$G$183,1))</f>
        <v/>
      </c>
      <c r="AY113">
        <f>IF(AT113="","",INDEX($M$4:$M$183,AT113)+IF(AX113=1,Shuffle1,IF(AX113&gt;=2,Shuffle2,0)))</f>
        <v/>
      </c>
      <c r="AZ113">
        <f>IF(AT113="","",MAX(DoorGap*109,SUMPRODUCT(MAX((AU$4:AU112&lt;=AU113)*BA$4:BA112)),SUMPRODUCT(MAX((AU$4:AU112&gt;AU113)*AZ$4:AZ112))+Headway))</f>
        <v/>
      </c>
      <c r="BA113">
        <f>IF(AT113="","",AZ113+AY113)</f>
        <v/>
      </c>
      <c r="BB113">
        <f>IF(AT113="","",BA113+AU113*WalkSec)</f>
        <v/>
      </c>
      <c r="BC113" t="n">
        <v>110</v>
      </c>
      <c r="BD113">
        <f>IF(110&gt;Passengers,"",MATCH(110,Z$4:Z$183,0))</f>
        <v/>
      </c>
      <c r="BE113">
        <f>IF(BD113="","",INDEX($B$4:$B$183,BD113))</f>
        <v/>
      </c>
      <c r="BF113">
        <f>IF(BD113="","",INDEX($C$4:$C$183,BD113))</f>
        <v/>
      </c>
      <c r="BG113">
        <f>IF(BD113="","",INDEX($D$4:$D$183,BD113))</f>
        <v/>
      </c>
      <c r="BH113">
        <f>IF(BD113="","",COUNTIFS($B$4:$B$183,BE113,$C$4:$C$183,BF113,$D$4:$D$183,"&gt;"&amp;BG113,Z$4:Z$183,"&lt;"&amp;110,$G$4:$G$183,1))</f>
        <v/>
      </c>
      <c r="BI113">
        <f>IF(BD113="","",INDEX($M$4:$M$183,BD113)+IF(BH113=1,Shuffle1,IF(BH113&gt;=2,Shuffle2,0)))</f>
        <v/>
      </c>
      <c r="BJ113">
        <f>IF(BD113="","",MAX(DoorGap*109,SUMPRODUCT(MAX((BE$4:BE112&lt;=BE113)*BK$4:BK112)),SUMPRODUCT(MAX((BE$4:BE112&gt;BE113)*BJ$4:BJ112))+Headway))</f>
        <v/>
      </c>
      <c r="BK113">
        <f>IF(BD113="","",BJ113+BI113)</f>
        <v/>
      </c>
      <c r="BL113">
        <f>IF(BD113="","",BK113+BE113*WalkSec)</f>
        <v/>
      </c>
      <c r="BM113" t="n">
        <v>110</v>
      </c>
      <c r="BN113">
        <f>IF(110&gt;Passengers,"",MATCH(110,AD$4:AD$183,0))</f>
        <v/>
      </c>
      <c r="BO113">
        <f>IF(BN113="","",INDEX($B$4:$B$183,BN113))</f>
        <v/>
      </c>
      <c r="BP113">
        <f>IF(BN113="","",INDEX($C$4:$C$183,BN113))</f>
        <v/>
      </c>
      <c r="BQ113">
        <f>IF(BN113="","",INDEX($D$4:$D$183,BN113))</f>
        <v/>
      </c>
      <c r="BR113">
        <f>IF(BN113="","",COUNTIFS($B$4:$B$183,BO113,$C$4:$C$183,BP113,$D$4:$D$183,"&gt;"&amp;BQ113,AD$4:AD$183,"&lt;"&amp;110,$G$4:$G$183,1))</f>
        <v/>
      </c>
      <c r="BS113">
        <f>IF(BN113="","",INDEX($M$4:$M$183,BN113)+IF(BR113=1,Shuffle1,IF(BR113&gt;=2,Shuffle2,0)))</f>
        <v/>
      </c>
      <c r="BT113">
        <f>IF(BN113="","",MAX(DoorGap*109,SUMPRODUCT(MAX((BO$4:BO112&lt;=BO113)*BU$4:BU112)),SUMPRODUCT(MAX((BO$4:BO112&gt;BO113)*BT$4:BT112))+Headway))</f>
        <v/>
      </c>
      <c r="BU113">
        <f>IF(BN113="","",BT113+BS113)</f>
        <v/>
      </c>
      <c r="BV113">
        <f>IF(BN113="","",BU113+BO113*WalkSec)</f>
        <v/>
      </c>
      <c r="BW113">
        <f>IF($G113=0,"",INDEX(AR$4:AR$183,R113))</f>
        <v/>
      </c>
      <c r="BX113">
        <f>IF($G113=0,"",INDEX(BB$4:BB$183,V113))</f>
        <v/>
      </c>
      <c r="BY113">
        <f>IF($G113=0,"",INDEX(BL$4:BL$183,Z113))</f>
        <v/>
      </c>
      <c r="BZ113">
        <f>IF($G113=0,"",INDEX(BV$4:BV$183,AD113))</f>
        <v/>
      </c>
    </row>
    <row r="114">
      <c r="A114" t="n">
        <v>111</v>
      </c>
      <c r="B114" t="n">
        <v>19</v>
      </c>
      <c r="C114" t="n">
        <v>1</v>
      </c>
      <c r="D114" t="n">
        <v>3</v>
      </c>
      <c r="E114" t="n">
        <v>37</v>
      </c>
      <c r="F114">
        <f>RAND()</f>
        <v/>
      </c>
      <c r="G114">
        <f>IF(SUMPRODUCT(($F$4:$F$183&lt;F114)*1)+SUMPRODUCT(($F$4:$F$183=F114)*($A$4:$A$183&lt;A114))&lt;Passengers,1,0)</f>
        <v/>
      </c>
      <c r="H114">
        <f>RAND()</f>
        <v/>
      </c>
      <c r="I114">
        <f>RAND()</f>
        <v/>
      </c>
      <c r="J114">
        <f>RAND()</f>
        <v/>
      </c>
      <c r="K114">
        <f>RAND()</f>
        <v/>
      </c>
      <c r="L114">
        <f>RAND()</f>
        <v/>
      </c>
      <c r="M114">
        <f>IF(K114&lt;BagShare,EXP(NORMSINV(L114)*StowSigma+StowMu),StowNoBag)</f>
        <v/>
      </c>
      <c r="N114">
        <f>IF(INDEX($AG$4:$AG$63,E114)&lt;GroupShare,1,0)</f>
        <v/>
      </c>
      <c r="P114">
        <f>IF(G114=1,IF(I114&gt;Compliance,J114,$H114),2)</f>
        <v/>
      </c>
      <c r="Q114">
        <f>IF(G114=0,2,IF(N114=0,P114,1-SUMPRODUCT(MAX(($E$4:$E$183=E114)*($G$4:$G$183=1)*(1-P$4:P$183)))+0.000000001*D114))</f>
        <v/>
      </c>
      <c r="R114">
        <f>IF(G114=0,999,SUMPRODUCT((Q$4:Q$183&lt;Q114)*($G$4:$G$183=1))+SUMPRODUCT((Q$4:Q$183=Q114)*($G$4:$G$183=1)*($A$4:$A$183&lt;A114))+1)</f>
        <v/>
      </c>
      <c r="T114">
        <f>IF(G114=1,IF(I114&gt;Compliance,J114,(INT((30-$B114)/(30/Zones))+$H114)/Zones),2)</f>
        <v/>
      </c>
      <c r="U114">
        <f>IF(G114=0,2,IF(N114=0,T114,1-SUMPRODUCT(MAX(($E$4:$E$183=E114)*($G$4:$G$183=1)*(1-T$4:T$183)))+0.000000001*D114))</f>
        <v/>
      </c>
      <c r="V114">
        <f>IF(G114=0,999,SUMPRODUCT((U$4:U$183&lt;U114)*($G$4:$G$183=1))+SUMPRODUCT((U$4:U$183=U114)*($G$4:$G$183=1)*($A$4:$A$183&lt;A114))+1)</f>
        <v/>
      </c>
      <c r="X114">
        <f>IF(G114=1,IF(I114&gt;Compliance,J114,(($D114-1)+$H114)/3),2)</f>
        <v/>
      </c>
      <c r="Y114">
        <f>IF(G114=0,2,IF(N114=0,X114,1-SUMPRODUCT(MAX(($E$4:$E$183=E114)*($G$4:$G$183=1)*(1-X$4:X$183)))+0.000000001*D114))</f>
        <v/>
      </c>
      <c r="Z114">
        <f>IF(G114=0,999,SUMPRODUCT((Y$4:Y$183&lt;Y114)*($G$4:$G$183=1))+SUMPRODUCT((Y$4:Y$183=Y114)*($G$4:$G$183=1)*($A$4:$A$183&lt;A114))+1)</f>
        <v/>
      </c>
      <c r="AB114">
        <f>IF(G114=1,IF(I114&gt;Compliance,J114,((($D114-1)*4+($C114-1)*2+MOD($B114,2))+(30-$B114)/30)/12),2)</f>
        <v/>
      </c>
      <c r="AC114">
        <f>IF(G114=0,2,IF(N114=0,AB114,1-SUMPRODUCT(MAX(($E$4:$E$183=E114)*($G$4:$G$183=1)*(1-AB$4:AB$183)))+0.000000001*D114))</f>
        <v/>
      </c>
      <c r="AD114">
        <f>IF(G114=0,999,SUMPRODUCT((AC$4:AC$183&lt;AC114)*($G$4:$G$183=1))+SUMPRODUCT((AC$4:AC$183=AC114)*($G$4:$G$183=1)*($A$4:$A$183&lt;A114))+1)</f>
        <v/>
      </c>
      <c r="AI114" t="n">
        <v>111</v>
      </c>
      <c r="AJ114">
        <f>IF(111&gt;Passengers,"",MATCH(111,R$4:R$183,0))</f>
        <v/>
      </c>
      <c r="AK114">
        <f>IF(AJ114="","",INDEX($B$4:$B$183,AJ114))</f>
        <v/>
      </c>
      <c r="AL114">
        <f>IF(AJ114="","",INDEX($C$4:$C$183,AJ114))</f>
        <v/>
      </c>
      <c r="AM114">
        <f>IF(AJ114="","",INDEX($D$4:$D$183,AJ114))</f>
        <v/>
      </c>
      <c r="AN114">
        <f>IF(AJ114="","",COUNTIFS($B$4:$B$183,AK114,$C$4:$C$183,AL114,$D$4:$D$183,"&gt;"&amp;AM114,R$4:R$183,"&lt;"&amp;111,$G$4:$G$183,1))</f>
        <v/>
      </c>
      <c r="AO114">
        <f>IF(AJ114="","",INDEX($M$4:$M$183,AJ114)+IF(AN114=1,Shuffle1,IF(AN114&gt;=2,Shuffle2,0)))</f>
        <v/>
      </c>
      <c r="AP114">
        <f>IF(AJ114="","",MAX(DoorGap*110,SUMPRODUCT(MAX((AK$4:AK113&lt;=AK114)*AQ$4:AQ113)),SUMPRODUCT(MAX((AK$4:AK113&gt;AK114)*AP$4:AP113))+Headway))</f>
        <v/>
      </c>
      <c r="AQ114">
        <f>IF(AJ114="","",AP114+AO114)</f>
        <v/>
      </c>
      <c r="AR114">
        <f>IF(AJ114="","",AQ114+AK114*WalkSec)</f>
        <v/>
      </c>
      <c r="AS114" t="n">
        <v>111</v>
      </c>
      <c r="AT114">
        <f>IF(111&gt;Passengers,"",MATCH(111,V$4:V$183,0))</f>
        <v/>
      </c>
      <c r="AU114">
        <f>IF(AT114="","",INDEX($B$4:$B$183,AT114))</f>
        <v/>
      </c>
      <c r="AV114">
        <f>IF(AT114="","",INDEX($C$4:$C$183,AT114))</f>
        <v/>
      </c>
      <c r="AW114">
        <f>IF(AT114="","",INDEX($D$4:$D$183,AT114))</f>
        <v/>
      </c>
      <c r="AX114">
        <f>IF(AT114="","",COUNTIFS($B$4:$B$183,AU114,$C$4:$C$183,AV114,$D$4:$D$183,"&gt;"&amp;AW114,V$4:V$183,"&lt;"&amp;111,$G$4:$G$183,1))</f>
        <v/>
      </c>
      <c r="AY114">
        <f>IF(AT114="","",INDEX($M$4:$M$183,AT114)+IF(AX114=1,Shuffle1,IF(AX114&gt;=2,Shuffle2,0)))</f>
        <v/>
      </c>
      <c r="AZ114">
        <f>IF(AT114="","",MAX(DoorGap*110,SUMPRODUCT(MAX((AU$4:AU113&lt;=AU114)*BA$4:BA113)),SUMPRODUCT(MAX((AU$4:AU113&gt;AU114)*AZ$4:AZ113))+Headway))</f>
        <v/>
      </c>
      <c r="BA114">
        <f>IF(AT114="","",AZ114+AY114)</f>
        <v/>
      </c>
      <c r="BB114">
        <f>IF(AT114="","",BA114+AU114*WalkSec)</f>
        <v/>
      </c>
      <c r="BC114" t="n">
        <v>111</v>
      </c>
      <c r="BD114">
        <f>IF(111&gt;Passengers,"",MATCH(111,Z$4:Z$183,0))</f>
        <v/>
      </c>
      <c r="BE114">
        <f>IF(BD114="","",INDEX($B$4:$B$183,BD114))</f>
        <v/>
      </c>
      <c r="BF114">
        <f>IF(BD114="","",INDEX($C$4:$C$183,BD114))</f>
        <v/>
      </c>
      <c r="BG114">
        <f>IF(BD114="","",INDEX($D$4:$D$183,BD114))</f>
        <v/>
      </c>
      <c r="BH114">
        <f>IF(BD114="","",COUNTIFS($B$4:$B$183,BE114,$C$4:$C$183,BF114,$D$4:$D$183,"&gt;"&amp;BG114,Z$4:Z$183,"&lt;"&amp;111,$G$4:$G$183,1))</f>
        <v/>
      </c>
      <c r="BI114">
        <f>IF(BD114="","",INDEX($M$4:$M$183,BD114)+IF(BH114=1,Shuffle1,IF(BH114&gt;=2,Shuffle2,0)))</f>
        <v/>
      </c>
      <c r="BJ114">
        <f>IF(BD114="","",MAX(DoorGap*110,SUMPRODUCT(MAX((BE$4:BE113&lt;=BE114)*BK$4:BK113)),SUMPRODUCT(MAX((BE$4:BE113&gt;BE114)*BJ$4:BJ113))+Headway))</f>
        <v/>
      </c>
      <c r="BK114">
        <f>IF(BD114="","",BJ114+BI114)</f>
        <v/>
      </c>
      <c r="BL114">
        <f>IF(BD114="","",BK114+BE114*WalkSec)</f>
        <v/>
      </c>
      <c r="BM114" t="n">
        <v>111</v>
      </c>
      <c r="BN114">
        <f>IF(111&gt;Passengers,"",MATCH(111,AD$4:AD$183,0))</f>
        <v/>
      </c>
      <c r="BO114">
        <f>IF(BN114="","",INDEX($B$4:$B$183,BN114))</f>
        <v/>
      </c>
      <c r="BP114">
        <f>IF(BN114="","",INDEX($C$4:$C$183,BN114))</f>
        <v/>
      </c>
      <c r="BQ114">
        <f>IF(BN114="","",INDEX($D$4:$D$183,BN114))</f>
        <v/>
      </c>
      <c r="BR114">
        <f>IF(BN114="","",COUNTIFS($B$4:$B$183,BO114,$C$4:$C$183,BP114,$D$4:$D$183,"&gt;"&amp;BQ114,AD$4:AD$183,"&lt;"&amp;111,$G$4:$G$183,1))</f>
        <v/>
      </c>
      <c r="BS114">
        <f>IF(BN114="","",INDEX($M$4:$M$183,BN114)+IF(BR114=1,Shuffle1,IF(BR114&gt;=2,Shuffle2,0)))</f>
        <v/>
      </c>
      <c r="BT114">
        <f>IF(BN114="","",MAX(DoorGap*110,SUMPRODUCT(MAX((BO$4:BO113&lt;=BO114)*BU$4:BU113)),SUMPRODUCT(MAX((BO$4:BO113&gt;BO114)*BT$4:BT113))+Headway))</f>
        <v/>
      </c>
      <c r="BU114">
        <f>IF(BN114="","",BT114+BS114)</f>
        <v/>
      </c>
      <c r="BV114">
        <f>IF(BN114="","",BU114+BO114*WalkSec)</f>
        <v/>
      </c>
      <c r="BW114">
        <f>IF($G114=0,"",INDEX(AR$4:AR$183,R114))</f>
        <v/>
      </c>
      <c r="BX114">
        <f>IF($G114=0,"",INDEX(BB$4:BB$183,V114))</f>
        <v/>
      </c>
      <c r="BY114">
        <f>IF($G114=0,"",INDEX(BL$4:BL$183,Z114))</f>
        <v/>
      </c>
      <c r="BZ114">
        <f>IF($G114=0,"",INDEX(BV$4:BV$183,AD114))</f>
        <v/>
      </c>
    </row>
    <row r="115">
      <c r="A115" t="n">
        <v>112</v>
      </c>
      <c r="B115" t="n">
        <v>19</v>
      </c>
      <c r="C115" t="n">
        <v>2</v>
      </c>
      <c r="D115" t="n">
        <v>1</v>
      </c>
      <c r="E115" t="n">
        <v>38</v>
      </c>
      <c r="F115">
        <f>RAND()</f>
        <v/>
      </c>
      <c r="G115">
        <f>IF(SUMPRODUCT(($F$4:$F$183&lt;F115)*1)+SUMPRODUCT(($F$4:$F$183=F115)*($A$4:$A$183&lt;A115))&lt;Passengers,1,0)</f>
        <v/>
      </c>
      <c r="H115">
        <f>RAND()</f>
        <v/>
      </c>
      <c r="I115">
        <f>RAND()</f>
        <v/>
      </c>
      <c r="J115">
        <f>RAND()</f>
        <v/>
      </c>
      <c r="K115">
        <f>RAND()</f>
        <v/>
      </c>
      <c r="L115">
        <f>RAND()</f>
        <v/>
      </c>
      <c r="M115">
        <f>IF(K115&lt;BagShare,EXP(NORMSINV(L115)*StowSigma+StowMu),StowNoBag)</f>
        <v/>
      </c>
      <c r="N115">
        <f>IF(INDEX($AG$4:$AG$63,E115)&lt;GroupShare,1,0)</f>
        <v/>
      </c>
      <c r="P115">
        <f>IF(G115=1,IF(I115&gt;Compliance,J115,$H115),2)</f>
        <v/>
      </c>
      <c r="Q115">
        <f>IF(G115=0,2,IF(N115=0,P115,1-SUMPRODUCT(MAX(($E$4:$E$183=E115)*($G$4:$G$183=1)*(1-P$4:P$183)))+0.000000001*D115))</f>
        <v/>
      </c>
      <c r="R115">
        <f>IF(G115=0,999,SUMPRODUCT((Q$4:Q$183&lt;Q115)*($G$4:$G$183=1))+SUMPRODUCT((Q$4:Q$183=Q115)*($G$4:$G$183=1)*($A$4:$A$183&lt;A115))+1)</f>
        <v/>
      </c>
      <c r="T115">
        <f>IF(G115=1,IF(I115&gt;Compliance,J115,(INT((30-$B115)/(30/Zones))+$H115)/Zones),2)</f>
        <v/>
      </c>
      <c r="U115">
        <f>IF(G115=0,2,IF(N115=0,T115,1-SUMPRODUCT(MAX(($E$4:$E$183=E115)*($G$4:$G$183=1)*(1-T$4:T$183)))+0.000000001*D115))</f>
        <v/>
      </c>
      <c r="V115">
        <f>IF(G115=0,999,SUMPRODUCT((U$4:U$183&lt;U115)*($G$4:$G$183=1))+SUMPRODUCT((U$4:U$183=U115)*($G$4:$G$183=1)*($A$4:$A$183&lt;A115))+1)</f>
        <v/>
      </c>
      <c r="X115">
        <f>IF(G115=1,IF(I115&gt;Compliance,J115,(($D115-1)+$H115)/3),2)</f>
        <v/>
      </c>
      <c r="Y115">
        <f>IF(G115=0,2,IF(N115=0,X115,1-SUMPRODUCT(MAX(($E$4:$E$183=E115)*($G$4:$G$183=1)*(1-X$4:X$183)))+0.000000001*D115))</f>
        <v/>
      </c>
      <c r="Z115">
        <f>IF(G115=0,999,SUMPRODUCT((Y$4:Y$183&lt;Y115)*($G$4:$G$183=1))+SUMPRODUCT((Y$4:Y$183=Y115)*($G$4:$G$183=1)*($A$4:$A$183&lt;A115))+1)</f>
        <v/>
      </c>
      <c r="AB115">
        <f>IF(G115=1,IF(I115&gt;Compliance,J115,((($D115-1)*4+($C115-1)*2+MOD($B115,2))+(30-$B115)/30)/12),2)</f>
        <v/>
      </c>
      <c r="AC115">
        <f>IF(G115=0,2,IF(N115=0,AB115,1-SUMPRODUCT(MAX(($E$4:$E$183=E115)*($G$4:$G$183=1)*(1-AB$4:AB$183)))+0.000000001*D115))</f>
        <v/>
      </c>
      <c r="AD115">
        <f>IF(G115=0,999,SUMPRODUCT((AC$4:AC$183&lt;AC115)*($G$4:$G$183=1))+SUMPRODUCT((AC$4:AC$183=AC115)*($G$4:$G$183=1)*($A$4:$A$183&lt;A115))+1)</f>
        <v/>
      </c>
      <c r="AI115" t="n">
        <v>112</v>
      </c>
      <c r="AJ115">
        <f>IF(112&gt;Passengers,"",MATCH(112,R$4:R$183,0))</f>
        <v/>
      </c>
      <c r="AK115">
        <f>IF(AJ115="","",INDEX($B$4:$B$183,AJ115))</f>
        <v/>
      </c>
      <c r="AL115">
        <f>IF(AJ115="","",INDEX($C$4:$C$183,AJ115))</f>
        <v/>
      </c>
      <c r="AM115">
        <f>IF(AJ115="","",INDEX($D$4:$D$183,AJ115))</f>
        <v/>
      </c>
      <c r="AN115">
        <f>IF(AJ115="","",COUNTIFS($B$4:$B$183,AK115,$C$4:$C$183,AL115,$D$4:$D$183,"&gt;"&amp;AM115,R$4:R$183,"&lt;"&amp;112,$G$4:$G$183,1))</f>
        <v/>
      </c>
      <c r="AO115">
        <f>IF(AJ115="","",INDEX($M$4:$M$183,AJ115)+IF(AN115=1,Shuffle1,IF(AN115&gt;=2,Shuffle2,0)))</f>
        <v/>
      </c>
      <c r="AP115">
        <f>IF(AJ115="","",MAX(DoorGap*111,SUMPRODUCT(MAX((AK$4:AK114&lt;=AK115)*AQ$4:AQ114)),SUMPRODUCT(MAX((AK$4:AK114&gt;AK115)*AP$4:AP114))+Headway))</f>
        <v/>
      </c>
      <c r="AQ115">
        <f>IF(AJ115="","",AP115+AO115)</f>
        <v/>
      </c>
      <c r="AR115">
        <f>IF(AJ115="","",AQ115+AK115*WalkSec)</f>
        <v/>
      </c>
      <c r="AS115" t="n">
        <v>112</v>
      </c>
      <c r="AT115">
        <f>IF(112&gt;Passengers,"",MATCH(112,V$4:V$183,0))</f>
        <v/>
      </c>
      <c r="AU115">
        <f>IF(AT115="","",INDEX($B$4:$B$183,AT115))</f>
        <v/>
      </c>
      <c r="AV115">
        <f>IF(AT115="","",INDEX($C$4:$C$183,AT115))</f>
        <v/>
      </c>
      <c r="AW115">
        <f>IF(AT115="","",INDEX($D$4:$D$183,AT115))</f>
        <v/>
      </c>
      <c r="AX115">
        <f>IF(AT115="","",COUNTIFS($B$4:$B$183,AU115,$C$4:$C$183,AV115,$D$4:$D$183,"&gt;"&amp;AW115,V$4:V$183,"&lt;"&amp;112,$G$4:$G$183,1))</f>
        <v/>
      </c>
      <c r="AY115">
        <f>IF(AT115="","",INDEX($M$4:$M$183,AT115)+IF(AX115=1,Shuffle1,IF(AX115&gt;=2,Shuffle2,0)))</f>
        <v/>
      </c>
      <c r="AZ115">
        <f>IF(AT115="","",MAX(DoorGap*111,SUMPRODUCT(MAX((AU$4:AU114&lt;=AU115)*BA$4:BA114)),SUMPRODUCT(MAX((AU$4:AU114&gt;AU115)*AZ$4:AZ114))+Headway))</f>
        <v/>
      </c>
      <c r="BA115">
        <f>IF(AT115="","",AZ115+AY115)</f>
        <v/>
      </c>
      <c r="BB115">
        <f>IF(AT115="","",BA115+AU115*WalkSec)</f>
        <v/>
      </c>
      <c r="BC115" t="n">
        <v>112</v>
      </c>
      <c r="BD115">
        <f>IF(112&gt;Passengers,"",MATCH(112,Z$4:Z$183,0))</f>
        <v/>
      </c>
      <c r="BE115">
        <f>IF(BD115="","",INDEX($B$4:$B$183,BD115))</f>
        <v/>
      </c>
      <c r="BF115">
        <f>IF(BD115="","",INDEX($C$4:$C$183,BD115))</f>
        <v/>
      </c>
      <c r="BG115">
        <f>IF(BD115="","",INDEX($D$4:$D$183,BD115))</f>
        <v/>
      </c>
      <c r="BH115">
        <f>IF(BD115="","",COUNTIFS($B$4:$B$183,BE115,$C$4:$C$183,BF115,$D$4:$D$183,"&gt;"&amp;BG115,Z$4:Z$183,"&lt;"&amp;112,$G$4:$G$183,1))</f>
        <v/>
      </c>
      <c r="BI115">
        <f>IF(BD115="","",INDEX($M$4:$M$183,BD115)+IF(BH115=1,Shuffle1,IF(BH115&gt;=2,Shuffle2,0)))</f>
        <v/>
      </c>
      <c r="BJ115">
        <f>IF(BD115="","",MAX(DoorGap*111,SUMPRODUCT(MAX((BE$4:BE114&lt;=BE115)*BK$4:BK114)),SUMPRODUCT(MAX((BE$4:BE114&gt;BE115)*BJ$4:BJ114))+Headway))</f>
        <v/>
      </c>
      <c r="BK115">
        <f>IF(BD115="","",BJ115+BI115)</f>
        <v/>
      </c>
      <c r="BL115">
        <f>IF(BD115="","",BK115+BE115*WalkSec)</f>
        <v/>
      </c>
      <c r="BM115" t="n">
        <v>112</v>
      </c>
      <c r="BN115">
        <f>IF(112&gt;Passengers,"",MATCH(112,AD$4:AD$183,0))</f>
        <v/>
      </c>
      <c r="BO115">
        <f>IF(BN115="","",INDEX($B$4:$B$183,BN115))</f>
        <v/>
      </c>
      <c r="BP115">
        <f>IF(BN115="","",INDEX($C$4:$C$183,BN115))</f>
        <v/>
      </c>
      <c r="BQ115">
        <f>IF(BN115="","",INDEX($D$4:$D$183,BN115))</f>
        <v/>
      </c>
      <c r="BR115">
        <f>IF(BN115="","",COUNTIFS($B$4:$B$183,BO115,$C$4:$C$183,BP115,$D$4:$D$183,"&gt;"&amp;BQ115,AD$4:AD$183,"&lt;"&amp;112,$G$4:$G$183,1))</f>
        <v/>
      </c>
      <c r="BS115">
        <f>IF(BN115="","",INDEX($M$4:$M$183,BN115)+IF(BR115=1,Shuffle1,IF(BR115&gt;=2,Shuffle2,0)))</f>
        <v/>
      </c>
      <c r="BT115">
        <f>IF(BN115="","",MAX(DoorGap*111,SUMPRODUCT(MAX((BO$4:BO114&lt;=BO115)*BU$4:BU114)),SUMPRODUCT(MAX((BO$4:BO114&gt;BO115)*BT$4:BT114))+Headway))</f>
        <v/>
      </c>
      <c r="BU115">
        <f>IF(BN115="","",BT115+BS115)</f>
        <v/>
      </c>
      <c r="BV115">
        <f>IF(BN115="","",BU115+BO115*WalkSec)</f>
        <v/>
      </c>
      <c r="BW115">
        <f>IF($G115=0,"",INDEX(AR$4:AR$183,R115))</f>
        <v/>
      </c>
      <c r="BX115">
        <f>IF($G115=0,"",INDEX(BB$4:BB$183,V115))</f>
        <v/>
      </c>
      <c r="BY115">
        <f>IF($G115=0,"",INDEX(BL$4:BL$183,Z115))</f>
        <v/>
      </c>
      <c r="BZ115">
        <f>IF($G115=0,"",INDEX(BV$4:BV$183,AD115))</f>
        <v/>
      </c>
    </row>
    <row r="116">
      <c r="A116" t="n">
        <v>113</v>
      </c>
      <c r="B116" t="n">
        <v>19</v>
      </c>
      <c r="C116" t="n">
        <v>2</v>
      </c>
      <c r="D116" t="n">
        <v>2</v>
      </c>
      <c r="E116" t="n">
        <v>38</v>
      </c>
      <c r="F116">
        <f>RAND()</f>
        <v/>
      </c>
      <c r="G116">
        <f>IF(SUMPRODUCT(($F$4:$F$183&lt;F116)*1)+SUMPRODUCT(($F$4:$F$183=F116)*($A$4:$A$183&lt;A116))&lt;Passengers,1,0)</f>
        <v/>
      </c>
      <c r="H116">
        <f>RAND()</f>
        <v/>
      </c>
      <c r="I116">
        <f>RAND()</f>
        <v/>
      </c>
      <c r="J116">
        <f>RAND()</f>
        <v/>
      </c>
      <c r="K116">
        <f>RAND()</f>
        <v/>
      </c>
      <c r="L116">
        <f>RAND()</f>
        <v/>
      </c>
      <c r="M116">
        <f>IF(K116&lt;BagShare,EXP(NORMSINV(L116)*StowSigma+StowMu),StowNoBag)</f>
        <v/>
      </c>
      <c r="N116">
        <f>IF(INDEX($AG$4:$AG$63,E116)&lt;GroupShare,1,0)</f>
        <v/>
      </c>
      <c r="P116">
        <f>IF(G116=1,IF(I116&gt;Compliance,J116,$H116),2)</f>
        <v/>
      </c>
      <c r="Q116">
        <f>IF(G116=0,2,IF(N116=0,P116,1-SUMPRODUCT(MAX(($E$4:$E$183=E116)*($G$4:$G$183=1)*(1-P$4:P$183)))+0.000000001*D116))</f>
        <v/>
      </c>
      <c r="R116">
        <f>IF(G116=0,999,SUMPRODUCT((Q$4:Q$183&lt;Q116)*($G$4:$G$183=1))+SUMPRODUCT((Q$4:Q$183=Q116)*($G$4:$G$183=1)*($A$4:$A$183&lt;A116))+1)</f>
        <v/>
      </c>
      <c r="T116">
        <f>IF(G116=1,IF(I116&gt;Compliance,J116,(INT((30-$B116)/(30/Zones))+$H116)/Zones),2)</f>
        <v/>
      </c>
      <c r="U116">
        <f>IF(G116=0,2,IF(N116=0,T116,1-SUMPRODUCT(MAX(($E$4:$E$183=E116)*($G$4:$G$183=1)*(1-T$4:T$183)))+0.000000001*D116))</f>
        <v/>
      </c>
      <c r="V116">
        <f>IF(G116=0,999,SUMPRODUCT((U$4:U$183&lt;U116)*($G$4:$G$183=1))+SUMPRODUCT((U$4:U$183=U116)*($G$4:$G$183=1)*($A$4:$A$183&lt;A116))+1)</f>
        <v/>
      </c>
      <c r="X116">
        <f>IF(G116=1,IF(I116&gt;Compliance,J116,(($D116-1)+$H116)/3),2)</f>
        <v/>
      </c>
      <c r="Y116">
        <f>IF(G116=0,2,IF(N116=0,X116,1-SUMPRODUCT(MAX(($E$4:$E$183=E116)*($G$4:$G$183=1)*(1-X$4:X$183)))+0.000000001*D116))</f>
        <v/>
      </c>
      <c r="Z116">
        <f>IF(G116=0,999,SUMPRODUCT((Y$4:Y$183&lt;Y116)*($G$4:$G$183=1))+SUMPRODUCT((Y$4:Y$183=Y116)*($G$4:$G$183=1)*($A$4:$A$183&lt;A116))+1)</f>
        <v/>
      </c>
      <c r="AB116">
        <f>IF(G116=1,IF(I116&gt;Compliance,J116,((($D116-1)*4+($C116-1)*2+MOD($B116,2))+(30-$B116)/30)/12),2)</f>
        <v/>
      </c>
      <c r="AC116">
        <f>IF(G116=0,2,IF(N116=0,AB116,1-SUMPRODUCT(MAX(($E$4:$E$183=E116)*($G$4:$G$183=1)*(1-AB$4:AB$183)))+0.000000001*D116))</f>
        <v/>
      </c>
      <c r="AD116">
        <f>IF(G116=0,999,SUMPRODUCT((AC$4:AC$183&lt;AC116)*($G$4:$G$183=1))+SUMPRODUCT((AC$4:AC$183=AC116)*($G$4:$G$183=1)*($A$4:$A$183&lt;A116))+1)</f>
        <v/>
      </c>
      <c r="AI116" t="n">
        <v>113</v>
      </c>
      <c r="AJ116">
        <f>IF(113&gt;Passengers,"",MATCH(113,R$4:R$183,0))</f>
        <v/>
      </c>
      <c r="AK116">
        <f>IF(AJ116="","",INDEX($B$4:$B$183,AJ116))</f>
        <v/>
      </c>
      <c r="AL116">
        <f>IF(AJ116="","",INDEX($C$4:$C$183,AJ116))</f>
        <v/>
      </c>
      <c r="AM116">
        <f>IF(AJ116="","",INDEX($D$4:$D$183,AJ116))</f>
        <v/>
      </c>
      <c r="AN116">
        <f>IF(AJ116="","",COUNTIFS($B$4:$B$183,AK116,$C$4:$C$183,AL116,$D$4:$D$183,"&gt;"&amp;AM116,R$4:R$183,"&lt;"&amp;113,$G$4:$G$183,1))</f>
        <v/>
      </c>
      <c r="AO116">
        <f>IF(AJ116="","",INDEX($M$4:$M$183,AJ116)+IF(AN116=1,Shuffle1,IF(AN116&gt;=2,Shuffle2,0)))</f>
        <v/>
      </c>
      <c r="AP116">
        <f>IF(AJ116="","",MAX(DoorGap*112,SUMPRODUCT(MAX((AK$4:AK115&lt;=AK116)*AQ$4:AQ115)),SUMPRODUCT(MAX((AK$4:AK115&gt;AK116)*AP$4:AP115))+Headway))</f>
        <v/>
      </c>
      <c r="AQ116">
        <f>IF(AJ116="","",AP116+AO116)</f>
        <v/>
      </c>
      <c r="AR116">
        <f>IF(AJ116="","",AQ116+AK116*WalkSec)</f>
        <v/>
      </c>
      <c r="AS116" t="n">
        <v>113</v>
      </c>
      <c r="AT116">
        <f>IF(113&gt;Passengers,"",MATCH(113,V$4:V$183,0))</f>
        <v/>
      </c>
      <c r="AU116">
        <f>IF(AT116="","",INDEX($B$4:$B$183,AT116))</f>
        <v/>
      </c>
      <c r="AV116">
        <f>IF(AT116="","",INDEX($C$4:$C$183,AT116))</f>
        <v/>
      </c>
      <c r="AW116">
        <f>IF(AT116="","",INDEX($D$4:$D$183,AT116))</f>
        <v/>
      </c>
      <c r="AX116">
        <f>IF(AT116="","",COUNTIFS($B$4:$B$183,AU116,$C$4:$C$183,AV116,$D$4:$D$183,"&gt;"&amp;AW116,V$4:V$183,"&lt;"&amp;113,$G$4:$G$183,1))</f>
        <v/>
      </c>
      <c r="AY116">
        <f>IF(AT116="","",INDEX($M$4:$M$183,AT116)+IF(AX116=1,Shuffle1,IF(AX116&gt;=2,Shuffle2,0)))</f>
        <v/>
      </c>
      <c r="AZ116">
        <f>IF(AT116="","",MAX(DoorGap*112,SUMPRODUCT(MAX((AU$4:AU115&lt;=AU116)*BA$4:BA115)),SUMPRODUCT(MAX((AU$4:AU115&gt;AU116)*AZ$4:AZ115))+Headway))</f>
        <v/>
      </c>
      <c r="BA116">
        <f>IF(AT116="","",AZ116+AY116)</f>
        <v/>
      </c>
      <c r="BB116">
        <f>IF(AT116="","",BA116+AU116*WalkSec)</f>
        <v/>
      </c>
      <c r="BC116" t="n">
        <v>113</v>
      </c>
      <c r="BD116">
        <f>IF(113&gt;Passengers,"",MATCH(113,Z$4:Z$183,0))</f>
        <v/>
      </c>
      <c r="BE116">
        <f>IF(BD116="","",INDEX($B$4:$B$183,BD116))</f>
        <v/>
      </c>
      <c r="BF116">
        <f>IF(BD116="","",INDEX($C$4:$C$183,BD116))</f>
        <v/>
      </c>
      <c r="BG116">
        <f>IF(BD116="","",INDEX($D$4:$D$183,BD116))</f>
        <v/>
      </c>
      <c r="BH116">
        <f>IF(BD116="","",COUNTIFS($B$4:$B$183,BE116,$C$4:$C$183,BF116,$D$4:$D$183,"&gt;"&amp;BG116,Z$4:Z$183,"&lt;"&amp;113,$G$4:$G$183,1))</f>
        <v/>
      </c>
      <c r="BI116">
        <f>IF(BD116="","",INDEX($M$4:$M$183,BD116)+IF(BH116=1,Shuffle1,IF(BH116&gt;=2,Shuffle2,0)))</f>
        <v/>
      </c>
      <c r="BJ116">
        <f>IF(BD116="","",MAX(DoorGap*112,SUMPRODUCT(MAX((BE$4:BE115&lt;=BE116)*BK$4:BK115)),SUMPRODUCT(MAX((BE$4:BE115&gt;BE116)*BJ$4:BJ115))+Headway))</f>
        <v/>
      </c>
      <c r="BK116">
        <f>IF(BD116="","",BJ116+BI116)</f>
        <v/>
      </c>
      <c r="BL116">
        <f>IF(BD116="","",BK116+BE116*WalkSec)</f>
        <v/>
      </c>
      <c r="BM116" t="n">
        <v>113</v>
      </c>
      <c r="BN116">
        <f>IF(113&gt;Passengers,"",MATCH(113,AD$4:AD$183,0))</f>
        <v/>
      </c>
      <c r="BO116">
        <f>IF(BN116="","",INDEX($B$4:$B$183,BN116))</f>
        <v/>
      </c>
      <c r="BP116">
        <f>IF(BN116="","",INDEX($C$4:$C$183,BN116))</f>
        <v/>
      </c>
      <c r="BQ116">
        <f>IF(BN116="","",INDEX($D$4:$D$183,BN116))</f>
        <v/>
      </c>
      <c r="BR116">
        <f>IF(BN116="","",COUNTIFS($B$4:$B$183,BO116,$C$4:$C$183,BP116,$D$4:$D$183,"&gt;"&amp;BQ116,AD$4:AD$183,"&lt;"&amp;113,$G$4:$G$183,1))</f>
        <v/>
      </c>
      <c r="BS116">
        <f>IF(BN116="","",INDEX($M$4:$M$183,BN116)+IF(BR116=1,Shuffle1,IF(BR116&gt;=2,Shuffle2,0)))</f>
        <v/>
      </c>
      <c r="BT116">
        <f>IF(BN116="","",MAX(DoorGap*112,SUMPRODUCT(MAX((BO$4:BO115&lt;=BO116)*BU$4:BU115)),SUMPRODUCT(MAX((BO$4:BO115&gt;BO116)*BT$4:BT115))+Headway))</f>
        <v/>
      </c>
      <c r="BU116">
        <f>IF(BN116="","",BT116+BS116)</f>
        <v/>
      </c>
      <c r="BV116">
        <f>IF(BN116="","",BU116+BO116*WalkSec)</f>
        <v/>
      </c>
      <c r="BW116">
        <f>IF($G116=0,"",INDEX(AR$4:AR$183,R116))</f>
        <v/>
      </c>
      <c r="BX116">
        <f>IF($G116=0,"",INDEX(BB$4:BB$183,V116))</f>
        <v/>
      </c>
      <c r="BY116">
        <f>IF($G116=0,"",INDEX(BL$4:BL$183,Z116))</f>
        <v/>
      </c>
      <c r="BZ116">
        <f>IF($G116=0,"",INDEX(BV$4:BV$183,AD116))</f>
        <v/>
      </c>
    </row>
    <row r="117">
      <c r="A117" t="n">
        <v>114</v>
      </c>
      <c r="B117" t="n">
        <v>19</v>
      </c>
      <c r="C117" t="n">
        <v>2</v>
      </c>
      <c r="D117" t="n">
        <v>3</v>
      </c>
      <c r="E117" t="n">
        <v>38</v>
      </c>
      <c r="F117">
        <f>RAND()</f>
        <v/>
      </c>
      <c r="G117">
        <f>IF(SUMPRODUCT(($F$4:$F$183&lt;F117)*1)+SUMPRODUCT(($F$4:$F$183=F117)*($A$4:$A$183&lt;A117))&lt;Passengers,1,0)</f>
        <v/>
      </c>
      <c r="H117">
        <f>RAND()</f>
        <v/>
      </c>
      <c r="I117">
        <f>RAND()</f>
        <v/>
      </c>
      <c r="J117">
        <f>RAND()</f>
        <v/>
      </c>
      <c r="K117">
        <f>RAND()</f>
        <v/>
      </c>
      <c r="L117">
        <f>RAND()</f>
        <v/>
      </c>
      <c r="M117">
        <f>IF(K117&lt;BagShare,EXP(NORMSINV(L117)*StowSigma+StowMu),StowNoBag)</f>
        <v/>
      </c>
      <c r="N117">
        <f>IF(INDEX($AG$4:$AG$63,E117)&lt;GroupShare,1,0)</f>
        <v/>
      </c>
      <c r="P117">
        <f>IF(G117=1,IF(I117&gt;Compliance,J117,$H117),2)</f>
        <v/>
      </c>
      <c r="Q117">
        <f>IF(G117=0,2,IF(N117=0,P117,1-SUMPRODUCT(MAX(($E$4:$E$183=E117)*($G$4:$G$183=1)*(1-P$4:P$183)))+0.000000001*D117))</f>
        <v/>
      </c>
      <c r="R117">
        <f>IF(G117=0,999,SUMPRODUCT((Q$4:Q$183&lt;Q117)*($G$4:$G$183=1))+SUMPRODUCT((Q$4:Q$183=Q117)*($G$4:$G$183=1)*($A$4:$A$183&lt;A117))+1)</f>
        <v/>
      </c>
      <c r="T117">
        <f>IF(G117=1,IF(I117&gt;Compliance,J117,(INT((30-$B117)/(30/Zones))+$H117)/Zones),2)</f>
        <v/>
      </c>
      <c r="U117">
        <f>IF(G117=0,2,IF(N117=0,T117,1-SUMPRODUCT(MAX(($E$4:$E$183=E117)*($G$4:$G$183=1)*(1-T$4:T$183)))+0.000000001*D117))</f>
        <v/>
      </c>
      <c r="V117">
        <f>IF(G117=0,999,SUMPRODUCT((U$4:U$183&lt;U117)*($G$4:$G$183=1))+SUMPRODUCT((U$4:U$183=U117)*($G$4:$G$183=1)*($A$4:$A$183&lt;A117))+1)</f>
        <v/>
      </c>
      <c r="X117">
        <f>IF(G117=1,IF(I117&gt;Compliance,J117,(($D117-1)+$H117)/3),2)</f>
        <v/>
      </c>
      <c r="Y117">
        <f>IF(G117=0,2,IF(N117=0,X117,1-SUMPRODUCT(MAX(($E$4:$E$183=E117)*($G$4:$G$183=1)*(1-X$4:X$183)))+0.000000001*D117))</f>
        <v/>
      </c>
      <c r="Z117">
        <f>IF(G117=0,999,SUMPRODUCT((Y$4:Y$183&lt;Y117)*($G$4:$G$183=1))+SUMPRODUCT((Y$4:Y$183=Y117)*($G$4:$G$183=1)*($A$4:$A$183&lt;A117))+1)</f>
        <v/>
      </c>
      <c r="AB117">
        <f>IF(G117=1,IF(I117&gt;Compliance,J117,((($D117-1)*4+($C117-1)*2+MOD($B117,2))+(30-$B117)/30)/12),2)</f>
        <v/>
      </c>
      <c r="AC117">
        <f>IF(G117=0,2,IF(N117=0,AB117,1-SUMPRODUCT(MAX(($E$4:$E$183=E117)*($G$4:$G$183=1)*(1-AB$4:AB$183)))+0.000000001*D117))</f>
        <v/>
      </c>
      <c r="AD117">
        <f>IF(G117=0,999,SUMPRODUCT((AC$4:AC$183&lt;AC117)*($G$4:$G$183=1))+SUMPRODUCT((AC$4:AC$183=AC117)*($G$4:$G$183=1)*($A$4:$A$183&lt;A117))+1)</f>
        <v/>
      </c>
      <c r="AI117" t="n">
        <v>114</v>
      </c>
      <c r="AJ117">
        <f>IF(114&gt;Passengers,"",MATCH(114,R$4:R$183,0))</f>
        <v/>
      </c>
      <c r="AK117">
        <f>IF(AJ117="","",INDEX($B$4:$B$183,AJ117))</f>
        <v/>
      </c>
      <c r="AL117">
        <f>IF(AJ117="","",INDEX($C$4:$C$183,AJ117))</f>
        <v/>
      </c>
      <c r="AM117">
        <f>IF(AJ117="","",INDEX($D$4:$D$183,AJ117))</f>
        <v/>
      </c>
      <c r="AN117">
        <f>IF(AJ117="","",COUNTIFS($B$4:$B$183,AK117,$C$4:$C$183,AL117,$D$4:$D$183,"&gt;"&amp;AM117,R$4:R$183,"&lt;"&amp;114,$G$4:$G$183,1))</f>
        <v/>
      </c>
      <c r="AO117">
        <f>IF(AJ117="","",INDEX($M$4:$M$183,AJ117)+IF(AN117=1,Shuffle1,IF(AN117&gt;=2,Shuffle2,0)))</f>
        <v/>
      </c>
      <c r="AP117">
        <f>IF(AJ117="","",MAX(DoorGap*113,SUMPRODUCT(MAX((AK$4:AK116&lt;=AK117)*AQ$4:AQ116)),SUMPRODUCT(MAX((AK$4:AK116&gt;AK117)*AP$4:AP116))+Headway))</f>
        <v/>
      </c>
      <c r="AQ117">
        <f>IF(AJ117="","",AP117+AO117)</f>
        <v/>
      </c>
      <c r="AR117">
        <f>IF(AJ117="","",AQ117+AK117*WalkSec)</f>
        <v/>
      </c>
      <c r="AS117" t="n">
        <v>114</v>
      </c>
      <c r="AT117">
        <f>IF(114&gt;Passengers,"",MATCH(114,V$4:V$183,0))</f>
        <v/>
      </c>
      <c r="AU117">
        <f>IF(AT117="","",INDEX($B$4:$B$183,AT117))</f>
        <v/>
      </c>
      <c r="AV117">
        <f>IF(AT117="","",INDEX($C$4:$C$183,AT117))</f>
        <v/>
      </c>
      <c r="AW117">
        <f>IF(AT117="","",INDEX($D$4:$D$183,AT117))</f>
        <v/>
      </c>
      <c r="AX117">
        <f>IF(AT117="","",COUNTIFS($B$4:$B$183,AU117,$C$4:$C$183,AV117,$D$4:$D$183,"&gt;"&amp;AW117,V$4:V$183,"&lt;"&amp;114,$G$4:$G$183,1))</f>
        <v/>
      </c>
      <c r="AY117">
        <f>IF(AT117="","",INDEX($M$4:$M$183,AT117)+IF(AX117=1,Shuffle1,IF(AX117&gt;=2,Shuffle2,0)))</f>
        <v/>
      </c>
      <c r="AZ117">
        <f>IF(AT117="","",MAX(DoorGap*113,SUMPRODUCT(MAX((AU$4:AU116&lt;=AU117)*BA$4:BA116)),SUMPRODUCT(MAX((AU$4:AU116&gt;AU117)*AZ$4:AZ116))+Headway))</f>
        <v/>
      </c>
      <c r="BA117">
        <f>IF(AT117="","",AZ117+AY117)</f>
        <v/>
      </c>
      <c r="BB117">
        <f>IF(AT117="","",BA117+AU117*WalkSec)</f>
        <v/>
      </c>
      <c r="BC117" t="n">
        <v>114</v>
      </c>
      <c r="BD117">
        <f>IF(114&gt;Passengers,"",MATCH(114,Z$4:Z$183,0))</f>
        <v/>
      </c>
      <c r="BE117">
        <f>IF(BD117="","",INDEX($B$4:$B$183,BD117))</f>
        <v/>
      </c>
      <c r="BF117">
        <f>IF(BD117="","",INDEX($C$4:$C$183,BD117))</f>
        <v/>
      </c>
      <c r="BG117">
        <f>IF(BD117="","",INDEX($D$4:$D$183,BD117))</f>
        <v/>
      </c>
      <c r="BH117">
        <f>IF(BD117="","",COUNTIFS($B$4:$B$183,BE117,$C$4:$C$183,BF117,$D$4:$D$183,"&gt;"&amp;BG117,Z$4:Z$183,"&lt;"&amp;114,$G$4:$G$183,1))</f>
        <v/>
      </c>
      <c r="BI117">
        <f>IF(BD117="","",INDEX($M$4:$M$183,BD117)+IF(BH117=1,Shuffle1,IF(BH117&gt;=2,Shuffle2,0)))</f>
        <v/>
      </c>
      <c r="BJ117">
        <f>IF(BD117="","",MAX(DoorGap*113,SUMPRODUCT(MAX((BE$4:BE116&lt;=BE117)*BK$4:BK116)),SUMPRODUCT(MAX((BE$4:BE116&gt;BE117)*BJ$4:BJ116))+Headway))</f>
        <v/>
      </c>
      <c r="BK117">
        <f>IF(BD117="","",BJ117+BI117)</f>
        <v/>
      </c>
      <c r="BL117">
        <f>IF(BD117="","",BK117+BE117*WalkSec)</f>
        <v/>
      </c>
      <c r="BM117" t="n">
        <v>114</v>
      </c>
      <c r="BN117">
        <f>IF(114&gt;Passengers,"",MATCH(114,AD$4:AD$183,0))</f>
        <v/>
      </c>
      <c r="BO117">
        <f>IF(BN117="","",INDEX($B$4:$B$183,BN117))</f>
        <v/>
      </c>
      <c r="BP117">
        <f>IF(BN117="","",INDEX($C$4:$C$183,BN117))</f>
        <v/>
      </c>
      <c r="BQ117">
        <f>IF(BN117="","",INDEX($D$4:$D$183,BN117))</f>
        <v/>
      </c>
      <c r="BR117">
        <f>IF(BN117="","",COUNTIFS($B$4:$B$183,BO117,$C$4:$C$183,BP117,$D$4:$D$183,"&gt;"&amp;BQ117,AD$4:AD$183,"&lt;"&amp;114,$G$4:$G$183,1))</f>
        <v/>
      </c>
      <c r="BS117">
        <f>IF(BN117="","",INDEX($M$4:$M$183,BN117)+IF(BR117=1,Shuffle1,IF(BR117&gt;=2,Shuffle2,0)))</f>
        <v/>
      </c>
      <c r="BT117">
        <f>IF(BN117="","",MAX(DoorGap*113,SUMPRODUCT(MAX((BO$4:BO116&lt;=BO117)*BU$4:BU116)),SUMPRODUCT(MAX((BO$4:BO116&gt;BO117)*BT$4:BT116))+Headway))</f>
        <v/>
      </c>
      <c r="BU117">
        <f>IF(BN117="","",BT117+BS117)</f>
        <v/>
      </c>
      <c r="BV117">
        <f>IF(BN117="","",BU117+BO117*WalkSec)</f>
        <v/>
      </c>
      <c r="BW117">
        <f>IF($G117=0,"",INDEX(AR$4:AR$183,R117))</f>
        <v/>
      </c>
      <c r="BX117">
        <f>IF($G117=0,"",INDEX(BB$4:BB$183,V117))</f>
        <v/>
      </c>
      <c r="BY117">
        <f>IF($G117=0,"",INDEX(BL$4:BL$183,Z117))</f>
        <v/>
      </c>
      <c r="BZ117">
        <f>IF($G117=0,"",INDEX(BV$4:BV$183,AD117))</f>
        <v/>
      </c>
    </row>
    <row r="118">
      <c r="A118" t="n">
        <v>115</v>
      </c>
      <c r="B118" t="n">
        <v>20</v>
      </c>
      <c r="C118" t="n">
        <v>1</v>
      </c>
      <c r="D118" t="n">
        <v>1</v>
      </c>
      <c r="E118" t="n">
        <v>39</v>
      </c>
      <c r="F118">
        <f>RAND()</f>
        <v/>
      </c>
      <c r="G118">
        <f>IF(SUMPRODUCT(($F$4:$F$183&lt;F118)*1)+SUMPRODUCT(($F$4:$F$183=F118)*($A$4:$A$183&lt;A118))&lt;Passengers,1,0)</f>
        <v/>
      </c>
      <c r="H118">
        <f>RAND()</f>
        <v/>
      </c>
      <c r="I118">
        <f>RAND()</f>
        <v/>
      </c>
      <c r="J118">
        <f>RAND()</f>
        <v/>
      </c>
      <c r="K118">
        <f>RAND()</f>
        <v/>
      </c>
      <c r="L118">
        <f>RAND()</f>
        <v/>
      </c>
      <c r="M118">
        <f>IF(K118&lt;BagShare,EXP(NORMSINV(L118)*StowSigma+StowMu),StowNoBag)</f>
        <v/>
      </c>
      <c r="N118">
        <f>IF(INDEX($AG$4:$AG$63,E118)&lt;GroupShare,1,0)</f>
        <v/>
      </c>
      <c r="P118">
        <f>IF(G118=1,IF(I118&gt;Compliance,J118,$H118),2)</f>
        <v/>
      </c>
      <c r="Q118">
        <f>IF(G118=0,2,IF(N118=0,P118,1-SUMPRODUCT(MAX(($E$4:$E$183=E118)*($G$4:$G$183=1)*(1-P$4:P$183)))+0.000000001*D118))</f>
        <v/>
      </c>
      <c r="R118">
        <f>IF(G118=0,999,SUMPRODUCT((Q$4:Q$183&lt;Q118)*($G$4:$G$183=1))+SUMPRODUCT((Q$4:Q$183=Q118)*($G$4:$G$183=1)*($A$4:$A$183&lt;A118))+1)</f>
        <v/>
      </c>
      <c r="T118">
        <f>IF(G118=1,IF(I118&gt;Compliance,J118,(INT((30-$B118)/(30/Zones))+$H118)/Zones),2)</f>
        <v/>
      </c>
      <c r="U118">
        <f>IF(G118=0,2,IF(N118=0,T118,1-SUMPRODUCT(MAX(($E$4:$E$183=E118)*($G$4:$G$183=1)*(1-T$4:T$183)))+0.000000001*D118))</f>
        <v/>
      </c>
      <c r="V118">
        <f>IF(G118=0,999,SUMPRODUCT((U$4:U$183&lt;U118)*($G$4:$G$183=1))+SUMPRODUCT((U$4:U$183=U118)*($G$4:$G$183=1)*($A$4:$A$183&lt;A118))+1)</f>
        <v/>
      </c>
      <c r="X118">
        <f>IF(G118=1,IF(I118&gt;Compliance,J118,(($D118-1)+$H118)/3),2)</f>
        <v/>
      </c>
      <c r="Y118">
        <f>IF(G118=0,2,IF(N118=0,X118,1-SUMPRODUCT(MAX(($E$4:$E$183=E118)*($G$4:$G$183=1)*(1-X$4:X$183)))+0.000000001*D118))</f>
        <v/>
      </c>
      <c r="Z118">
        <f>IF(G118=0,999,SUMPRODUCT((Y$4:Y$183&lt;Y118)*($G$4:$G$183=1))+SUMPRODUCT((Y$4:Y$183=Y118)*($G$4:$G$183=1)*($A$4:$A$183&lt;A118))+1)</f>
        <v/>
      </c>
      <c r="AB118">
        <f>IF(G118=1,IF(I118&gt;Compliance,J118,((($D118-1)*4+($C118-1)*2+MOD($B118,2))+(30-$B118)/30)/12),2)</f>
        <v/>
      </c>
      <c r="AC118">
        <f>IF(G118=0,2,IF(N118=0,AB118,1-SUMPRODUCT(MAX(($E$4:$E$183=E118)*($G$4:$G$183=1)*(1-AB$4:AB$183)))+0.000000001*D118))</f>
        <v/>
      </c>
      <c r="AD118">
        <f>IF(G118=0,999,SUMPRODUCT((AC$4:AC$183&lt;AC118)*($G$4:$G$183=1))+SUMPRODUCT((AC$4:AC$183=AC118)*($G$4:$G$183=1)*($A$4:$A$183&lt;A118))+1)</f>
        <v/>
      </c>
      <c r="AI118" t="n">
        <v>115</v>
      </c>
      <c r="AJ118">
        <f>IF(115&gt;Passengers,"",MATCH(115,R$4:R$183,0))</f>
        <v/>
      </c>
      <c r="AK118">
        <f>IF(AJ118="","",INDEX($B$4:$B$183,AJ118))</f>
        <v/>
      </c>
      <c r="AL118">
        <f>IF(AJ118="","",INDEX($C$4:$C$183,AJ118))</f>
        <v/>
      </c>
      <c r="AM118">
        <f>IF(AJ118="","",INDEX($D$4:$D$183,AJ118))</f>
        <v/>
      </c>
      <c r="AN118">
        <f>IF(AJ118="","",COUNTIFS($B$4:$B$183,AK118,$C$4:$C$183,AL118,$D$4:$D$183,"&gt;"&amp;AM118,R$4:R$183,"&lt;"&amp;115,$G$4:$G$183,1))</f>
        <v/>
      </c>
      <c r="AO118">
        <f>IF(AJ118="","",INDEX($M$4:$M$183,AJ118)+IF(AN118=1,Shuffle1,IF(AN118&gt;=2,Shuffle2,0)))</f>
        <v/>
      </c>
      <c r="AP118">
        <f>IF(AJ118="","",MAX(DoorGap*114,SUMPRODUCT(MAX((AK$4:AK117&lt;=AK118)*AQ$4:AQ117)),SUMPRODUCT(MAX((AK$4:AK117&gt;AK118)*AP$4:AP117))+Headway))</f>
        <v/>
      </c>
      <c r="AQ118">
        <f>IF(AJ118="","",AP118+AO118)</f>
        <v/>
      </c>
      <c r="AR118">
        <f>IF(AJ118="","",AQ118+AK118*WalkSec)</f>
        <v/>
      </c>
      <c r="AS118" t="n">
        <v>115</v>
      </c>
      <c r="AT118">
        <f>IF(115&gt;Passengers,"",MATCH(115,V$4:V$183,0))</f>
        <v/>
      </c>
      <c r="AU118">
        <f>IF(AT118="","",INDEX($B$4:$B$183,AT118))</f>
        <v/>
      </c>
      <c r="AV118">
        <f>IF(AT118="","",INDEX($C$4:$C$183,AT118))</f>
        <v/>
      </c>
      <c r="AW118">
        <f>IF(AT118="","",INDEX($D$4:$D$183,AT118))</f>
        <v/>
      </c>
      <c r="AX118">
        <f>IF(AT118="","",COUNTIFS($B$4:$B$183,AU118,$C$4:$C$183,AV118,$D$4:$D$183,"&gt;"&amp;AW118,V$4:V$183,"&lt;"&amp;115,$G$4:$G$183,1))</f>
        <v/>
      </c>
      <c r="AY118">
        <f>IF(AT118="","",INDEX($M$4:$M$183,AT118)+IF(AX118=1,Shuffle1,IF(AX118&gt;=2,Shuffle2,0)))</f>
        <v/>
      </c>
      <c r="AZ118">
        <f>IF(AT118="","",MAX(DoorGap*114,SUMPRODUCT(MAX((AU$4:AU117&lt;=AU118)*BA$4:BA117)),SUMPRODUCT(MAX((AU$4:AU117&gt;AU118)*AZ$4:AZ117))+Headway))</f>
        <v/>
      </c>
      <c r="BA118">
        <f>IF(AT118="","",AZ118+AY118)</f>
        <v/>
      </c>
      <c r="BB118">
        <f>IF(AT118="","",BA118+AU118*WalkSec)</f>
        <v/>
      </c>
      <c r="BC118" t="n">
        <v>115</v>
      </c>
      <c r="BD118">
        <f>IF(115&gt;Passengers,"",MATCH(115,Z$4:Z$183,0))</f>
        <v/>
      </c>
      <c r="BE118">
        <f>IF(BD118="","",INDEX($B$4:$B$183,BD118))</f>
        <v/>
      </c>
      <c r="BF118">
        <f>IF(BD118="","",INDEX($C$4:$C$183,BD118))</f>
        <v/>
      </c>
      <c r="BG118">
        <f>IF(BD118="","",INDEX($D$4:$D$183,BD118))</f>
        <v/>
      </c>
      <c r="BH118">
        <f>IF(BD118="","",COUNTIFS($B$4:$B$183,BE118,$C$4:$C$183,BF118,$D$4:$D$183,"&gt;"&amp;BG118,Z$4:Z$183,"&lt;"&amp;115,$G$4:$G$183,1))</f>
        <v/>
      </c>
      <c r="BI118">
        <f>IF(BD118="","",INDEX($M$4:$M$183,BD118)+IF(BH118=1,Shuffle1,IF(BH118&gt;=2,Shuffle2,0)))</f>
        <v/>
      </c>
      <c r="BJ118">
        <f>IF(BD118="","",MAX(DoorGap*114,SUMPRODUCT(MAX((BE$4:BE117&lt;=BE118)*BK$4:BK117)),SUMPRODUCT(MAX((BE$4:BE117&gt;BE118)*BJ$4:BJ117))+Headway))</f>
        <v/>
      </c>
      <c r="BK118">
        <f>IF(BD118="","",BJ118+BI118)</f>
        <v/>
      </c>
      <c r="BL118">
        <f>IF(BD118="","",BK118+BE118*WalkSec)</f>
        <v/>
      </c>
      <c r="BM118" t="n">
        <v>115</v>
      </c>
      <c r="BN118">
        <f>IF(115&gt;Passengers,"",MATCH(115,AD$4:AD$183,0))</f>
        <v/>
      </c>
      <c r="BO118">
        <f>IF(BN118="","",INDEX($B$4:$B$183,BN118))</f>
        <v/>
      </c>
      <c r="BP118">
        <f>IF(BN118="","",INDEX($C$4:$C$183,BN118))</f>
        <v/>
      </c>
      <c r="BQ118">
        <f>IF(BN118="","",INDEX($D$4:$D$183,BN118))</f>
        <v/>
      </c>
      <c r="BR118">
        <f>IF(BN118="","",COUNTIFS($B$4:$B$183,BO118,$C$4:$C$183,BP118,$D$4:$D$183,"&gt;"&amp;BQ118,AD$4:AD$183,"&lt;"&amp;115,$G$4:$G$183,1))</f>
        <v/>
      </c>
      <c r="BS118">
        <f>IF(BN118="","",INDEX($M$4:$M$183,BN118)+IF(BR118=1,Shuffle1,IF(BR118&gt;=2,Shuffle2,0)))</f>
        <v/>
      </c>
      <c r="BT118">
        <f>IF(BN118="","",MAX(DoorGap*114,SUMPRODUCT(MAX((BO$4:BO117&lt;=BO118)*BU$4:BU117)),SUMPRODUCT(MAX((BO$4:BO117&gt;BO118)*BT$4:BT117))+Headway))</f>
        <v/>
      </c>
      <c r="BU118">
        <f>IF(BN118="","",BT118+BS118)</f>
        <v/>
      </c>
      <c r="BV118">
        <f>IF(BN118="","",BU118+BO118*WalkSec)</f>
        <v/>
      </c>
      <c r="BW118">
        <f>IF($G118=0,"",INDEX(AR$4:AR$183,R118))</f>
        <v/>
      </c>
      <c r="BX118">
        <f>IF($G118=0,"",INDEX(BB$4:BB$183,V118))</f>
        <v/>
      </c>
      <c r="BY118">
        <f>IF($G118=0,"",INDEX(BL$4:BL$183,Z118))</f>
        <v/>
      </c>
      <c r="BZ118">
        <f>IF($G118=0,"",INDEX(BV$4:BV$183,AD118))</f>
        <v/>
      </c>
    </row>
    <row r="119">
      <c r="A119" t="n">
        <v>116</v>
      </c>
      <c r="B119" t="n">
        <v>20</v>
      </c>
      <c r="C119" t="n">
        <v>1</v>
      </c>
      <c r="D119" t="n">
        <v>2</v>
      </c>
      <c r="E119" t="n">
        <v>39</v>
      </c>
      <c r="F119">
        <f>RAND()</f>
        <v/>
      </c>
      <c r="G119">
        <f>IF(SUMPRODUCT(($F$4:$F$183&lt;F119)*1)+SUMPRODUCT(($F$4:$F$183=F119)*($A$4:$A$183&lt;A119))&lt;Passengers,1,0)</f>
        <v/>
      </c>
      <c r="H119">
        <f>RAND()</f>
        <v/>
      </c>
      <c r="I119">
        <f>RAND()</f>
        <v/>
      </c>
      <c r="J119">
        <f>RAND()</f>
        <v/>
      </c>
      <c r="K119">
        <f>RAND()</f>
        <v/>
      </c>
      <c r="L119">
        <f>RAND()</f>
        <v/>
      </c>
      <c r="M119">
        <f>IF(K119&lt;BagShare,EXP(NORMSINV(L119)*StowSigma+StowMu),StowNoBag)</f>
        <v/>
      </c>
      <c r="N119">
        <f>IF(INDEX($AG$4:$AG$63,E119)&lt;GroupShare,1,0)</f>
        <v/>
      </c>
      <c r="P119">
        <f>IF(G119=1,IF(I119&gt;Compliance,J119,$H119),2)</f>
        <v/>
      </c>
      <c r="Q119">
        <f>IF(G119=0,2,IF(N119=0,P119,1-SUMPRODUCT(MAX(($E$4:$E$183=E119)*($G$4:$G$183=1)*(1-P$4:P$183)))+0.000000001*D119))</f>
        <v/>
      </c>
      <c r="R119">
        <f>IF(G119=0,999,SUMPRODUCT((Q$4:Q$183&lt;Q119)*($G$4:$G$183=1))+SUMPRODUCT((Q$4:Q$183=Q119)*($G$4:$G$183=1)*($A$4:$A$183&lt;A119))+1)</f>
        <v/>
      </c>
      <c r="T119">
        <f>IF(G119=1,IF(I119&gt;Compliance,J119,(INT((30-$B119)/(30/Zones))+$H119)/Zones),2)</f>
        <v/>
      </c>
      <c r="U119">
        <f>IF(G119=0,2,IF(N119=0,T119,1-SUMPRODUCT(MAX(($E$4:$E$183=E119)*($G$4:$G$183=1)*(1-T$4:T$183)))+0.000000001*D119))</f>
        <v/>
      </c>
      <c r="V119">
        <f>IF(G119=0,999,SUMPRODUCT((U$4:U$183&lt;U119)*($G$4:$G$183=1))+SUMPRODUCT((U$4:U$183=U119)*($G$4:$G$183=1)*($A$4:$A$183&lt;A119))+1)</f>
        <v/>
      </c>
      <c r="X119">
        <f>IF(G119=1,IF(I119&gt;Compliance,J119,(($D119-1)+$H119)/3),2)</f>
        <v/>
      </c>
      <c r="Y119">
        <f>IF(G119=0,2,IF(N119=0,X119,1-SUMPRODUCT(MAX(($E$4:$E$183=E119)*($G$4:$G$183=1)*(1-X$4:X$183)))+0.000000001*D119))</f>
        <v/>
      </c>
      <c r="Z119">
        <f>IF(G119=0,999,SUMPRODUCT((Y$4:Y$183&lt;Y119)*($G$4:$G$183=1))+SUMPRODUCT((Y$4:Y$183=Y119)*($G$4:$G$183=1)*($A$4:$A$183&lt;A119))+1)</f>
        <v/>
      </c>
      <c r="AB119">
        <f>IF(G119=1,IF(I119&gt;Compliance,J119,((($D119-1)*4+($C119-1)*2+MOD($B119,2))+(30-$B119)/30)/12),2)</f>
        <v/>
      </c>
      <c r="AC119">
        <f>IF(G119=0,2,IF(N119=0,AB119,1-SUMPRODUCT(MAX(($E$4:$E$183=E119)*($G$4:$G$183=1)*(1-AB$4:AB$183)))+0.000000001*D119))</f>
        <v/>
      </c>
      <c r="AD119">
        <f>IF(G119=0,999,SUMPRODUCT((AC$4:AC$183&lt;AC119)*($G$4:$G$183=1))+SUMPRODUCT((AC$4:AC$183=AC119)*($G$4:$G$183=1)*($A$4:$A$183&lt;A119))+1)</f>
        <v/>
      </c>
      <c r="AI119" t="n">
        <v>116</v>
      </c>
      <c r="AJ119">
        <f>IF(116&gt;Passengers,"",MATCH(116,R$4:R$183,0))</f>
        <v/>
      </c>
      <c r="AK119">
        <f>IF(AJ119="","",INDEX($B$4:$B$183,AJ119))</f>
        <v/>
      </c>
      <c r="AL119">
        <f>IF(AJ119="","",INDEX($C$4:$C$183,AJ119))</f>
        <v/>
      </c>
      <c r="AM119">
        <f>IF(AJ119="","",INDEX($D$4:$D$183,AJ119))</f>
        <v/>
      </c>
      <c r="AN119">
        <f>IF(AJ119="","",COUNTIFS($B$4:$B$183,AK119,$C$4:$C$183,AL119,$D$4:$D$183,"&gt;"&amp;AM119,R$4:R$183,"&lt;"&amp;116,$G$4:$G$183,1))</f>
        <v/>
      </c>
      <c r="AO119">
        <f>IF(AJ119="","",INDEX($M$4:$M$183,AJ119)+IF(AN119=1,Shuffle1,IF(AN119&gt;=2,Shuffle2,0)))</f>
        <v/>
      </c>
      <c r="AP119">
        <f>IF(AJ119="","",MAX(DoorGap*115,SUMPRODUCT(MAX((AK$4:AK118&lt;=AK119)*AQ$4:AQ118)),SUMPRODUCT(MAX((AK$4:AK118&gt;AK119)*AP$4:AP118))+Headway))</f>
        <v/>
      </c>
      <c r="AQ119">
        <f>IF(AJ119="","",AP119+AO119)</f>
        <v/>
      </c>
      <c r="AR119">
        <f>IF(AJ119="","",AQ119+AK119*WalkSec)</f>
        <v/>
      </c>
      <c r="AS119" t="n">
        <v>116</v>
      </c>
      <c r="AT119">
        <f>IF(116&gt;Passengers,"",MATCH(116,V$4:V$183,0))</f>
        <v/>
      </c>
      <c r="AU119">
        <f>IF(AT119="","",INDEX($B$4:$B$183,AT119))</f>
        <v/>
      </c>
      <c r="AV119">
        <f>IF(AT119="","",INDEX($C$4:$C$183,AT119))</f>
        <v/>
      </c>
      <c r="AW119">
        <f>IF(AT119="","",INDEX($D$4:$D$183,AT119))</f>
        <v/>
      </c>
      <c r="AX119">
        <f>IF(AT119="","",COUNTIFS($B$4:$B$183,AU119,$C$4:$C$183,AV119,$D$4:$D$183,"&gt;"&amp;AW119,V$4:V$183,"&lt;"&amp;116,$G$4:$G$183,1))</f>
        <v/>
      </c>
      <c r="AY119">
        <f>IF(AT119="","",INDEX($M$4:$M$183,AT119)+IF(AX119=1,Shuffle1,IF(AX119&gt;=2,Shuffle2,0)))</f>
        <v/>
      </c>
      <c r="AZ119">
        <f>IF(AT119="","",MAX(DoorGap*115,SUMPRODUCT(MAX((AU$4:AU118&lt;=AU119)*BA$4:BA118)),SUMPRODUCT(MAX((AU$4:AU118&gt;AU119)*AZ$4:AZ118))+Headway))</f>
        <v/>
      </c>
      <c r="BA119">
        <f>IF(AT119="","",AZ119+AY119)</f>
        <v/>
      </c>
      <c r="BB119">
        <f>IF(AT119="","",BA119+AU119*WalkSec)</f>
        <v/>
      </c>
      <c r="BC119" t="n">
        <v>116</v>
      </c>
      <c r="BD119">
        <f>IF(116&gt;Passengers,"",MATCH(116,Z$4:Z$183,0))</f>
        <v/>
      </c>
      <c r="BE119">
        <f>IF(BD119="","",INDEX($B$4:$B$183,BD119))</f>
        <v/>
      </c>
      <c r="BF119">
        <f>IF(BD119="","",INDEX($C$4:$C$183,BD119))</f>
        <v/>
      </c>
      <c r="BG119">
        <f>IF(BD119="","",INDEX($D$4:$D$183,BD119))</f>
        <v/>
      </c>
      <c r="BH119">
        <f>IF(BD119="","",COUNTIFS($B$4:$B$183,BE119,$C$4:$C$183,BF119,$D$4:$D$183,"&gt;"&amp;BG119,Z$4:Z$183,"&lt;"&amp;116,$G$4:$G$183,1))</f>
        <v/>
      </c>
      <c r="BI119">
        <f>IF(BD119="","",INDEX($M$4:$M$183,BD119)+IF(BH119=1,Shuffle1,IF(BH119&gt;=2,Shuffle2,0)))</f>
        <v/>
      </c>
      <c r="BJ119">
        <f>IF(BD119="","",MAX(DoorGap*115,SUMPRODUCT(MAX((BE$4:BE118&lt;=BE119)*BK$4:BK118)),SUMPRODUCT(MAX((BE$4:BE118&gt;BE119)*BJ$4:BJ118))+Headway))</f>
        <v/>
      </c>
      <c r="BK119">
        <f>IF(BD119="","",BJ119+BI119)</f>
        <v/>
      </c>
      <c r="BL119">
        <f>IF(BD119="","",BK119+BE119*WalkSec)</f>
        <v/>
      </c>
      <c r="BM119" t="n">
        <v>116</v>
      </c>
      <c r="BN119">
        <f>IF(116&gt;Passengers,"",MATCH(116,AD$4:AD$183,0))</f>
        <v/>
      </c>
      <c r="BO119">
        <f>IF(BN119="","",INDEX($B$4:$B$183,BN119))</f>
        <v/>
      </c>
      <c r="BP119">
        <f>IF(BN119="","",INDEX($C$4:$C$183,BN119))</f>
        <v/>
      </c>
      <c r="BQ119">
        <f>IF(BN119="","",INDEX($D$4:$D$183,BN119))</f>
        <v/>
      </c>
      <c r="BR119">
        <f>IF(BN119="","",COUNTIFS($B$4:$B$183,BO119,$C$4:$C$183,BP119,$D$4:$D$183,"&gt;"&amp;BQ119,AD$4:AD$183,"&lt;"&amp;116,$G$4:$G$183,1))</f>
        <v/>
      </c>
      <c r="BS119">
        <f>IF(BN119="","",INDEX($M$4:$M$183,BN119)+IF(BR119=1,Shuffle1,IF(BR119&gt;=2,Shuffle2,0)))</f>
        <v/>
      </c>
      <c r="BT119">
        <f>IF(BN119="","",MAX(DoorGap*115,SUMPRODUCT(MAX((BO$4:BO118&lt;=BO119)*BU$4:BU118)),SUMPRODUCT(MAX((BO$4:BO118&gt;BO119)*BT$4:BT118))+Headway))</f>
        <v/>
      </c>
      <c r="BU119">
        <f>IF(BN119="","",BT119+BS119)</f>
        <v/>
      </c>
      <c r="BV119">
        <f>IF(BN119="","",BU119+BO119*WalkSec)</f>
        <v/>
      </c>
      <c r="BW119">
        <f>IF($G119=0,"",INDEX(AR$4:AR$183,R119))</f>
        <v/>
      </c>
      <c r="BX119">
        <f>IF($G119=0,"",INDEX(BB$4:BB$183,V119))</f>
        <v/>
      </c>
      <c r="BY119">
        <f>IF($G119=0,"",INDEX(BL$4:BL$183,Z119))</f>
        <v/>
      </c>
      <c r="BZ119">
        <f>IF($G119=0,"",INDEX(BV$4:BV$183,AD119))</f>
        <v/>
      </c>
    </row>
    <row r="120">
      <c r="A120" t="n">
        <v>117</v>
      </c>
      <c r="B120" t="n">
        <v>20</v>
      </c>
      <c r="C120" t="n">
        <v>1</v>
      </c>
      <c r="D120" t="n">
        <v>3</v>
      </c>
      <c r="E120" t="n">
        <v>39</v>
      </c>
      <c r="F120">
        <f>RAND()</f>
        <v/>
      </c>
      <c r="G120">
        <f>IF(SUMPRODUCT(($F$4:$F$183&lt;F120)*1)+SUMPRODUCT(($F$4:$F$183=F120)*($A$4:$A$183&lt;A120))&lt;Passengers,1,0)</f>
        <v/>
      </c>
      <c r="H120">
        <f>RAND()</f>
        <v/>
      </c>
      <c r="I120">
        <f>RAND()</f>
        <v/>
      </c>
      <c r="J120">
        <f>RAND()</f>
        <v/>
      </c>
      <c r="K120">
        <f>RAND()</f>
        <v/>
      </c>
      <c r="L120">
        <f>RAND()</f>
        <v/>
      </c>
      <c r="M120">
        <f>IF(K120&lt;BagShare,EXP(NORMSINV(L120)*StowSigma+StowMu),StowNoBag)</f>
        <v/>
      </c>
      <c r="N120">
        <f>IF(INDEX($AG$4:$AG$63,E120)&lt;GroupShare,1,0)</f>
        <v/>
      </c>
      <c r="P120">
        <f>IF(G120=1,IF(I120&gt;Compliance,J120,$H120),2)</f>
        <v/>
      </c>
      <c r="Q120">
        <f>IF(G120=0,2,IF(N120=0,P120,1-SUMPRODUCT(MAX(($E$4:$E$183=E120)*($G$4:$G$183=1)*(1-P$4:P$183)))+0.000000001*D120))</f>
        <v/>
      </c>
      <c r="R120">
        <f>IF(G120=0,999,SUMPRODUCT((Q$4:Q$183&lt;Q120)*($G$4:$G$183=1))+SUMPRODUCT((Q$4:Q$183=Q120)*($G$4:$G$183=1)*($A$4:$A$183&lt;A120))+1)</f>
        <v/>
      </c>
      <c r="T120">
        <f>IF(G120=1,IF(I120&gt;Compliance,J120,(INT((30-$B120)/(30/Zones))+$H120)/Zones),2)</f>
        <v/>
      </c>
      <c r="U120">
        <f>IF(G120=0,2,IF(N120=0,T120,1-SUMPRODUCT(MAX(($E$4:$E$183=E120)*($G$4:$G$183=1)*(1-T$4:T$183)))+0.000000001*D120))</f>
        <v/>
      </c>
      <c r="V120">
        <f>IF(G120=0,999,SUMPRODUCT((U$4:U$183&lt;U120)*($G$4:$G$183=1))+SUMPRODUCT((U$4:U$183=U120)*($G$4:$G$183=1)*($A$4:$A$183&lt;A120))+1)</f>
        <v/>
      </c>
      <c r="X120">
        <f>IF(G120=1,IF(I120&gt;Compliance,J120,(($D120-1)+$H120)/3),2)</f>
        <v/>
      </c>
      <c r="Y120">
        <f>IF(G120=0,2,IF(N120=0,X120,1-SUMPRODUCT(MAX(($E$4:$E$183=E120)*($G$4:$G$183=1)*(1-X$4:X$183)))+0.000000001*D120))</f>
        <v/>
      </c>
      <c r="Z120">
        <f>IF(G120=0,999,SUMPRODUCT((Y$4:Y$183&lt;Y120)*($G$4:$G$183=1))+SUMPRODUCT((Y$4:Y$183=Y120)*($G$4:$G$183=1)*($A$4:$A$183&lt;A120))+1)</f>
        <v/>
      </c>
      <c r="AB120">
        <f>IF(G120=1,IF(I120&gt;Compliance,J120,((($D120-1)*4+($C120-1)*2+MOD($B120,2))+(30-$B120)/30)/12),2)</f>
        <v/>
      </c>
      <c r="AC120">
        <f>IF(G120=0,2,IF(N120=0,AB120,1-SUMPRODUCT(MAX(($E$4:$E$183=E120)*($G$4:$G$183=1)*(1-AB$4:AB$183)))+0.000000001*D120))</f>
        <v/>
      </c>
      <c r="AD120">
        <f>IF(G120=0,999,SUMPRODUCT((AC$4:AC$183&lt;AC120)*($G$4:$G$183=1))+SUMPRODUCT((AC$4:AC$183=AC120)*($G$4:$G$183=1)*($A$4:$A$183&lt;A120))+1)</f>
        <v/>
      </c>
      <c r="AI120" t="n">
        <v>117</v>
      </c>
      <c r="AJ120">
        <f>IF(117&gt;Passengers,"",MATCH(117,R$4:R$183,0))</f>
        <v/>
      </c>
      <c r="AK120">
        <f>IF(AJ120="","",INDEX($B$4:$B$183,AJ120))</f>
        <v/>
      </c>
      <c r="AL120">
        <f>IF(AJ120="","",INDEX($C$4:$C$183,AJ120))</f>
        <v/>
      </c>
      <c r="AM120">
        <f>IF(AJ120="","",INDEX($D$4:$D$183,AJ120))</f>
        <v/>
      </c>
      <c r="AN120">
        <f>IF(AJ120="","",COUNTIFS($B$4:$B$183,AK120,$C$4:$C$183,AL120,$D$4:$D$183,"&gt;"&amp;AM120,R$4:R$183,"&lt;"&amp;117,$G$4:$G$183,1))</f>
        <v/>
      </c>
      <c r="AO120">
        <f>IF(AJ120="","",INDEX($M$4:$M$183,AJ120)+IF(AN120=1,Shuffle1,IF(AN120&gt;=2,Shuffle2,0)))</f>
        <v/>
      </c>
      <c r="AP120">
        <f>IF(AJ120="","",MAX(DoorGap*116,SUMPRODUCT(MAX((AK$4:AK119&lt;=AK120)*AQ$4:AQ119)),SUMPRODUCT(MAX((AK$4:AK119&gt;AK120)*AP$4:AP119))+Headway))</f>
        <v/>
      </c>
      <c r="AQ120">
        <f>IF(AJ120="","",AP120+AO120)</f>
        <v/>
      </c>
      <c r="AR120">
        <f>IF(AJ120="","",AQ120+AK120*WalkSec)</f>
        <v/>
      </c>
      <c r="AS120" t="n">
        <v>117</v>
      </c>
      <c r="AT120">
        <f>IF(117&gt;Passengers,"",MATCH(117,V$4:V$183,0))</f>
        <v/>
      </c>
      <c r="AU120">
        <f>IF(AT120="","",INDEX($B$4:$B$183,AT120))</f>
        <v/>
      </c>
      <c r="AV120">
        <f>IF(AT120="","",INDEX($C$4:$C$183,AT120))</f>
        <v/>
      </c>
      <c r="AW120">
        <f>IF(AT120="","",INDEX($D$4:$D$183,AT120))</f>
        <v/>
      </c>
      <c r="AX120">
        <f>IF(AT120="","",COUNTIFS($B$4:$B$183,AU120,$C$4:$C$183,AV120,$D$4:$D$183,"&gt;"&amp;AW120,V$4:V$183,"&lt;"&amp;117,$G$4:$G$183,1))</f>
        <v/>
      </c>
      <c r="AY120">
        <f>IF(AT120="","",INDEX($M$4:$M$183,AT120)+IF(AX120=1,Shuffle1,IF(AX120&gt;=2,Shuffle2,0)))</f>
        <v/>
      </c>
      <c r="AZ120">
        <f>IF(AT120="","",MAX(DoorGap*116,SUMPRODUCT(MAX((AU$4:AU119&lt;=AU120)*BA$4:BA119)),SUMPRODUCT(MAX((AU$4:AU119&gt;AU120)*AZ$4:AZ119))+Headway))</f>
        <v/>
      </c>
      <c r="BA120">
        <f>IF(AT120="","",AZ120+AY120)</f>
        <v/>
      </c>
      <c r="BB120">
        <f>IF(AT120="","",BA120+AU120*WalkSec)</f>
        <v/>
      </c>
      <c r="BC120" t="n">
        <v>117</v>
      </c>
      <c r="BD120">
        <f>IF(117&gt;Passengers,"",MATCH(117,Z$4:Z$183,0))</f>
        <v/>
      </c>
      <c r="BE120">
        <f>IF(BD120="","",INDEX($B$4:$B$183,BD120))</f>
        <v/>
      </c>
      <c r="BF120">
        <f>IF(BD120="","",INDEX($C$4:$C$183,BD120))</f>
        <v/>
      </c>
      <c r="BG120">
        <f>IF(BD120="","",INDEX($D$4:$D$183,BD120))</f>
        <v/>
      </c>
      <c r="BH120">
        <f>IF(BD120="","",COUNTIFS($B$4:$B$183,BE120,$C$4:$C$183,BF120,$D$4:$D$183,"&gt;"&amp;BG120,Z$4:Z$183,"&lt;"&amp;117,$G$4:$G$183,1))</f>
        <v/>
      </c>
      <c r="BI120">
        <f>IF(BD120="","",INDEX($M$4:$M$183,BD120)+IF(BH120=1,Shuffle1,IF(BH120&gt;=2,Shuffle2,0)))</f>
        <v/>
      </c>
      <c r="BJ120">
        <f>IF(BD120="","",MAX(DoorGap*116,SUMPRODUCT(MAX((BE$4:BE119&lt;=BE120)*BK$4:BK119)),SUMPRODUCT(MAX((BE$4:BE119&gt;BE120)*BJ$4:BJ119))+Headway))</f>
        <v/>
      </c>
      <c r="BK120">
        <f>IF(BD120="","",BJ120+BI120)</f>
        <v/>
      </c>
      <c r="BL120">
        <f>IF(BD120="","",BK120+BE120*WalkSec)</f>
        <v/>
      </c>
      <c r="BM120" t="n">
        <v>117</v>
      </c>
      <c r="BN120">
        <f>IF(117&gt;Passengers,"",MATCH(117,AD$4:AD$183,0))</f>
        <v/>
      </c>
      <c r="BO120">
        <f>IF(BN120="","",INDEX($B$4:$B$183,BN120))</f>
        <v/>
      </c>
      <c r="BP120">
        <f>IF(BN120="","",INDEX($C$4:$C$183,BN120))</f>
        <v/>
      </c>
      <c r="BQ120">
        <f>IF(BN120="","",INDEX($D$4:$D$183,BN120))</f>
        <v/>
      </c>
      <c r="BR120">
        <f>IF(BN120="","",COUNTIFS($B$4:$B$183,BO120,$C$4:$C$183,BP120,$D$4:$D$183,"&gt;"&amp;BQ120,AD$4:AD$183,"&lt;"&amp;117,$G$4:$G$183,1))</f>
        <v/>
      </c>
      <c r="BS120">
        <f>IF(BN120="","",INDEX($M$4:$M$183,BN120)+IF(BR120=1,Shuffle1,IF(BR120&gt;=2,Shuffle2,0)))</f>
        <v/>
      </c>
      <c r="BT120">
        <f>IF(BN120="","",MAX(DoorGap*116,SUMPRODUCT(MAX((BO$4:BO119&lt;=BO120)*BU$4:BU119)),SUMPRODUCT(MAX((BO$4:BO119&gt;BO120)*BT$4:BT119))+Headway))</f>
        <v/>
      </c>
      <c r="BU120">
        <f>IF(BN120="","",BT120+BS120)</f>
        <v/>
      </c>
      <c r="BV120">
        <f>IF(BN120="","",BU120+BO120*WalkSec)</f>
        <v/>
      </c>
      <c r="BW120">
        <f>IF($G120=0,"",INDEX(AR$4:AR$183,R120))</f>
        <v/>
      </c>
      <c r="BX120">
        <f>IF($G120=0,"",INDEX(BB$4:BB$183,V120))</f>
        <v/>
      </c>
      <c r="BY120">
        <f>IF($G120=0,"",INDEX(BL$4:BL$183,Z120))</f>
        <v/>
      </c>
      <c r="BZ120">
        <f>IF($G120=0,"",INDEX(BV$4:BV$183,AD120))</f>
        <v/>
      </c>
    </row>
    <row r="121">
      <c r="A121" t="n">
        <v>118</v>
      </c>
      <c r="B121" t="n">
        <v>20</v>
      </c>
      <c r="C121" t="n">
        <v>2</v>
      </c>
      <c r="D121" t="n">
        <v>1</v>
      </c>
      <c r="E121" t="n">
        <v>40</v>
      </c>
      <c r="F121">
        <f>RAND()</f>
        <v/>
      </c>
      <c r="G121">
        <f>IF(SUMPRODUCT(($F$4:$F$183&lt;F121)*1)+SUMPRODUCT(($F$4:$F$183=F121)*($A$4:$A$183&lt;A121))&lt;Passengers,1,0)</f>
        <v/>
      </c>
      <c r="H121">
        <f>RAND()</f>
        <v/>
      </c>
      <c r="I121">
        <f>RAND()</f>
        <v/>
      </c>
      <c r="J121">
        <f>RAND()</f>
        <v/>
      </c>
      <c r="K121">
        <f>RAND()</f>
        <v/>
      </c>
      <c r="L121">
        <f>RAND()</f>
        <v/>
      </c>
      <c r="M121">
        <f>IF(K121&lt;BagShare,EXP(NORMSINV(L121)*StowSigma+StowMu),StowNoBag)</f>
        <v/>
      </c>
      <c r="N121">
        <f>IF(INDEX($AG$4:$AG$63,E121)&lt;GroupShare,1,0)</f>
        <v/>
      </c>
      <c r="P121">
        <f>IF(G121=1,IF(I121&gt;Compliance,J121,$H121),2)</f>
        <v/>
      </c>
      <c r="Q121">
        <f>IF(G121=0,2,IF(N121=0,P121,1-SUMPRODUCT(MAX(($E$4:$E$183=E121)*($G$4:$G$183=1)*(1-P$4:P$183)))+0.000000001*D121))</f>
        <v/>
      </c>
      <c r="R121">
        <f>IF(G121=0,999,SUMPRODUCT((Q$4:Q$183&lt;Q121)*($G$4:$G$183=1))+SUMPRODUCT((Q$4:Q$183=Q121)*($G$4:$G$183=1)*($A$4:$A$183&lt;A121))+1)</f>
        <v/>
      </c>
      <c r="T121">
        <f>IF(G121=1,IF(I121&gt;Compliance,J121,(INT((30-$B121)/(30/Zones))+$H121)/Zones),2)</f>
        <v/>
      </c>
      <c r="U121">
        <f>IF(G121=0,2,IF(N121=0,T121,1-SUMPRODUCT(MAX(($E$4:$E$183=E121)*($G$4:$G$183=1)*(1-T$4:T$183)))+0.000000001*D121))</f>
        <v/>
      </c>
      <c r="V121">
        <f>IF(G121=0,999,SUMPRODUCT((U$4:U$183&lt;U121)*($G$4:$G$183=1))+SUMPRODUCT((U$4:U$183=U121)*($G$4:$G$183=1)*($A$4:$A$183&lt;A121))+1)</f>
        <v/>
      </c>
      <c r="X121">
        <f>IF(G121=1,IF(I121&gt;Compliance,J121,(($D121-1)+$H121)/3),2)</f>
        <v/>
      </c>
      <c r="Y121">
        <f>IF(G121=0,2,IF(N121=0,X121,1-SUMPRODUCT(MAX(($E$4:$E$183=E121)*($G$4:$G$183=1)*(1-X$4:X$183)))+0.000000001*D121))</f>
        <v/>
      </c>
      <c r="Z121">
        <f>IF(G121=0,999,SUMPRODUCT((Y$4:Y$183&lt;Y121)*($G$4:$G$183=1))+SUMPRODUCT((Y$4:Y$183=Y121)*($G$4:$G$183=1)*($A$4:$A$183&lt;A121))+1)</f>
        <v/>
      </c>
      <c r="AB121">
        <f>IF(G121=1,IF(I121&gt;Compliance,J121,((($D121-1)*4+($C121-1)*2+MOD($B121,2))+(30-$B121)/30)/12),2)</f>
        <v/>
      </c>
      <c r="AC121">
        <f>IF(G121=0,2,IF(N121=0,AB121,1-SUMPRODUCT(MAX(($E$4:$E$183=E121)*($G$4:$G$183=1)*(1-AB$4:AB$183)))+0.000000001*D121))</f>
        <v/>
      </c>
      <c r="AD121">
        <f>IF(G121=0,999,SUMPRODUCT((AC$4:AC$183&lt;AC121)*($G$4:$G$183=1))+SUMPRODUCT((AC$4:AC$183=AC121)*($G$4:$G$183=1)*($A$4:$A$183&lt;A121))+1)</f>
        <v/>
      </c>
      <c r="AI121" t="n">
        <v>118</v>
      </c>
      <c r="AJ121">
        <f>IF(118&gt;Passengers,"",MATCH(118,R$4:R$183,0))</f>
        <v/>
      </c>
      <c r="AK121">
        <f>IF(AJ121="","",INDEX($B$4:$B$183,AJ121))</f>
        <v/>
      </c>
      <c r="AL121">
        <f>IF(AJ121="","",INDEX($C$4:$C$183,AJ121))</f>
        <v/>
      </c>
      <c r="AM121">
        <f>IF(AJ121="","",INDEX($D$4:$D$183,AJ121))</f>
        <v/>
      </c>
      <c r="AN121">
        <f>IF(AJ121="","",COUNTIFS($B$4:$B$183,AK121,$C$4:$C$183,AL121,$D$4:$D$183,"&gt;"&amp;AM121,R$4:R$183,"&lt;"&amp;118,$G$4:$G$183,1))</f>
        <v/>
      </c>
      <c r="AO121">
        <f>IF(AJ121="","",INDEX($M$4:$M$183,AJ121)+IF(AN121=1,Shuffle1,IF(AN121&gt;=2,Shuffle2,0)))</f>
        <v/>
      </c>
      <c r="AP121">
        <f>IF(AJ121="","",MAX(DoorGap*117,SUMPRODUCT(MAX((AK$4:AK120&lt;=AK121)*AQ$4:AQ120)),SUMPRODUCT(MAX((AK$4:AK120&gt;AK121)*AP$4:AP120))+Headway))</f>
        <v/>
      </c>
      <c r="AQ121">
        <f>IF(AJ121="","",AP121+AO121)</f>
        <v/>
      </c>
      <c r="AR121">
        <f>IF(AJ121="","",AQ121+AK121*WalkSec)</f>
        <v/>
      </c>
      <c r="AS121" t="n">
        <v>118</v>
      </c>
      <c r="AT121">
        <f>IF(118&gt;Passengers,"",MATCH(118,V$4:V$183,0))</f>
        <v/>
      </c>
      <c r="AU121">
        <f>IF(AT121="","",INDEX($B$4:$B$183,AT121))</f>
        <v/>
      </c>
      <c r="AV121">
        <f>IF(AT121="","",INDEX($C$4:$C$183,AT121))</f>
        <v/>
      </c>
      <c r="AW121">
        <f>IF(AT121="","",INDEX($D$4:$D$183,AT121))</f>
        <v/>
      </c>
      <c r="AX121">
        <f>IF(AT121="","",COUNTIFS($B$4:$B$183,AU121,$C$4:$C$183,AV121,$D$4:$D$183,"&gt;"&amp;AW121,V$4:V$183,"&lt;"&amp;118,$G$4:$G$183,1))</f>
        <v/>
      </c>
      <c r="AY121">
        <f>IF(AT121="","",INDEX($M$4:$M$183,AT121)+IF(AX121=1,Shuffle1,IF(AX121&gt;=2,Shuffle2,0)))</f>
        <v/>
      </c>
      <c r="AZ121">
        <f>IF(AT121="","",MAX(DoorGap*117,SUMPRODUCT(MAX((AU$4:AU120&lt;=AU121)*BA$4:BA120)),SUMPRODUCT(MAX((AU$4:AU120&gt;AU121)*AZ$4:AZ120))+Headway))</f>
        <v/>
      </c>
      <c r="BA121">
        <f>IF(AT121="","",AZ121+AY121)</f>
        <v/>
      </c>
      <c r="BB121">
        <f>IF(AT121="","",BA121+AU121*WalkSec)</f>
        <v/>
      </c>
      <c r="BC121" t="n">
        <v>118</v>
      </c>
      <c r="BD121">
        <f>IF(118&gt;Passengers,"",MATCH(118,Z$4:Z$183,0))</f>
        <v/>
      </c>
      <c r="BE121">
        <f>IF(BD121="","",INDEX($B$4:$B$183,BD121))</f>
        <v/>
      </c>
      <c r="BF121">
        <f>IF(BD121="","",INDEX($C$4:$C$183,BD121))</f>
        <v/>
      </c>
      <c r="BG121">
        <f>IF(BD121="","",INDEX($D$4:$D$183,BD121))</f>
        <v/>
      </c>
      <c r="BH121">
        <f>IF(BD121="","",COUNTIFS($B$4:$B$183,BE121,$C$4:$C$183,BF121,$D$4:$D$183,"&gt;"&amp;BG121,Z$4:Z$183,"&lt;"&amp;118,$G$4:$G$183,1))</f>
        <v/>
      </c>
      <c r="BI121">
        <f>IF(BD121="","",INDEX($M$4:$M$183,BD121)+IF(BH121=1,Shuffle1,IF(BH121&gt;=2,Shuffle2,0)))</f>
        <v/>
      </c>
      <c r="BJ121">
        <f>IF(BD121="","",MAX(DoorGap*117,SUMPRODUCT(MAX((BE$4:BE120&lt;=BE121)*BK$4:BK120)),SUMPRODUCT(MAX((BE$4:BE120&gt;BE121)*BJ$4:BJ120))+Headway))</f>
        <v/>
      </c>
      <c r="BK121">
        <f>IF(BD121="","",BJ121+BI121)</f>
        <v/>
      </c>
      <c r="BL121">
        <f>IF(BD121="","",BK121+BE121*WalkSec)</f>
        <v/>
      </c>
      <c r="BM121" t="n">
        <v>118</v>
      </c>
      <c r="BN121">
        <f>IF(118&gt;Passengers,"",MATCH(118,AD$4:AD$183,0))</f>
        <v/>
      </c>
      <c r="BO121">
        <f>IF(BN121="","",INDEX($B$4:$B$183,BN121))</f>
        <v/>
      </c>
      <c r="BP121">
        <f>IF(BN121="","",INDEX($C$4:$C$183,BN121))</f>
        <v/>
      </c>
      <c r="BQ121">
        <f>IF(BN121="","",INDEX($D$4:$D$183,BN121))</f>
        <v/>
      </c>
      <c r="BR121">
        <f>IF(BN121="","",COUNTIFS($B$4:$B$183,BO121,$C$4:$C$183,BP121,$D$4:$D$183,"&gt;"&amp;BQ121,AD$4:AD$183,"&lt;"&amp;118,$G$4:$G$183,1))</f>
        <v/>
      </c>
      <c r="BS121">
        <f>IF(BN121="","",INDEX($M$4:$M$183,BN121)+IF(BR121=1,Shuffle1,IF(BR121&gt;=2,Shuffle2,0)))</f>
        <v/>
      </c>
      <c r="BT121">
        <f>IF(BN121="","",MAX(DoorGap*117,SUMPRODUCT(MAX((BO$4:BO120&lt;=BO121)*BU$4:BU120)),SUMPRODUCT(MAX((BO$4:BO120&gt;BO121)*BT$4:BT120))+Headway))</f>
        <v/>
      </c>
      <c r="BU121">
        <f>IF(BN121="","",BT121+BS121)</f>
        <v/>
      </c>
      <c r="BV121">
        <f>IF(BN121="","",BU121+BO121*WalkSec)</f>
        <v/>
      </c>
      <c r="BW121">
        <f>IF($G121=0,"",INDEX(AR$4:AR$183,R121))</f>
        <v/>
      </c>
      <c r="BX121">
        <f>IF($G121=0,"",INDEX(BB$4:BB$183,V121))</f>
        <v/>
      </c>
      <c r="BY121">
        <f>IF($G121=0,"",INDEX(BL$4:BL$183,Z121))</f>
        <v/>
      </c>
      <c r="BZ121">
        <f>IF($G121=0,"",INDEX(BV$4:BV$183,AD121))</f>
        <v/>
      </c>
    </row>
    <row r="122">
      <c r="A122" t="n">
        <v>119</v>
      </c>
      <c r="B122" t="n">
        <v>20</v>
      </c>
      <c r="C122" t="n">
        <v>2</v>
      </c>
      <c r="D122" t="n">
        <v>2</v>
      </c>
      <c r="E122" t="n">
        <v>40</v>
      </c>
      <c r="F122">
        <f>RAND()</f>
        <v/>
      </c>
      <c r="G122">
        <f>IF(SUMPRODUCT(($F$4:$F$183&lt;F122)*1)+SUMPRODUCT(($F$4:$F$183=F122)*($A$4:$A$183&lt;A122))&lt;Passengers,1,0)</f>
        <v/>
      </c>
      <c r="H122">
        <f>RAND()</f>
        <v/>
      </c>
      <c r="I122">
        <f>RAND()</f>
        <v/>
      </c>
      <c r="J122">
        <f>RAND()</f>
        <v/>
      </c>
      <c r="K122">
        <f>RAND()</f>
        <v/>
      </c>
      <c r="L122">
        <f>RAND()</f>
        <v/>
      </c>
      <c r="M122">
        <f>IF(K122&lt;BagShare,EXP(NORMSINV(L122)*StowSigma+StowMu),StowNoBag)</f>
        <v/>
      </c>
      <c r="N122">
        <f>IF(INDEX($AG$4:$AG$63,E122)&lt;GroupShare,1,0)</f>
        <v/>
      </c>
      <c r="P122">
        <f>IF(G122=1,IF(I122&gt;Compliance,J122,$H122),2)</f>
        <v/>
      </c>
      <c r="Q122">
        <f>IF(G122=0,2,IF(N122=0,P122,1-SUMPRODUCT(MAX(($E$4:$E$183=E122)*($G$4:$G$183=1)*(1-P$4:P$183)))+0.000000001*D122))</f>
        <v/>
      </c>
      <c r="R122">
        <f>IF(G122=0,999,SUMPRODUCT((Q$4:Q$183&lt;Q122)*($G$4:$G$183=1))+SUMPRODUCT((Q$4:Q$183=Q122)*($G$4:$G$183=1)*($A$4:$A$183&lt;A122))+1)</f>
        <v/>
      </c>
      <c r="T122">
        <f>IF(G122=1,IF(I122&gt;Compliance,J122,(INT((30-$B122)/(30/Zones))+$H122)/Zones),2)</f>
        <v/>
      </c>
      <c r="U122">
        <f>IF(G122=0,2,IF(N122=0,T122,1-SUMPRODUCT(MAX(($E$4:$E$183=E122)*($G$4:$G$183=1)*(1-T$4:T$183)))+0.000000001*D122))</f>
        <v/>
      </c>
      <c r="V122">
        <f>IF(G122=0,999,SUMPRODUCT((U$4:U$183&lt;U122)*($G$4:$G$183=1))+SUMPRODUCT((U$4:U$183=U122)*($G$4:$G$183=1)*($A$4:$A$183&lt;A122))+1)</f>
        <v/>
      </c>
      <c r="X122">
        <f>IF(G122=1,IF(I122&gt;Compliance,J122,(($D122-1)+$H122)/3),2)</f>
        <v/>
      </c>
      <c r="Y122">
        <f>IF(G122=0,2,IF(N122=0,X122,1-SUMPRODUCT(MAX(($E$4:$E$183=E122)*($G$4:$G$183=1)*(1-X$4:X$183)))+0.000000001*D122))</f>
        <v/>
      </c>
      <c r="Z122">
        <f>IF(G122=0,999,SUMPRODUCT((Y$4:Y$183&lt;Y122)*($G$4:$G$183=1))+SUMPRODUCT((Y$4:Y$183=Y122)*($G$4:$G$183=1)*($A$4:$A$183&lt;A122))+1)</f>
        <v/>
      </c>
      <c r="AB122">
        <f>IF(G122=1,IF(I122&gt;Compliance,J122,((($D122-1)*4+($C122-1)*2+MOD($B122,2))+(30-$B122)/30)/12),2)</f>
        <v/>
      </c>
      <c r="AC122">
        <f>IF(G122=0,2,IF(N122=0,AB122,1-SUMPRODUCT(MAX(($E$4:$E$183=E122)*($G$4:$G$183=1)*(1-AB$4:AB$183)))+0.000000001*D122))</f>
        <v/>
      </c>
      <c r="AD122">
        <f>IF(G122=0,999,SUMPRODUCT((AC$4:AC$183&lt;AC122)*($G$4:$G$183=1))+SUMPRODUCT((AC$4:AC$183=AC122)*($G$4:$G$183=1)*($A$4:$A$183&lt;A122))+1)</f>
        <v/>
      </c>
      <c r="AI122" t="n">
        <v>119</v>
      </c>
      <c r="AJ122">
        <f>IF(119&gt;Passengers,"",MATCH(119,R$4:R$183,0))</f>
        <v/>
      </c>
      <c r="AK122">
        <f>IF(AJ122="","",INDEX($B$4:$B$183,AJ122))</f>
        <v/>
      </c>
      <c r="AL122">
        <f>IF(AJ122="","",INDEX($C$4:$C$183,AJ122))</f>
        <v/>
      </c>
      <c r="AM122">
        <f>IF(AJ122="","",INDEX($D$4:$D$183,AJ122))</f>
        <v/>
      </c>
      <c r="AN122">
        <f>IF(AJ122="","",COUNTIFS($B$4:$B$183,AK122,$C$4:$C$183,AL122,$D$4:$D$183,"&gt;"&amp;AM122,R$4:R$183,"&lt;"&amp;119,$G$4:$G$183,1))</f>
        <v/>
      </c>
      <c r="AO122">
        <f>IF(AJ122="","",INDEX($M$4:$M$183,AJ122)+IF(AN122=1,Shuffle1,IF(AN122&gt;=2,Shuffle2,0)))</f>
        <v/>
      </c>
      <c r="AP122">
        <f>IF(AJ122="","",MAX(DoorGap*118,SUMPRODUCT(MAX((AK$4:AK121&lt;=AK122)*AQ$4:AQ121)),SUMPRODUCT(MAX((AK$4:AK121&gt;AK122)*AP$4:AP121))+Headway))</f>
        <v/>
      </c>
      <c r="AQ122">
        <f>IF(AJ122="","",AP122+AO122)</f>
        <v/>
      </c>
      <c r="AR122">
        <f>IF(AJ122="","",AQ122+AK122*WalkSec)</f>
        <v/>
      </c>
      <c r="AS122" t="n">
        <v>119</v>
      </c>
      <c r="AT122">
        <f>IF(119&gt;Passengers,"",MATCH(119,V$4:V$183,0))</f>
        <v/>
      </c>
      <c r="AU122">
        <f>IF(AT122="","",INDEX($B$4:$B$183,AT122))</f>
        <v/>
      </c>
      <c r="AV122">
        <f>IF(AT122="","",INDEX($C$4:$C$183,AT122))</f>
        <v/>
      </c>
      <c r="AW122">
        <f>IF(AT122="","",INDEX($D$4:$D$183,AT122))</f>
        <v/>
      </c>
      <c r="AX122">
        <f>IF(AT122="","",COUNTIFS($B$4:$B$183,AU122,$C$4:$C$183,AV122,$D$4:$D$183,"&gt;"&amp;AW122,V$4:V$183,"&lt;"&amp;119,$G$4:$G$183,1))</f>
        <v/>
      </c>
      <c r="AY122">
        <f>IF(AT122="","",INDEX($M$4:$M$183,AT122)+IF(AX122=1,Shuffle1,IF(AX122&gt;=2,Shuffle2,0)))</f>
        <v/>
      </c>
      <c r="AZ122">
        <f>IF(AT122="","",MAX(DoorGap*118,SUMPRODUCT(MAX((AU$4:AU121&lt;=AU122)*BA$4:BA121)),SUMPRODUCT(MAX((AU$4:AU121&gt;AU122)*AZ$4:AZ121))+Headway))</f>
        <v/>
      </c>
      <c r="BA122">
        <f>IF(AT122="","",AZ122+AY122)</f>
        <v/>
      </c>
      <c r="BB122">
        <f>IF(AT122="","",BA122+AU122*WalkSec)</f>
        <v/>
      </c>
      <c r="BC122" t="n">
        <v>119</v>
      </c>
      <c r="BD122">
        <f>IF(119&gt;Passengers,"",MATCH(119,Z$4:Z$183,0))</f>
        <v/>
      </c>
      <c r="BE122">
        <f>IF(BD122="","",INDEX($B$4:$B$183,BD122))</f>
        <v/>
      </c>
      <c r="BF122">
        <f>IF(BD122="","",INDEX($C$4:$C$183,BD122))</f>
        <v/>
      </c>
      <c r="BG122">
        <f>IF(BD122="","",INDEX($D$4:$D$183,BD122))</f>
        <v/>
      </c>
      <c r="BH122">
        <f>IF(BD122="","",COUNTIFS($B$4:$B$183,BE122,$C$4:$C$183,BF122,$D$4:$D$183,"&gt;"&amp;BG122,Z$4:Z$183,"&lt;"&amp;119,$G$4:$G$183,1))</f>
        <v/>
      </c>
      <c r="BI122">
        <f>IF(BD122="","",INDEX($M$4:$M$183,BD122)+IF(BH122=1,Shuffle1,IF(BH122&gt;=2,Shuffle2,0)))</f>
        <v/>
      </c>
      <c r="BJ122">
        <f>IF(BD122="","",MAX(DoorGap*118,SUMPRODUCT(MAX((BE$4:BE121&lt;=BE122)*BK$4:BK121)),SUMPRODUCT(MAX((BE$4:BE121&gt;BE122)*BJ$4:BJ121))+Headway))</f>
        <v/>
      </c>
      <c r="BK122">
        <f>IF(BD122="","",BJ122+BI122)</f>
        <v/>
      </c>
      <c r="BL122">
        <f>IF(BD122="","",BK122+BE122*WalkSec)</f>
        <v/>
      </c>
      <c r="BM122" t="n">
        <v>119</v>
      </c>
      <c r="BN122">
        <f>IF(119&gt;Passengers,"",MATCH(119,AD$4:AD$183,0))</f>
        <v/>
      </c>
      <c r="BO122">
        <f>IF(BN122="","",INDEX($B$4:$B$183,BN122))</f>
        <v/>
      </c>
      <c r="BP122">
        <f>IF(BN122="","",INDEX($C$4:$C$183,BN122))</f>
        <v/>
      </c>
      <c r="BQ122">
        <f>IF(BN122="","",INDEX($D$4:$D$183,BN122))</f>
        <v/>
      </c>
      <c r="BR122">
        <f>IF(BN122="","",COUNTIFS($B$4:$B$183,BO122,$C$4:$C$183,BP122,$D$4:$D$183,"&gt;"&amp;BQ122,AD$4:AD$183,"&lt;"&amp;119,$G$4:$G$183,1))</f>
        <v/>
      </c>
      <c r="BS122">
        <f>IF(BN122="","",INDEX($M$4:$M$183,BN122)+IF(BR122=1,Shuffle1,IF(BR122&gt;=2,Shuffle2,0)))</f>
        <v/>
      </c>
      <c r="BT122">
        <f>IF(BN122="","",MAX(DoorGap*118,SUMPRODUCT(MAX((BO$4:BO121&lt;=BO122)*BU$4:BU121)),SUMPRODUCT(MAX((BO$4:BO121&gt;BO122)*BT$4:BT121))+Headway))</f>
        <v/>
      </c>
      <c r="BU122">
        <f>IF(BN122="","",BT122+BS122)</f>
        <v/>
      </c>
      <c r="BV122">
        <f>IF(BN122="","",BU122+BO122*WalkSec)</f>
        <v/>
      </c>
      <c r="BW122">
        <f>IF($G122=0,"",INDEX(AR$4:AR$183,R122))</f>
        <v/>
      </c>
      <c r="BX122">
        <f>IF($G122=0,"",INDEX(BB$4:BB$183,V122))</f>
        <v/>
      </c>
      <c r="BY122">
        <f>IF($G122=0,"",INDEX(BL$4:BL$183,Z122))</f>
        <v/>
      </c>
      <c r="BZ122">
        <f>IF($G122=0,"",INDEX(BV$4:BV$183,AD122))</f>
        <v/>
      </c>
    </row>
    <row r="123">
      <c r="A123" t="n">
        <v>120</v>
      </c>
      <c r="B123" t="n">
        <v>20</v>
      </c>
      <c r="C123" t="n">
        <v>2</v>
      </c>
      <c r="D123" t="n">
        <v>3</v>
      </c>
      <c r="E123" t="n">
        <v>40</v>
      </c>
      <c r="F123">
        <f>RAND()</f>
        <v/>
      </c>
      <c r="G123">
        <f>IF(SUMPRODUCT(($F$4:$F$183&lt;F123)*1)+SUMPRODUCT(($F$4:$F$183=F123)*($A$4:$A$183&lt;A123))&lt;Passengers,1,0)</f>
        <v/>
      </c>
      <c r="H123">
        <f>RAND()</f>
        <v/>
      </c>
      <c r="I123">
        <f>RAND()</f>
        <v/>
      </c>
      <c r="J123">
        <f>RAND()</f>
        <v/>
      </c>
      <c r="K123">
        <f>RAND()</f>
        <v/>
      </c>
      <c r="L123">
        <f>RAND()</f>
        <v/>
      </c>
      <c r="M123">
        <f>IF(K123&lt;BagShare,EXP(NORMSINV(L123)*StowSigma+StowMu),StowNoBag)</f>
        <v/>
      </c>
      <c r="N123">
        <f>IF(INDEX($AG$4:$AG$63,E123)&lt;GroupShare,1,0)</f>
        <v/>
      </c>
      <c r="P123">
        <f>IF(G123=1,IF(I123&gt;Compliance,J123,$H123),2)</f>
        <v/>
      </c>
      <c r="Q123">
        <f>IF(G123=0,2,IF(N123=0,P123,1-SUMPRODUCT(MAX(($E$4:$E$183=E123)*($G$4:$G$183=1)*(1-P$4:P$183)))+0.000000001*D123))</f>
        <v/>
      </c>
      <c r="R123">
        <f>IF(G123=0,999,SUMPRODUCT((Q$4:Q$183&lt;Q123)*($G$4:$G$183=1))+SUMPRODUCT((Q$4:Q$183=Q123)*($G$4:$G$183=1)*($A$4:$A$183&lt;A123))+1)</f>
        <v/>
      </c>
      <c r="T123">
        <f>IF(G123=1,IF(I123&gt;Compliance,J123,(INT((30-$B123)/(30/Zones))+$H123)/Zones),2)</f>
        <v/>
      </c>
      <c r="U123">
        <f>IF(G123=0,2,IF(N123=0,T123,1-SUMPRODUCT(MAX(($E$4:$E$183=E123)*($G$4:$G$183=1)*(1-T$4:T$183)))+0.000000001*D123))</f>
        <v/>
      </c>
      <c r="V123">
        <f>IF(G123=0,999,SUMPRODUCT((U$4:U$183&lt;U123)*($G$4:$G$183=1))+SUMPRODUCT((U$4:U$183=U123)*($G$4:$G$183=1)*($A$4:$A$183&lt;A123))+1)</f>
        <v/>
      </c>
      <c r="X123">
        <f>IF(G123=1,IF(I123&gt;Compliance,J123,(($D123-1)+$H123)/3),2)</f>
        <v/>
      </c>
      <c r="Y123">
        <f>IF(G123=0,2,IF(N123=0,X123,1-SUMPRODUCT(MAX(($E$4:$E$183=E123)*($G$4:$G$183=1)*(1-X$4:X$183)))+0.000000001*D123))</f>
        <v/>
      </c>
      <c r="Z123">
        <f>IF(G123=0,999,SUMPRODUCT((Y$4:Y$183&lt;Y123)*($G$4:$G$183=1))+SUMPRODUCT((Y$4:Y$183=Y123)*($G$4:$G$183=1)*($A$4:$A$183&lt;A123))+1)</f>
        <v/>
      </c>
      <c r="AB123">
        <f>IF(G123=1,IF(I123&gt;Compliance,J123,((($D123-1)*4+($C123-1)*2+MOD($B123,2))+(30-$B123)/30)/12),2)</f>
        <v/>
      </c>
      <c r="AC123">
        <f>IF(G123=0,2,IF(N123=0,AB123,1-SUMPRODUCT(MAX(($E$4:$E$183=E123)*($G$4:$G$183=1)*(1-AB$4:AB$183)))+0.000000001*D123))</f>
        <v/>
      </c>
      <c r="AD123">
        <f>IF(G123=0,999,SUMPRODUCT((AC$4:AC$183&lt;AC123)*($G$4:$G$183=1))+SUMPRODUCT((AC$4:AC$183=AC123)*($G$4:$G$183=1)*($A$4:$A$183&lt;A123))+1)</f>
        <v/>
      </c>
      <c r="AI123" t="n">
        <v>120</v>
      </c>
      <c r="AJ123">
        <f>IF(120&gt;Passengers,"",MATCH(120,R$4:R$183,0))</f>
        <v/>
      </c>
      <c r="AK123">
        <f>IF(AJ123="","",INDEX($B$4:$B$183,AJ123))</f>
        <v/>
      </c>
      <c r="AL123">
        <f>IF(AJ123="","",INDEX($C$4:$C$183,AJ123))</f>
        <v/>
      </c>
      <c r="AM123">
        <f>IF(AJ123="","",INDEX($D$4:$D$183,AJ123))</f>
        <v/>
      </c>
      <c r="AN123">
        <f>IF(AJ123="","",COUNTIFS($B$4:$B$183,AK123,$C$4:$C$183,AL123,$D$4:$D$183,"&gt;"&amp;AM123,R$4:R$183,"&lt;"&amp;120,$G$4:$G$183,1))</f>
        <v/>
      </c>
      <c r="AO123">
        <f>IF(AJ123="","",INDEX($M$4:$M$183,AJ123)+IF(AN123=1,Shuffle1,IF(AN123&gt;=2,Shuffle2,0)))</f>
        <v/>
      </c>
      <c r="AP123">
        <f>IF(AJ123="","",MAX(DoorGap*119,SUMPRODUCT(MAX((AK$4:AK122&lt;=AK123)*AQ$4:AQ122)),SUMPRODUCT(MAX((AK$4:AK122&gt;AK123)*AP$4:AP122))+Headway))</f>
        <v/>
      </c>
      <c r="AQ123">
        <f>IF(AJ123="","",AP123+AO123)</f>
        <v/>
      </c>
      <c r="AR123">
        <f>IF(AJ123="","",AQ123+AK123*WalkSec)</f>
        <v/>
      </c>
      <c r="AS123" t="n">
        <v>120</v>
      </c>
      <c r="AT123">
        <f>IF(120&gt;Passengers,"",MATCH(120,V$4:V$183,0))</f>
        <v/>
      </c>
      <c r="AU123">
        <f>IF(AT123="","",INDEX($B$4:$B$183,AT123))</f>
        <v/>
      </c>
      <c r="AV123">
        <f>IF(AT123="","",INDEX($C$4:$C$183,AT123))</f>
        <v/>
      </c>
      <c r="AW123">
        <f>IF(AT123="","",INDEX($D$4:$D$183,AT123))</f>
        <v/>
      </c>
      <c r="AX123">
        <f>IF(AT123="","",COUNTIFS($B$4:$B$183,AU123,$C$4:$C$183,AV123,$D$4:$D$183,"&gt;"&amp;AW123,V$4:V$183,"&lt;"&amp;120,$G$4:$G$183,1))</f>
        <v/>
      </c>
      <c r="AY123">
        <f>IF(AT123="","",INDEX($M$4:$M$183,AT123)+IF(AX123=1,Shuffle1,IF(AX123&gt;=2,Shuffle2,0)))</f>
        <v/>
      </c>
      <c r="AZ123">
        <f>IF(AT123="","",MAX(DoorGap*119,SUMPRODUCT(MAX((AU$4:AU122&lt;=AU123)*BA$4:BA122)),SUMPRODUCT(MAX((AU$4:AU122&gt;AU123)*AZ$4:AZ122))+Headway))</f>
        <v/>
      </c>
      <c r="BA123">
        <f>IF(AT123="","",AZ123+AY123)</f>
        <v/>
      </c>
      <c r="BB123">
        <f>IF(AT123="","",BA123+AU123*WalkSec)</f>
        <v/>
      </c>
      <c r="BC123" t="n">
        <v>120</v>
      </c>
      <c r="BD123">
        <f>IF(120&gt;Passengers,"",MATCH(120,Z$4:Z$183,0))</f>
        <v/>
      </c>
      <c r="BE123">
        <f>IF(BD123="","",INDEX($B$4:$B$183,BD123))</f>
        <v/>
      </c>
      <c r="BF123">
        <f>IF(BD123="","",INDEX($C$4:$C$183,BD123))</f>
        <v/>
      </c>
      <c r="BG123">
        <f>IF(BD123="","",INDEX($D$4:$D$183,BD123))</f>
        <v/>
      </c>
      <c r="BH123">
        <f>IF(BD123="","",COUNTIFS($B$4:$B$183,BE123,$C$4:$C$183,BF123,$D$4:$D$183,"&gt;"&amp;BG123,Z$4:Z$183,"&lt;"&amp;120,$G$4:$G$183,1))</f>
        <v/>
      </c>
      <c r="BI123">
        <f>IF(BD123="","",INDEX($M$4:$M$183,BD123)+IF(BH123=1,Shuffle1,IF(BH123&gt;=2,Shuffle2,0)))</f>
        <v/>
      </c>
      <c r="BJ123">
        <f>IF(BD123="","",MAX(DoorGap*119,SUMPRODUCT(MAX((BE$4:BE122&lt;=BE123)*BK$4:BK122)),SUMPRODUCT(MAX((BE$4:BE122&gt;BE123)*BJ$4:BJ122))+Headway))</f>
        <v/>
      </c>
      <c r="BK123">
        <f>IF(BD123="","",BJ123+BI123)</f>
        <v/>
      </c>
      <c r="BL123">
        <f>IF(BD123="","",BK123+BE123*WalkSec)</f>
        <v/>
      </c>
      <c r="BM123" t="n">
        <v>120</v>
      </c>
      <c r="BN123">
        <f>IF(120&gt;Passengers,"",MATCH(120,AD$4:AD$183,0))</f>
        <v/>
      </c>
      <c r="BO123">
        <f>IF(BN123="","",INDEX($B$4:$B$183,BN123))</f>
        <v/>
      </c>
      <c r="BP123">
        <f>IF(BN123="","",INDEX($C$4:$C$183,BN123))</f>
        <v/>
      </c>
      <c r="BQ123">
        <f>IF(BN123="","",INDEX($D$4:$D$183,BN123))</f>
        <v/>
      </c>
      <c r="BR123">
        <f>IF(BN123="","",COUNTIFS($B$4:$B$183,BO123,$C$4:$C$183,BP123,$D$4:$D$183,"&gt;"&amp;BQ123,AD$4:AD$183,"&lt;"&amp;120,$G$4:$G$183,1))</f>
        <v/>
      </c>
      <c r="BS123">
        <f>IF(BN123="","",INDEX($M$4:$M$183,BN123)+IF(BR123=1,Shuffle1,IF(BR123&gt;=2,Shuffle2,0)))</f>
        <v/>
      </c>
      <c r="BT123">
        <f>IF(BN123="","",MAX(DoorGap*119,SUMPRODUCT(MAX((BO$4:BO122&lt;=BO123)*BU$4:BU122)),SUMPRODUCT(MAX((BO$4:BO122&gt;BO123)*BT$4:BT122))+Headway))</f>
        <v/>
      </c>
      <c r="BU123">
        <f>IF(BN123="","",BT123+BS123)</f>
        <v/>
      </c>
      <c r="BV123">
        <f>IF(BN123="","",BU123+BO123*WalkSec)</f>
        <v/>
      </c>
      <c r="BW123">
        <f>IF($G123=0,"",INDEX(AR$4:AR$183,R123))</f>
        <v/>
      </c>
      <c r="BX123">
        <f>IF($G123=0,"",INDEX(BB$4:BB$183,V123))</f>
        <v/>
      </c>
      <c r="BY123">
        <f>IF($G123=0,"",INDEX(BL$4:BL$183,Z123))</f>
        <v/>
      </c>
      <c r="BZ123">
        <f>IF($G123=0,"",INDEX(BV$4:BV$183,AD123))</f>
        <v/>
      </c>
    </row>
    <row r="124">
      <c r="A124" t="n">
        <v>121</v>
      </c>
      <c r="B124" t="n">
        <v>21</v>
      </c>
      <c r="C124" t="n">
        <v>1</v>
      </c>
      <c r="D124" t="n">
        <v>1</v>
      </c>
      <c r="E124" t="n">
        <v>41</v>
      </c>
      <c r="F124">
        <f>RAND()</f>
        <v/>
      </c>
      <c r="G124">
        <f>IF(SUMPRODUCT(($F$4:$F$183&lt;F124)*1)+SUMPRODUCT(($F$4:$F$183=F124)*($A$4:$A$183&lt;A124))&lt;Passengers,1,0)</f>
        <v/>
      </c>
      <c r="H124">
        <f>RAND()</f>
        <v/>
      </c>
      <c r="I124">
        <f>RAND()</f>
        <v/>
      </c>
      <c r="J124">
        <f>RAND()</f>
        <v/>
      </c>
      <c r="K124">
        <f>RAND()</f>
        <v/>
      </c>
      <c r="L124">
        <f>RAND()</f>
        <v/>
      </c>
      <c r="M124">
        <f>IF(K124&lt;BagShare,EXP(NORMSINV(L124)*StowSigma+StowMu),StowNoBag)</f>
        <v/>
      </c>
      <c r="N124">
        <f>IF(INDEX($AG$4:$AG$63,E124)&lt;GroupShare,1,0)</f>
        <v/>
      </c>
      <c r="P124">
        <f>IF(G124=1,IF(I124&gt;Compliance,J124,$H124),2)</f>
        <v/>
      </c>
      <c r="Q124">
        <f>IF(G124=0,2,IF(N124=0,P124,1-SUMPRODUCT(MAX(($E$4:$E$183=E124)*($G$4:$G$183=1)*(1-P$4:P$183)))+0.000000001*D124))</f>
        <v/>
      </c>
      <c r="R124">
        <f>IF(G124=0,999,SUMPRODUCT((Q$4:Q$183&lt;Q124)*($G$4:$G$183=1))+SUMPRODUCT((Q$4:Q$183=Q124)*($G$4:$G$183=1)*($A$4:$A$183&lt;A124))+1)</f>
        <v/>
      </c>
      <c r="T124">
        <f>IF(G124=1,IF(I124&gt;Compliance,J124,(INT((30-$B124)/(30/Zones))+$H124)/Zones),2)</f>
        <v/>
      </c>
      <c r="U124">
        <f>IF(G124=0,2,IF(N124=0,T124,1-SUMPRODUCT(MAX(($E$4:$E$183=E124)*($G$4:$G$183=1)*(1-T$4:T$183)))+0.000000001*D124))</f>
        <v/>
      </c>
      <c r="V124">
        <f>IF(G124=0,999,SUMPRODUCT((U$4:U$183&lt;U124)*($G$4:$G$183=1))+SUMPRODUCT((U$4:U$183=U124)*($G$4:$G$183=1)*($A$4:$A$183&lt;A124))+1)</f>
        <v/>
      </c>
      <c r="X124">
        <f>IF(G124=1,IF(I124&gt;Compliance,J124,(($D124-1)+$H124)/3),2)</f>
        <v/>
      </c>
      <c r="Y124">
        <f>IF(G124=0,2,IF(N124=0,X124,1-SUMPRODUCT(MAX(($E$4:$E$183=E124)*($G$4:$G$183=1)*(1-X$4:X$183)))+0.000000001*D124))</f>
        <v/>
      </c>
      <c r="Z124">
        <f>IF(G124=0,999,SUMPRODUCT((Y$4:Y$183&lt;Y124)*($G$4:$G$183=1))+SUMPRODUCT((Y$4:Y$183=Y124)*($G$4:$G$183=1)*($A$4:$A$183&lt;A124))+1)</f>
        <v/>
      </c>
      <c r="AB124">
        <f>IF(G124=1,IF(I124&gt;Compliance,J124,((($D124-1)*4+($C124-1)*2+MOD($B124,2))+(30-$B124)/30)/12),2)</f>
        <v/>
      </c>
      <c r="AC124">
        <f>IF(G124=0,2,IF(N124=0,AB124,1-SUMPRODUCT(MAX(($E$4:$E$183=E124)*($G$4:$G$183=1)*(1-AB$4:AB$183)))+0.000000001*D124))</f>
        <v/>
      </c>
      <c r="AD124">
        <f>IF(G124=0,999,SUMPRODUCT((AC$4:AC$183&lt;AC124)*($G$4:$G$183=1))+SUMPRODUCT((AC$4:AC$183=AC124)*($G$4:$G$183=1)*($A$4:$A$183&lt;A124))+1)</f>
        <v/>
      </c>
      <c r="AI124" t="n">
        <v>121</v>
      </c>
      <c r="AJ124">
        <f>IF(121&gt;Passengers,"",MATCH(121,R$4:R$183,0))</f>
        <v/>
      </c>
      <c r="AK124">
        <f>IF(AJ124="","",INDEX($B$4:$B$183,AJ124))</f>
        <v/>
      </c>
      <c r="AL124">
        <f>IF(AJ124="","",INDEX($C$4:$C$183,AJ124))</f>
        <v/>
      </c>
      <c r="AM124">
        <f>IF(AJ124="","",INDEX($D$4:$D$183,AJ124))</f>
        <v/>
      </c>
      <c r="AN124">
        <f>IF(AJ124="","",COUNTIFS($B$4:$B$183,AK124,$C$4:$C$183,AL124,$D$4:$D$183,"&gt;"&amp;AM124,R$4:R$183,"&lt;"&amp;121,$G$4:$G$183,1))</f>
        <v/>
      </c>
      <c r="AO124">
        <f>IF(AJ124="","",INDEX($M$4:$M$183,AJ124)+IF(AN124=1,Shuffle1,IF(AN124&gt;=2,Shuffle2,0)))</f>
        <v/>
      </c>
      <c r="AP124">
        <f>IF(AJ124="","",MAX(DoorGap*120,SUMPRODUCT(MAX((AK$4:AK123&lt;=AK124)*AQ$4:AQ123)),SUMPRODUCT(MAX((AK$4:AK123&gt;AK124)*AP$4:AP123))+Headway))</f>
        <v/>
      </c>
      <c r="AQ124">
        <f>IF(AJ124="","",AP124+AO124)</f>
        <v/>
      </c>
      <c r="AR124">
        <f>IF(AJ124="","",AQ124+AK124*WalkSec)</f>
        <v/>
      </c>
      <c r="AS124" t="n">
        <v>121</v>
      </c>
      <c r="AT124">
        <f>IF(121&gt;Passengers,"",MATCH(121,V$4:V$183,0))</f>
        <v/>
      </c>
      <c r="AU124">
        <f>IF(AT124="","",INDEX($B$4:$B$183,AT124))</f>
        <v/>
      </c>
      <c r="AV124">
        <f>IF(AT124="","",INDEX($C$4:$C$183,AT124))</f>
        <v/>
      </c>
      <c r="AW124">
        <f>IF(AT124="","",INDEX($D$4:$D$183,AT124))</f>
        <v/>
      </c>
      <c r="AX124">
        <f>IF(AT124="","",COUNTIFS($B$4:$B$183,AU124,$C$4:$C$183,AV124,$D$4:$D$183,"&gt;"&amp;AW124,V$4:V$183,"&lt;"&amp;121,$G$4:$G$183,1))</f>
        <v/>
      </c>
      <c r="AY124">
        <f>IF(AT124="","",INDEX($M$4:$M$183,AT124)+IF(AX124=1,Shuffle1,IF(AX124&gt;=2,Shuffle2,0)))</f>
        <v/>
      </c>
      <c r="AZ124">
        <f>IF(AT124="","",MAX(DoorGap*120,SUMPRODUCT(MAX((AU$4:AU123&lt;=AU124)*BA$4:BA123)),SUMPRODUCT(MAX((AU$4:AU123&gt;AU124)*AZ$4:AZ123))+Headway))</f>
        <v/>
      </c>
      <c r="BA124">
        <f>IF(AT124="","",AZ124+AY124)</f>
        <v/>
      </c>
      <c r="BB124">
        <f>IF(AT124="","",BA124+AU124*WalkSec)</f>
        <v/>
      </c>
      <c r="BC124" t="n">
        <v>121</v>
      </c>
      <c r="BD124">
        <f>IF(121&gt;Passengers,"",MATCH(121,Z$4:Z$183,0))</f>
        <v/>
      </c>
      <c r="BE124">
        <f>IF(BD124="","",INDEX($B$4:$B$183,BD124))</f>
        <v/>
      </c>
      <c r="BF124">
        <f>IF(BD124="","",INDEX($C$4:$C$183,BD124))</f>
        <v/>
      </c>
      <c r="BG124">
        <f>IF(BD124="","",INDEX($D$4:$D$183,BD124))</f>
        <v/>
      </c>
      <c r="BH124">
        <f>IF(BD124="","",COUNTIFS($B$4:$B$183,BE124,$C$4:$C$183,BF124,$D$4:$D$183,"&gt;"&amp;BG124,Z$4:Z$183,"&lt;"&amp;121,$G$4:$G$183,1))</f>
        <v/>
      </c>
      <c r="BI124">
        <f>IF(BD124="","",INDEX($M$4:$M$183,BD124)+IF(BH124=1,Shuffle1,IF(BH124&gt;=2,Shuffle2,0)))</f>
        <v/>
      </c>
      <c r="BJ124">
        <f>IF(BD124="","",MAX(DoorGap*120,SUMPRODUCT(MAX((BE$4:BE123&lt;=BE124)*BK$4:BK123)),SUMPRODUCT(MAX((BE$4:BE123&gt;BE124)*BJ$4:BJ123))+Headway))</f>
        <v/>
      </c>
      <c r="BK124">
        <f>IF(BD124="","",BJ124+BI124)</f>
        <v/>
      </c>
      <c r="BL124">
        <f>IF(BD124="","",BK124+BE124*WalkSec)</f>
        <v/>
      </c>
      <c r="BM124" t="n">
        <v>121</v>
      </c>
      <c r="BN124">
        <f>IF(121&gt;Passengers,"",MATCH(121,AD$4:AD$183,0))</f>
        <v/>
      </c>
      <c r="BO124">
        <f>IF(BN124="","",INDEX($B$4:$B$183,BN124))</f>
        <v/>
      </c>
      <c r="BP124">
        <f>IF(BN124="","",INDEX($C$4:$C$183,BN124))</f>
        <v/>
      </c>
      <c r="BQ124">
        <f>IF(BN124="","",INDEX($D$4:$D$183,BN124))</f>
        <v/>
      </c>
      <c r="BR124">
        <f>IF(BN124="","",COUNTIFS($B$4:$B$183,BO124,$C$4:$C$183,BP124,$D$4:$D$183,"&gt;"&amp;BQ124,AD$4:AD$183,"&lt;"&amp;121,$G$4:$G$183,1))</f>
        <v/>
      </c>
      <c r="BS124">
        <f>IF(BN124="","",INDEX($M$4:$M$183,BN124)+IF(BR124=1,Shuffle1,IF(BR124&gt;=2,Shuffle2,0)))</f>
        <v/>
      </c>
      <c r="BT124">
        <f>IF(BN124="","",MAX(DoorGap*120,SUMPRODUCT(MAX((BO$4:BO123&lt;=BO124)*BU$4:BU123)),SUMPRODUCT(MAX((BO$4:BO123&gt;BO124)*BT$4:BT123))+Headway))</f>
        <v/>
      </c>
      <c r="BU124">
        <f>IF(BN124="","",BT124+BS124)</f>
        <v/>
      </c>
      <c r="BV124">
        <f>IF(BN124="","",BU124+BO124*WalkSec)</f>
        <v/>
      </c>
      <c r="BW124">
        <f>IF($G124=0,"",INDEX(AR$4:AR$183,R124))</f>
        <v/>
      </c>
      <c r="BX124">
        <f>IF($G124=0,"",INDEX(BB$4:BB$183,V124))</f>
        <v/>
      </c>
      <c r="BY124">
        <f>IF($G124=0,"",INDEX(BL$4:BL$183,Z124))</f>
        <v/>
      </c>
      <c r="BZ124">
        <f>IF($G124=0,"",INDEX(BV$4:BV$183,AD124))</f>
        <v/>
      </c>
    </row>
    <row r="125">
      <c r="A125" t="n">
        <v>122</v>
      </c>
      <c r="B125" t="n">
        <v>21</v>
      </c>
      <c r="C125" t="n">
        <v>1</v>
      </c>
      <c r="D125" t="n">
        <v>2</v>
      </c>
      <c r="E125" t="n">
        <v>41</v>
      </c>
      <c r="F125">
        <f>RAND()</f>
        <v/>
      </c>
      <c r="G125">
        <f>IF(SUMPRODUCT(($F$4:$F$183&lt;F125)*1)+SUMPRODUCT(($F$4:$F$183=F125)*($A$4:$A$183&lt;A125))&lt;Passengers,1,0)</f>
        <v/>
      </c>
      <c r="H125">
        <f>RAND()</f>
        <v/>
      </c>
      <c r="I125">
        <f>RAND()</f>
        <v/>
      </c>
      <c r="J125">
        <f>RAND()</f>
        <v/>
      </c>
      <c r="K125">
        <f>RAND()</f>
        <v/>
      </c>
      <c r="L125">
        <f>RAND()</f>
        <v/>
      </c>
      <c r="M125">
        <f>IF(K125&lt;BagShare,EXP(NORMSINV(L125)*StowSigma+StowMu),StowNoBag)</f>
        <v/>
      </c>
      <c r="N125">
        <f>IF(INDEX($AG$4:$AG$63,E125)&lt;GroupShare,1,0)</f>
        <v/>
      </c>
      <c r="P125">
        <f>IF(G125=1,IF(I125&gt;Compliance,J125,$H125),2)</f>
        <v/>
      </c>
      <c r="Q125">
        <f>IF(G125=0,2,IF(N125=0,P125,1-SUMPRODUCT(MAX(($E$4:$E$183=E125)*($G$4:$G$183=1)*(1-P$4:P$183)))+0.000000001*D125))</f>
        <v/>
      </c>
      <c r="R125">
        <f>IF(G125=0,999,SUMPRODUCT((Q$4:Q$183&lt;Q125)*($G$4:$G$183=1))+SUMPRODUCT((Q$4:Q$183=Q125)*($G$4:$G$183=1)*($A$4:$A$183&lt;A125))+1)</f>
        <v/>
      </c>
      <c r="T125">
        <f>IF(G125=1,IF(I125&gt;Compliance,J125,(INT((30-$B125)/(30/Zones))+$H125)/Zones),2)</f>
        <v/>
      </c>
      <c r="U125">
        <f>IF(G125=0,2,IF(N125=0,T125,1-SUMPRODUCT(MAX(($E$4:$E$183=E125)*($G$4:$G$183=1)*(1-T$4:T$183)))+0.000000001*D125))</f>
        <v/>
      </c>
      <c r="V125">
        <f>IF(G125=0,999,SUMPRODUCT((U$4:U$183&lt;U125)*($G$4:$G$183=1))+SUMPRODUCT((U$4:U$183=U125)*($G$4:$G$183=1)*($A$4:$A$183&lt;A125))+1)</f>
        <v/>
      </c>
      <c r="X125">
        <f>IF(G125=1,IF(I125&gt;Compliance,J125,(($D125-1)+$H125)/3),2)</f>
        <v/>
      </c>
      <c r="Y125">
        <f>IF(G125=0,2,IF(N125=0,X125,1-SUMPRODUCT(MAX(($E$4:$E$183=E125)*($G$4:$G$183=1)*(1-X$4:X$183)))+0.000000001*D125))</f>
        <v/>
      </c>
      <c r="Z125">
        <f>IF(G125=0,999,SUMPRODUCT((Y$4:Y$183&lt;Y125)*($G$4:$G$183=1))+SUMPRODUCT((Y$4:Y$183=Y125)*($G$4:$G$183=1)*($A$4:$A$183&lt;A125))+1)</f>
        <v/>
      </c>
      <c r="AB125">
        <f>IF(G125=1,IF(I125&gt;Compliance,J125,((($D125-1)*4+($C125-1)*2+MOD($B125,2))+(30-$B125)/30)/12),2)</f>
        <v/>
      </c>
      <c r="AC125">
        <f>IF(G125=0,2,IF(N125=0,AB125,1-SUMPRODUCT(MAX(($E$4:$E$183=E125)*($G$4:$G$183=1)*(1-AB$4:AB$183)))+0.000000001*D125))</f>
        <v/>
      </c>
      <c r="AD125">
        <f>IF(G125=0,999,SUMPRODUCT((AC$4:AC$183&lt;AC125)*($G$4:$G$183=1))+SUMPRODUCT((AC$4:AC$183=AC125)*($G$4:$G$183=1)*($A$4:$A$183&lt;A125))+1)</f>
        <v/>
      </c>
      <c r="AI125" t="n">
        <v>122</v>
      </c>
      <c r="AJ125">
        <f>IF(122&gt;Passengers,"",MATCH(122,R$4:R$183,0))</f>
        <v/>
      </c>
      <c r="AK125">
        <f>IF(AJ125="","",INDEX($B$4:$B$183,AJ125))</f>
        <v/>
      </c>
      <c r="AL125">
        <f>IF(AJ125="","",INDEX($C$4:$C$183,AJ125))</f>
        <v/>
      </c>
      <c r="AM125">
        <f>IF(AJ125="","",INDEX($D$4:$D$183,AJ125))</f>
        <v/>
      </c>
      <c r="AN125">
        <f>IF(AJ125="","",COUNTIFS($B$4:$B$183,AK125,$C$4:$C$183,AL125,$D$4:$D$183,"&gt;"&amp;AM125,R$4:R$183,"&lt;"&amp;122,$G$4:$G$183,1))</f>
        <v/>
      </c>
      <c r="AO125">
        <f>IF(AJ125="","",INDEX($M$4:$M$183,AJ125)+IF(AN125=1,Shuffle1,IF(AN125&gt;=2,Shuffle2,0)))</f>
        <v/>
      </c>
      <c r="AP125">
        <f>IF(AJ125="","",MAX(DoorGap*121,SUMPRODUCT(MAX((AK$4:AK124&lt;=AK125)*AQ$4:AQ124)),SUMPRODUCT(MAX((AK$4:AK124&gt;AK125)*AP$4:AP124))+Headway))</f>
        <v/>
      </c>
      <c r="AQ125">
        <f>IF(AJ125="","",AP125+AO125)</f>
        <v/>
      </c>
      <c r="AR125">
        <f>IF(AJ125="","",AQ125+AK125*WalkSec)</f>
        <v/>
      </c>
      <c r="AS125" t="n">
        <v>122</v>
      </c>
      <c r="AT125">
        <f>IF(122&gt;Passengers,"",MATCH(122,V$4:V$183,0))</f>
        <v/>
      </c>
      <c r="AU125">
        <f>IF(AT125="","",INDEX($B$4:$B$183,AT125))</f>
        <v/>
      </c>
      <c r="AV125">
        <f>IF(AT125="","",INDEX($C$4:$C$183,AT125))</f>
        <v/>
      </c>
      <c r="AW125">
        <f>IF(AT125="","",INDEX($D$4:$D$183,AT125))</f>
        <v/>
      </c>
      <c r="AX125">
        <f>IF(AT125="","",COUNTIFS($B$4:$B$183,AU125,$C$4:$C$183,AV125,$D$4:$D$183,"&gt;"&amp;AW125,V$4:V$183,"&lt;"&amp;122,$G$4:$G$183,1))</f>
        <v/>
      </c>
      <c r="AY125">
        <f>IF(AT125="","",INDEX($M$4:$M$183,AT125)+IF(AX125=1,Shuffle1,IF(AX125&gt;=2,Shuffle2,0)))</f>
        <v/>
      </c>
      <c r="AZ125">
        <f>IF(AT125="","",MAX(DoorGap*121,SUMPRODUCT(MAX((AU$4:AU124&lt;=AU125)*BA$4:BA124)),SUMPRODUCT(MAX((AU$4:AU124&gt;AU125)*AZ$4:AZ124))+Headway))</f>
        <v/>
      </c>
      <c r="BA125">
        <f>IF(AT125="","",AZ125+AY125)</f>
        <v/>
      </c>
      <c r="BB125">
        <f>IF(AT125="","",BA125+AU125*WalkSec)</f>
        <v/>
      </c>
      <c r="BC125" t="n">
        <v>122</v>
      </c>
      <c r="BD125">
        <f>IF(122&gt;Passengers,"",MATCH(122,Z$4:Z$183,0))</f>
        <v/>
      </c>
      <c r="BE125">
        <f>IF(BD125="","",INDEX($B$4:$B$183,BD125))</f>
        <v/>
      </c>
      <c r="BF125">
        <f>IF(BD125="","",INDEX($C$4:$C$183,BD125))</f>
        <v/>
      </c>
      <c r="BG125">
        <f>IF(BD125="","",INDEX($D$4:$D$183,BD125))</f>
        <v/>
      </c>
      <c r="BH125">
        <f>IF(BD125="","",COUNTIFS($B$4:$B$183,BE125,$C$4:$C$183,BF125,$D$4:$D$183,"&gt;"&amp;BG125,Z$4:Z$183,"&lt;"&amp;122,$G$4:$G$183,1))</f>
        <v/>
      </c>
      <c r="BI125">
        <f>IF(BD125="","",INDEX($M$4:$M$183,BD125)+IF(BH125=1,Shuffle1,IF(BH125&gt;=2,Shuffle2,0)))</f>
        <v/>
      </c>
      <c r="BJ125">
        <f>IF(BD125="","",MAX(DoorGap*121,SUMPRODUCT(MAX((BE$4:BE124&lt;=BE125)*BK$4:BK124)),SUMPRODUCT(MAX((BE$4:BE124&gt;BE125)*BJ$4:BJ124))+Headway))</f>
        <v/>
      </c>
      <c r="BK125">
        <f>IF(BD125="","",BJ125+BI125)</f>
        <v/>
      </c>
      <c r="BL125">
        <f>IF(BD125="","",BK125+BE125*WalkSec)</f>
        <v/>
      </c>
      <c r="BM125" t="n">
        <v>122</v>
      </c>
      <c r="BN125">
        <f>IF(122&gt;Passengers,"",MATCH(122,AD$4:AD$183,0))</f>
        <v/>
      </c>
      <c r="BO125">
        <f>IF(BN125="","",INDEX($B$4:$B$183,BN125))</f>
        <v/>
      </c>
      <c r="BP125">
        <f>IF(BN125="","",INDEX($C$4:$C$183,BN125))</f>
        <v/>
      </c>
      <c r="BQ125">
        <f>IF(BN125="","",INDEX($D$4:$D$183,BN125))</f>
        <v/>
      </c>
      <c r="BR125">
        <f>IF(BN125="","",COUNTIFS($B$4:$B$183,BO125,$C$4:$C$183,BP125,$D$4:$D$183,"&gt;"&amp;BQ125,AD$4:AD$183,"&lt;"&amp;122,$G$4:$G$183,1))</f>
        <v/>
      </c>
      <c r="BS125">
        <f>IF(BN125="","",INDEX($M$4:$M$183,BN125)+IF(BR125=1,Shuffle1,IF(BR125&gt;=2,Shuffle2,0)))</f>
        <v/>
      </c>
      <c r="BT125">
        <f>IF(BN125="","",MAX(DoorGap*121,SUMPRODUCT(MAX((BO$4:BO124&lt;=BO125)*BU$4:BU124)),SUMPRODUCT(MAX((BO$4:BO124&gt;BO125)*BT$4:BT124))+Headway))</f>
        <v/>
      </c>
      <c r="BU125">
        <f>IF(BN125="","",BT125+BS125)</f>
        <v/>
      </c>
      <c r="BV125">
        <f>IF(BN125="","",BU125+BO125*WalkSec)</f>
        <v/>
      </c>
      <c r="BW125">
        <f>IF($G125=0,"",INDEX(AR$4:AR$183,R125))</f>
        <v/>
      </c>
      <c r="BX125">
        <f>IF($G125=0,"",INDEX(BB$4:BB$183,V125))</f>
        <v/>
      </c>
      <c r="BY125">
        <f>IF($G125=0,"",INDEX(BL$4:BL$183,Z125))</f>
        <v/>
      </c>
      <c r="BZ125">
        <f>IF($G125=0,"",INDEX(BV$4:BV$183,AD125))</f>
        <v/>
      </c>
    </row>
    <row r="126">
      <c r="A126" t="n">
        <v>123</v>
      </c>
      <c r="B126" t="n">
        <v>21</v>
      </c>
      <c r="C126" t="n">
        <v>1</v>
      </c>
      <c r="D126" t="n">
        <v>3</v>
      </c>
      <c r="E126" t="n">
        <v>41</v>
      </c>
      <c r="F126">
        <f>RAND()</f>
        <v/>
      </c>
      <c r="G126">
        <f>IF(SUMPRODUCT(($F$4:$F$183&lt;F126)*1)+SUMPRODUCT(($F$4:$F$183=F126)*($A$4:$A$183&lt;A126))&lt;Passengers,1,0)</f>
        <v/>
      </c>
      <c r="H126">
        <f>RAND()</f>
        <v/>
      </c>
      <c r="I126">
        <f>RAND()</f>
        <v/>
      </c>
      <c r="J126">
        <f>RAND()</f>
        <v/>
      </c>
      <c r="K126">
        <f>RAND()</f>
        <v/>
      </c>
      <c r="L126">
        <f>RAND()</f>
        <v/>
      </c>
      <c r="M126">
        <f>IF(K126&lt;BagShare,EXP(NORMSINV(L126)*StowSigma+StowMu),StowNoBag)</f>
        <v/>
      </c>
      <c r="N126">
        <f>IF(INDEX($AG$4:$AG$63,E126)&lt;GroupShare,1,0)</f>
        <v/>
      </c>
      <c r="P126">
        <f>IF(G126=1,IF(I126&gt;Compliance,J126,$H126),2)</f>
        <v/>
      </c>
      <c r="Q126">
        <f>IF(G126=0,2,IF(N126=0,P126,1-SUMPRODUCT(MAX(($E$4:$E$183=E126)*($G$4:$G$183=1)*(1-P$4:P$183)))+0.000000001*D126))</f>
        <v/>
      </c>
      <c r="R126">
        <f>IF(G126=0,999,SUMPRODUCT((Q$4:Q$183&lt;Q126)*($G$4:$G$183=1))+SUMPRODUCT((Q$4:Q$183=Q126)*($G$4:$G$183=1)*($A$4:$A$183&lt;A126))+1)</f>
        <v/>
      </c>
      <c r="T126">
        <f>IF(G126=1,IF(I126&gt;Compliance,J126,(INT((30-$B126)/(30/Zones))+$H126)/Zones),2)</f>
        <v/>
      </c>
      <c r="U126">
        <f>IF(G126=0,2,IF(N126=0,T126,1-SUMPRODUCT(MAX(($E$4:$E$183=E126)*($G$4:$G$183=1)*(1-T$4:T$183)))+0.000000001*D126))</f>
        <v/>
      </c>
      <c r="V126">
        <f>IF(G126=0,999,SUMPRODUCT((U$4:U$183&lt;U126)*($G$4:$G$183=1))+SUMPRODUCT((U$4:U$183=U126)*($G$4:$G$183=1)*($A$4:$A$183&lt;A126))+1)</f>
        <v/>
      </c>
      <c r="X126">
        <f>IF(G126=1,IF(I126&gt;Compliance,J126,(($D126-1)+$H126)/3),2)</f>
        <v/>
      </c>
      <c r="Y126">
        <f>IF(G126=0,2,IF(N126=0,X126,1-SUMPRODUCT(MAX(($E$4:$E$183=E126)*($G$4:$G$183=1)*(1-X$4:X$183)))+0.000000001*D126))</f>
        <v/>
      </c>
      <c r="Z126">
        <f>IF(G126=0,999,SUMPRODUCT((Y$4:Y$183&lt;Y126)*($G$4:$G$183=1))+SUMPRODUCT((Y$4:Y$183=Y126)*($G$4:$G$183=1)*($A$4:$A$183&lt;A126))+1)</f>
        <v/>
      </c>
      <c r="AB126">
        <f>IF(G126=1,IF(I126&gt;Compliance,J126,((($D126-1)*4+($C126-1)*2+MOD($B126,2))+(30-$B126)/30)/12),2)</f>
        <v/>
      </c>
      <c r="AC126">
        <f>IF(G126=0,2,IF(N126=0,AB126,1-SUMPRODUCT(MAX(($E$4:$E$183=E126)*($G$4:$G$183=1)*(1-AB$4:AB$183)))+0.000000001*D126))</f>
        <v/>
      </c>
      <c r="AD126">
        <f>IF(G126=0,999,SUMPRODUCT((AC$4:AC$183&lt;AC126)*($G$4:$G$183=1))+SUMPRODUCT((AC$4:AC$183=AC126)*($G$4:$G$183=1)*($A$4:$A$183&lt;A126))+1)</f>
        <v/>
      </c>
      <c r="AI126" t="n">
        <v>123</v>
      </c>
      <c r="AJ126">
        <f>IF(123&gt;Passengers,"",MATCH(123,R$4:R$183,0))</f>
        <v/>
      </c>
      <c r="AK126">
        <f>IF(AJ126="","",INDEX($B$4:$B$183,AJ126))</f>
        <v/>
      </c>
      <c r="AL126">
        <f>IF(AJ126="","",INDEX($C$4:$C$183,AJ126))</f>
        <v/>
      </c>
      <c r="AM126">
        <f>IF(AJ126="","",INDEX($D$4:$D$183,AJ126))</f>
        <v/>
      </c>
      <c r="AN126">
        <f>IF(AJ126="","",COUNTIFS($B$4:$B$183,AK126,$C$4:$C$183,AL126,$D$4:$D$183,"&gt;"&amp;AM126,R$4:R$183,"&lt;"&amp;123,$G$4:$G$183,1))</f>
        <v/>
      </c>
      <c r="AO126">
        <f>IF(AJ126="","",INDEX($M$4:$M$183,AJ126)+IF(AN126=1,Shuffle1,IF(AN126&gt;=2,Shuffle2,0)))</f>
        <v/>
      </c>
      <c r="AP126">
        <f>IF(AJ126="","",MAX(DoorGap*122,SUMPRODUCT(MAX((AK$4:AK125&lt;=AK126)*AQ$4:AQ125)),SUMPRODUCT(MAX((AK$4:AK125&gt;AK126)*AP$4:AP125))+Headway))</f>
        <v/>
      </c>
      <c r="AQ126">
        <f>IF(AJ126="","",AP126+AO126)</f>
        <v/>
      </c>
      <c r="AR126">
        <f>IF(AJ126="","",AQ126+AK126*WalkSec)</f>
        <v/>
      </c>
      <c r="AS126" t="n">
        <v>123</v>
      </c>
      <c r="AT126">
        <f>IF(123&gt;Passengers,"",MATCH(123,V$4:V$183,0))</f>
        <v/>
      </c>
      <c r="AU126">
        <f>IF(AT126="","",INDEX($B$4:$B$183,AT126))</f>
        <v/>
      </c>
      <c r="AV126">
        <f>IF(AT126="","",INDEX($C$4:$C$183,AT126))</f>
        <v/>
      </c>
      <c r="AW126">
        <f>IF(AT126="","",INDEX($D$4:$D$183,AT126))</f>
        <v/>
      </c>
      <c r="AX126">
        <f>IF(AT126="","",COUNTIFS($B$4:$B$183,AU126,$C$4:$C$183,AV126,$D$4:$D$183,"&gt;"&amp;AW126,V$4:V$183,"&lt;"&amp;123,$G$4:$G$183,1))</f>
        <v/>
      </c>
      <c r="AY126">
        <f>IF(AT126="","",INDEX($M$4:$M$183,AT126)+IF(AX126=1,Shuffle1,IF(AX126&gt;=2,Shuffle2,0)))</f>
        <v/>
      </c>
      <c r="AZ126">
        <f>IF(AT126="","",MAX(DoorGap*122,SUMPRODUCT(MAX((AU$4:AU125&lt;=AU126)*BA$4:BA125)),SUMPRODUCT(MAX((AU$4:AU125&gt;AU126)*AZ$4:AZ125))+Headway))</f>
        <v/>
      </c>
      <c r="BA126">
        <f>IF(AT126="","",AZ126+AY126)</f>
        <v/>
      </c>
      <c r="BB126">
        <f>IF(AT126="","",BA126+AU126*WalkSec)</f>
        <v/>
      </c>
      <c r="BC126" t="n">
        <v>123</v>
      </c>
      <c r="BD126">
        <f>IF(123&gt;Passengers,"",MATCH(123,Z$4:Z$183,0))</f>
        <v/>
      </c>
      <c r="BE126">
        <f>IF(BD126="","",INDEX($B$4:$B$183,BD126))</f>
        <v/>
      </c>
      <c r="BF126">
        <f>IF(BD126="","",INDEX($C$4:$C$183,BD126))</f>
        <v/>
      </c>
      <c r="BG126">
        <f>IF(BD126="","",INDEX($D$4:$D$183,BD126))</f>
        <v/>
      </c>
      <c r="BH126">
        <f>IF(BD126="","",COUNTIFS($B$4:$B$183,BE126,$C$4:$C$183,BF126,$D$4:$D$183,"&gt;"&amp;BG126,Z$4:Z$183,"&lt;"&amp;123,$G$4:$G$183,1))</f>
        <v/>
      </c>
      <c r="BI126">
        <f>IF(BD126="","",INDEX($M$4:$M$183,BD126)+IF(BH126=1,Shuffle1,IF(BH126&gt;=2,Shuffle2,0)))</f>
        <v/>
      </c>
      <c r="BJ126">
        <f>IF(BD126="","",MAX(DoorGap*122,SUMPRODUCT(MAX((BE$4:BE125&lt;=BE126)*BK$4:BK125)),SUMPRODUCT(MAX((BE$4:BE125&gt;BE126)*BJ$4:BJ125))+Headway))</f>
        <v/>
      </c>
      <c r="BK126">
        <f>IF(BD126="","",BJ126+BI126)</f>
        <v/>
      </c>
      <c r="BL126">
        <f>IF(BD126="","",BK126+BE126*WalkSec)</f>
        <v/>
      </c>
      <c r="BM126" t="n">
        <v>123</v>
      </c>
      <c r="BN126">
        <f>IF(123&gt;Passengers,"",MATCH(123,AD$4:AD$183,0))</f>
        <v/>
      </c>
      <c r="BO126">
        <f>IF(BN126="","",INDEX($B$4:$B$183,BN126))</f>
        <v/>
      </c>
      <c r="BP126">
        <f>IF(BN126="","",INDEX($C$4:$C$183,BN126))</f>
        <v/>
      </c>
      <c r="BQ126">
        <f>IF(BN126="","",INDEX($D$4:$D$183,BN126))</f>
        <v/>
      </c>
      <c r="BR126">
        <f>IF(BN126="","",COUNTIFS($B$4:$B$183,BO126,$C$4:$C$183,BP126,$D$4:$D$183,"&gt;"&amp;BQ126,AD$4:AD$183,"&lt;"&amp;123,$G$4:$G$183,1))</f>
        <v/>
      </c>
      <c r="BS126">
        <f>IF(BN126="","",INDEX($M$4:$M$183,BN126)+IF(BR126=1,Shuffle1,IF(BR126&gt;=2,Shuffle2,0)))</f>
        <v/>
      </c>
      <c r="BT126">
        <f>IF(BN126="","",MAX(DoorGap*122,SUMPRODUCT(MAX((BO$4:BO125&lt;=BO126)*BU$4:BU125)),SUMPRODUCT(MAX((BO$4:BO125&gt;BO126)*BT$4:BT125))+Headway))</f>
        <v/>
      </c>
      <c r="BU126">
        <f>IF(BN126="","",BT126+BS126)</f>
        <v/>
      </c>
      <c r="BV126">
        <f>IF(BN126="","",BU126+BO126*WalkSec)</f>
        <v/>
      </c>
      <c r="BW126">
        <f>IF($G126=0,"",INDEX(AR$4:AR$183,R126))</f>
        <v/>
      </c>
      <c r="BX126">
        <f>IF($G126=0,"",INDEX(BB$4:BB$183,V126))</f>
        <v/>
      </c>
      <c r="BY126">
        <f>IF($G126=0,"",INDEX(BL$4:BL$183,Z126))</f>
        <v/>
      </c>
      <c r="BZ126">
        <f>IF($G126=0,"",INDEX(BV$4:BV$183,AD126))</f>
        <v/>
      </c>
    </row>
    <row r="127">
      <c r="A127" t="n">
        <v>124</v>
      </c>
      <c r="B127" t="n">
        <v>21</v>
      </c>
      <c r="C127" t="n">
        <v>2</v>
      </c>
      <c r="D127" t="n">
        <v>1</v>
      </c>
      <c r="E127" t="n">
        <v>42</v>
      </c>
      <c r="F127">
        <f>RAND()</f>
        <v/>
      </c>
      <c r="G127">
        <f>IF(SUMPRODUCT(($F$4:$F$183&lt;F127)*1)+SUMPRODUCT(($F$4:$F$183=F127)*($A$4:$A$183&lt;A127))&lt;Passengers,1,0)</f>
        <v/>
      </c>
      <c r="H127">
        <f>RAND()</f>
        <v/>
      </c>
      <c r="I127">
        <f>RAND()</f>
        <v/>
      </c>
      <c r="J127">
        <f>RAND()</f>
        <v/>
      </c>
      <c r="K127">
        <f>RAND()</f>
        <v/>
      </c>
      <c r="L127">
        <f>RAND()</f>
        <v/>
      </c>
      <c r="M127">
        <f>IF(K127&lt;BagShare,EXP(NORMSINV(L127)*StowSigma+StowMu),StowNoBag)</f>
        <v/>
      </c>
      <c r="N127">
        <f>IF(INDEX($AG$4:$AG$63,E127)&lt;GroupShare,1,0)</f>
        <v/>
      </c>
      <c r="P127">
        <f>IF(G127=1,IF(I127&gt;Compliance,J127,$H127),2)</f>
        <v/>
      </c>
      <c r="Q127">
        <f>IF(G127=0,2,IF(N127=0,P127,1-SUMPRODUCT(MAX(($E$4:$E$183=E127)*($G$4:$G$183=1)*(1-P$4:P$183)))+0.000000001*D127))</f>
        <v/>
      </c>
      <c r="R127">
        <f>IF(G127=0,999,SUMPRODUCT((Q$4:Q$183&lt;Q127)*($G$4:$G$183=1))+SUMPRODUCT((Q$4:Q$183=Q127)*($G$4:$G$183=1)*($A$4:$A$183&lt;A127))+1)</f>
        <v/>
      </c>
      <c r="T127">
        <f>IF(G127=1,IF(I127&gt;Compliance,J127,(INT((30-$B127)/(30/Zones))+$H127)/Zones),2)</f>
        <v/>
      </c>
      <c r="U127">
        <f>IF(G127=0,2,IF(N127=0,T127,1-SUMPRODUCT(MAX(($E$4:$E$183=E127)*($G$4:$G$183=1)*(1-T$4:T$183)))+0.000000001*D127))</f>
        <v/>
      </c>
      <c r="V127">
        <f>IF(G127=0,999,SUMPRODUCT((U$4:U$183&lt;U127)*($G$4:$G$183=1))+SUMPRODUCT((U$4:U$183=U127)*($G$4:$G$183=1)*($A$4:$A$183&lt;A127))+1)</f>
        <v/>
      </c>
      <c r="X127">
        <f>IF(G127=1,IF(I127&gt;Compliance,J127,(($D127-1)+$H127)/3),2)</f>
        <v/>
      </c>
      <c r="Y127">
        <f>IF(G127=0,2,IF(N127=0,X127,1-SUMPRODUCT(MAX(($E$4:$E$183=E127)*($G$4:$G$183=1)*(1-X$4:X$183)))+0.000000001*D127))</f>
        <v/>
      </c>
      <c r="Z127">
        <f>IF(G127=0,999,SUMPRODUCT((Y$4:Y$183&lt;Y127)*($G$4:$G$183=1))+SUMPRODUCT((Y$4:Y$183=Y127)*($G$4:$G$183=1)*($A$4:$A$183&lt;A127))+1)</f>
        <v/>
      </c>
      <c r="AB127">
        <f>IF(G127=1,IF(I127&gt;Compliance,J127,((($D127-1)*4+($C127-1)*2+MOD($B127,2))+(30-$B127)/30)/12),2)</f>
        <v/>
      </c>
      <c r="AC127">
        <f>IF(G127=0,2,IF(N127=0,AB127,1-SUMPRODUCT(MAX(($E$4:$E$183=E127)*($G$4:$G$183=1)*(1-AB$4:AB$183)))+0.000000001*D127))</f>
        <v/>
      </c>
      <c r="AD127">
        <f>IF(G127=0,999,SUMPRODUCT((AC$4:AC$183&lt;AC127)*($G$4:$G$183=1))+SUMPRODUCT((AC$4:AC$183=AC127)*($G$4:$G$183=1)*($A$4:$A$183&lt;A127))+1)</f>
        <v/>
      </c>
      <c r="AI127" t="n">
        <v>124</v>
      </c>
      <c r="AJ127">
        <f>IF(124&gt;Passengers,"",MATCH(124,R$4:R$183,0))</f>
        <v/>
      </c>
      <c r="AK127">
        <f>IF(AJ127="","",INDEX($B$4:$B$183,AJ127))</f>
        <v/>
      </c>
      <c r="AL127">
        <f>IF(AJ127="","",INDEX($C$4:$C$183,AJ127))</f>
        <v/>
      </c>
      <c r="AM127">
        <f>IF(AJ127="","",INDEX($D$4:$D$183,AJ127))</f>
        <v/>
      </c>
      <c r="AN127">
        <f>IF(AJ127="","",COUNTIFS($B$4:$B$183,AK127,$C$4:$C$183,AL127,$D$4:$D$183,"&gt;"&amp;AM127,R$4:R$183,"&lt;"&amp;124,$G$4:$G$183,1))</f>
        <v/>
      </c>
      <c r="AO127">
        <f>IF(AJ127="","",INDEX($M$4:$M$183,AJ127)+IF(AN127=1,Shuffle1,IF(AN127&gt;=2,Shuffle2,0)))</f>
        <v/>
      </c>
      <c r="AP127">
        <f>IF(AJ127="","",MAX(DoorGap*123,SUMPRODUCT(MAX((AK$4:AK126&lt;=AK127)*AQ$4:AQ126)),SUMPRODUCT(MAX((AK$4:AK126&gt;AK127)*AP$4:AP126))+Headway))</f>
        <v/>
      </c>
      <c r="AQ127">
        <f>IF(AJ127="","",AP127+AO127)</f>
        <v/>
      </c>
      <c r="AR127">
        <f>IF(AJ127="","",AQ127+AK127*WalkSec)</f>
        <v/>
      </c>
      <c r="AS127" t="n">
        <v>124</v>
      </c>
      <c r="AT127">
        <f>IF(124&gt;Passengers,"",MATCH(124,V$4:V$183,0))</f>
        <v/>
      </c>
      <c r="AU127">
        <f>IF(AT127="","",INDEX($B$4:$B$183,AT127))</f>
        <v/>
      </c>
      <c r="AV127">
        <f>IF(AT127="","",INDEX($C$4:$C$183,AT127))</f>
        <v/>
      </c>
      <c r="AW127">
        <f>IF(AT127="","",INDEX($D$4:$D$183,AT127))</f>
        <v/>
      </c>
      <c r="AX127">
        <f>IF(AT127="","",COUNTIFS($B$4:$B$183,AU127,$C$4:$C$183,AV127,$D$4:$D$183,"&gt;"&amp;AW127,V$4:V$183,"&lt;"&amp;124,$G$4:$G$183,1))</f>
        <v/>
      </c>
      <c r="AY127">
        <f>IF(AT127="","",INDEX($M$4:$M$183,AT127)+IF(AX127=1,Shuffle1,IF(AX127&gt;=2,Shuffle2,0)))</f>
        <v/>
      </c>
      <c r="AZ127">
        <f>IF(AT127="","",MAX(DoorGap*123,SUMPRODUCT(MAX((AU$4:AU126&lt;=AU127)*BA$4:BA126)),SUMPRODUCT(MAX((AU$4:AU126&gt;AU127)*AZ$4:AZ126))+Headway))</f>
        <v/>
      </c>
      <c r="BA127">
        <f>IF(AT127="","",AZ127+AY127)</f>
        <v/>
      </c>
      <c r="BB127">
        <f>IF(AT127="","",BA127+AU127*WalkSec)</f>
        <v/>
      </c>
      <c r="BC127" t="n">
        <v>124</v>
      </c>
      <c r="BD127">
        <f>IF(124&gt;Passengers,"",MATCH(124,Z$4:Z$183,0))</f>
        <v/>
      </c>
      <c r="BE127">
        <f>IF(BD127="","",INDEX($B$4:$B$183,BD127))</f>
        <v/>
      </c>
      <c r="BF127">
        <f>IF(BD127="","",INDEX($C$4:$C$183,BD127))</f>
        <v/>
      </c>
      <c r="BG127">
        <f>IF(BD127="","",INDEX($D$4:$D$183,BD127))</f>
        <v/>
      </c>
      <c r="BH127">
        <f>IF(BD127="","",COUNTIFS($B$4:$B$183,BE127,$C$4:$C$183,BF127,$D$4:$D$183,"&gt;"&amp;BG127,Z$4:Z$183,"&lt;"&amp;124,$G$4:$G$183,1))</f>
        <v/>
      </c>
      <c r="BI127">
        <f>IF(BD127="","",INDEX($M$4:$M$183,BD127)+IF(BH127=1,Shuffle1,IF(BH127&gt;=2,Shuffle2,0)))</f>
        <v/>
      </c>
      <c r="BJ127">
        <f>IF(BD127="","",MAX(DoorGap*123,SUMPRODUCT(MAX((BE$4:BE126&lt;=BE127)*BK$4:BK126)),SUMPRODUCT(MAX((BE$4:BE126&gt;BE127)*BJ$4:BJ126))+Headway))</f>
        <v/>
      </c>
      <c r="BK127">
        <f>IF(BD127="","",BJ127+BI127)</f>
        <v/>
      </c>
      <c r="BL127">
        <f>IF(BD127="","",BK127+BE127*WalkSec)</f>
        <v/>
      </c>
      <c r="BM127" t="n">
        <v>124</v>
      </c>
      <c r="BN127">
        <f>IF(124&gt;Passengers,"",MATCH(124,AD$4:AD$183,0))</f>
        <v/>
      </c>
      <c r="BO127">
        <f>IF(BN127="","",INDEX($B$4:$B$183,BN127))</f>
        <v/>
      </c>
      <c r="BP127">
        <f>IF(BN127="","",INDEX($C$4:$C$183,BN127))</f>
        <v/>
      </c>
      <c r="BQ127">
        <f>IF(BN127="","",INDEX($D$4:$D$183,BN127))</f>
        <v/>
      </c>
      <c r="BR127">
        <f>IF(BN127="","",COUNTIFS($B$4:$B$183,BO127,$C$4:$C$183,BP127,$D$4:$D$183,"&gt;"&amp;BQ127,AD$4:AD$183,"&lt;"&amp;124,$G$4:$G$183,1))</f>
        <v/>
      </c>
      <c r="BS127">
        <f>IF(BN127="","",INDEX($M$4:$M$183,BN127)+IF(BR127=1,Shuffle1,IF(BR127&gt;=2,Shuffle2,0)))</f>
        <v/>
      </c>
      <c r="BT127">
        <f>IF(BN127="","",MAX(DoorGap*123,SUMPRODUCT(MAX((BO$4:BO126&lt;=BO127)*BU$4:BU126)),SUMPRODUCT(MAX((BO$4:BO126&gt;BO127)*BT$4:BT126))+Headway))</f>
        <v/>
      </c>
      <c r="BU127">
        <f>IF(BN127="","",BT127+BS127)</f>
        <v/>
      </c>
      <c r="BV127">
        <f>IF(BN127="","",BU127+BO127*WalkSec)</f>
        <v/>
      </c>
      <c r="BW127">
        <f>IF($G127=0,"",INDEX(AR$4:AR$183,R127))</f>
        <v/>
      </c>
      <c r="BX127">
        <f>IF($G127=0,"",INDEX(BB$4:BB$183,V127))</f>
        <v/>
      </c>
      <c r="BY127">
        <f>IF($G127=0,"",INDEX(BL$4:BL$183,Z127))</f>
        <v/>
      </c>
      <c r="BZ127">
        <f>IF($G127=0,"",INDEX(BV$4:BV$183,AD127))</f>
        <v/>
      </c>
    </row>
    <row r="128">
      <c r="A128" t="n">
        <v>125</v>
      </c>
      <c r="B128" t="n">
        <v>21</v>
      </c>
      <c r="C128" t="n">
        <v>2</v>
      </c>
      <c r="D128" t="n">
        <v>2</v>
      </c>
      <c r="E128" t="n">
        <v>42</v>
      </c>
      <c r="F128">
        <f>RAND()</f>
        <v/>
      </c>
      <c r="G128">
        <f>IF(SUMPRODUCT(($F$4:$F$183&lt;F128)*1)+SUMPRODUCT(($F$4:$F$183=F128)*($A$4:$A$183&lt;A128))&lt;Passengers,1,0)</f>
        <v/>
      </c>
      <c r="H128">
        <f>RAND()</f>
        <v/>
      </c>
      <c r="I128">
        <f>RAND()</f>
        <v/>
      </c>
      <c r="J128">
        <f>RAND()</f>
        <v/>
      </c>
      <c r="K128">
        <f>RAND()</f>
        <v/>
      </c>
      <c r="L128">
        <f>RAND()</f>
        <v/>
      </c>
      <c r="M128">
        <f>IF(K128&lt;BagShare,EXP(NORMSINV(L128)*StowSigma+StowMu),StowNoBag)</f>
        <v/>
      </c>
      <c r="N128">
        <f>IF(INDEX($AG$4:$AG$63,E128)&lt;GroupShare,1,0)</f>
        <v/>
      </c>
      <c r="P128">
        <f>IF(G128=1,IF(I128&gt;Compliance,J128,$H128),2)</f>
        <v/>
      </c>
      <c r="Q128">
        <f>IF(G128=0,2,IF(N128=0,P128,1-SUMPRODUCT(MAX(($E$4:$E$183=E128)*($G$4:$G$183=1)*(1-P$4:P$183)))+0.000000001*D128))</f>
        <v/>
      </c>
      <c r="R128">
        <f>IF(G128=0,999,SUMPRODUCT((Q$4:Q$183&lt;Q128)*($G$4:$G$183=1))+SUMPRODUCT((Q$4:Q$183=Q128)*($G$4:$G$183=1)*($A$4:$A$183&lt;A128))+1)</f>
        <v/>
      </c>
      <c r="T128">
        <f>IF(G128=1,IF(I128&gt;Compliance,J128,(INT((30-$B128)/(30/Zones))+$H128)/Zones),2)</f>
        <v/>
      </c>
      <c r="U128">
        <f>IF(G128=0,2,IF(N128=0,T128,1-SUMPRODUCT(MAX(($E$4:$E$183=E128)*($G$4:$G$183=1)*(1-T$4:T$183)))+0.000000001*D128))</f>
        <v/>
      </c>
      <c r="V128">
        <f>IF(G128=0,999,SUMPRODUCT((U$4:U$183&lt;U128)*($G$4:$G$183=1))+SUMPRODUCT((U$4:U$183=U128)*($G$4:$G$183=1)*($A$4:$A$183&lt;A128))+1)</f>
        <v/>
      </c>
      <c r="X128">
        <f>IF(G128=1,IF(I128&gt;Compliance,J128,(($D128-1)+$H128)/3),2)</f>
        <v/>
      </c>
      <c r="Y128">
        <f>IF(G128=0,2,IF(N128=0,X128,1-SUMPRODUCT(MAX(($E$4:$E$183=E128)*($G$4:$G$183=1)*(1-X$4:X$183)))+0.000000001*D128))</f>
        <v/>
      </c>
      <c r="Z128">
        <f>IF(G128=0,999,SUMPRODUCT((Y$4:Y$183&lt;Y128)*($G$4:$G$183=1))+SUMPRODUCT((Y$4:Y$183=Y128)*($G$4:$G$183=1)*($A$4:$A$183&lt;A128))+1)</f>
        <v/>
      </c>
      <c r="AB128">
        <f>IF(G128=1,IF(I128&gt;Compliance,J128,((($D128-1)*4+($C128-1)*2+MOD($B128,2))+(30-$B128)/30)/12),2)</f>
        <v/>
      </c>
      <c r="AC128">
        <f>IF(G128=0,2,IF(N128=0,AB128,1-SUMPRODUCT(MAX(($E$4:$E$183=E128)*($G$4:$G$183=1)*(1-AB$4:AB$183)))+0.000000001*D128))</f>
        <v/>
      </c>
      <c r="AD128">
        <f>IF(G128=0,999,SUMPRODUCT((AC$4:AC$183&lt;AC128)*($G$4:$G$183=1))+SUMPRODUCT((AC$4:AC$183=AC128)*($G$4:$G$183=1)*($A$4:$A$183&lt;A128))+1)</f>
        <v/>
      </c>
      <c r="AI128" t="n">
        <v>125</v>
      </c>
      <c r="AJ128">
        <f>IF(125&gt;Passengers,"",MATCH(125,R$4:R$183,0))</f>
        <v/>
      </c>
      <c r="AK128">
        <f>IF(AJ128="","",INDEX($B$4:$B$183,AJ128))</f>
        <v/>
      </c>
      <c r="AL128">
        <f>IF(AJ128="","",INDEX($C$4:$C$183,AJ128))</f>
        <v/>
      </c>
      <c r="AM128">
        <f>IF(AJ128="","",INDEX($D$4:$D$183,AJ128))</f>
        <v/>
      </c>
      <c r="AN128">
        <f>IF(AJ128="","",COUNTIFS($B$4:$B$183,AK128,$C$4:$C$183,AL128,$D$4:$D$183,"&gt;"&amp;AM128,R$4:R$183,"&lt;"&amp;125,$G$4:$G$183,1))</f>
        <v/>
      </c>
      <c r="AO128">
        <f>IF(AJ128="","",INDEX($M$4:$M$183,AJ128)+IF(AN128=1,Shuffle1,IF(AN128&gt;=2,Shuffle2,0)))</f>
        <v/>
      </c>
      <c r="AP128">
        <f>IF(AJ128="","",MAX(DoorGap*124,SUMPRODUCT(MAX((AK$4:AK127&lt;=AK128)*AQ$4:AQ127)),SUMPRODUCT(MAX((AK$4:AK127&gt;AK128)*AP$4:AP127))+Headway))</f>
        <v/>
      </c>
      <c r="AQ128">
        <f>IF(AJ128="","",AP128+AO128)</f>
        <v/>
      </c>
      <c r="AR128">
        <f>IF(AJ128="","",AQ128+AK128*WalkSec)</f>
        <v/>
      </c>
      <c r="AS128" t="n">
        <v>125</v>
      </c>
      <c r="AT128">
        <f>IF(125&gt;Passengers,"",MATCH(125,V$4:V$183,0))</f>
        <v/>
      </c>
      <c r="AU128">
        <f>IF(AT128="","",INDEX($B$4:$B$183,AT128))</f>
        <v/>
      </c>
      <c r="AV128">
        <f>IF(AT128="","",INDEX($C$4:$C$183,AT128))</f>
        <v/>
      </c>
      <c r="AW128">
        <f>IF(AT128="","",INDEX($D$4:$D$183,AT128))</f>
        <v/>
      </c>
      <c r="AX128">
        <f>IF(AT128="","",COUNTIFS($B$4:$B$183,AU128,$C$4:$C$183,AV128,$D$4:$D$183,"&gt;"&amp;AW128,V$4:V$183,"&lt;"&amp;125,$G$4:$G$183,1))</f>
        <v/>
      </c>
      <c r="AY128">
        <f>IF(AT128="","",INDEX($M$4:$M$183,AT128)+IF(AX128=1,Shuffle1,IF(AX128&gt;=2,Shuffle2,0)))</f>
        <v/>
      </c>
      <c r="AZ128">
        <f>IF(AT128="","",MAX(DoorGap*124,SUMPRODUCT(MAX((AU$4:AU127&lt;=AU128)*BA$4:BA127)),SUMPRODUCT(MAX((AU$4:AU127&gt;AU128)*AZ$4:AZ127))+Headway))</f>
        <v/>
      </c>
      <c r="BA128">
        <f>IF(AT128="","",AZ128+AY128)</f>
        <v/>
      </c>
      <c r="BB128">
        <f>IF(AT128="","",BA128+AU128*WalkSec)</f>
        <v/>
      </c>
      <c r="BC128" t="n">
        <v>125</v>
      </c>
      <c r="BD128">
        <f>IF(125&gt;Passengers,"",MATCH(125,Z$4:Z$183,0))</f>
        <v/>
      </c>
      <c r="BE128">
        <f>IF(BD128="","",INDEX($B$4:$B$183,BD128))</f>
        <v/>
      </c>
      <c r="BF128">
        <f>IF(BD128="","",INDEX($C$4:$C$183,BD128))</f>
        <v/>
      </c>
      <c r="BG128">
        <f>IF(BD128="","",INDEX($D$4:$D$183,BD128))</f>
        <v/>
      </c>
      <c r="BH128">
        <f>IF(BD128="","",COUNTIFS($B$4:$B$183,BE128,$C$4:$C$183,BF128,$D$4:$D$183,"&gt;"&amp;BG128,Z$4:Z$183,"&lt;"&amp;125,$G$4:$G$183,1))</f>
        <v/>
      </c>
      <c r="BI128">
        <f>IF(BD128="","",INDEX($M$4:$M$183,BD128)+IF(BH128=1,Shuffle1,IF(BH128&gt;=2,Shuffle2,0)))</f>
        <v/>
      </c>
      <c r="BJ128">
        <f>IF(BD128="","",MAX(DoorGap*124,SUMPRODUCT(MAX((BE$4:BE127&lt;=BE128)*BK$4:BK127)),SUMPRODUCT(MAX((BE$4:BE127&gt;BE128)*BJ$4:BJ127))+Headway))</f>
        <v/>
      </c>
      <c r="BK128">
        <f>IF(BD128="","",BJ128+BI128)</f>
        <v/>
      </c>
      <c r="BL128">
        <f>IF(BD128="","",BK128+BE128*WalkSec)</f>
        <v/>
      </c>
      <c r="BM128" t="n">
        <v>125</v>
      </c>
      <c r="BN128">
        <f>IF(125&gt;Passengers,"",MATCH(125,AD$4:AD$183,0))</f>
        <v/>
      </c>
      <c r="BO128">
        <f>IF(BN128="","",INDEX($B$4:$B$183,BN128))</f>
        <v/>
      </c>
      <c r="BP128">
        <f>IF(BN128="","",INDEX($C$4:$C$183,BN128))</f>
        <v/>
      </c>
      <c r="BQ128">
        <f>IF(BN128="","",INDEX($D$4:$D$183,BN128))</f>
        <v/>
      </c>
      <c r="BR128">
        <f>IF(BN128="","",COUNTIFS($B$4:$B$183,BO128,$C$4:$C$183,BP128,$D$4:$D$183,"&gt;"&amp;BQ128,AD$4:AD$183,"&lt;"&amp;125,$G$4:$G$183,1))</f>
        <v/>
      </c>
      <c r="BS128">
        <f>IF(BN128="","",INDEX($M$4:$M$183,BN128)+IF(BR128=1,Shuffle1,IF(BR128&gt;=2,Shuffle2,0)))</f>
        <v/>
      </c>
      <c r="BT128">
        <f>IF(BN128="","",MAX(DoorGap*124,SUMPRODUCT(MAX((BO$4:BO127&lt;=BO128)*BU$4:BU127)),SUMPRODUCT(MAX((BO$4:BO127&gt;BO128)*BT$4:BT127))+Headway))</f>
        <v/>
      </c>
      <c r="BU128">
        <f>IF(BN128="","",BT128+BS128)</f>
        <v/>
      </c>
      <c r="BV128">
        <f>IF(BN128="","",BU128+BO128*WalkSec)</f>
        <v/>
      </c>
      <c r="BW128">
        <f>IF($G128=0,"",INDEX(AR$4:AR$183,R128))</f>
        <v/>
      </c>
      <c r="BX128">
        <f>IF($G128=0,"",INDEX(BB$4:BB$183,V128))</f>
        <v/>
      </c>
      <c r="BY128">
        <f>IF($G128=0,"",INDEX(BL$4:BL$183,Z128))</f>
        <v/>
      </c>
      <c r="BZ128">
        <f>IF($G128=0,"",INDEX(BV$4:BV$183,AD128))</f>
        <v/>
      </c>
    </row>
    <row r="129">
      <c r="A129" t="n">
        <v>126</v>
      </c>
      <c r="B129" t="n">
        <v>21</v>
      </c>
      <c r="C129" t="n">
        <v>2</v>
      </c>
      <c r="D129" t="n">
        <v>3</v>
      </c>
      <c r="E129" t="n">
        <v>42</v>
      </c>
      <c r="F129">
        <f>RAND()</f>
        <v/>
      </c>
      <c r="G129">
        <f>IF(SUMPRODUCT(($F$4:$F$183&lt;F129)*1)+SUMPRODUCT(($F$4:$F$183=F129)*($A$4:$A$183&lt;A129))&lt;Passengers,1,0)</f>
        <v/>
      </c>
      <c r="H129">
        <f>RAND()</f>
        <v/>
      </c>
      <c r="I129">
        <f>RAND()</f>
        <v/>
      </c>
      <c r="J129">
        <f>RAND()</f>
        <v/>
      </c>
      <c r="K129">
        <f>RAND()</f>
        <v/>
      </c>
      <c r="L129">
        <f>RAND()</f>
        <v/>
      </c>
      <c r="M129">
        <f>IF(K129&lt;BagShare,EXP(NORMSINV(L129)*StowSigma+StowMu),StowNoBag)</f>
        <v/>
      </c>
      <c r="N129">
        <f>IF(INDEX($AG$4:$AG$63,E129)&lt;GroupShare,1,0)</f>
        <v/>
      </c>
      <c r="P129">
        <f>IF(G129=1,IF(I129&gt;Compliance,J129,$H129),2)</f>
        <v/>
      </c>
      <c r="Q129">
        <f>IF(G129=0,2,IF(N129=0,P129,1-SUMPRODUCT(MAX(($E$4:$E$183=E129)*($G$4:$G$183=1)*(1-P$4:P$183)))+0.000000001*D129))</f>
        <v/>
      </c>
      <c r="R129">
        <f>IF(G129=0,999,SUMPRODUCT((Q$4:Q$183&lt;Q129)*($G$4:$G$183=1))+SUMPRODUCT((Q$4:Q$183=Q129)*($G$4:$G$183=1)*($A$4:$A$183&lt;A129))+1)</f>
        <v/>
      </c>
      <c r="T129">
        <f>IF(G129=1,IF(I129&gt;Compliance,J129,(INT((30-$B129)/(30/Zones))+$H129)/Zones),2)</f>
        <v/>
      </c>
      <c r="U129">
        <f>IF(G129=0,2,IF(N129=0,T129,1-SUMPRODUCT(MAX(($E$4:$E$183=E129)*($G$4:$G$183=1)*(1-T$4:T$183)))+0.000000001*D129))</f>
        <v/>
      </c>
      <c r="V129">
        <f>IF(G129=0,999,SUMPRODUCT((U$4:U$183&lt;U129)*($G$4:$G$183=1))+SUMPRODUCT((U$4:U$183=U129)*($G$4:$G$183=1)*($A$4:$A$183&lt;A129))+1)</f>
        <v/>
      </c>
      <c r="X129">
        <f>IF(G129=1,IF(I129&gt;Compliance,J129,(($D129-1)+$H129)/3),2)</f>
        <v/>
      </c>
      <c r="Y129">
        <f>IF(G129=0,2,IF(N129=0,X129,1-SUMPRODUCT(MAX(($E$4:$E$183=E129)*($G$4:$G$183=1)*(1-X$4:X$183)))+0.000000001*D129))</f>
        <v/>
      </c>
      <c r="Z129">
        <f>IF(G129=0,999,SUMPRODUCT((Y$4:Y$183&lt;Y129)*($G$4:$G$183=1))+SUMPRODUCT((Y$4:Y$183=Y129)*($G$4:$G$183=1)*($A$4:$A$183&lt;A129))+1)</f>
        <v/>
      </c>
      <c r="AB129">
        <f>IF(G129=1,IF(I129&gt;Compliance,J129,((($D129-1)*4+($C129-1)*2+MOD($B129,2))+(30-$B129)/30)/12),2)</f>
        <v/>
      </c>
      <c r="AC129">
        <f>IF(G129=0,2,IF(N129=0,AB129,1-SUMPRODUCT(MAX(($E$4:$E$183=E129)*($G$4:$G$183=1)*(1-AB$4:AB$183)))+0.000000001*D129))</f>
        <v/>
      </c>
      <c r="AD129">
        <f>IF(G129=0,999,SUMPRODUCT((AC$4:AC$183&lt;AC129)*($G$4:$G$183=1))+SUMPRODUCT((AC$4:AC$183=AC129)*($G$4:$G$183=1)*($A$4:$A$183&lt;A129))+1)</f>
        <v/>
      </c>
      <c r="AI129" t="n">
        <v>126</v>
      </c>
      <c r="AJ129">
        <f>IF(126&gt;Passengers,"",MATCH(126,R$4:R$183,0))</f>
        <v/>
      </c>
      <c r="AK129">
        <f>IF(AJ129="","",INDEX($B$4:$B$183,AJ129))</f>
        <v/>
      </c>
      <c r="AL129">
        <f>IF(AJ129="","",INDEX($C$4:$C$183,AJ129))</f>
        <v/>
      </c>
      <c r="AM129">
        <f>IF(AJ129="","",INDEX($D$4:$D$183,AJ129))</f>
        <v/>
      </c>
      <c r="AN129">
        <f>IF(AJ129="","",COUNTIFS($B$4:$B$183,AK129,$C$4:$C$183,AL129,$D$4:$D$183,"&gt;"&amp;AM129,R$4:R$183,"&lt;"&amp;126,$G$4:$G$183,1))</f>
        <v/>
      </c>
      <c r="AO129">
        <f>IF(AJ129="","",INDEX($M$4:$M$183,AJ129)+IF(AN129=1,Shuffle1,IF(AN129&gt;=2,Shuffle2,0)))</f>
        <v/>
      </c>
      <c r="AP129">
        <f>IF(AJ129="","",MAX(DoorGap*125,SUMPRODUCT(MAX((AK$4:AK128&lt;=AK129)*AQ$4:AQ128)),SUMPRODUCT(MAX((AK$4:AK128&gt;AK129)*AP$4:AP128))+Headway))</f>
        <v/>
      </c>
      <c r="AQ129">
        <f>IF(AJ129="","",AP129+AO129)</f>
        <v/>
      </c>
      <c r="AR129">
        <f>IF(AJ129="","",AQ129+AK129*WalkSec)</f>
        <v/>
      </c>
      <c r="AS129" t="n">
        <v>126</v>
      </c>
      <c r="AT129">
        <f>IF(126&gt;Passengers,"",MATCH(126,V$4:V$183,0))</f>
        <v/>
      </c>
      <c r="AU129">
        <f>IF(AT129="","",INDEX($B$4:$B$183,AT129))</f>
        <v/>
      </c>
      <c r="AV129">
        <f>IF(AT129="","",INDEX($C$4:$C$183,AT129))</f>
        <v/>
      </c>
      <c r="AW129">
        <f>IF(AT129="","",INDEX($D$4:$D$183,AT129))</f>
        <v/>
      </c>
      <c r="AX129">
        <f>IF(AT129="","",COUNTIFS($B$4:$B$183,AU129,$C$4:$C$183,AV129,$D$4:$D$183,"&gt;"&amp;AW129,V$4:V$183,"&lt;"&amp;126,$G$4:$G$183,1))</f>
        <v/>
      </c>
      <c r="AY129">
        <f>IF(AT129="","",INDEX($M$4:$M$183,AT129)+IF(AX129=1,Shuffle1,IF(AX129&gt;=2,Shuffle2,0)))</f>
        <v/>
      </c>
      <c r="AZ129">
        <f>IF(AT129="","",MAX(DoorGap*125,SUMPRODUCT(MAX((AU$4:AU128&lt;=AU129)*BA$4:BA128)),SUMPRODUCT(MAX((AU$4:AU128&gt;AU129)*AZ$4:AZ128))+Headway))</f>
        <v/>
      </c>
      <c r="BA129">
        <f>IF(AT129="","",AZ129+AY129)</f>
        <v/>
      </c>
      <c r="BB129">
        <f>IF(AT129="","",BA129+AU129*WalkSec)</f>
        <v/>
      </c>
      <c r="BC129" t="n">
        <v>126</v>
      </c>
      <c r="BD129">
        <f>IF(126&gt;Passengers,"",MATCH(126,Z$4:Z$183,0))</f>
        <v/>
      </c>
      <c r="BE129">
        <f>IF(BD129="","",INDEX($B$4:$B$183,BD129))</f>
        <v/>
      </c>
      <c r="BF129">
        <f>IF(BD129="","",INDEX($C$4:$C$183,BD129))</f>
        <v/>
      </c>
      <c r="BG129">
        <f>IF(BD129="","",INDEX($D$4:$D$183,BD129))</f>
        <v/>
      </c>
      <c r="BH129">
        <f>IF(BD129="","",COUNTIFS($B$4:$B$183,BE129,$C$4:$C$183,BF129,$D$4:$D$183,"&gt;"&amp;BG129,Z$4:Z$183,"&lt;"&amp;126,$G$4:$G$183,1))</f>
        <v/>
      </c>
      <c r="BI129">
        <f>IF(BD129="","",INDEX($M$4:$M$183,BD129)+IF(BH129=1,Shuffle1,IF(BH129&gt;=2,Shuffle2,0)))</f>
        <v/>
      </c>
      <c r="BJ129">
        <f>IF(BD129="","",MAX(DoorGap*125,SUMPRODUCT(MAX((BE$4:BE128&lt;=BE129)*BK$4:BK128)),SUMPRODUCT(MAX((BE$4:BE128&gt;BE129)*BJ$4:BJ128))+Headway))</f>
        <v/>
      </c>
      <c r="BK129">
        <f>IF(BD129="","",BJ129+BI129)</f>
        <v/>
      </c>
      <c r="BL129">
        <f>IF(BD129="","",BK129+BE129*WalkSec)</f>
        <v/>
      </c>
      <c r="BM129" t="n">
        <v>126</v>
      </c>
      <c r="BN129">
        <f>IF(126&gt;Passengers,"",MATCH(126,AD$4:AD$183,0))</f>
        <v/>
      </c>
      <c r="BO129">
        <f>IF(BN129="","",INDEX($B$4:$B$183,BN129))</f>
        <v/>
      </c>
      <c r="BP129">
        <f>IF(BN129="","",INDEX($C$4:$C$183,BN129))</f>
        <v/>
      </c>
      <c r="BQ129">
        <f>IF(BN129="","",INDEX($D$4:$D$183,BN129))</f>
        <v/>
      </c>
      <c r="BR129">
        <f>IF(BN129="","",COUNTIFS($B$4:$B$183,BO129,$C$4:$C$183,BP129,$D$4:$D$183,"&gt;"&amp;BQ129,AD$4:AD$183,"&lt;"&amp;126,$G$4:$G$183,1))</f>
        <v/>
      </c>
      <c r="BS129">
        <f>IF(BN129="","",INDEX($M$4:$M$183,BN129)+IF(BR129=1,Shuffle1,IF(BR129&gt;=2,Shuffle2,0)))</f>
        <v/>
      </c>
      <c r="BT129">
        <f>IF(BN129="","",MAX(DoorGap*125,SUMPRODUCT(MAX((BO$4:BO128&lt;=BO129)*BU$4:BU128)),SUMPRODUCT(MAX((BO$4:BO128&gt;BO129)*BT$4:BT128))+Headway))</f>
        <v/>
      </c>
      <c r="BU129">
        <f>IF(BN129="","",BT129+BS129)</f>
        <v/>
      </c>
      <c r="BV129">
        <f>IF(BN129="","",BU129+BO129*WalkSec)</f>
        <v/>
      </c>
      <c r="BW129">
        <f>IF($G129=0,"",INDEX(AR$4:AR$183,R129))</f>
        <v/>
      </c>
      <c r="BX129">
        <f>IF($G129=0,"",INDEX(BB$4:BB$183,V129))</f>
        <v/>
      </c>
      <c r="BY129">
        <f>IF($G129=0,"",INDEX(BL$4:BL$183,Z129))</f>
        <v/>
      </c>
      <c r="BZ129">
        <f>IF($G129=0,"",INDEX(BV$4:BV$183,AD129))</f>
        <v/>
      </c>
    </row>
    <row r="130">
      <c r="A130" t="n">
        <v>127</v>
      </c>
      <c r="B130" t="n">
        <v>22</v>
      </c>
      <c r="C130" t="n">
        <v>1</v>
      </c>
      <c r="D130" t="n">
        <v>1</v>
      </c>
      <c r="E130" t="n">
        <v>43</v>
      </c>
      <c r="F130">
        <f>RAND()</f>
        <v/>
      </c>
      <c r="G130">
        <f>IF(SUMPRODUCT(($F$4:$F$183&lt;F130)*1)+SUMPRODUCT(($F$4:$F$183=F130)*($A$4:$A$183&lt;A130))&lt;Passengers,1,0)</f>
        <v/>
      </c>
      <c r="H130">
        <f>RAND()</f>
        <v/>
      </c>
      <c r="I130">
        <f>RAND()</f>
        <v/>
      </c>
      <c r="J130">
        <f>RAND()</f>
        <v/>
      </c>
      <c r="K130">
        <f>RAND()</f>
        <v/>
      </c>
      <c r="L130">
        <f>RAND()</f>
        <v/>
      </c>
      <c r="M130">
        <f>IF(K130&lt;BagShare,EXP(NORMSINV(L130)*StowSigma+StowMu),StowNoBag)</f>
        <v/>
      </c>
      <c r="N130">
        <f>IF(INDEX($AG$4:$AG$63,E130)&lt;GroupShare,1,0)</f>
        <v/>
      </c>
      <c r="P130">
        <f>IF(G130=1,IF(I130&gt;Compliance,J130,$H130),2)</f>
        <v/>
      </c>
      <c r="Q130">
        <f>IF(G130=0,2,IF(N130=0,P130,1-SUMPRODUCT(MAX(($E$4:$E$183=E130)*($G$4:$G$183=1)*(1-P$4:P$183)))+0.000000001*D130))</f>
        <v/>
      </c>
      <c r="R130">
        <f>IF(G130=0,999,SUMPRODUCT((Q$4:Q$183&lt;Q130)*($G$4:$G$183=1))+SUMPRODUCT((Q$4:Q$183=Q130)*($G$4:$G$183=1)*($A$4:$A$183&lt;A130))+1)</f>
        <v/>
      </c>
      <c r="T130">
        <f>IF(G130=1,IF(I130&gt;Compliance,J130,(INT((30-$B130)/(30/Zones))+$H130)/Zones),2)</f>
        <v/>
      </c>
      <c r="U130">
        <f>IF(G130=0,2,IF(N130=0,T130,1-SUMPRODUCT(MAX(($E$4:$E$183=E130)*($G$4:$G$183=1)*(1-T$4:T$183)))+0.000000001*D130))</f>
        <v/>
      </c>
      <c r="V130">
        <f>IF(G130=0,999,SUMPRODUCT((U$4:U$183&lt;U130)*($G$4:$G$183=1))+SUMPRODUCT((U$4:U$183=U130)*($G$4:$G$183=1)*($A$4:$A$183&lt;A130))+1)</f>
        <v/>
      </c>
      <c r="X130">
        <f>IF(G130=1,IF(I130&gt;Compliance,J130,(($D130-1)+$H130)/3),2)</f>
        <v/>
      </c>
      <c r="Y130">
        <f>IF(G130=0,2,IF(N130=0,X130,1-SUMPRODUCT(MAX(($E$4:$E$183=E130)*($G$4:$G$183=1)*(1-X$4:X$183)))+0.000000001*D130))</f>
        <v/>
      </c>
      <c r="Z130">
        <f>IF(G130=0,999,SUMPRODUCT((Y$4:Y$183&lt;Y130)*($G$4:$G$183=1))+SUMPRODUCT((Y$4:Y$183=Y130)*($G$4:$G$183=1)*($A$4:$A$183&lt;A130))+1)</f>
        <v/>
      </c>
      <c r="AB130">
        <f>IF(G130=1,IF(I130&gt;Compliance,J130,((($D130-1)*4+($C130-1)*2+MOD($B130,2))+(30-$B130)/30)/12),2)</f>
        <v/>
      </c>
      <c r="AC130">
        <f>IF(G130=0,2,IF(N130=0,AB130,1-SUMPRODUCT(MAX(($E$4:$E$183=E130)*($G$4:$G$183=1)*(1-AB$4:AB$183)))+0.000000001*D130))</f>
        <v/>
      </c>
      <c r="AD130">
        <f>IF(G130=0,999,SUMPRODUCT((AC$4:AC$183&lt;AC130)*($G$4:$G$183=1))+SUMPRODUCT((AC$4:AC$183=AC130)*($G$4:$G$183=1)*($A$4:$A$183&lt;A130))+1)</f>
        <v/>
      </c>
      <c r="AI130" t="n">
        <v>127</v>
      </c>
      <c r="AJ130">
        <f>IF(127&gt;Passengers,"",MATCH(127,R$4:R$183,0))</f>
        <v/>
      </c>
      <c r="AK130">
        <f>IF(AJ130="","",INDEX($B$4:$B$183,AJ130))</f>
        <v/>
      </c>
      <c r="AL130">
        <f>IF(AJ130="","",INDEX($C$4:$C$183,AJ130))</f>
        <v/>
      </c>
      <c r="AM130">
        <f>IF(AJ130="","",INDEX($D$4:$D$183,AJ130))</f>
        <v/>
      </c>
      <c r="AN130">
        <f>IF(AJ130="","",COUNTIFS($B$4:$B$183,AK130,$C$4:$C$183,AL130,$D$4:$D$183,"&gt;"&amp;AM130,R$4:R$183,"&lt;"&amp;127,$G$4:$G$183,1))</f>
        <v/>
      </c>
      <c r="AO130">
        <f>IF(AJ130="","",INDEX($M$4:$M$183,AJ130)+IF(AN130=1,Shuffle1,IF(AN130&gt;=2,Shuffle2,0)))</f>
        <v/>
      </c>
      <c r="AP130">
        <f>IF(AJ130="","",MAX(DoorGap*126,SUMPRODUCT(MAX((AK$4:AK129&lt;=AK130)*AQ$4:AQ129)),SUMPRODUCT(MAX((AK$4:AK129&gt;AK130)*AP$4:AP129))+Headway))</f>
        <v/>
      </c>
      <c r="AQ130">
        <f>IF(AJ130="","",AP130+AO130)</f>
        <v/>
      </c>
      <c r="AR130">
        <f>IF(AJ130="","",AQ130+AK130*WalkSec)</f>
        <v/>
      </c>
      <c r="AS130" t="n">
        <v>127</v>
      </c>
      <c r="AT130">
        <f>IF(127&gt;Passengers,"",MATCH(127,V$4:V$183,0))</f>
        <v/>
      </c>
      <c r="AU130">
        <f>IF(AT130="","",INDEX($B$4:$B$183,AT130))</f>
        <v/>
      </c>
      <c r="AV130">
        <f>IF(AT130="","",INDEX($C$4:$C$183,AT130))</f>
        <v/>
      </c>
      <c r="AW130">
        <f>IF(AT130="","",INDEX($D$4:$D$183,AT130))</f>
        <v/>
      </c>
      <c r="AX130">
        <f>IF(AT130="","",COUNTIFS($B$4:$B$183,AU130,$C$4:$C$183,AV130,$D$4:$D$183,"&gt;"&amp;AW130,V$4:V$183,"&lt;"&amp;127,$G$4:$G$183,1))</f>
        <v/>
      </c>
      <c r="AY130">
        <f>IF(AT130="","",INDEX($M$4:$M$183,AT130)+IF(AX130=1,Shuffle1,IF(AX130&gt;=2,Shuffle2,0)))</f>
        <v/>
      </c>
      <c r="AZ130">
        <f>IF(AT130="","",MAX(DoorGap*126,SUMPRODUCT(MAX((AU$4:AU129&lt;=AU130)*BA$4:BA129)),SUMPRODUCT(MAX((AU$4:AU129&gt;AU130)*AZ$4:AZ129))+Headway))</f>
        <v/>
      </c>
      <c r="BA130">
        <f>IF(AT130="","",AZ130+AY130)</f>
        <v/>
      </c>
      <c r="BB130">
        <f>IF(AT130="","",BA130+AU130*WalkSec)</f>
        <v/>
      </c>
      <c r="BC130" t="n">
        <v>127</v>
      </c>
      <c r="BD130">
        <f>IF(127&gt;Passengers,"",MATCH(127,Z$4:Z$183,0))</f>
        <v/>
      </c>
      <c r="BE130">
        <f>IF(BD130="","",INDEX($B$4:$B$183,BD130))</f>
        <v/>
      </c>
      <c r="BF130">
        <f>IF(BD130="","",INDEX($C$4:$C$183,BD130))</f>
        <v/>
      </c>
      <c r="BG130">
        <f>IF(BD130="","",INDEX($D$4:$D$183,BD130))</f>
        <v/>
      </c>
      <c r="BH130">
        <f>IF(BD130="","",COUNTIFS($B$4:$B$183,BE130,$C$4:$C$183,BF130,$D$4:$D$183,"&gt;"&amp;BG130,Z$4:Z$183,"&lt;"&amp;127,$G$4:$G$183,1))</f>
        <v/>
      </c>
      <c r="BI130">
        <f>IF(BD130="","",INDEX($M$4:$M$183,BD130)+IF(BH130=1,Shuffle1,IF(BH130&gt;=2,Shuffle2,0)))</f>
        <v/>
      </c>
      <c r="BJ130">
        <f>IF(BD130="","",MAX(DoorGap*126,SUMPRODUCT(MAX((BE$4:BE129&lt;=BE130)*BK$4:BK129)),SUMPRODUCT(MAX((BE$4:BE129&gt;BE130)*BJ$4:BJ129))+Headway))</f>
        <v/>
      </c>
      <c r="BK130">
        <f>IF(BD130="","",BJ130+BI130)</f>
        <v/>
      </c>
      <c r="BL130">
        <f>IF(BD130="","",BK130+BE130*WalkSec)</f>
        <v/>
      </c>
      <c r="BM130" t="n">
        <v>127</v>
      </c>
      <c r="BN130">
        <f>IF(127&gt;Passengers,"",MATCH(127,AD$4:AD$183,0))</f>
        <v/>
      </c>
      <c r="BO130">
        <f>IF(BN130="","",INDEX($B$4:$B$183,BN130))</f>
        <v/>
      </c>
      <c r="BP130">
        <f>IF(BN130="","",INDEX($C$4:$C$183,BN130))</f>
        <v/>
      </c>
      <c r="BQ130">
        <f>IF(BN130="","",INDEX($D$4:$D$183,BN130))</f>
        <v/>
      </c>
      <c r="BR130">
        <f>IF(BN130="","",COUNTIFS($B$4:$B$183,BO130,$C$4:$C$183,BP130,$D$4:$D$183,"&gt;"&amp;BQ130,AD$4:AD$183,"&lt;"&amp;127,$G$4:$G$183,1))</f>
        <v/>
      </c>
      <c r="BS130">
        <f>IF(BN130="","",INDEX($M$4:$M$183,BN130)+IF(BR130=1,Shuffle1,IF(BR130&gt;=2,Shuffle2,0)))</f>
        <v/>
      </c>
      <c r="BT130">
        <f>IF(BN130="","",MAX(DoorGap*126,SUMPRODUCT(MAX((BO$4:BO129&lt;=BO130)*BU$4:BU129)),SUMPRODUCT(MAX((BO$4:BO129&gt;BO130)*BT$4:BT129))+Headway))</f>
        <v/>
      </c>
      <c r="BU130">
        <f>IF(BN130="","",BT130+BS130)</f>
        <v/>
      </c>
      <c r="BV130">
        <f>IF(BN130="","",BU130+BO130*WalkSec)</f>
        <v/>
      </c>
      <c r="BW130">
        <f>IF($G130=0,"",INDEX(AR$4:AR$183,R130))</f>
        <v/>
      </c>
      <c r="BX130">
        <f>IF($G130=0,"",INDEX(BB$4:BB$183,V130))</f>
        <v/>
      </c>
      <c r="BY130">
        <f>IF($G130=0,"",INDEX(BL$4:BL$183,Z130))</f>
        <v/>
      </c>
      <c r="BZ130">
        <f>IF($G130=0,"",INDEX(BV$4:BV$183,AD130))</f>
        <v/>
      </c>
    </row>
    <row r="131">
      <c r="A131" t="n">
        <v>128</v>
      </c>
      <c r="B131" t="n">
        <v>22</v>
      </c>
      <c r="C131" t="n">
        <v>1</v>
      </c>
      <c r="D131" t="n">
        <v>2</v>
      </c>
      <c r="E131" t="n">
        <v>43</v>
      </c>
      <c r="F131">
        <f>RAND()</f>
        <v/>
      </c>
      <c r="G131">
        <f>IF(SUMPRODUCT(($F$4:$F$183&lt;F131)*1)+SUMPRODUCT(($F$4:$F$183=F131)*($A$4:$A$183&lt;A131))&lt;Passengers,1,0)</f>
        <v/>
      </c>
      <c r="H131">
        <f>RAND()</f>
        <v/>
      </c>
      <c r="I131">
        <f>RAND()</f>
        <v/>
      </c>
      <c r="J131">
        <f>RAND()</f>
        <v/>
      </c>
      <c r="K131">
        <f>RAND()</f>
        <v/>
      </c>
      <c r="L131">
        <f>RAND()</f>
        <v/>
      </c>
      <c r="M131">
        <f>IF(K131&lt;BagShare,EXP(NORMSINV(L131)*StowSigma+StowMu),StowNoBag)</f>
        <v/>
      </c>
      <c r="N131">
        <f>IF(INDEX($AG$4:$AG$63,E131)&lt;GroupShare,1,0)</f>
        <v/>
      </c>
      <c r="P131">
        <f>IF(G131=1,IF(I131&gt;Compliance,J131,$H131),2)</f>
        <v/>
      </c>
      <c r="Q131">
        <f>IF(G131=0,2,IF(N131=0,P131,1-SUMPRODUCT(MAX(($E$4:$E$183=E131)*($G$4:$G$183=1)*(1-P$4:P$183)))+0.000000001*D131))</f>
        <v/>
      </c>
      <c r="R131">
        <f>IF(G131=0,999,SUMPRODUCT((Q$4:Q$183&lt;Q131)*($G$4:$G$183=1))+SUMPRODUCT((Q$4:Q$183=Q131)*($G$4:$G$183=1)*($A$4:$A$183&lt;A131))+1)</f>
        <v/>
      </c>
      <c r="T131">
        <f>IF(G131=1,IF(I131&gt;Compliance,J131,(INT((30-$B131)/(30/Zones))+$H131)/Zones),2)</f>
        <v/>
      </c>
      <c r="U131">
        <f>IF(G131=0,2,IF(N131=0,T131,1-SUMPRODUCT(MAX(($E$4:$E$183=E131)*($G$4:$G$183=1)*(1-T$4:T$183)))+0.000000001*D131))</f>
        <v/>
      </c>
      <c r="V131">
        <f>IF(G131=0,999,SUMPRODUCT((U$4:U$183&lt;U131)*($G$4:$G$183=1))+SUMPRODUCT((U$4:U$183=U131)*($G$4:$G$183=1)*($A$4:$A$183&lt;A131))+1)</f>
        <v/>
      </c>
      <c r="X131">
        <f>IF(G131=1,IF(I131&gt;Compliance,J131,(($D131-1)+$H131)/3),2)</f>
        <v/>
      </c>
      <c r="Y131">
        <f>IF(G131=0,2,IF(N131=0,X131,1-SUMPRODUCT(MAX(($E$4:$E$183=E131)*($G$4:$G$183=1)*(1-X$4:X$183)))+0.000000001*D131))</f>
        <v/>
      </c>
      <c r="Z131">
        <f>IF(G131=0,999,SUMPRODUCT((Y$4:Y$183&lt;Y131)*($G$4:$G$183=1))+SUMPRODUCT((Y$4:Y$183=Y131)*($G$4:$G$183=1)*($A$4:$A$183&lt;A131))+1)</f>
        <v/>
      </c>
      <c r="AB131">
        <f>IF(G131=1,IF(I131&gt;Compliance,J131,((($D131-1)*4+($C131-1)*2+MOD($B131,2))+(30-$B131)/30)/12),2)</f>
        <v/>
      </c>
      <c r="AC131">
        <f>IF(G131=0,2,IF(N131=0,AB131,1-SUMPRODUCT(MAX(($E$4:$E$183=E131)*($G$4:$G$183=1)*(1-AB$4:AB$183)))+0.000000001*D131))</f>
        <v/>
      </c>
      <c r="AD131">
        <f>IF(G131=0,999,SUMPRODUCT((AC$4:AC$183&lt;AC131)*($G$4:$G$183=1))+SUMPRODUCT((AC$4:AC$183=AC131)*($G$4:$G$183=1)*($A$4:$A$183&lt;A131))+1)</f>
        <v/>
      </c>
      <c r="AI131" t="n">
        <v>128</v>
      </c>
      <c r="AJ131">
        <f>IF(128&gt;Passengers,"",MATCH(128,R$4:R$183,0))</f>
        <v/>
      </c>
      <c r="AK131">
        <f>IF(AJ131="","",INDEX($B$4:$B$183,AJ131))</f>
        <v/>
      </c>
      <c r="AL131">
        <f>IF(AJ131="","",INDEX($C$4:$C$183,AJ131))</f>
        <v/>
      </c>
      <c r="AM131">
        <f>IF(AJ131="","",INDEX($D$4:$D$183,AJ131))</f>
        <v/>
      </c>
      <c r="AN131">
        <f>IF(AJ131="","",COUNTIFS($B$4:$B$183,AK131,$C$4:$C$183,AL131,$D$4:$D$183,"&gt;"&amp;AM131,R$4:R$183,"&lt;"&amp;128,$G$4:$G$183,1))</f>
        <v/>
      </c>
      <c r="AO131">
        <f>IF(AJ131="","",INDEX($M$4:$M$183,AJ131)+IF(AN131=1,Shuffle1,IF(AN131&gt;=2,Shuffle2,0)))</f>
        <v/>
      </c>
      <c r="AP131">
        <f>IF(AJ131="","",MAX(DoorGap*127,SUMPRODUCT(MAX((AK$4:AK130&lt;=AK131)*AQ$4:AQ130)),SUMPRODUCT(MAX((AK$4:AK130&gt;AK131)*AP$4:AP130))+Headway))</f>
        <v/>
      </c>
      <c r="AQ131">
        <f>IF(AJ131="","",AP131+AO131)</f>
        <v/>
      </c>
      <c r="AR131">
        <f>IF(AJ131="","",AQ131+AK131*WalkSec)</f>
        <v/>
      </c>
      <c r="AS131" t="n">
        <v>128</v>
      </c>
      <c r="AT131">
        <f>IF(128&gt;Passengers,"",MATCH(128,V$4:V$183,0))</f>
        <v/>
      </c>
      <c r="AU131">
        <f>IF(AT131="","",INDEX($B$4:$B$183,AT131))</f>
        <v/>
      </c>
      <c r="AV131">
        <f>IF(AT131="","",INDEX($C$4:$C$183,AT131))</f>
        <v/>
      </c>
      <c r="AW131">
        <f>IF(AT131="","",INDEX($D$4:$D$183,AT131))</f>
        <v/>
      </c>
      <c r="AX131">
        <f>IF(AT131="","",COUNTIFS($B$4:$B$183,AU131,$C$4:$C$183,AV131,$D$4:$D$183,"&gt;"&amp;AW131,V$4:V$183,"&lt;"&amp;128,$G$4:$G$183,1))</f>
        <v/>
      </c>
      <c r="AY131">
        <f>IF(AT131="","",INDEX($M$4:$M$183,AT131)+IF(AX131=1,Shuffle1,IF(AX131&gt;=2,Shuffle2,0)))</f>
        <v/>
      </c>
      <c r="AZ131">
        <f>IF(AT131="","",MAX(DoorGap*127,SUMPRODUCT(MAX((AU$4:AU130&lt;=AU131)*BA$4:BA130)),SUMPRODUCT(MAX((AU$4:AU130&gt;AU131)*AZ$4:AZ130))+Headway))</f>
        <v/>
      </c>
      <c r="BA131">
        <f>IF(AT131="","",AZ131+AY131)</f>
        <v/>
      </c>
      <c r="BB131">
        <f>IF(AT131="","",BA131+AU131*WalkSec)</f>
        <v/>
      </c>
      <c r="BC131" t="n">
        <v>128</v>
      </c>
      <c r="BD131">
        <f>IF(128&gt;Passengers,"",MATCH(128,Z$4:Z$183,0))</f>
        <v/>
      </c>
      <c r="BE131">
        <f>IF(BD131="","",INDEX($B$4:$B$183,BD131))</f>
        <v/>
      </c>
      <c r="BF131">
        <f>IF(BD131="","",INDEX($C$4:$C$183,BD131))</f>
        <v/>
      </c>
      <c r="BG131">
        <f>IF(BD131="","",INDEX($D$4:$D$183,BD131))</f>
        <v/>
      </c>
      <c r="BH131">
        <f>IF(BD131="","",COUNTIFS($B$4:$B$183,BE131,$C$4:$C$183,BF131,$D$4:$D$183,"&gt;"&amp;BG131,Z$4:Z$183,"&lt;"&amp;128,$G$4:$G$183,1))</f>
        <v/>
      </c>
      <c r="BI131">
        <f>IF(BD131="","",INDEX($M$4:$M$183,BD131)+IF(BH131=1,Shuffle1,IF(BH131&gt;=2,Shuffle2,0)))</f>
        <v/>
      </c>
      <c r="BJ131">
        <f>IF(BD131="","",MAX(DoorGap*127,SUMPRODUCT(MAX((BE$4:BE130&lt;=BE131)*BK$4:BK130)),SUMPRODUCT(MAX((BE$4:BE130&gt;BE131)*BJ$4:BJ130))+Headway))</f>
        <v/>
      </c>
      <c r="BK131">
        <f>IF(BD131="","",BJ131+BI131)</f>
        <v/>
      </c>
      <c r="BL131">
        <f>IF(BD131="","",BK131+BE131*WalkSec)</f>
        <v/>
      </c>
      <c r="BM131" t="n">
        <v>128</v>
      </c>
      <c r="BN131">
        <f>IF(128&gt;Passengers,"",MATCH(128,AD$4:AD$183,0))</f>
        <v/>
      </c>
      <c r="BO131">
        <f>IF(BN131="","",INDEX($B$4:$B$183,BN131))</f>
        <v/>
      </c>
      <c r="BP131">
        <f>IF(BN131="","",INDEX($C$4:$C$183,BN131))</f>
        <v/>
      </c>
      <c r="BQ131">
        <f>IF(BN131="","",INDEX($D$4:$D$183,BN131))</f>
        <v/>
      </c>
      <c r="BR131">
        <f>IF(BN131="","",COUNTIFS($B$4:$B$183,BO131,$C$4:$C$183,BP131,$D$4:$D$183,"&gt;"&amp;BQ131,AD$4:AD$183,"&lt;"&amp;128,$G$4:$G$183,1))</f>
        <v/>
      </c>
      <c r="BS131">
        <f>IF(BN131="","",INDEX($M$4:$M$183,BN131)+IF(BR131=1,Shuffle1,IF(BR131&gt;=2,Shuffle2,0)))</f>
        <v/>
      </c>
      <c r="BT131">
        <f>IF(BN131="","",MAX(DoorGap*127,SUMPRODUCT(MAX((BO$4:BO130&lt;=BO131)*BU$4:BU130)),SUMPRODUCT(MAX((BO$4:BO130&gt;BO131)*BT$4:BT130))+Headway))</f>
        <v/>
      </c>
      <c r="BU131">
        <f>IF(BN131="","",BT131+BS131)</f>
        <v/>
      </c>
      <c r="BV131">
        <f>IF(BN131="","",BU131+BO131*WalkSec)</f>
        <v/>
      </c>
      <c r="BW131">
        <f>IF($G131=0,"",INDEX(AR$4:AR$183,R131))</f>
        <v/>
      </c>
      <c r="BX131">
        <f>IF($G131=0,"",INDEX(BB$4:BB$183,V131))</f>
        <v/>
      </c>
      <c r="BY131">
        <f>IF($G131=0,"",INDEX(BL$4:BL$183,Z131))</f>
        <v/>
      </c>
      <c r="BZ131">
        <f>IF($G131=0,"",INDEX(BV$4:BV$183,AD131))</f>
        <v/>
      </c>
    </row>
    <row r="132">
      <c r="A132" t="n">
        <v>129</v>
      </c>
      <c r="B132" t="n">
        <v>22</v>
      </c>
      <c r="C132" t="n">
        <v>1</v>
      </c>
      <c r="D132" t="n">
        <v>3</v>
      </c>
      <c r="E132" t="n">
        <v>43</v>
      </c>
      <c r="F132">
        <f>RAND()</f>
        <v/>
      </c>
      <c r="G132">
        <f>IF(SUMPRODUCT(($F$4:$F$183&lt;F132)*1)+SUMPRODUCT(($F$4:$F$183=F132)*($A$4:$A$183&lt;A132))&lt;Passengers,1,0)</f>
        <v/>
      </c>
      <c r="H132">
        <f>RAND()</f>
        <v/>
      </c>
      <c r="I132">
        <f>RAND()</f>
        <v/>
      </c>
      <c r="J132">
        <f>RAND()</f>
        <v/>
      </c>
      <c r="K132">
        <f>RAND()</f>
        <v/>
      </c>
      <c r="L132">
        <f>RAND()</f>
        <v/>
      </c>
      <c r="M132">
        <f>IF(K132&lt;BagShare,EXP(NORMSINV(L132)*StowSigma+StowMu),StowNoBag)</f>
        <v/>
      </c>
      <c r="N132">
        <f>IF(INDEX($AG$4:$AG$63,E132)&lt;GroupShare,1,0)</f>
        <v/>
      </c>
      <c r="P132">
        <f>IF(G132=1,IF(I132&gt;Compliance,J132,$H132),2)</f>
        <v/>
      </c>
      <c r="Q132">
        <f>IF(G132=0,2,IF(N132=0,P132,1-SUMPRODUCT(MAX(($E$4:$E$183=E132)*($G$4:$G$183=1)*(1-P$4:P$183)))+0.000000001*D132))</f>
        <v/>
      </c>
      <c r="R132">
        <f>IF(G132=0,999,SUMPRODUCT((Q$4:Q$183&lt;Q132)*($G$4:$G$183=1))+SUMPRODUCT((Q$4:Q$183=Q132)*($G$4:$G$183=1)*($A$4:$A$183&lt;A132))+1)</f>
        <v/>
      </c>
      <c r="T132">
        <f>IF(G132=1,IF(I132&gt;Compliance,J132,(INT((30-$B132)/(30/Zones))+$H132)/Zones),2)</f>
        <v/>
      </c>
      <c r="U132">
        <f>IF(G132=0,2,IF(N132=0,T132,1-SUMPRODUCT(MAX(($E$4:$E$183=E132)*($G$4:$G$183=1)*(1-T$4:T$183)))+0.000000001*D132))</f>
        <v/>
      </c>
      <c r="V132">
        <f>IF(G132=0,999,SUMPRODUCT((U$4:U$183&lt;U132)*($G$4:$G$183=1))+SUMPRODUCT((U$4:U$183=U132)*($G$4:$G$183=1)*($A$4:$A$183&lt;A132))+1)</f>
        <v/>
      </c>
      <c r="X132">
        <f>IF(G132=1,IF(I132&gt;Compliance,J132,(($D132-1)+$H132)/3),2)</f>
        <v/>
      </c>
      <c r="Y132">
        <f>IF(G132=0,2,IF(N132=0,X132,1-SUMPRODUCT(MAX(($E$4:$E$183=E132)*($G$4:$G$183=1)*(1-X$4:X$183)))+0.000000001*D132))</f>
        <v/>
      </c>
      <c r="Z132">
        <f>IF(G132=0,999,SUMPRODUCT((Y$4:Y$183&lt;Y132)*($G$4:$G$183=1))+SUMPRODUCT((Y$4:Y$183=Y132)*($G$4:$G$183=1)*($A$4:$A$183&lt;A132))+1)</f>
        <v/>
      </c>
      <c r="AB132">
        <f>IF(G132=1,IF(I132&gt;Compliance,J132,((($D132-1)*4+($C132-1)*2+MOD($B132,2))+(30-$B132)/30)/12),2)</f>
        <v/>
      </c>
      <c r="AC132">
        <f>IF(G132=0,2,IF(N132=0,AB132,1-SUMPRODUCT(MAX(($E$4:$E$183=E132)*($G$4:$G$183=1)*(1-AB$4:AB$183)))+0.000000001*D132))</f>
        <v/>
      </c>
      <c r="AD132">
        <f>IF(G132=0,999,SUMPRODUCT((AC$4:AC$183&lt;AC132)*($G$4:$G$183=1))+SUMPRODUCT((AC$4:AC$183=AC132)*($G$4:$G$183=1)*($A$4:$A$183&lt;A132))+1)</f>
        <v/>
      </c>
      <c r="AI132" t="n">
        <v>129</v>
      </c>
      <c r="AJ132">
        <f>IF(129&gt;Passengers,"",MATCH(129,R$4:R$183,0))</f>
        <v/>
      </c>
      <c r="AK132">
        <f>IF(AJ132="","",INDEX($B$4:$B$183,AJ132))</f>
        <v/>
      </c>
      <c r="AL132">
        <f>IF(AJ132="","",INDEX($C$4:$C$183,AJ132))</f>
        <v/>
      </c>
      <c r="AM132">
        <f>IF(AJ132="","",INDEX($D$4:$D$183,AJ132))</f>
        <v/>
      </c>
      <c r="AN132">
        <f>IF(AJ132="","",COUNTIFS($B$4:$B$183,AK132,$C$4:$C$183,AL132,$D$4:$D$183,"&gt;"&amp;AM132,R$4:R$183,"&lt;"&amp;129,$G$4:$G$183,1))</f>
        <v/>
      </c>
      <c r="AO132">
        <f>IF(AJ132="","",INDEX($M$4:$M$183,AJ132)+IF(AN132=1,Shuffle1,IF(AN132&gt;=2,Shuffle2,0)))</f>
        <v/>
      </c>
      <c r="AP132">
        <f>IF(AJ132="","",MAX(DoorGap*128,SUMPRODUCT(MAX((AK$4:AK131&lt;=AK132)*AQ$4:AQ131)),SUMPRODUCT(MAX((AK$4:AK131&gt;AK132)*AP$4:AP131))+Headway))</f>
        <v/>
      </c>
      <c r="AQ132">
        <f>IF(AJ132="","",AP132+AO132)</f>
        <v/>
      </c>
      <c r="AR132">
        <f>IF(AJ132="","",AQ132+AK132*WalkSec)</f>
        <v/>
      </c>
      <c r="AS132" t="n">
        <v>129</v>
      </c>
      <c r="AT132">
        <f>IF(129&gt;Passengers,"",MATCH(129,V$4:V$183,0))</f>
        <v/>
      </c>
      <c r="AU132">
        <f>IF(AT132="","",INDEX($B$4:$B$183,AT132))</f>
        <v/>
      </c>
      <c r="AV132">
        <f>IF(AT132="","",INDEX($C$4:$C$183,AT132))</f>
        <v/>
      </c>
      <c r="AW132">
        <f>IF(AT132="","",INDEX($D$4:$D$183,AT132))</f>
        <v/>
      </c>
      <c r="AX132">
        <f>IF(AT132="","",COUNTIFS($B$4:$B$183,AU132,$C$4:$C$183,AV132,$D$4:$D$183,"&gt;"&amp;AW132,V$4:V$183,"&lt;"&amp;129,$G$4:$G$183,1))</f>
        <v/>
      </c>
      <c r="AY132">
        <f>IF(AT132="","",INDEX($M$4:$M$183,AT132)+IF(AX132=1,Shuffle1,IF(AX132&gt;=2,Shuffle2,0)))</f>
        <v/>
      </c>
      <c r="AZ132">
        <f>IF(AT132="","",MAX(DoorGap*128,SUMPRODUCT(MAX((AU$4:AU131&lt;=AU132)*BA$4:BA131)),SUMPRODUCT(MAX((AU$4:AU131&gt;AU132)*AZ$4:AZ131))+Headway))</f>
        <v/>
      </c>
      <c r="BA132">
        <f>IF(AT132="","",AZ132+AY132)</f>
        <v/>
      </c>
      <c r="BB132">
        <f>IF(AT132="","",BA132+AU132*WalkSec)</f>
        <v/>
      </c>
      <c r="BC132" t="n">
        <v>129</v>
      </c>
      <c r="BD132">
        <f>IF(129&gt;Passengers,"",MATCH(129,Z$4:Z$183,0))</f>
        <v/>
      </c>
      <c r="BE132">
        <f>IF(BD132="","",INDEX($B$4:$B$183,BD132))</f>
        <v/>
      </c>
      <c r="BF132">
        <f>IF(BD132="","",INDEX($C$4:$C$183,BD132))</f>
        <v/>
      </c>
      <c r="BG132">
        <f>IF(BD132="","",INDEX($D$4:$D$183,BD132))</f>
        <v/>
      </c>
      <c r="BH132">
        <f>IF(BD132="","",COUNTIFS($B$4:$B$183,BE132,$C$4:$C$183,BF132,$D$4:$D$183,"&gt;"&amp;BG132,Z$4:Z$183,"&lt;"&amp;129,$G$4:$G$183,1))</f>
        <v/>
      </c>
      <c r="BI132">
        <f>IF(BD132="","",INDEX($M$4:$M$183,BD132)+IF(BH132=1,Shuffle1,IF(BH132&gt;=2,Shuffle2,0)))</f>
        <v/>
      </c>
      <c r="BJ132">
        <f>IF(BD132="","",MAX(DoorGap*128,SUMPRODUCT(MAX((BE$4:BE131&lt;=BE132)*BK$4:BK131)),SUMPRODUCT(MAX((BE$4:BE131&gt;BE132)*BJ$4:BJ131))+Headway))</f>
        <v/>
      </c>
      <c r="BK132">
        <f>IF(BD132="","",BJ132+BI132)</f>
        <v/>
      </c>
      <c r="BL132">
        <f>IF(BD132="","",BK132+BE132*WalkSec)</f>
        <v/>
      </c>
      <c r="BM132" t="n">
        <v>129</v>
      </c>
      <c r="BN132">
        <f>IF(129&gt;Passengers,"",MATCH(129,AD$4:AD$183,0))</f>
        <v/>
      </c>
      <c r="BO132">
        <f>IF(BN132="","",INDEX($B$4:$B$183,BN132))</f>
        <v/>
      </c>
      <c r="BP132">
        <f>IF(BN132="","",INDEX($C$4:$C$183,BN132))</f>
        <v/>
      </c>
      <c r="BQ132">
        <f>IF(BN132="","",INDEX($D$4:$D$183,BN132))</f>
        <v/>
      </c>
      <c r="BR132">
        <f>IF(BN132="","",COUNTIFS($B$4:$B$183,BO132,$C$4:$C$183,BP132,$D$4:$D$183,"&gt;"&amp;BQ132,AD$4:AD$183,"&lt;"&amp;129,$G$4:$G$183,1))</f>
        <v/>
      </c>
      <c r="BS132">
        <f>IF(BN132="","",INDEX($M$4:$M$183,BN132)+IF(BR132=1,Shuffle1,IF(BR132&gt;=2,Shuffle2,0)))</f>
        <v/>
      </c>
      <c r="BT132">
        <f>IF(BN132="","",MAX(DoorGap*128,SUMPRODUCT(MAX((BO$4:BO131&lt;=BO132)*BU$4:BU131)),SUMPRODUCT(MAX((BO$4:BO131&gt;BO132)*BT$4:BT131))+Headway))</f>
        <v/>
      </c>
      <c r="BU132">
        <f>IF(BN132="","",BT132+BS132)</f>
        <v/>
      </c>
      <c r="BV132">
        <f>IF(BN132="","",BU132+BO132*WalkSec)</f>
        <v/>
      </c>
      <c r="BW132">
        <f>IF($G132=0,"",INDEX(AR$4:AR$183,R132))</f>
        <v/>
      </c>
      <c r="BX132">
        <f>IF($G132=0,"",INDEX(BB$4:BB$183,V132))</f>
        <v/>
      </c>
      <c r="BY132">
        <f>IF($G132=0,"",INDEX(BL$4:BL$183,Z132))</f>
        <v/>
      </c>
      <c r="BZ132">
        <f>IF($G132=0,"",INDEX(BV$4:BV$183,AD132))</f>
        <v/>
      </c>
    </row>
    <row r="133">
      <c r="A133" t="n">
        <v>130</v>
      </c>
      <c r="B133" t="n">
        <v>22</v>
      </c>
      <c r="C133" t="n">
        <v>2</v>
      </c>
      <c r="D133" t="n">
        <v>1</v>
      </c>
      <c r="E133" t="n">
        <v>44</v>
      </c>
      <c r="F133">
        <f>RAND()</f>
        <v/>
      </c>
      <c r="G133">
        <f>IF(SUMPRODUCT(($F$4:$F$183&lt;F133)*1)+SUMPRODUCT(($F$4:$F$183=F133)*($A$4:$A$183&lt;A133))&lt;Passengers,1,0)</f>
        <v/>
      </c>
      <c r="H133">
        <f>RAND()</f>
        <v/>
      </c>
      <c r="I133">
        <f>RAND()</f>
        <v/>
      </c>
      <c r="J133">
        <f>RAND()</f>
        <v/>
      </c>
      <c r="K133">
        <f>RAND()</f>
        <v/>
      </c>
      <c r="L133">
        <f>RAND()</f>
        <v/>
      </c>
      <c r="M133">
        <f>IF(K133&lt;BagShare,EXP(NORMSINV(L133)*StowSigma+StowMu),StowNoBag)</f>
        <v/>
      </c>
      <c r="N133">
        <f>IF(INDEX($AG$4:$AG$63,E133)&lt;GroupShare,1,0)</f>
        <v/>
      </c>
      <c r="P133">
        <f>IF(G133=1,IF(I133&gt;Compliance,J133,$H133),2)</f>
        <v/>
      </c>
      <c r="Q133">
        <f>IF(G133=0,2,IF(N133=0,P133,1-SUMPRODUCT(MAX(($E$4:$E$183=E133)*($G$4:$G$183=1)*(1-P$4:P$183)))+0.000000001*D133))</f>
        <v/>
      </c>
      <c r="R133">
        <f>IF(G133=0,999,SUMPRODUCT((Q$4:Q$183&lt;Q133)*($G$4:$G$183=1))+SUMPRODUCT((Q$4:Q$183=Q133)*($G$4:$G$183=1)*($A$4:$A$183&lt;A133))+1)</f>
        <v/>
      </c>
      <c r="T133">
        <f>IF(G133=1,IF(I133&gt;Compliance,J133,(INT((30-$B133)/(30/Zones))+$H133)/Zones),2)</f>
        <v/>
      </c>
      <c r="U133">
        <f>IF(G133=0,2,IF(N133=0,T133,1-SUMPRODUCT(MAX(($E$4:$E$183=E133)*($G$4:$G$183=1)*(1-T$4:T$183)))+0.000000001*D133))</f>
        <v/>
      </c>
      <c r="V133">
        <f>IF(G133=0,999,SUMPRODUCT((U$4:U$183&lt;U133)*($G$4:$G$183=1))+SUMPRODUCT((U$4:U$183=U133)*($G$4:$G$183=1)*($A$4:$A$183&lt;A133))+1)</f>
        <v/>
      </c>
      <c r="X133">
        <f>IF(G133=1,IF(I133&gt;Compliance,J133,(($D133-1)+$H133)/3),2)</f>
        <v/>
      </c>
      <c r="Y133">
        <f>IF(G133=0,2,IF(N133=0,X133,1-SUMPRODUCT(MAX(($E$4:$E$183=E133)*($G$4:$G$183=1)*(1-X$4:X$183)))+0.000000001*D133))</f>
        <v/>
      </c>
      <c r="Z133">
        <f>IF(G133=0,999,SUMPRODUCT((Y$4:Y$183&lt;Y133)*($G$4:$G$183=1))+SUMPRODUCT((Y$4:Y$183=Y133)*($G$4:$G$183=1)*($A$4:$A$183&lt;A133))+1)</f>
        <v/>
      </c>
      <c r="AB133">
        <f>IF(G133=1,IF(I133&gt;Compliance,J133,((($D133-1)*4+($C133-1)*2+MOD($B133,2))+(30-$B133)/30)/12),2)</f>
        <v/>
      </c>
      <c r="AC133">
        <f>IF(G133=0,2,IF(N133=0,AB133,1-SUMPRODUCT(MAX(($E$4:$E$183=E133)*($G$4:$G$183=1)*(1-AB$4:AB$183)))+0.000000001*D133))</f>
        <v/>
      </c>
      <c r="AD133">
        <f>IF(G133=0,999,SUMPRODUCT((AC$4:AC$183&lt;AC133)*($G$4:$G$183=1))+SUMPRODUCT((AC$4:AC$183=AC133)*($G$4:$G$183=1)*($A$4:$A$183&lt;A133))+1)</f>
        <v/>
      </c>
      <c r="AI133" t="n">
        <v>130</v>
      </c>
      <c r="AJ133">
        <f>IF(130&gt;Passengers,"",MATCH(130,R$4:R$183,0))</f>
        <v/>
      </c>
      <c r="AK133">
        <f>IF(AJ133="","",INDEX($B$4:$B$183,AJ133))</f>
        <v/>
      </c>
      <c r="AL133">
        <f>IF(AJ133="","",INDEX($C$4:$C$183,AJ133))</f>
        <v/>
      </c>
      <c r="AM133">
        <f>IF(AJ133="","",INDEX($D$4:$D$183,AJ133))</f>
        <v/>
      </c>
      <c r="AN133">
        <f>IF(AJ133="","",COUNTIFS($B$4:$B$183,AK133,$C$4:$C$183,AL133,$D$4:$D$183,"&gt;"&amp;AM133,R$4:R$183,"&lt;"&amp;130,$G$4:$G$183,1))</f>
        <v/>
      </c>
      <c r="AO133">
        <f>IF(AJ133="","",INDEX($M$4:$M$183,AJ133)+IF(AN133=1,Shuffle1,IF(AN133&gt;=2,Shuffle2,0)))</f>
        <v/>
      </c>
      <c r="AP133">
        <f>IF(AJ133="","",MAX(DoorGap*129,SUMPRODUCT(MAX((AK$4:AK132&lt;=AK133)*AQ$4:AQ132)),SUMPRODUCT(MAX((AK$4:AK132&gt;AK133)*AP$4:AP132))+Headway))</f>
        <v/>
      </c>
      <c r="AQ133">
        <f>IF(AJ133="","",AP133+AO133)</f>
        <v/>
      </c>
      <c r="AR133">
        <f>IF(AJ133="","",AQ133+AK133*WalkSec)</f>
        <v/>
      </c>
      <c r="AS133" t="n">
        <v>130</v>
      </c>
      <c r="AT133">
        <f>IF(130&gt;Passengers,"",MATCH(130,V$4:V$183,0))</f>
        <v/>
      </c>
      <c r="AU133">
        <f>IF(AT133="","",INDEX($B$4:$B$183,AT133))</f>
        <v/>
      </c>
      <c r="AV133">
        <f>IF(AT133="","",INDEX($C$4:$C$183,AT133))</f>
        <v/>
      </c>
      <c r="AW133">
        <f>IF(AT133="","",INDEX($D$4:$D$183,AT133))</f>
        <v/>
      </c>
      <c r="AX133">
        <f>IF(AT133="","",COUNTIFS($B$4:$B$183,AU133,$C$4:$C$183,AV133,$D$4:$D$183,"&gt;"&amp;AW133,V$4:V$183,"&lt;"&amp;130,$G$4:$G$183,1))</f>
        <v/>
      </c>
      <c r="AY133">
        <f>IF(AT133="","",INDEX($M$4:$M$183,AT133)+IF(AX133=1,Shuffle1,IF(AX133&gt;=2,Shuffle2,0)))</f>
        <v/>
      </c>
      <c r="AZ133">
        <f>IF(AT133="","",MAX(DoorGap*129,SUMPRODUCT(MAX((AU$4:AU132&lt;=AU133)*BA$4:BA132)),SUMPRODUCT(MAX((AU$4:AU132&gt;AU133)*AZ$4:AZ132))+Headway))</f>
        <v/>
      </c>
      <c r="BA133">
        <f>IF(AT133="","",AZ133+AY133)</f>
        <v/>
      </c>
      <c r="BB133">
        <f>IF(AT133="","",BA133+AU133*WalkSec)</f>
        <v/>
      </c>
      <c r="BC133" t="n">
        <v>130</v>
      </c>
      <c r="BD133">
        <f>IF(130&gt;Passengers,"",MATCH(130,Z$4:Z$183,0))</f>
        <v/>
      </c>
      <c r="BE133">
        <f>IF(BD133="","",INDEX($B$4:$B$183,BD133))</f>
        <v/>
      </c>
      <c r="BF133">
        <f>IF(BD133="","",INDEX($C$4:$C$183,BD133))</f>
        <v/>
      </c>
      <c r="BG133">
        <f>IF(BD133="","",INDEX($D$4:$D$183,BD133))</f>
        <v/>
      </c>
      <c r="BH133">
        <f>IF(BD133="","",COUNTIFS($B$4:$B$183,BE133,$C$4:$C$183,BF133,$D$4:$D$183,"&gt;"&amp;BG133,Z$4:Z$183,"&lt;"&amp;130,$G$4:$G$183,1))</f>
        <v/>
      </c>
      <c r="BI133">
        <f>IF(BD133="","",INDEX($M$4:$M$183,BD133)+IF(BH133=1,Shuffle1,IF(BH133&gt;=2,Shuffle2,0)))</f>
        <v/>
      </c>
      <c r="BJ133">
        <f>IF(BD133="","",MAX(DoorGap*129,SUMPRODUCT(MAX((BE$4:BE132&lt;=BE133)*BK$4:BK132)),SUMPRODUCT(MAX((BE$4:BE132&gt;BE133)*BJ$4:BJ132))+Headway))</f>
        <v/>
      </c>
      <c r="BK133">
        <f>IF(BD133="","",BJ133+BI133)</f>
        <v/>
      </c>
      <c r="BL133">
        <f>IF(BD133="","",BK133+BE133*WalkSec)</f>
        <v/>
      </c>
      <c r="BM133" t="n">
        <v>130</v>
      </c>
      <c r="BN133">
        <f>IF(130&gt;Passengers,"",MATCH(130,AD$4:AD$183,0))</f>
        <v/>
      </c>
      <c r="BO133">
        <f>IF(BN133="","",INDEX($B$4:$B$183,BN133))</f>
        <v/>
      </c>
      <c r="BP133">
        <f>IF(BN133="","",INDEX($C$4:$C$183,BN133))</f>
        <v/>
      </c>
      <c r="BQ133">
        <f>IF(BN133="","",INDEX($D$4:$D$183,BN133))</f>
        <v/>
      </c>
      <c r="BR133">
        <f>IF(BN133="","",COUNTIFS($B$4:$B$183,BO133,$C$4:$C$183,BP133,$D$4:$D$183,"&gt;"&amp;BQ133,AD$4:AD$183,"&lt;"&amp;130,$G$4:$G$183,1))</f>
        <v/>
      </c>
      <c r="BS133">
        <f>IF(BN133="","",INDEX($M$4:$M$183,BN133)+IF(BR133=1,Shuffle1,IF(BR133&gt;=2,Shuffle2,0)))</f>
        <v/>
      </c>
      <c r="BT133">
        <f>IF(BN133="","",MAX(DoorGap*129,SUMPRODUCT(MAX((BO$4:BO132&lt;=BO133)*BU$4:BU132)),SUMPRODUCT(MAX((BO$4:BO132&gt;BO133)*BT$4:BT132))+Headway))</f>
        <v/>
      </c>
      <c r="BU133">
        <f>IF(BN133="","",BT133+BS133)</f>
        <v/>
      </c>
      <c r="BV133">
        <f>IF(BN133="","",BU133+BO133*WalkSec)</f>
        <v/>
      </c>
      <c r="BW133">
        <f>IF($G133=0,"",INDEX(AR$4:AR$183,R133))</f>
        <v/>
      </c>
      <c r="BX133">
        <f>IF($G133=0,"",INDEX(BB$4:BB$183,V133))</f>
        <v/>
      </c>
      <c r="BY133">
        <f>IF($G133=0,"",INDEX(BL$4:BL$183,Z133))</f>
        <v/>
      </c>
      <c r="BZ133">
        <f>IF($G133=0,"",INDEX(BV$4:BV$183,AD133))</f>
        <v/>
      </c>
    </row>
    <row r="134">
      <c r="A134" t="n">
        <v>131</v>
      </c>
      <c r="B134" t="n">
        <v>22</v>
      </c>
      <c r="C134" t="n">
        <v>2</v>
      </c>
      <c r="D134" t="n">
        <v>2</v>
      </c>
      <c r="E134" t="n">
        <v>44</v>
      </c>
      <c r="F134">
        <f>RAND()</f>
        <v/>
      </c>
      <c r="G134">
        <f>IF(SUMPRODUCT(($F$4:$F$183&lt;F134)*1)+SUMPRODUCT(($F$4:$F$183=F134)*($A$4:$A$183&lt;A134))&lt;Passengers,1,0)</f>
        <v/>
      </c>
      <c r="H134">
        <f>RAND()</f>
        <v/>
      </c>
      <c r="I134">
        <f>RAND()</f>
        <v/>
      </c>
      <c r="J134">
        <f>RAND()</f>
        <v/>
      </c>
      <c r="K134">
        <f>RAND()</f>
        <v/>
      </c>
      <c r="L134">
        <f>RAND()</f>
        <v/>
      </c>
      <c r="M134">
        <f>IF(K134&lt;BagShare,EXP(NORMSINV(L134)*StowSigma+StowMu),StowNoBag)</f>
        <v/>
      </c>
      <c r="N134">
        <f>IF(INDEX($AG$4:$AG$63,E134)&lt;GroupShare,1,0)</f>
        <v/>
      </c>
      <c r="P134">
        <f>IF(G134=1,IF(I134&gt;Compliance,J134,$H134),2)</f>
        <v/>
      </c>
      <c r="Q134">
        <f>IF(G134=0,2,IF(N134=0,P134,1-SUMPRODUCT(MAX(($E$4:$E$183=E134)*($G$4:$G$183=1)*(1-P$4:P$183)))+0.000000001*D134))</f>
        <v/>
      </c>
      <c r="R134">
        <f>IF(G134=0,999,SUMPRODUCT((Q$4:Q$183&lt;Q134)*($G$4:$G$183=1))+SUMPRODUCT((Q$4:Q$183=Q134)*($G$4:$G$183=1)*($A$4:$A$183&lt;A134))+1)</f>
        <v/>
      </c>
      <c r="T134">
        <f>IF(G134=1,IF(I134&gt;Compliance,J134,(INT((30-$B134)/(30/Zones))+$H134)/Zones),2)</f>
        <v/>
      </c>
      <c r="U134">
        <f>IF(G134=0,2,IF(N134=0,T134,1-SUMPRODUCT(MAX(($E$4:$E$183=E134)*($G$4:$G$183=1)*(1-T$4:T$183)))+0.000000001*D134))</f>
        <v/>
      </c>
      <c r="V134">
        <f>IF(G134=0,999,SUMPRODUCT((U$4:U$183&lt;U134)*($G$4:$G$183=1))+SUMPRODUCT((U$4:U$183=U134)*($G$4:$G$183=1)*($A$4:$A$183&lt;A134))+1)</f>
        <v/>
      </c>
      <c r="X134">
        <f>IF(G134=1,IF(I134&gt;Compliance,J134,(($D134-1)+$H134)/3),2)</f>
        <v/>
      </c>
      <c r="Y134">
        <f>IF(G134=0,2,IF(N134=0,X134,1-SUMPRODUCT(MAX(($E$4:$E$183=E134)*($G$4:$G$183=1)*(1-X$4:X$183)))+0.000000001*D134))</f>
        <v/>
      </c>
      <c r="Z134">
        <f>IF(G134=0,999,SUMPRODUCT((Y$4:Y$183&lt;Y134)*($G$4:$G$183=1))+SUMPRODUCT((Y$4:Y$183=Y134)*($G$4:$G$183=1)*($A$4:$A$183&lt;A134))+1)</f>
        <v/>
      </c>
      <c r="AB134">
        <f>IF(G134=1,IF(I134&gt;Compliance,J134,((($D134-1)*4+($C134-1)*2+MOD($B134,2))+(30-$B134)/30)/12),2)</f>
        <v/>
      </c>
      <c r="AC134">
        <f>IF(G134=0,2,IF(N134=0,AB134,1-SUMPRODUCT(MAX(($E$4:$E$183=E134)*($G$4:$G$183=1)*(1-AB$4:AB$183)))+0.000000001*D134))</f>
        <v/>
      </c>
      <c r="AD134">
        <f>IF(G134=0,999,SUMPRODUCT((AC$4:AC$183&lt;AC134)*($G$4:$G$183=1))+SUMPRODUCT((AC$4:AC$183=AC134)*($G$4:$G$183=1)*($A$4:$A$183&lt;A134))+1)</f>
        <v/>
      </c>
      <c r="AI134" t="n">
        <v>131</v>
      </c>
      <c r="AJ134">
        <f>IF(131&gt;Passengers,"",MATCH(131,R$4:R$183,0))</f>
        <v/>
      </c>
      <c r="AK134">
        <f>IF(AJ134="","",INDEX($B$4:$B$183,AJ134))</f>
        <v/>
      </c>
      <c r="AL134">
        <f>IF(AJ134="","",INDEX($C$4:$C$183,AJ134))</f>
        <v/>
      </c>
      <c r="AM134">
        <f>IF(AJ134="","",INDEX($D$4:$D$183,AJ134))</f>
        <v/>
      </c>
      <c r="AN134">
        <f>IF(AJ134="","",COUNTIFS($B$4:$B$183,AK134,$C$4:$C$183,AL134,$D$4:$D$183,"&gt;"&amp;AM134,R$4:R$183,"&lt;"&amp;131,$G$4:$G$183,1))</f>
        <v/>
      </c>
      <c r="AO134">
        <f>IF(AJ134="","",INDEX($M$4:$M$183,AJ134)+IF(AN134=1,Shuffle1,IF(AN134&gt;=2,Shuffle2,0)))</f>
        <v/>
      </c>
      <c r="AP134">
        <f>IF(AJ134="","",MAX(DoorGap*130,SUMPRODUCT(MAX((AK$4:AK133&lt;=AK134)*AQ$4:AQ133)),SUMPRODUCT(MAX((AK$4:AK133&gt;AK134)*AP$4:AP133))+Headway))</f>
        <v/>
      </c>
      <c r="AQ134">
        <f>IF(AJ134="","",AP134+AO134)</f>
        <v/>
      </c>
      <c r="AR134">
        <f>IF(AJ134="","",AQ134+AK134*WalkSec)</f>
        <v/>
      </c>
      <c r="AS134" t="n">
        <v>131</v>
      </c>
      <c r="AT134">
        <f>IF(131&gt;Passengers,"",MATCH(131,V$4:V$183,0))</f>
        <v/>
      </c>
      <c r="AU134">
        <f>IF(AT134="","",INDEX($B$4:$B$183,AT134))</f>
        <v/>
      </c>
      <c r="AV134">
        <f>IF(AT134="","",INDEX($C$4:$C$183,AT134))</f>
        <v/>
      </c>
      <c r="AW134">
        <f>IF(AT134="","",INDEX($D$4:$D$183,AT134))</f>
        <v/>
      </c>
      <c r="AX134">
        <f>IF(AT134="","",COUNTIFS($B$4:$B$183,AU134,$C$4:$C$183,AV134,$D$4:$D$183,"&gt;"&amp;AW134,V$4:V$183,"&lt;"&amp;131,$G$4:$G$183,1))</f>
        <v/>
      </c>
      <c r="AY134">
        <f>IF(AT134="","",INDEX($M$4:$M$183,AT134)+IF(AX134=1,Shuffle1,IF(AX134&gt;=2,Shuffle2,0)))</f>
        <v/>
      </c>
      <c r="AZ134">
        <f>IF(AT134="","",MAX(DoorGap*130,SUMPRODUCT(MAX((AU$4:AU133&lt;=AU134)*BA$4:BA133)),SUMPRODUCT(MAX((AU$4:AU133&gt;AU134)*AZ$4:AZ133))+Headway))</f>
        <v/>
      </c>
      <c r="BA134">
        <f>IF(AT134="","",AZ134+AY134)</f>
        <v/>
      </c>
      <c r="BB134">
        <f>IF(AT134="","",BA134+AU134*WalkSec)</f>
        <v/>
      </c>
      <c r="BC134" t="n">
        <v>131</v>
      </c>
      <c r="BD134">
        <f>IF(131&gt;Passengers,"",MATCH(131,Z$4:Z$183,0))</f>
        <v/>
      </c>
      <c r="BE134">
        <f>IF(BD134="","",INDEX($B$4:$B$183,BD134))</f>
        <v/>
      </c>
      <c r="BF134">
        <f>IF(BD134="","",INDEX($C$4:$C$183,BD134))</f>
        <v/>
      </c>
      <c r="BG134">
        <f>IF(BD134="","",INDEX($D$4:$D$183,BD134))</f>
        <v/>
      </c>
      <c r="BH134">
        <f>IF(BD134="","",COUNTIFS($B$4:$B$183,BE134,$C$4:$C$183,BF134,$D$4:$D$183,"&gt;"&amp;BG134,Z$4:Z$183,"&lt;"&amp;131,$G$4:$G$183,1))</f>
        <v/>
      </c>
      <c r="BI134">
        <f>IF(BD134="","",INDEX($M$4:$M$183,BD134)+IF(BH134=1,Shuffle1,IF(BH134&gt;=2,Shuffle2,0)))</f>
        <v/>
      </c>
      <c r="BJ134">
        <f>IF(BD134="","",MAX(DoorGap*130,SUMPRODUCT(MAX((BE$4:BE133&lt;=BE134)*BK$4:BK133)),SUMPRODUCT(MAX((BE$4:BE133&gt;BE134)*BJ$4:BJ133))+Headway))</f>
        <v/>
      </c>
      <c r="BK134">
        <f>IF(BD134="","",BJ134+BI134)</f>
        <v/>
      </c>
      <c r="BL134">
        <f>IF(BD134="","",BK134+BE134*WalkSec)</f>
        <v/>
      </c>
      <c r="BM134" t="n">
        <v>131</v>
      </c>
      <c r="BN134">
        <f>IF(131&gt;Passengers,"",MATCH(131,AD$4:AD$183,0))</f>
        <v/>
      </c>
      <c r="BO134">
        <f>IF(BN134="","",INDEX($B$4:$B$183,BN134))</f>
        <v/>
      </c>
      <c r="BP134">
        <f>IF(BN134="","",INDEX($C$4:$C$183,BN134))</f>
        <v/>
      </c>
      <c r="BQ134">
        <f>IF(BN134="","",INDEX($D$4:$D$183,BN134))</f>
        <v/>
      </c>
      <c r="BR134">
        <f>IF(BN134="","",COUNTIFS($B$4:$B$183,BO134,$C$4:$C$183,BP134,$D$4:$D$183,"&gt;"&amp;BQ134,AD$4:AD$183,"&lt;"&amp;131,$G$4:$G$183,1))</f>
        <v/>
      </c>
      <c r="BS134">
        <f>IF(BN134="","",INDEX($M$4:$M$183,BN134)+IF(BR134=1,Shuffle1,IF(BR134&gt;=2,Shuffle2,0)))</f>
        <v/>
      </c>
      <c r="BT134">
        <f>IF(BN134="","",MAX(DoorGap*130,SUMPRODUCT(MAX((BO$4:BO133&lt;=BO134)*BU$4:BU133)),SUMPRODUCT(MAX((BO$4:BO133&gt;BO134)*BT$4:BT133))+Headway))</f>
        <v/>
      </c>
      <c r="BU134">
        <f>IF(BN134="","",BT134+BS134)</f>
        <v/>
      </c>
      <c r="BV134">
        <f>IF(BN134="","",BU134+BO134*WalkSec)</f>
        <v/>
      </c>
      <c r="BW134">
        <f>IF($G134=0,"",INDEX(AR$4:AR$183,R134))</f>
        <v/>
      </c>
      <c r="BX134">
        <f>IF($G134=0,"",INDEX(BB$4:BB$183,V134))</f>
        <v/>
      </c>
      <c r="BY134">
        <f>IF($G134=0,"",INDEX(BL$4:BL$183,Z134))</f>
        <v/>
      </c>
      <c r="BZ134">
        <f>IF($G134=0,"",INDEX(BV$4:BV$183,AD134))</f>
        <v/>
      </c>
    </row>
    <row r="135">
      <c r="A135" t="n">
        <v>132</v>
      </c>
      <c r="B135" t="n">
        <v>22</v>
      </c>
      <c r="C135" t="n">
        <v>2</v>
      </c>
      <c r="D135" t="n">
        <v>3</v>
      </c>
      <c r="E135" t="n">
        <v>44</v>
      </c>
      <c r="F135">
        <f>RAND()</f>
        <v/>
      </c>
      <c r="G135">
        <f>IF(SUMPRODUCT(($F$4:$F$183&lt;F135)*1)+SUMPRODUCT(($F$4:$F$183=F135)*($A$4:$A$183&lt;A135))&lt;Passengers,1,0)</f>
        <v/>
      </c>
      <c r="H135">
        <f>RAND()</f>
        <v/>
      </c>
      <c r="I135">
        <f>RAND()</f>
        <v/>
      </c>
      <c r="J135">
        <f>RAND()</f>
        <v/>
      </c>
      <c r="K135">
        <f>RAND()</f>
        <v/>
      </c>
      <c r="L135">
        <f>RAND()</f>
        <v/>
      </c>
      <c r="M135">
        <f>IF(K135&lt;BagShare,EXP(NORMSINV(L135)*StowSigma+StowMu),StowNoBag)</f>
        <v/>
      </c>
      <c r="N135">
        <f>IF(INDEX($AG$4:$AG$63,E135)&lt;GroupShare,1,0)</f>
        <v/>
      </c>
      <c r="P135">
        <f>IF(G135=1,IF(I135&gt;Compliance,J135,$H135),2)</f>
        <v/>
      </c>
      <c r="Q135">
        <f>IF(G135=0,2,IF(N135=0,P135,1-SUMPRODUCT(MAX(($E$4:$E$183=E135)*($G$4:$G$183=1)*(1-P$4:P$183)))+0.000000001*D135))</f>
        <v/>
      </c>
      <c r="R135">
        <f>IF(G135=0,999,SUMPRODUCT((Q$4:Q$183&lt;Q135)*($G$4:$G$183=1))+SUMPRODUCT((Q$4:Q$183=Q135)*($G$4:$G$183=1)*($A$4:$A$183&lt;A135))+1)</f>
        <v/>
      </c>
      <c r="T135">
        <f>IF(G135=1,IF(I135&gt;Compliance,J135,(INT((30-$B135)/(30/Zones))+$H135)/Zones),2)</f>
        <v/>
      </c>
      <c r="U135">
        <f>IF(G135=0,2,IF(N135=0,T135,1-SUMPRODUCT(MAX(($E$4:$E$183=E135)*($G$4:$G$183=1)*(1-T$4:T$183)))+0.000000001*D135))</f>
        <v/>
      </c>
      <c r="V135">
        <f>IF(G135=0,999,SUMPRODUCT((U$4:U$183&lt;U135)*($G$4:$G$183=1))+SUMPRODUCT((U$4:U$183=U135)*($G$4:$G$183=1)*($A$4:$A$183&lt;A135))+1)</f>
        <v/>
      </c>
      <c r="X135">
        <f>IF(G135=1,IF(I135&gt;Compliance,J135,(($D135-1)+$H135)/3),2)</f>
        <v/>
      </c>
      <c r="Y135">
        <f>IF(G135=0,2,IF(N135=0,X135,1-SUMPRODUCT(MAX(($E$4:$E$183=E135)*($G$4:$G$183=1)*(1-X$4:X$183)))+0.000000001*D135))</f>
        <v/>
      </c>
      <c r="Z135">
        <f>IF(G135=0,999,SUMPRODUCT((Y$4:Y$183&lt;Y135)*($G$4:$G$183=1))+SUMPRODUCT((Y$4:Y$183=Y135)*($G$4:$G$183=1)*($A$4:$A$183&lt;A135))+1)</f>
        <v/>
      </c>
      <c r="AB135">
        <f>IF(G135=1,IF(I135&gt;Compliance,J135,((($D135-1)*4+($C135-1)*2+MOD($B135,2))+(30-$B135)/30)/12),2)</f>
        <v/>
      </c>
      <c r="AC135">
        <f>IF(G135=0,2,IF(N135=0,AB135,1-SUMPRODUCT(MAX(($E$4:$E$183=E135)*($G$4:$G$183=1)*(1-AB$4:AB$183)))+0.000000001*D135))</f>
        <v/>
      </c>
      <c r="AD135">
        <f>IF(G135=0,999,SUMPRODUCT((AC$4:AC$183&lt;AC135)*($G$4:$G$183=1))+SUMPRODUCT((AC$4:AC$183=AC135)*($G$4:$G$183=1)*($A$4:$A$183&lt;A135))+1)</f>
        <v/>
      </c>
      <c r="AI135" t="n">
        <v>132</v>
      </c>
      <c r="AJ135">
        <f>IF(132&gt;Passengers,"",MATCH(132,R$4:R$183,0))</f>
        <v/>
      </c>
      <c r="AK135">
        <f>IF(AJ135="","",INDEX($B$4:$B$183,AJ135))</f>
        <v/>
      </c>
      <c r="AL135">
        <f>IF(AJ135="","",INDEX($C$4:$C$183,AJ135))</f>
        <v/>
      </c>
      <c r="AM135">
        <f>IF(AJ135="","",INDEX($D$4:$D$183,AJ135))</f>
        <v/>
      </c>
      <c r="AN135">
        <f>IF(AJ135="","",COUNTIFS($B$4:$B$183,AK135,$C$4:$C$183,AL135,$D$4:$D$183,"&gt;"&amp;AM135,R$4:R$183,"&lt;"&amp;132,$G$4:$G$183,1))</f>
        <v/>
      </c>
      <c r="AO135">
        <f>IF(AJ135="","",INDEX($M$4:$M$183,AJ135)+IF(AN135=1,Shuffle1,IF(AN135&gt;=2,Shuffle2,0)))</f>
        <v/>
      </c>
      <c r="AP135">
        <f>IF(AJ135="","",MAX(DoorGap*131,SUMPRODUCT(MAX((AK$4:AK134&lt;=AK135)*AQ$4:AQ134)),SUMPRODUCT(MAX((AK$4:AK134&gt;AK135)*AP$4:AP134))+Headway))</f>
        <v/>
      </c>
      <c r="AQ135">
        <f>IF(AJ135="","",AP135+AO135)</f>
        <v/>
      </c>
      <c r="AR135">
        <f>IF(AJ135="","",AQ135+AK135*WalkSec)</f>
        <v/>
      </c>
      <c r="AS135" t="n">
        <v>132</v>
      </c>
      <c r="AT135">
        <f>IF(132&gt;Passengers,"",MATCH(132,V$4:V$183,0))</f>
        <v/>
      </c>
      <c r="AU135">
        <f>IF(AT135="","",INDEX($B$4:$B$183,AT135))</f>
        <v/>
      </c>
      <c r="AV135">
        <f>IF(AT135="","",INDEX($C$4:$C$183,AT135))</f>
        <v/>
      </c>
      <c r="AW135">
        <f>IF(AT135="","",INDEX($D$4:$D$183,AT135))</f>
        <v/>
      </c>
      <c r="AX135">
        <f>IF(AT135="","",COUNTIFS($B$4:$B$183,AU135,$C$4:$C$183,AV135,$D$4:$D$183,"&gt;"&amp;AW135,V$4:V$183,"&lt;"&amp;132,$G$4:$G$183,1))</f>
        <v/>
      </c>
      <c r="AY135">
        <f>IF(AT135="","",INDEX($M$4:$M$183,AT135)+IF(AX135=1,Shuffle1,IF(AX135&gt;=2,Shuffle2,0)))</f>
        <v/>
      </c>
      <c r="AZ135">
        <f>IF(AT135="","",MAX(DoorGap*131,SUMPRODUCT(MAX((AU$4:AU134&lt;=AU135)*BA$4:BA134)),SUMPRODUCT(MAX((AU$4:AU134&gt;AU135)*AZ$4:AZ134))+Headway))</f>
        <v/>
      </c>
      <c r="BA135">
        <f>IF(AT135="","",AZ135+AY135)</f>
        <v/>
      </c>
      <c r="BB135">
        <f>IF(AT135="","",BA135+AU135*WalkSec)</f>
        <v/>
      </c>
      <c r="BC135" t="n">
        <v>132</v>
      </c>
      <c r="BD135">
        <f>IF(132&gt;Passengers,"",MATCH(132,Z$4:Z$183,0))</f>
        <v/>
      </c>
      <c r="BE135">
        <f>IF(BD135="","",INDEX($B$4:$B$183,BD135))</f>
        <v/>
      </c>
      <c r="BF135">
        <f>IF(BD135="","",INDEX($C$4:$C$183,BD135))</f>
        <v/>
      </c>
      <c r="BG135">
        <f>IF(BD135="","",INDEX($D$4:$D$183,BD135))</f>
        <v/>
      </c>
      <c r="BH135">
        <f>IF(BD135="","",COUNTIFS($B$4:$B$183,BE135,$C$4:$C$183,BF135,$D$4:$D$183,"&gt;"&amp;BG135,Z$4:Z$183,"&lt;"&amp;132,$G$4:$G$183,1))</f>
        <v/>
      </c>
      <c r="BI135">
        <f>IF(BD135="","",INDEX($M$4:$M$183,BD135)+IF(BH135=1,Shuffle1,IF(BH135&gt;=2,Shuffle2,0)))</f>
        <v/>
      </c>
      <c r="BJ135">
        <f>IF(BD135="","",MAX(DoorGap*131,SUMPRODUCT(MAX((BE$4:BE134&lt;=BE135)*BK$4:BK134)),SUMPRODUCT(MAX((BE$4:BE134&gt;BE135)*BJ$4:BJ134))+Headway))</f>
        <v/>
      </c>
      <c r="BK135">
        <f>IF(BD135="","",BJ135+BI135)</f>
        <v/>
      </c>
      <c r="BL135">
        <f>IF(BD135="","",BK135+BE135*WalkSec)</f>
        <v/>
      </c>
      <c r="BM135" t="n">
        <v>132</v>
      </c>
      <c r="BN135">
        <f>IF(132&gt;Passengers,"",MATCH(132,AD$4:AD$183,0))</f>
        <v/>
      </c>
      <c r="BO135">
        <f>IF(BN135="","",INDEX($B$4:$B$183,BN135))</f>
        <v/>
      </c>
      <c r="BP135">
        <f>IF(BN135="","",INDEX($C$4:$C$183,BN135))</f>
        <v/>
      </c>
      <c r="BQ135">
        <f>IF(BN135="","",INDEX($D$4:$D$183,BN135))</f>
        <v/>
      </c>
      <c r="BR135">
        <f>IF(BN135="","",COUNTIFS($B$4:$B$183,BO135,$C$4:$C$183,BP135,$D$4:$D$183,"&gt;"&amp;BQ135,AD$4:AD$183,"&lt;"&amp;132,$G$4:$G$183,1))</f>
        <v/>
      </c>
      <c r="BS135">
        <f>IF(BN135="","",INDEX($M$4:$M$183,BN135)+IF(BR135=1,Shuffle1,IF(BR135&gt;=2,Shuffle2,0)))</f>
        <v/>
      </c>
      <c r="BT135">
        <f>IF(BN135="","",MAX(DoorGap*131,SUMPRODUCT(MAX((BO$4:BO134&lt;=BO135)*BU$4:BU134)),SUMPRODUCT(MAX((BO$4:BO134&gt;BO135)*BT$4:BT134))+Headway))</f>
        <v/>
      </c>
      <c r="BU135">
        <f>IF(BN135="","",BT135+BS135)</f>
        <v/>
      </c>
      <c r="BV135">
        <f>IF(BN135="","",BU135+BO135*WalkSec)</f>
        <v/>
      </c>
      <c r="BW135">
        <f>IF($G135=0,"",INDEX(AR$4:AR$183,R135))</f>
        <v/>
      </c>
      <c r="BX135">
        <f>IF($G135=0,"",INDEX(BB$4:BB$183,V135))</f>
        <v/>
      </c>
      <c r="BY135">
        <f>IF($G135=0,"",INDEX(BL$4:BL$183,Z135))</f>
        <v/>
      </c>
      <c r="BZ135">
        <f>IF($G135=0,"",INDEX(BV$4:BV$183,AD135))</f>
        <v/>
      </c>
    </row>
    <row r="136">
      <c r="A136" t="n">
        <v>133</v>
      </c>
      <c r="B136" t="n">
        <v>23</v>
      </c>
      <c r="C136" t="n">
        <v>1</v>
      </c>
      <c r="D136" t="n">
        <v>1</v>
      </c>
      <c r="E136" t="n">
        <v>45</v>
      </c>
      <c r="F136">
        <f>RAND()</f>
        <v/>
      </c>
      <c r="G136">
        <f>IF(SUMPRODUCT(($F$4:$F$183&lt;F136)*1)+SUMPRODUCT(($F$4:$F$183=F136)*($A$4:$A$183&lt;A136))&lt;Passengers,1,0)</f>
        <v/>
      </c>
      <c r="H136">
        <f>RAND()</f>
        <v/>
      </c>
      <c r="I136">
        <f>RAND()</f>
        <v/>
      </c>
      <c r="J136">
        <f>RAND()</f>
        <v/>
      </c>
      <c r="K136">
        <f>RAND()</f>
        <v/>
      </c>
      <c r="L136">
        <f>RAND()</f>
        <v/>
      </c>
      <c r="M136">
        <f>IF(K136&lt;BagShare,EXP(NORMSINV(L136)*StowSigma+StowMu),StowNoBag)</f>
        <v/>
      </c>
      <c r="N136">
        <f>IF(INDEX($AG$4:$AG$63,E136)&lt;GroupShare,1,0)</f>
        <v/>
      </c>
      <c r="P136">
        <f>IF(G136=1,IF(I136&gt;Compliance,J136,$H136),2)</f>
        <v/>
      </c>
      <c r="Q136">
        <f>IF(G136=0,2,IF(N136=0,P136,1-SUMPRODUCT(MAX(($E$4:$E$183=E136)*($G$4:$G$183=1)*(1-P$4:P$183)))+0.000000001*D136))</f>
        <v/>
      </c>
      <c r="R136">
        <f>IF(G136=0,999,SUMPRODUCT((Q$4:Q$183&lt;Q136)*($G$4:$G$183=1))+SUMPRODUCT((Q$4:Q$183=Q136)*($G$4:$G$183=1)*($A$4:$A$183&lt;A136))+1)</f>
        <v/>
      </c>
      <c r="T136">
        <f>IF(G136=1,IF(I136&gt;Compliance,J136,(INT((30-$B136)/(30/Zones))+$H136)/Zones),2)</f>
        <v/>
      </c>
      <c r="U136">
        <f>IF(G136=0,2,IF(N136=0,T136,1-SUMPRODUCT(MAX(($E$4:$E$183=E136)*($G$4:$G$183=1)*(1-T$4:T$183)))+0.000000001*D136))</f>
        <v/>
      </c>
      <c r="V136">
        <f>IF(G136=0,999,SUMPRODUCT((U$4:U$183&lt;U136)*($G$4:$G$183=1))+SUMPRODUCT((U$4:U$183=U136)*($G$4:$G$183=1)*($A$4:$A$183&lt;A136))+1)</f>
        <v/>
      </c>
      <c r="X136">
        <f>IF(G136=1,IF(I136&gt;Compliance,J136,(($D136-1)+$H136)/3),2)</f>
        <v/>
      </c>
      <c r="Y136">
        <f>IF(G136=0,2,IF(N136=0,X136,1-SUMPRODUCT(MAX(($E$4:$E$183=E136)*($G$4:$G$183=1)*(1-X$4:X$183)))+0.000000001*D136))</f>
        <v/>
      </c>
      <c r="Z136">
        <f>IF(G136=0,999,SUMPRODUCT((Y$4:Y$183&lt;Y136)*($G$4:$G$183=1))+SUMPRODUCT((Y$4:Y$183=Y136)*($G$4:$G$183=1)*($A$4:$A$183&lt;A136))+1)</f>
        <v/>
      </c>
      <c r="AB136">
        <f>IF(G136=1,IF(I136&gt;Compliance,J136,((($D136-1)*4+($C136-1)*2+MOD($B136,2))+(30-$B136)/30)/12),2)</f>
        <v/>
      </c>
      <c r="AC136">
        <f>IF(G136=0,2,IF(N136=0,AB136,1-SUMPRODUCT(MAX(($E$4:$E$183=E136)*($G$4:$G$183=1)*(1-AB$4:AB$183)))+0.000000001*D136))</f>
        <v/>
      </c>
      <c r="AD136">
        <f>IF(G136=0,999,SUMPRODUCT((AC$4:AC$183&lt;AC136)*($G$4:$G$183=1))+SUMPRODUCT((AC$4:AC$183=AC136)*($G$4:$G$183=1)*($A$4:$A$183&lt;A136))+1)</f>
        <v/>
      </c>
      <c r="AI136" t="n">
        <v>133</v>
      </c>
      <c r="AJ136">
        <f>IF(133&gt;Passengers,"",MATCH(133,R$4:R$183,0))</f>
        <v/>
      </c>
      <c r="AK136">
        <f>IF(AJ136="","",INDEX($B$4:$B$183,AJ136))</f>
        <v/>
      </c>
      <c r="AL136">
        <f>IF(AJ136="","",INDEX($C$4:$C$183,AJ136))</f>
        <v/>
      </c>
      <c r="AM136">
        <f>IF(AJ136="","",INDEX($D$4:$D$183,AJ136))</f>
        <v/>
      </c>
      <c r="AN136">
        <f>IF(AJ136="","",COUNTIFS($B$4:$B$183,AK136,$C$4:$C$183,AL136,$D$4:$D$183,"&gt;"&amp;AM136,R$4:R$183,"&lt;"&amp;133,$G$4:$G$183,1))</f>
        <v/>
      </c>
      <c r="AO136">
        <f>IF(AJ136="","",INDEX($M$4:$M$183,AJ136)+IF(AN136=1,Shuffle1,IF(AN136&gt;=2,Shuffle2,0)))</f>
        <v/>
      </c>
      <c r="AP136">
        <f>IF(AJ136="","",MAX(DoorGap*132,SUMPRODUCT(MAX((AK$4:AK135&lt;=AK136)*AQ$4:AQ135)),SUMPRODUCT(MAX((AK$4:AK135&gt;AK136)*AP$4:AP135))+Headway))</f>
        <v/>
      </c>
      <c r="AQ136">
        <f>IF(AJ136="","",AP136+AO136)</f>
        <v/>
      </c>
      <c r="AR136">
        <f>IF(AJ136="","",AQ136+AK136*WalkSec)</f>
        <v/>
      </c>
      <c r="AS136" t="n">
        <v>133</v>
      </c>
      <c r="AT136">
        <f>IF(133&gt;Passengers,"",MATCH(133,V$4:V$183,0))</f>
        <v/>
      </c>
      <c r="AU136">
        <f>IF(AT136="","",INDEX($B$4:$B$183,AT136))</f>
        <v/>
      </c>
      <c r="AV136">
        <f>IF(AT136="","",INDEX($C$4:$C$183,AT136))</f>
        <v/>
      </c>
      <c r="AW136">
        <f>IF(AT136="","",INDEX($D$4:$D$183,AT136))</f>
        <v/>
      </c>
      <c r="AX136">
        <f>IF(AT136="","",COUNTIFS($B$4:$B$183,AU136,$C$4:$C$183,AV136,$D$4:$D$183,"&gt;"&amp;AW136,V$4:V$183,"&lt;"&amp;133,$G$4:$G$183,1))</f>
        <v/>
      </c>
      <c r="AY136">
        <f>IF(AT136="","",INDEX($M$4:$M$183,AT136)+IF(AX136=1,Shuffle1,IF(AX136&gt;=2,Shuffle2,0)))</f>
        <v/>
      </c>
      <c r="AZ136">
        <f>IF(AT136="","",MAX(DoorGap*132,SUMPRODUCT(MAX((AU$4:AU135&lt;=AU136)*BA$4:BA135)),SUMPRODUCT(MAX((AU$4:AU135&gt;AU136)*AZ$4:AZ135))+Headway))</f>
        <v/>
      </c>
      <c r="BA136">
        <f>IF(AT136="","",AZ136+AY136)</f>
        <v/>
      </c>
      <c r="BB136">
        <f>IF(AT136="","",BA136+AU136*WalkSec)</f>
        <v/>
      </c>
      <c r="BC136" t="n">
        <v>133</v>
      </c>
      <c r="BD136">
        <f>IF(133&gt;Passengers,"",MATCH(133,Z$4:Z$183,0))</f>
        <v/>
      </c>
      <c r="BE136">
        <f>IF(BD136="","",INDEX($B$4:$B$183,BD136))</f>
        <v/>
      </c>
      <c r="BF136">
        <f>IF(BD136="","",INDEX($C$4:$C$183,BD136))</f>
        <v/>
      </c>
      <c r="BG136">
        <f>IF(BD136="","",INDEX($D$4:$D$183,BD136))</f>
        <v/>
      </c>
      <c r="BH136">
        <f>IF(BD136="","",COUNTIFS($B$4:$B$183,BE136,$C$4:$C$183,BF136,$D$4:$D$183,"&gt;"&amp;BG136,Z$4:Z$183,"&lt;"&amp;133,$G$4:$G$183,1))</f>
        <v/>
      </c>
      <c r="BI136">
        <f>IF(BD136="","",INDEX($M$4:$M$183,BD136)+IF(BH136=1,Shuffle1,IF(BH136&gt;=2,Shuffle2,0)))</f>
        <v/>
      </c>
      <c r="BJ136">
        <f>IF(BD136="","",MAX(DoorGap*132,SUMPRODUCT(MAX((BE$4:BE135&lt;=BE136)*BK$4:BK135)),SUMPRODUCT(MAX((BE$4:BE135&gt;BE136)*BJ$4:BJ135))+Headway))</f>
        <v/>
      </c>
      <c r="BK136">
        <f>IF(BD136="","",BJ136+BI136)</f>
        <v/>
      </c>
      <c r="BL136">
        <f>IF(BD136="","",BK136+BE136*WalkSec)</f>
        <v/>
      </c>
      <c r="BM136" t="n">
        <v>133</v>
      </c>
      <c r="BN136">
        <f>IF(133&gt;Passengers,"",MATCH(133,AD$4:AD$183,0))</f>
        <v/>
      </c>
      <c r="BO136">
        <f>IF(BN136="","",INDEX($B$4:$B$183,BN136))</f>
        <v/>
      </c>
      <c r="BP136">
        <f>IF(BN136="","",INDEX($C$4:$C$183,BN136))</f>
        <v/>
      </c>
      <c r="BQ136">
        <f>IF(BN136="","",INDEX($D$4:$D$183,BN136))</f>
        <v/>
      </c>
      <c r="BR136">
        <f>IF(BN136="","",COUNTIFS($B$4:$B$183,BO136,$C$4:$C$183,BP136,$D$4:$D$183,"&gt;"&amp;BQ136,AD$4:AD$183,"&lt;"&amp;133,$G$4:$G$183,1))</f>
        <v/>
      </c>
      <c r="BS136">
        <f>IF(BN136="","",INDEX($M$4:$M$183,BN136)+IF(BR136=1,Shuffle1,IF(BR136&gt;=2,Shuffle2,0)))</f>
        <v/>
      </c>
      <c r="BT136">
        <f>IF(BN136="","",MAX(DoorGap*132,SUMPRODUCT(MAX((BO$4:BO135&lt;=BO136)*BU$4:BU135)),SUMPRODUCT(MAX((BO$4:BO135&gt;BO136)*BT$4:BT135))+Headway))</f>
        <v/>
      </c>
      <c r="BU136">
        <f>IF(BN136="","",BT136+BS136)</f>
        <v/>
      </c>
      <c r="BV136">
        <f>IF(BN136="","",BU136+BO136*WalkSec)</f>
        <v/>
      </c>
      <c r="BW136">
        <f>IF($G136=0,"",INDEX(AR$4:AR$183,R136))</f>
        <v/>
      </c>
      <c r="BX136">
        <f>IF($G136=0,"",INDEX(BB$4:BB$183,V136))</f>
        <v/>
      </c>
      <c r="BY136">
        <f>IF($G136=0,"",INDEX(BL$4:BL$183,Z136))</f>
        <v/>
      </c>
      <c r="BZ136">
        <f>IF($G136=0,"",INDEX(BV$4:BV$183,AD136))</f>
        <v/>
      </c>
    </row>
    <row r="137">
      <c r="A137" t="n">
        <v>134</v>
      </c>
      <c r="B137" t="n">
        <v>23</v>
      </c>
      <c r="C137" t="n">
        <v>1</v>
      </c>
      <c r="D137" t="n">
        <v>2</v>
      </c>
      <c r="E137" t="n">
        <v>45</v>
      </c>
      <c r="F137">
        <f>RAND()</f>
        <v/>
      </c>
      <c r="G137">
        <f>IF(SUMPRODUCT(($F$4:$F$183&lt;F137)*1)+SUMPRODUCT(($F$4:$F$183=F137)*($A$4:$A$183&lt;A137))&lt;Passengers,1,0)</f>
        <v/>
      </c>
      <c r="H137">
        <f>RAND()</f>
        <v/>
      </c>
      <c r="I137">
        <f>RAND()</f>
        <v/>
      </c>
      <c r="J137">
        <f>RAND()</f>
        <v/>
      </c>
      <c r="K137">
        <f>RAND()</f>
        <v/>
      </c>
      <c r="L137">
        <f>RAND()</f>
        <v/>
      </c>
      <c r="M137">
        <f>IF(K137&lt;BagShare,EXP(NORMSINV(L137)*StowSigma+StowMu),StowNoBag)</f>
        <v/>
      </c>
      <c r="N137">
        <f>IF(INDEX($AG$4:$AG$63,E137)&lt;GroupShare,1,0)</f>
        <v/>
      </c>
      <c r="P137">
        <f>IF(G137=1,IF(I137&gt;Compliance,J137,$H137),2)</f>
        <v/>
      </c>
      <c r="Q137">
        <f>IF(G137=0,2,IF(N137=0,P137,1-SUMPRODUCT(MAX(($E$4:$E$183=E137)*($G$4:$G$183=1)*(1-P$4:P$183)))+0.000000001*D137))</f>
        <v/>
      </c>
      <c r="R137">
        <f>IF(G137=0,999,SUMPRODUCT((Q$4:Q$183&lt;Q137)*($G$4:$G$183=1))+SUMPRODUCT((Q$4:Q$183=Q137)*($G$4:$G$183=1)*($A$4:$A$183&lt;A137))+1)</f>
        <v/>
      </c>
      <c r="T137">
        <f>IF(G137=1,IF(I137&gt;Compliance,J137,(INT((30-$B137)/(30/Zones))+$H137)/Zones),2)</f>
        <v/>
      </c>
      <c r="U137">
        <f>IF(G137=0,2,IF(N137=0,T137,1-SUMPRODUCT(MAX(($E$4:$E$183=E137)*($G$4:$G$183=1)*(1-T$4:T$183)))+0.000000001*D137))</f>
        <v/>
      </c>
      <c r="V137">
        <f>IF(G137=0,999,SUMPRODUCT((U$4:U$183&lt;U137)*($G$4:$G$183=1))+SUMPRODUCT((U$4:U$183=U137)*($G$4:$G$183=1)*($A$4:$A$183&lt;A137))+1)</f>
        <v/>
      </c>
      <c r="X137">
        <f>IF(G137=1,IF(I137&gt;Compliance,J137,(($D137-1)+$H137)/3),2)</f>
        <v/>
      </c>
      <c r="Y137">
        <f>IF(G137=0,2,IF(N137=0,X137,1-SUMPRODUCT(MAX(($E$4:$E$183=E137)*($G$4:$G$183=1)*(1-X$4:X$183)))+0.000000001*D137))</f>
        <v/>
      </c>
      <c r="Z137">
        <f>IF(G137=0,999,SUMPRODUCT((Y$4:Y$183&lt;Y137)*($G$4:$G$183=1))+SUMPRODUCT((Y$4:Y$183=Y137)*($G$4:$G$183=1)*($A$4:$A$183&lt;A137))+1)</f>
        <v/>
      </c>
      <c r="AB137">
        <f>IF(G137=1,IF(I137&gt;Compliance,J137,((($D137-1)*4+($C137-1)*2+MOD($B137,2))+(30-$B137)/30)/12),2)</f>
        <v/>
      </c>
      <c r="AC137">
        <f>IF(G137=0,2,IF(N137=0,AB137,1-SUMPRODUCT(MAX(($E$4:$E$183=E137)*($G$4:$G$183=1)*(1-AB$4:AB$183)))+0.000000001*D137))</f>
        <v/>
      </c>
      <c r="AD137">
        <f>IF(G137=0,999,SUMPRODUCT((AC$4:AC$183&lt;AC137)*($G$4:$G$183=1))+SUMPRODUCT((AC$4:AC$183=AC137)*($G$4:$G$183=1)*($A$4:$A$183&lt;A137))+1)</f>
        <v/>
      </c>
      <c r="AI137" t="n">
        <v>134</v>
      </c>
      <c r="AJ137">
        <f>IF(134&gt;Passengers,"",MATCH(134,R$4:R$183,0))</f>
        <v/>
      </c>
      <c r="AK137">
        <f>IF(AJ137="","",INDEX($B$4:$B$183,AJ137))</f>
        <v/>
      </c>
      <c r="AL137">
        <f>IF(AJ137="","",INDEX($C$4:$C$183,AJ137))</f>
        <v/>
      </c>
      <c r="AM137">
        <f>IF(AJ137="","",INDEX($D$4:$D$183,AJ137))</f>
        <v/>
      </c>
      <c r="AN137">
        <f>IF(AJ137="","",COUNTIFS($B$4:$B$183,AK137,$C$4:$C$183,AL137,$D$4:$D$183,"&gt;"&amp;AM137,R$4:R$183,"&lt;"&amp;134,$G$4:$G$183,1))</f>
        <v/>
      </c>
      <c r="AO137">
        <f>IF(AJ137="","",INDEX($M$4:$M$183,AJ137)+IF(AN137=1,Shuffle1,IF(AN137&gt;=2,Shuffle2,0)))</f>
        <v/>
      </c>
      <c r="AP137">
        <f>IF(AJ137="","",MAX(DoorGap*133,SUMPRODUCT(MAX((AK$4:AK136&lt;=AK137)*AQ$4:AQ136)),SUMPRODUCT(MAX((AK$4:AK136&gt;AK137)*AP$4:AP136))+Headway))</f>
        <v/>
      </c>
      <c r="AQ137">
        <f>IF(AJ137="","",AP137+AO137)</f>
        <v/>
      </c>
      <c r="AR137">
        <f>IF(AJ137="","",AQ137+AK137*WalkSec)</f>
        <v/>
      </c>
      <c r="AS137" t="n">
        <v>134</v>
      </c>
      <c r="AT137">
        <f>IF(134&gt;Passengers,"",MATCH(134,V$4:V$183,0))</f>
        <v/>
      </c>
      <c r="AU137">
        <f>IF(AT137="","",INDEX($B$4:$B$183,AT137))</f>
        <v/>
      </c>
      <c r="AV137">
        <f>IF(AT137="","",INDEX($C$4:$C$183,AT137))</f>
        <v/>
      </c>
      <c r="AW137">
        <f>IF(AT137="","",INDEX($D$4:$D$183,AT137))</f>
        <v/>
      </c>
      <c r="AX137">
        <f>IF(AT137="","",COUNTIFS($B$4:$B$183,AU137,$C$4:$C$183,AV137,$D$4:$D$183,"&gt;"&amp;AW137,V$4:V$183,"&lt;"&amp;134,$G$4:$G$183,1))</f>
        <v/>
      </c>
      <c r="AY137">
        <f>IF(AT137="","",INDEX($M$4:$M$183,AT137)+IF(AX137=1,Shuffle1,IF(AX137&gt;=2,Shuffle2,0)))</f>
        <v/>
      </c>
      <c r="AZ137">
        <f>IF(AT137="","",MAX(DoorGap*133,SUMPRODUCT(MAX((AU$4:AU136&lt;=AU137)*BA$4:BA136)),SUMPRODUCT(MAX((AU$4:AU136&gt;AU137)*AZ$4:AZ136))+Headway))</f>
        <v/>
      </c>
      <c r="BA137">
        <f>IF(AT137="","",AZ137+AY137)</f>
        <v/>
      </c>
      <c r="BB137">
        <f>IF(AT137="","",BA137+AU137*WalkSec)</f>
        <v/>
      </c>
      <c r="BC137" t="n">
        <v>134</v>
      </c>
      <c r="BD137">
        <f>IF(134&gt;Passengers,"",MATCH(134,Z$4:Z$183,0))</f>
        <v/>
      </c>
      <c r="BE137">
        <f>IF(BD137="","",INDEX($B$4:$B$183,BD137))</f>
        <v/>
      </c>
      <c r="BF137">
        <f>IF(BD137="","",INDEX($C$4:$C$183,BD137))</f>
        <v/>
      </c>
      <c r="BG137">
        <f>IF(BD137="","",INDEX($D$4:$D$183,BD137))</f>
        <v/>
      </c>
      <c r="BH137">
        <f>IF(BD137="","",COUNTIFS($B$4:$B$183,BE137,$C$4:$C$183,BF137,$D$4:$D$183,"&gt;"&amp;BG137,Z$4:Z$183,"&lt;"&amp;134,$G$4:$G$183,1))</f>
        <v/>
      </c>
      <c r="BI137">
        <f>IF(BD137="","",INDEX($M$4:$M$183,BD137)+IF(BH137=1,Shuffle1,IF(BH137&gt;=2,Shuffle2,0)))</f>
        <v/>
      </c>
      <c r="BJ137">
        <f>IF(BD137="","",MAX(DoorGap*133,SUMPRODUCT(MAX((BE$4:BE136&lt;=BE137)*BK$4:BK136)),SUMPRODUCT(MAX((BE$4:BE136&gt;BE137)*BJ$4:BJ136))+Headway))</f>
        <v/>
      </c>
      <c r="BK137">
        <f>IF(BD137="","",BJ137+BI137)</f>
        <v/>
      </c>
      <c r="BL137">
        <f>IF(BD137="","",BK137+BE137*WalkSec)</f>
        <v/>
      </c>
      <c r="BM137" t="n">
        <v>134</v>
      </c>
      <c r="BN137">
        <f>IF(134&gt;Passengers,"",MATCH(134,AD$4:AD$183,0))</f>
        <v/>
      </c>
      <c r="BO137">
        <f>IF(BN137="","",INDEX($B$4:$B$183,BN137))</f>
        <v/>
      </c>
      <c r="BP137">
        <f>IF(BN137="","",INDEX($C$4:$C$183,BN137))</f>
        <v/>
      </c>
      <c r="BQ137">
        <f>IF(BN137="","",INDEX($D$4:$D$183,BN137))</f>
        <v/>
      </c>
      <c r="BR137">
        <f>IF(BN137="","",COUNTIFS($B$4:$B$183,BO137,$C$4:$C$183,BP137,$D$4:$D$183,"&gt;"&amp;BQ137,AD$4:AD$183,"&lt;"&amp;134,$G$4:$G$183,1))</f>
        <v/>
      </c>
      <c r="BS137">
        <f>IF(BN137="","",INDEX($M$4:$M$183,BN137)+IF(BR137=1,Shuffle1,IF(BR137&gt;=2,Shuffle2,0)))</f>
        <v/>
      </c>
      <c r="BT137">
        <f>IF(BN137="","",MAX(DoorGap*133,SUMPRODUCT(MAX((BO$4:BO136&lt;=BO137)*BU$4:BU136)),SUMPRODUCT(MAX((BO$4:BO136&gt;BO137)*BT$4:BT136))+Headway))</f>
        <v/>
      </c>
      <c r="BU137">
        <f>IF(BN137="","",BT137+BS137)</f>
        <v/>
      </c>
      <c r="BV137">
        <f>IF(BN137="","",BU137+BO137*WalkSec)</f>
        <v/>
      </c>
      <c r="BW137">
        <f>IF($G137=0,"",INDEX(AR$4:AR$183,R137))</f>
        <v/>
      </c>
      <c r="BX137">
        <f>IF($G137=0,"",INDEX(BB$4:BB$183,V137))</f>
        <v/>
      </c>
      <c r="BY137">
        <f>IF($G137=0,"",INDEX(BL$4:BL$183,Z137))</f>
        <v/>
      </c>
      <c r="BZ137">
        <f>IF($G137=0,"",INDEX(BV$4:BV$183,AD137))</f>
        <v/>
      </c>
    </row>
    <row r="138">
      <c r="A138" t="n">
        <v>135</v>
      </c>
      <c r="B138" t="n">
        <v>23</v>
      </c>
      <c r="C138" t="n">
        <v>1</v>
      </c>
      <c r="D138" t="n">
        <v>3</v>
      </c>
      <c r="E138" t="n">
        <v>45</v>
      </c>
      <c r="F138">
        <f>RAND()</f>
        <v/>
      </c>
      <c r="G138">
        <f>IF(SUMPRODUCT(($F$4:$F$183&lt;F138)*1)+SUMPRODUCT(($F$4:$F$183=F138)*($A$4:$A$183&lt;A138))&lt;Passengers,1,0)</f>
        <v/>
      </c>
      <c r="H138">
        <f>RAND()</f>
        <v/>
      </c>
      <c r="I138">
        <f>RAND()</f>
        <v/>
      </c>
      <c r="J138">
        <f>RAND()</f>
        <v/>
      </c>
      <c r="K138">
        <f>RAND()</f>
        <v/>
      </c>
      <c r="L138">
        <f>RAND()</f>
        <v/>
      </c>
      <c r="M138">
        <f>IF(K138&lt;BagShare,EXP(NORMSINV(L138)*StowSigma+StowMu),StowNoBag)</f>
        <v/>
      </c>
      <c r="N138">
        <f>IF(INDEX($AG$4:$AG$63,E138)&lt;GroupShare,1,0)</f>
        <v/>
      </c>
      <c r="P138">
        <f>IF(G138=1,IF(I138&gt;Compliance,J138,$H138),2)</f>
        <v/>
      </c>
      <c r="Q138">
        <f>IF(G138=0,2,IF(N138=0,P138,1-SUMPRODUCT(MAX(($E$4:$E$183=E138)*($G$4:$G$183=1)*(1-P$4:P$183)))+0.000000001*D138))</f>
        <v/>
      </c>
      <c r="R138">
        <f>IF(G138=0,999,SUMPRODUCT((Q$4:Q$183&lt;Q138)*($G$4:$G$183=1))+SUMPRODUCT((Q$4:Q$183=Q138)*($G$4:$G$183=1)*($A$4:$A$183&lt;A138))+1)</f>
        <v/>
      </c>
      <c r="T138">
        <f>IF(G138=1,IF(I138&gt;Compliance,J138,(INT((30-$B138)/(30/Zones))+$H138)/Zones),2)</f>
        <v/>
      </c>
      <c r="U138">
        <f>IF(G138=0,2,IF(N138=0,T138,1-SUMPRODUCT(MAX(($E$4:$E$183=E138)*($G$4:$G$183=1)*(1-T$4:T$183)))+0.000000001*D138))</f>
        <v/>
      </c>
      <c r="V138">
        <f>IF(G138=0,999,SUMPRODUCT((U$4:U$183&lt;U138)*($G$4:$G$183=1))+SUMPRODUCT((U$4:U$183=U138)*($G$4:$G$183=1)*($A$4:$A$183&lt;A138))+1)</f>
        <v/>
      </c>
      <c r="X138">
        <f>IF(G138=1,IF(I138&gt;Compliance,J138,(($D138-1)+$H138)/3),2)</f>
        <v/>
      </c>
      <c r="Y138">
        <f>IF(G138=0,2,IF(N138=0,X138,1-SUMPRODUCT(MAX(($E$4:$E$183=E138)*($G$4:$G$183=1)*(1-X$4:X$183)))+0.000000001*D138))</f>
        <v/>
      </c>
      <c r="Z138">
        <f>IF(G138=0,999,SUMPRODUCT((Y$4:Y$183&lt;Y138)*($G$4:$G$183=1))+SUMPRODUCT((Y$4:Y$183=Y138)*($G$4:$G$183=1)*($A$4:$A$183&lt;A138))+1)</f>
        <v/>
      </c>
      <c r="AB138">
        <f>IF(G138=1,IF(I138&gt;Compliance,J138,((($D138-1)*4+($C138-1)*2+MOD($B138,2))+(30-$B138)/30)/12),2)</f>
        <v/>
      </c>
      <c r="AC138">
        <f>IF(G138=0,2,IF(N138=0,AB138,1-SUMPRODUCT(MAX(($E$4:$E$183=E138)*($G$4:$G$183=1)*(1-AB$4:AB$183)))+0.000000001*D138))</f>
        <v/>
      </c>
      <c r="AD138">
        <f>IF(G138=0,999,SUMPRODUCT((AC$4:AC$183&lt;AC138)*($G$4:$G$183=1))+SUMPRODUCT((AC$4:AC$183=AC138)*($G$4:$G$183=1)*($A$4:$A$183&lt;A138))+1)</f>
        <v/>
      </c>
      <c r="AI138" t="n">
        <v>135</v>
      </c>
      <c r="AJ138">
        <f>IF(135&gt;Passengers,"",MATCH(135,R$4:R$183,0))</f>
        <v/>
      </c>
      <c r="AK138">
        <f>IF(AJ138="","",INDEX($B$4:$B$183,AJ138))</f>
        <v/>
      </c>
      <c r="AL138">
        <f>IF(AJ138="","",INDEX($C$4:$C$183,AJ138))</f>
        <v/>
      </c>
      <c r="AM138">
        <f>IF(AJ138="","",INDEX($D$4:$D$183,AJ138))</f>
        <v/>
      </c>
      <c r="AN138">
        <f>IF(AJ138="","",COUNTIFS($B$4:$B$183,AK138,$C$4:$C$183,AL138,$D$4:$D$183,"&gt;"&amp;AM138,R$4:R$183,"&lt;"&amp;135,$G$4:$G$183,1))</f>
        <v/>
      </c>
      <c r="AO138">
        <f>IF(AJ138="","",INDEX($M$4:$M$183,AJ138)+IF(AN138=1,Shuffle1,IF(AN138&gt;=2,Shuffle2,0)))</f>
        <v/>
      </c>
      <c r="AP138">
        <f>IF(AJ138="","",MAX(DoorGap*134,SUMPRODUCT(MAX((AK$4:AK137&lt;=AK138)*AQ$4:AQ137)),SUMPRODUCT(MAX((AK$4:AK137&gt;AK138)*AP$4:AP137))+Headway))</f>
        <v/>
      </c>
      <c r="AQ138">
        <f>IF(AJ138="","",AP138+AO138)</f>
        <v/>
      </c>
      <c r="AR138">
        <f>IF(AJ138="","",AQ138+AK138*WalkSec)</f>
        <v/>
      </c>
      <c r="AS138" t="n">
        <v>135</v>
      </c>
      <c r="AT138">
        <f>IF(135&gt;Passengers,"",MATCH(135,V$4:V$183,0))</f>
        <v/>
      </c>
      <c r="AU138">
        <f>IF(AT138="","",INDEX($B$4:$B$183,AT138))</f>
        <v/>
      </c>
      <c r="AV138">
        <f>IF(AT138="","",INDEX($C$4:$C$183,AT138))</f>
        <v/>
      </c>
      <c r="AW138">
        <f>IF(AT138="","",INDEX($D$4:$D$183,AT138))</f>
        <v/>
      </c>
      <c r="AX138">
        <f>IF(AT138="","",COUNTIFS($B$4:$B$183,AU138,$C$4:$C$183,AV138,$D$4:$D$183,"&gt;"&amp;AW138,V$4:V$183,"&lt;"&amp;135,$G$4:$G$183,1))</f>
        <v/>
      </c>
      <c r="AY138">
        <f>IF(AT138="","",INDEX($M$4:$M$183,AT138)+IF(AX138=1,Shuffle1,IF(AX138&gt;=2,Shuffle2,0)))</f>
        <v/>
      </c>
      <c r="AZ138">
        <f>IF(AT138="","",MAX(DoorGap*134,SUMPRODUCT(MAX((AU$4:AU137&lt;=AU138)*BA$4:BA137)),SUMPRODUCT(MAX((AU$4:AU137&gt;AU138)*AZ$4:AZ137))+Headway))</f>
        <v/>
      </c>
      <c r="BA138">
        <f>IF(AT138="","",AZ138+AY138)</f>
        <v/>
      </c>
      <c r="BB138">
        <f>IF(AT138="","",BA138+AU138*WalkSec)</f>
        <v/>
      </c>
      <c r="BC138" t="n">
        <v>135</v>
      </c>
      <c r="BD138">
        <f>IF(135&gt;Passengers,"",MATCH(135,Z$4:Z$183,0))</f>
        <v/>
      </c>
      <c r="BE138">
        <f>IF(BD138="","",INDEX($B$4:$B$183,BD138))</f>
        <v/>
      </c>
      <c r="BF138">
        <f>IF(BD138="","",INDEX($C$4:$C$183,BD138))</f>
        <v/>
      </c>
      <c r="BG138">
        <f>IF(BD138="","",INDEX($D$4:$D$183,BD138))</f>
        <v/>
      </c>
      <c r="BH138">
        <f>IF(BD138="","",COUNTIFS($B$4:$B$183,BE138,$C$4:$C$183,BF138,$D$4:$D$183,"&gt;"&amp;BG138,Z$4:Z$183,"&lt;"&amp;135,$G$4:$G$183,1))</f>
        <v/>
      </c>
      <c r="BI138">
        <f>IF(BD138="","",INDEX($M$4:$M$183,BD138)+IF(BH138=1,Shuffle1,IF(BH138&gt;=2,Shuffle2,0)))</f>
        <v/>
      </c>
      <c r="BJ138">
        <f>IF(BD138="","",MAX(DoorGap*134,SUMPRODUCT(MAX((BE$4:BE137&lt;=BE138)*BK$4:BK137)),SUMPRODUCT(MAX((BE$4:BE137&gt;BE138)*BJ$4:BJ137))+Headway))</f>
        <v/>
      </c>
      <c r="BK138">
        <f>IF(BD138="","",BJ138+BI138)</f>
        <v/>
      </c>
      <c r="BL138">
        <f>IF(BD138="","",BK138+BE138*WalkSec)</f>
        <v/>
      </c>
      <c r="BM138" t="n">
        <v>135</v>
      </c>
      <c r="BN138">
        <f>IF(135&gt;Passengers,"",MATCH(135,AD$4:AD$183,0))</f>
        <v/>
      </c>
      <c r="BO138">
        <f>IF(BN138="","",INDEX($B$4:$B$183,BN138))</f>
        <v/>
      </c>
      <c r="BP138">
        <f>IF(BN138="","",INDEX($C$4:$C$183,BN138))</f>
        <v/>
      </c>
      <c r="BQ138">
        <f>IF(BN138="","",INDEX($D$4:$D$183,BN138))</f>
        <v/>
      </c>
      <c r="BR138">
        <f>IF(BN138="","",COUNTIFS($B$4:$B$183,BO138,$C$4:$C$183,BP138,$D$4:$D$183,"&gt;"&amp;BQ138,AD$4:AD$183,"&lt;"&amp;135,$G$4:$G$183,1))</f>
        <v/>
      </c>
      <c r="BS138">
        <f>IF(BN138="","",INDEX($M$4:$M$183,BN138)+IF(BR138=1,Shuffle1,IF(BR138&gt;=2,Shuffle2,0)))</f>
        <v/>
      </c>
      <c r="BT138">
        <f>IF(BN138="","",MAX(DoorGap*134,SUMPRODUCT(MAX((BO$4:BO137&lt;=BO138)*BU$4:BU137)),SUMPRODUCT(MAX((BO$4:BO137&gt;BO138)*BT$4:BT137))+Headway))</f>
        <v/>
      </c>
      <c r="BU138">
        <f>IF(BN138="","",BT138+BS138)</f>
        <v/>
      </c>
      <c r="BV138">
        <f>IF(BN138="","",BU138+BO138*WalkSec)</f>
        <v/>
      </c>
      <c r="BW138">
        <f>IF($G138=0,"",INDEX(AR$4:AR$183,R138))</f>
        <v/>
      </c>
      <c r="BX138">
        <f>IF($G138=0,"",INDEX(BB$4:BB$183,V138))</f>
        <v/>
      </c>
      <c r="BY138">
        <f>IF($G138=0,"",INDEX(BL$4:BL$183,Z138))</f>
        <v/>
      </c>
      <c r="BZ138">
        <f>IF($G138=0,"",INDEX(BV$4:BV$183,AD138))</f>
        <v/>
      </c>
    </row>
    <row r="139">
      <c r="A139" t="n">
        <v>136</v>
      </c>
      <c r="B139" t="n">
        <v>23</v>
      </c>
      <c r="C139" t="n">
        <v>2</v>
      </c>
      <c r="D139" t="n">
        <v>1</v>
      </c>
      <c r="E139" t="n">
        <v>46</v>
      </c>
      <c r="F139">
        <f>RAND()</f>
        <v/>
      </c>
      <c r="G139">
        <f>IF(SUMPRODUCT(($F$4:$F$183&lt;F139)*1)+SUMPRODUCT(($F$4:$F$183=F139)*($A$4:$A$183&lt;A139))&lt;Passengers,1,0)</f>
        <v/>
      </c>
      <c r="H139">
        <f>RAND()</f>
        <v/>
      </c>
      <c r="I139">
        <f>RAND()</f>
        <v/>
      </c>
      <c r="J139">
        <f>RAND()</f>
        <v/>
      </c>
      <c r="K139">
        <f>RAND()</f>
        <v/>
      </c>
      <c r="L139">
        <f>RAND()</f>
        <v/>
      </c>
      <c r="M139">
        <f>IF(K139&lt;BagShare,EXP(NORMSINV(L139)*StowSigma+StowMu),StowNoBag)</f>
        <v/>
      </c>
      <c r="N139">
        <f>IF(INDEX($AG$4:$AG$63,E139)&lt;GroupShare,1,0)</f>
        <v/>
      </c>
      <c r="P139">
        <f>IF(G139=1,IF(I139&gt;Compliance,J139,$H139),2)</f>
        <v/>
      </c>
      <c r="Q139">
        <f>IF(G139=0,2,IF(N139=0,P139,1-SUMPRODUCT(MAX(($E$4:$E$183=E139)*($G$4:$G$183=1)*(1-P$4:P$183)))+0.000000001*D139))</f>
        <v/>
      </c>
      <c r="R139">
        <f>IF(G139=0,999,SUMPRODUCT((Q$4:Q$183&lt;Q139)*($G$4:$G$183=1))+SUMPRODUCT((Q$4:Q$183=Q139)*($G$4:$G$183=1)*($A$4:$A$183&lt;A139))+1)</f>
        <v/>
      </c>
      <c r="T139">
        <f>IF(G139=1,IF(I139&gt;Compliance,J139,(INT((30-$B139)/(30/Zones))+$H139)/Zones),2)</f>
        <v/>
      </c>
      <c r="U139">
        <f>IF(G139=0,2,IF(N139=0,T139,1-SUMPRODUCT(MAX(($E$4:$E$183=E139)*($G$4:$G$183=1)*(1-T$4:T$183)))+0.000000001*D139))</f>
        <v/>
      </c>
      <c r="V139">
        <f>IF(G139=0,999,SUMPRODUCT((U$4:U$183&lt;U139)*($G$4:$G$183=1))+SUMPRODUCT((U$4:U$183=U139)*($G$4:$G$183=1)*($A$4:$A$183&lt;A139))+1)</f>
        <v/>
      </c>
      <c r="X139">
        <f>IF(G139=1,IF(I139&gt;Compliance,J139,(($D139-1)+$H139)/3),2)</f>
        <v/>
      </c>
      <c r="Y139">
        <f>IF(G139=0,2,IF(N139=0,X139,1-SUMPRODUCT(MAX(($E$4:$E$183=E139)*($G$4:$G$183=1)*(1-X$4:X$183)))+0.000000001*D139))</f>
        <v/>
      </c>
      <c r="Z139">
        <f>IF(G139=0,999,SUMPRODUCT((Y$4:Y$183&lt;Y139)*($G$4:$G$183=1))+SUMPRODUCT((Y$4:Y$183=Y139)*($G$4:$G$183=1)*($A$4:$A$183&lt;A139))+1)</f>
        <v/>
      </c>
      <c r="AB139">
        <f>IF(G139=1,IF(I139&gt;Compliance,J139,((($D139-1)*4+($C139-1)*2+MOD($B139,2))+(30-$B139)/30)/12),2)</f>
        <v/>
      </c>
      <c r="AC139">
        <f>IF(G139=0,2,IF(N139=0,AB139,1-SUMPRODUCT(MAX(($E$4:$E$183=E139)*($G$4:$G$183=1)*(1-AB$4:AB$183)))+0.000000001*D139))</f>
        <v/>
      </c>
      <c r="AD139">
        <f>IF(G139=0,999,SUMPRODUCT((AC$4:AC$183&lt;AC139)*($G$4:$G$183=1))+SUMPRODUCT((AC$4:AC$183=AC139)*($G$4:$G$183=1)*($A$4:$A$183&lt;A139))+1)</f>
        <v/>
      </c>
      <c r="AI139" t="n">
        <v>136</v>
      </c>
      <c r="AJ139">
        <f>IF(136&gt;Passengers,"",MATCH(136,R$4:R$183,0))</f>
        <v/>
      </c>
      <c r="AK139">
        <f>IF(AJ139="","",INDEX($B$4:$B$183,AJ139))</f>
        <v/>
      </c>
      <c r="AL139">
        <f>IF(AJ139="","",INDEX($C$4:$C$183,AJ139))</f>
        <v/>
      </c>
      <c r="AM139">
        <f>IF(AJ139="","",INDEX($D$4:$D$183,AJ139))</f>
        <v/>
      </c>
      <c r="AN139">
        <f>IF(AJ139="","",COUNTIFS($B$4:$B$183,AK139,$C$4:$C$183,AL139,$D$4:$D$183,"&gt;"&amp;AM139,R$4:R$183,"&lt;"&amp;136,$G$4:$G$183,1))</f>
        <v/>
      </c>
      <c r="AO139">
        <f>IF(AJ139="","",INDEX($M$4:$M$183,AJ139)+IF(AN139=1,Shuffle1,IF(AN139&gt;=2,Shuffle2,0)))</f>
        <v/>
      </c>
      <c r="AP139">
        <f>IF(AJ139="","",MAX(DoorGap*135,SUMPRODUCT(MAX((AK$4:AK138&lt;=AK139)*AQ$4:AQ138)),SUMPRODUCT(MAX((AK$4:AK138&gt;AK139)*AP$4:AP138))+Headway))</f>
        <v/>
      </c>
      <c r="AQ139">
        <f>IF(AJ139="","",AP139+AO139)</f>
        <v/>
      </c>
      <c r="AR139">
        <f>IF(AJ139="","",AQ139+AK139*WalkSec)</f>
        <v/>
      </c>
      <c r="AS139" t="n">
        <v>136</v>
      </c>
      <c r="AT139">
        <f>IF(136&gt;Passengers,"",MATCH(136,V$4:V$183,0))</f>
        <v/>
      </c>
      <c r="AU139">
        <f>IF(AT139="","",INDEX($B$4:$B$183,AT139))</f>
        <v/>
      </c>
      <c r="AV139">
        <f>IF(AT139="","",INDEX($C$4:$C$183,AT139))</f>
        <v/>
      </c>
      <c r="AW139">
        <f>IF(AT139="","",INDEX($D$4:$D$183,AT139))</f>
        <v/>
      </c>
      <c r="AX139">
        <f>IF(AT139="","",COUNTIFS($B$4:$B$183,AU139,$C$4:$C$183,AV139,$D$4:$D$183,"&gt;"&amp;AW139,V$4:V$183,"&lt;"&amp;136,$G$4:$G$183,1))</f>
        <v/>
      </c>
      <c r="AY139">
        <f>IF(AT139="","",INDEX($M$4:$M$183,AT139)+IF(AX139=1,Shuffle1,IF(AX139&gt;=2,Shuffle2,0)))</f>
        <v/>
      </c>
      <c r="AZ139">
        <f>IF(AT139="","",MAX(DoorGap*135,SUMPRODUCT(MAX((AU$4:AU138&lt;=AU139)*BA$4:BA138)),SUMPRODUCT(MAX((AU$4:AU138&gt;AU139)*AZ$4:AZ138))+Headway))</f>
        <v/>
      </c>
      <c r="BA139">
        <f>IF(AT139="","",AZ139+AY139)</f>
        <v/>
      </c>
      <c r="BB139">
        <f>IF(AT139="","",BA139+AU139*WalkSec)</f>
        <v/>
      </c>
      <c r="BC139" t="n">
        <v>136</v>
      </c>
      <c r="BD139">
        <f>IF(136&gt;Passengers,"",MATCH(136,Z$4:Z$183,0))</f>
        <v/>
      </c>
      <c r="BE139">
        <f>IF(BD139="","",INDEX($B$4:$B$183,BD139))</f>
        <v/>
      </c>
      <c r="BF139">
        <f>IF(BD139="","",INDEX($C$4:$C$183,BD139))</f>
        <v/>
      </c>
      <c r="BG139">
        <f>IF(BD139="","",INDEX($D$4:$D$183,BD139))</f>
        <v/>
      </c>
      <c r="BH139">
        <f>IF(BD139="","",COUNTIFS($B$4:$B$183,BE139,$C$4:$C$183,BF139,$D$4:$D$183,"&gt;"&amp;BG139,Z$4:Z$183,"&lt;"&amp;136,$G$4:$G$183,1))</f>
        <v/>
      </c>
      <c r="BI139">
        <f>IF(BD139="","",INDEX($M$4:$M$183,BD139)+IF(BH139=1,Shuffle1,IF(BH139&gt;=2,Shuffle2,0)))</f>
        <v/>
      </c>
      <c r="BJ139">
        <f>IF(BD139="","",MAX(DoorGap*135,SUMPRODUCT(MAX((BE$4:BE138&lt;=BE139)*BK$4:BK138)),SUMPRODUCT(MAX((BE$4:BE138&gt;BE139)*BJ$4:BJ138))+Headway))</f>
        <v/>
      </c>
      <c r="BK139">
        <f>IF(BD139="","",BJ139+BI139)</f>
        <v/>
      </c>
      <c r="BL139">
        <f>IF(BD139="","",BK139+BE139*WalkSec)</f>
        <v/>
      </c>
      <c r="BM139" t="n">
        <v>136</v>
      </c>
      <c r="BN139">
        <f>IF(136&gt;Passengers,"",MATCH(136,AD$4:AD$183,0))</f>
        <v/>
      </c>
      <c r="BO139">
        <f>IF(BN139="","",INDEX($B$4:$B$183,BN139))</f>
        <v/>
      </c>
      <c r="BP139">
        <f>IF(BN139="","",INDEX($C$4:$C$183,BN139))</f>
        <v/>
      </c>
      <c r="BQ139">
        <f>IF(BN139="","",INDEX($D$4:$D$183,BN139))</f>
        <v/>
      </c>
      <c r="BR139">
        <f>IF(BN139="","",COUNTIFS($B$4:$B$183,BO139,$C$4:$C$183,BP139,$D$4:$D$183,"&gt;"&amp;BQ139,AD$4:AD$183,"&lt;"&amp;136,$G$4:$G$183,1))</f>
        <v/>
      </c>
      <c r="BS139">
        <f>IF(BN139="","",INDEX($M$4:$M$183,BN139)+IF(BR139=1,Shuffle1,IF(BR139&gt;=2,Shuffle2,0)))</f>
        <v/>
      </c>
      <c r="BT139">
        <f>IF(BN139="","",MAX(DoorGap*135,SUMPRODUCT(MAX((BO$4:BO138&lt;=BO139)*BU$4:BU138)),SUMPRODUCT(MAX((BO$4:BO138&gt;BO139)*BT$4:BT138))+Headway))</f>
        <v/>
      </c>
      <c r="BU139">
        <f>IF(BN139="","",BT139+BS139)</f>
        <v/>
      </c>
      <c r="BV139">
        <f>IF(BN139="","",BU139+BO139*WalkSec)</f>
        <v/>
      </c>
      <c r="BW139">
        <f>IF($G139=0,"",INDEX(AR$4:AR$183,R139))</f>
        <v/>
      </c>
      <c r="BX139">
        <f>IF($G139=0,"",INDEX(BB$4:BB$183,V139))</f>
        <v/>
      </c>
      <c r="BY139">
        <f>IF($G139=0,"",INDEX(BL$4:BL$183,Z139))</f>
        <v/>
      </c>
      <c r="BZ139">
        <f>IF($G139=0,"",INDEX(BV$4:BV$183,AD139))</f>
        <v/>
      </c>
    </row>
    <row r="140">
      <c r="A140" t="n">
        <v>137</v>
      </c>
      <c r="B140" t="n">
        <v>23</v>
      </c>
      <c r="C140" t="n">
        <v>2</v>
      </c>
      <c r="D140" t="n">
        <v>2</v>
      </c>
      <c r="E140" t="n">
        <v>46</v>
      </c>
      <c r="F140">
        <f>RAND()</f>
        <v/>
      </c>
      <c r="G140">
        <f>IF(SUMPRODUCT(($F$4:$F$183&lt;F140)*1)+SUMPRODUCT(($F$4:$F$183=F140)*($A$4:$A$183&lt;A140))&lt;Passengers,1,0)</f>
        <v/>
      </c>
      <c r="H140">
        <f>RAND()</f>
        <v/>
      </c>
      <c r="I140">
        <f>RAND()</f>
        <v/>
      </c>
      <c r="J140">
        <f>RAND()</f>
        <v/>
      </c>
      <c r="K140">
        <f>RAND()</f>
        <v/>
      </c>
      <c r="L140">
        <f>RAND()</f>
        <v/>
      </c>
      <c r="M140">
        <f>IF(K140&lt;BagShare,EXP(NORMSINV(L140)*StowSigma+StowMu),StowNoBag)</f>
        <v/>
      </c>
      <c r="N140">
        <f>IF(INDEX($AG$4:$AG$63,E140)&lt;GroupShare,1,0)</f>
        <v/>
      </c>
      <c r="P140">
        <f>IF(G140=1,IF(I140&gt;Compliance,J140,$H140),2)</f>
        <v/>
      </c>
      <c r="Q140">
        <f>IF(G140=0,2,IF(N140=0,P140,1-SUMPRODUCT(MAX(($E$4:$E$183=E140)*($G$4:$G$183=1)*(1-P$4:P$183)))+0.000000001*D140))</f>
        <v/>
      </c>
      <c r="R140">
        <f>IF(G140=0,999,SUMPRODUCT((Q$4:Q$183&lt;Q140)*($G$4:$G$183=1))+SUMPRODUCT((Q$4:Q$183=Q140)*($G$4:$G$183=1)*($A$4:$A$183&lt;A140))+1)</f>
        <v/>
      </c>
      <c r="T140">
        <f>IF(G140=1,IF(I140&gt;Compliance,J140,(INT((30-$B140)/(30/Zones))+$H140)/Zones),2)</f>
        <v/>
      </c>
      <c r="U140">
        <f>IF(G140=0,2,IF(N140=0,T140,1-SUMPRODUCT(MAX(($E$4:$E$183=E140)*($G$4:$G$183=1)*(1-T$4:T$183)))+0.000000001*D140))</f>
        <v/>
      </c>
      <c r="V140">
        <f>IF(G140=0,999,SUMPRODUCT((U$4:U$183&lt;U140)*($G$4:$G$183=1))+SUMPRODUCT((U$4:U$183=U140)*($G$4:$G$183=1)*($A$4:$A$183&lt;A140))+1)</f>
        <v/>
      </c>
      <c r="X140">
        <f>IF(G140=1,IF(I140&gt;Compliance,J140,(($D140-1)+$H140)/3),2)</f>
        <v/>
      </c>
      <c r="Y140">
        <f>IF(G140=0,2,IF(N140=0,X140,1-SUMPRODUCT(MAX(($E$4:$E$183=E140)*($G$4:$G$183=1)*(1-X$4:X$183)))+0.000000001*D140))</f>
        <v/>
      </c>
      <c r="Z140">
        <f>IF(G140=0,999,SUMPRODUCT((Y$4:Y$183&lt;Y140)*($G$4:$G$183=1))+SUMPRODUCT((Y$4:Y$183=Y140)*($G$4:$G$183=1)*($A$4:$A$183&lt;A140))+1)</f>
        <v/>
      </c>
      <c r="AB140">
        <f>IF(G140=1,IF(I140&gt;Compliance,J140,((($D140-1)*4+($C140-1)*2+MOD($B140,2))+(30-$B140)/30)/12),2)</f>
        <v/>
      </c>
      <c r="AC140">
        <f>IF(G140=0,2,IF(N140=0,AB140,1-SUMPRODUCT(MAX(($E$4:$E$183=E140)*($G$4:$G$183=1)*(1-AB$4:AB$183)))+0.000000001*D140))</f>
        <v/>
      </c>
      <c r="AD140">
        <f>IF(G140=0,999,SUMPRODUCT((AC$4:AC$183&lt;AC140)*($G$4:$G$183=1))+SUMPRODUCT((AC$4:AC$183=AC140)*($G$4:$G$183=1)*($A$4:$A$183&lt;A140))+1)</f>
        <v/>
      </c>
      <c r="AI140" t="n">
        <v>137</v>
      </c>
      <c r="AJ140">
        <f>IF(137&gt;Passengers,"",MATCH(137,R$4:R$183,0))</f>
        <v/>
      </c>
      <c r="AK140">
        <f>IF(AJ140="","",INDEX($B$4:$B$183,AJ140))</f>
        <v/>
      </c>
      <c r="AL140">
        <f>IF(AJ140="","",INDEX($C$4:$C$183,AJ140))</f>
        <v/>
      </c>
      <c r="AM140">
        <f>IF(AJ140="","",INDEX($D$4:$D$183,AJ140))</f>
        <v/>
      </c>
      <c r="AN140">
        <f>IF(AJ140="","",COUNTIFS($B$4:$B$183,AK140,$C$4:$C$183,AL140,$D$4:$D$183,"&gt;"&amp;AM140,R$4:R$183,"&lt;"&amp;137,$G$4:$G$183,1))</f>
        <v/>
      </c>
      <c r="AO140">
        <f>IF(AJ140="","",INDEX($M$4:$M$183,AJ140)+IF(AN140=1,Shuffle1,IF(AN140&gt;=2,Shuffle2,0)))</f>
        <v/>
      </c>
      <c r="AP140">
        <f>IF(AJ140="","",MAX(DoorGap*136,SUMPRODUCT(MAX((AK$4:AK139&lt;=AK140)*AQ$4:AQ139)),SUMPRODUCT(MAX((AK$4:AK139&gt;AK140)*AP$4:AP139))+Headway))</f>
        <v/>
      </c>
      <c r="AQ140">
        <f>IF(AJ140="","",AP140+AO140)</f>
        <v/>
      </c>
      <c r="AR140">
        <f>IF(AJ140="","",AQ140+AK140*WalkSec)</f>
        <v/>
      </c>
      <c r="AS140" t="n">
        <v>137</v>
      </c>
      <c r="AT140">
        <f>IF(137&gt;Passengers,"",MATCH(137,V$4:V$183,0))</f>
        <v/>
      </c>
      <c r="AU140">
        <f>IF(AT140="","",INDEX($B$4:$B$183,AT140))</f>
        <v/>
      </c>
      <c r="AV140">
        <f>IF(AT140="","",INDEX($C$4:$C$183,AT140))</f>
        <v/>
      </c>
      <c r="AW140">
        <f>IF(AT140="","",INDEX($D$4:$D$183,AT140))</f>
        <v/>
      </c>
      <c r="AX140">
        <f>IF(AT140="","",COUNTIFS($B$4:$B$183,AU140,$C$4:$C$183,AV140,$D$4:$D$183,"&gt;"&amp;AW140,V$4:V$183,"&lt;"&amp;137,$G$4:$G$183,1))</f>
        <v/>
      </c>
      <c r="AY140">
        <f>IF(AT140="","",INDEX($M$4:$M$183,AT140)+IF(AX140=1,Shuffle1,IF(AX140&gt;=2,Shuffle2,0)))</f>
        <v/>
      </c>
      <c r="AZ140">
        <f>IF(AT140="","",MAX(DoorGap*136,SUMPRODUCT(MAX((AU$4:AU139&lt;=AU140)*BA$4:BA139)),SUMPRODUCT(MAX((AU$4:AU139&gt;AU140)*AZ$4:AZ139))+Headway))</f>
        <v/>
      </c>
      <c r="BA140">
        <f>IF(AT140="","",AZ140+AY140)</f>
        <v/>
      </c>
      <c r="BB140">
        <f>IF(AT140="","",BA140+AU140*WalkSec)</f>
        <v/>
      </c>
      <c r="BC140" t="n">
        <v>137</v>
      </c>
      <c r="BD140">
        <f>IF(137&gt;Passengers,"",MATCH(137,Z$4:Z$183,0))</f>
        <v/>
      </c>
      <c r="BE140">
        <f>IF(BD140="","",INDEX($B$4:$B$183,BD140))</f>
        <v/>
      </c>
      <c r="BF140">
        <f>IF(BD140="","",INDEX($C$4:$C$183,BD140))</f>
        <v/>
      </c>
      <c r="BG140">
        <f>IF(BD140="","",INDEX($D$4:$D$183,BD140))</f>
        <v/>
      </c>
      <c r="BH140">
        <f>IF(BD140="","",COUNTIFS($B$4:$B$183,BE140,$C$4:$C$183,BF140,$D$4:$D$183,"&gt;"&amp;BG140,Z$4:Z$183,"&lt;"&amp;137,$G$4:$G$183,1))</f>
        <v/>
      </c>
      <c r="BI140">
        <f>IF(BD140="","",INDEX($M$4:$M$183,BD140)+IF(BH140=1,Shuffle1,IF(BH140&gt;=2,Shuffle2,0)))</f>
        <v/>
      </c>
      <c r="BJ140">
        <f>IF(BD140="","",MAX(DoorGap*136,SUMPRODUCT(MAX((BE$4:BE139&lt;=BE140)*BK$4:BK139)),SUMPRODUCT(MAX((BE$4:BE139&gt;BE140)*BJ$4:BJ139))+Headway))</f>
        <v/>
      </c>
      <c r="BK140">
        <f>IF(BD140="","",BJ140+BI140)</f>
        <v/>
      </c>
      <c r="BL140">
        <f>IF(BD140="","",BK140+BE140*WalkSec)</f>
        <v/>
      </c>
      <c r="BM140" t="n">
        <v>137</v>
      </c>
      <c r="BN140">
        <f>IF(137&gt;Passengers,"",MATCH(137,AD$4:AD$183,0))</f>
        <v/>
      </c>
      <c r="BO140">
        <f>IF(BN140="","",INDEX($B$4:$B$183,BN140))</f>
        <v/>
      </c>
      <c r="BP140">
        <f>IF(BN140="","",INDEX($C$4:$C$183,BN140))</f>
        <v/>
      </c>
      <c r="BQ140">
        <f>IF(BN140="","",INDEX($D$4:$D$183,BN140))</f>
        <v/>
      </c>
      <c r="BR140">
        <f>IF(BN140="","",COUNTIFS($B$4:$B$183,BO140,$C$4:$C$183,BP140,$D$4:$D$183,"&gt;"&amp;BQ140,AD$4:AD$183,"&lt;"&amp;137,$G$4:$G$183,1))</f>
        <v/>
      </c>
      <c r="BS140">
        <f>IF(BN140="","",INDEX($M$4:$M$183,BN140)+IF(BR140=1,Shuffle1,IF(BR140&gt;=2,Shuffle2,0)))</f>
        <v/>
      </c>
      <c r="BT140">
        <f>IF(BN140="","",MAX(DoorGap*136,SUMPRODUCT(MAX((BO$4:BO139&lt;=BO140)*BU$4:BU139)),SUMPRODUCT(MAX((BO$4:BO139&gt;BO140)*BT$4:BT139))+Headway))</f>
        <v/>
      </c>
      <c r="BU140">
        <f>IF(BN140="","",BT140+BS140)</f>
        <v/>
      </c>
      <c r="BV140">
        <f>IF(BN140="","",BU140+BO140*WalkSec)</f>
        <v/>
      </c>
      <c r="BW140">
        <f>IF($G140=0,"",INDEX(AR$4:AR$183,R140))</f>
        <v/>
      </c>
      <c r="BX140">
        <f>IF($G140=0,"",INDEX(BB$4:BB$183,V140))</f>
        <v/>
      </c>
      <c r="BY140">
        <f>IF($G140=0,"",INDEX(BL$4:BL$183,Z140))</f>
        <v/>
      </c>
      <c r="BZ140">
        <f>IF($G140=0,"",INDEX(BV$4:BV$183,AD140))</f>
        <v/>
      </c>
    </row>
    <row r="141">
      <c r="A141" t="n">
        <v>138</v>
      </c>
      <c r="B141" t="n">
        <v>23</v>
      </c>
      <c r="C141" t="n">
        <v>2</v>
      </c>
      <c r="D141" t="n">
        <v>3</v>
      </c>
      <c r="E141" t="n">
        <v>46</v>
      </c>
      <c r="F141">
        <f>RAND()</f>
        <v/>
      </c>
      <c r="G141">
        <f>IF(SUMPRODUCT(($F$4:$F$183&lt;F141)*1)+SUMPRODUCT(($F$4:$F$183=F141)*($A$4:$A$183&lt;A141))&lt;Passengers,1,0)</f>
        <v/>
      </c>
      <c r="H141">
        <f>RAND()</f>
        <v/>
      </c>
      <c r="I141">
        <f>RAND()</f>
        <v/>
      </c>
      <c r="J141">
        <f>RAND()</f>
        <v/>
      </c>
      <c r="K141">
        <f>RAND()</f>
        <v/>
      </c>
      <c r="L141">
        <f>RAND()</f>
        <v/>
      </c>
      <c r="M141">
        <f>IF(K141&lt;BagShare,EXP(NORMSINV(L141)*StowSigma+StowMu),StowNoBag)</f>
        <v/>
      </c>
      <c r="N141">
        <f>IF(INDEX($AG$4:$AG$63,E141)&lt;GroupShare,1,0)</f>
        <v/>
      </c>
      <c r="P141">
        <f>IF(G141=1,IF(I141&gt;Compliance,J141,$H141),2)</f>
        <v/>
      </c>
      <c r="Q141">
        <f>IF(G141=0,2,IF(N141=0,P141,1-SUMPRODUCT(MAX(($E$4:$E$183=E141)*($G$4:$G$183=1)*(1-P$4:P$183)))+0.000000001*D141))</f>
        <v/>
      </c>
      <c r="R141">
        <f>IF(G141=0,999,SUMPRODUCT((Q$4:Q$183&lt;Q141)*($G$4:$G$183=1))+SUMPRODUCT((Q$4:Q$183=Q141)*($G$4:$G$183=1)*($A$4:$A$183&lt;A141))+1)</f>
        <v/>
      </c>
      <c r="T141">
        <f>IF(G141=1,IF(I141&gt;Compliance,J141,(INT((30-$B141)/(30/Zones))+$H141)/Zones),2)</f>
        <v/>
      </c>
      <c r="U141">
        <f>IF(G141=0,2,IF(N141=0,T141,1-SUMPRODUCT(MAX(($E$4:$E$183=E141)*($G$4:$G$183=1)*(1-T$4:T$183)))+0.000000001*D141))</f>
        <v/>
      </c>
      <c r="V141">
        <f>IF(G141=0,999,SUMPRODUCT((U$4:U$183&lt;U141)*($G$4:$G$183=1))+SUMPRODUCT((U$4:U$183=U141)*($G$4:$G$183=1)*($A$4:$A$183&lt;A141))+1)</f>
        <v/>
      </c>
      <c r="X141">
        <f>IF(G141=1,IF(I141&gt;Compliance,J141,(($D141-1)+$H141)/3),2)</f>
        <v/>
      </c>
      <c r="Y141">
        <f>IF(G141=0,2,IF(N141=0,X141,1-SUMPRODUCT(MAX(($E$4:$E$183=E141)*($G$4:$G$183=1)*(1-X$4:X$183)))+0.000000001*D141))</f>
        <v/>
      </c>
      <c r="Z141">
        <f>IF(G141=0,999,SUMPRODUCT((Y$4:Y$183&lt;Y141)*($G$4:$G$183=1))+SUMPRODUCT((Y$4:Y$183=Y141)*($G$4:$G$183=1)*($A$4:$A$183&lt;A141))+1)</f>
        <v/>
      </c>
      <c r="AB141">
        <f>IF(G141=1,IF(I141&gt;Compliance,J141,((($D141-1)*4+($C141-1)*2+MOD($B141,2))+(30-$B141)/30)/12),2)</f>
        <v/>
      </c>
      <c r="AC141">
        <f>IF(G141=0,2,IF(N141=0,AB141,1-SUMPRODUCT(MAX(($E$4:$E$183=E141)*($G$4:$G$183=1)*(1-AB$4:AB$183)))+0.000000001*D141))</f>
        <v/>
      </c>
      <c r="AD141">
        <f>IF(G141=0,999,SUMPRODUCT((AC$4:AC$183&lt;AC141)*($G$4:$G$183=1))+SUMPRODUCT((AC$4:AC$183=AC141)*($G$4:$G$183=1)*($A$4:$A$183&lt;A141))+1)</f>
        <v/>
      </c>
      <c r="AI141" t="n">
        <v>138</v>
      </c>
      <c r="AJ141">
        <f>IF(138&gt;Passengers,"",MATCH(138,R$4:R$183,0))</f>
        <v/>
      </c>
      <c r="AK141">
        <f>IF(AJ141="","",INDEX($B$4:$B$183,AJ141))</f>
        <v/>
      </c>
      <c r="AL141">
        <f>IF(AJ141="","",INDEX($C$4:$C$183,AJ141))</f>
        <v/>
      </c>
      <c r="AM141">
        <f>IF(AJ141="","",INDEX($D$4:$D$183,AJ141))</f>
        <v/>
      </c>
      <c r="AN141">
        <f>IF(AJ141="","",COUNTIFS($B$4:$B$183,AK141,$C$4:$C$183,AL141,$D$4:$D$183,"&gt;"&amp;AM141,R$4:R$183,"&lt;"&amp;138,$G$4:$G$183,1))</f>
        <v/>
      </c>
      <c r="AO141">
        <f>IF(AJ141="","",INDEX($M$4:$M$183,AJ141)+IF(AN141=1,Shuffle1,IF(AN141&gt;=2,Shuffle2,0)))</f>
        <v/>
      </c>
      <c r="AP141">
        <f>IF(AJ141="","",MAX(DoorGap*137,SUMPRODUCT(MAX((AK$4:AK140&lt;=AK141)*AQ$4:AQ140)),SUMPRODUCT(MAX((AK$4:AK140&gt;AK141)*AP$4:AP140))+Headway))</f>
        <v/>
      </c>
      <c r="AQ141">
        <f>IF(AJ141="","",AP141+AO141)</f>
        <v/>
      </c>
      <c r="AR141">
        <f>IF(AJ141="","",AQ141+AK141*WalkSec)</f>
        <v/>
      </c>
      <c r="AS141" t="n">
        <v>138</v>
      </c>
      <c r="AT141">
        <f>IF(138&gt;Passengers,"",MATCH(138,V$4:V$183,0))</f>
        <v/>
      </c>
      <c r="AU141">
        <f>IF(AT141="","",INDEX($B$4:$B$183,AT141))</f>
        <v/>
      </c>
      <c r="AV141">
        <f>IF(AT141="","",INDEX($C$4:$C$183,AT141))</f>
        <v/>
      </c>
      <c r="AW141">
        <f>IF(AT141="","",INDEX($D$4:$D$183,AT141))</f>
        <v/>
      </c>
      <c r="AX141">
        <f>IF(AT141="","",COUNTIFS($B$4:$B$183,AU141,$C$4:$C$183,AV141,$D$4:$D$183,"&gt;"&amp;AW141,V$4:V$183,"&lt;"&amp;138,$G$4:$G$183,1))</f>
        <v/>
      </c>
      <c r="AY141">
        <f>IF(AT141="","",INDEX($M$4:$M$183,AT141)+IF(AX141=1,Shuffle1,IF(AX141&gt;=2,Shuffle2,0)))</f>
        <v/>
      </c>
      <c r="AZ141">
        <f>IF(AT141="","",MAX(DoorGap*137,SUMPRODUCT(MAX((AU$4:AU140&lt;=AU141)*BA$4:BA140)),SUMPRODUCT(MAX((AU$4:AU140&gt;AU141)*AZ$4:AZ140))+Headway))</f>
        <v/>
      </c>
      <c r="BA141">
        <f>IF(AT141="","",AZ141+AY141)</f>
        <v/>
      </c>
      <c r="BB141">
        <f>IF(AT141="","",BA141+AU141*WalkSec)</f>
        <v/>
      </c>
      <c r="BC141" t="n">
        <v>138</v>
      </c>
      <c r="BD141">
        <f>IF(138&gt;Passengers,"",MATCH(138,Z$4:Z$183,0))</f>
        <v/>
      </c>
      <c r="BE141">
        <f>IF(BD141="","",INDEX($B$4:$B$183,BD141))</f>
        <v/>
      </c>
      <c r="BF141">
        <f>IF(BD141="","",INDEX($C$4:$C$183,BD141))</f>
        <v/>
      </c>
      <c r="BG141">
        <f>IF(BD141="","",INDEX($D$4:$D$183,BD141))</f>
        <v/>
      </c>
      <c r="BH141">
        <f>IF(BD141="","",COUNTIFS($B$4:$B$183,BE141,$C$4:$C$183,BF141,$D$4:$D$183,"&gt;"&amp;BG141,Z$4:Z$183,"&lt;"&amp;138,$G$4:$G$183,1))</f>
        <v/>
      </c>
      <c r="BI141">
        <f>IF(BD141="","",INDEX($M$4:$M$183,BD141)+IF(BH141=1,Shuffle1,IF(BH141&gt;=2,Shuffle2,0)))</f>
        <v/>
      </c>
      <c r="BJ141">
        <f>IF(BD141="","",MAX(DoorGap*137,SUMPRODUCT(MAX((BE$4:BE140&lt;=BE141)*BK$4:BK140)),SUMPRODUCT(MAX((BE$4:BE140&gt;BE141)*BJ$4:BJ140))+Headway))</f>
        <v/>
      </c>
      <c r="BK141">
        <f>IF(BD141="","",BJ141+BI141)</f>
        <v/>
      </c>
      <c r="BL141">
        <f>IF(BD141="","",BK141+BE141*WalkSec)</f>
        <v/>
      </c>
      <c r="BM141" t="n">
        <v>138</v>
      </c>
      <c r="BN141">
        <f>IF(138&gt;Passengers,"",MATCH(138,AD$4:AD$183,0))</f>
        <v/>
      </c>
      <c r="BO141">
        <f>IF(BN141="","",INDEX($B$4:$B$183,BN141))</f>
        <v/>
      </c>
      <c r="BP141">
        <f>IF(BN141="","",INDEX($C$4:$C$183,BN141))</f>
        <v/>
      </c>
      <c r="BQ141">
        <f>IF(BN141="","",INDEX($D$4:$D$183,BN141))</f>
        <v/>
      </c>
      <c r="BR141">
        <f>IF(BN141="","",COUNTIFS($B$4:$B$183,BO141,$C$4:$C$183,BP141,$D$4:$D$183,"&gt;"&amp;BQ141,AD$4:AD$183,"&lt;"&amp;138,$G$4:$G$183,1))</f>
        <v/>
      </c>
      <c r="BS141">
        <f>IF(BN141="","",INDEX($M$4:$M$183,BN141)+IF(BR141=1,Shuffle1,IF(BR141&gt;=2,Shuffle2,0)))</f>
        <v/>
      </c>
      <c r="BT141">
        <f>IF(BN141="","",MAX(DoorGap*137,SUMPRODUCT(MAX((BO$4:BO140&lt;=BO141)*BU$4:BU140)),SUMPRODUCT(MAX((BO$4:BO140&gt;BO141)*BT$4:BT140))+Headway))</f>
        <v/>
      </c>
      <c r="BU141">
        <f>IF(BN141="","",BT141+BS141)</f>
        <v/>
      </c>
      <c r="BV141">
        <f>IF(BN141="","",BU141+BO141*WalkSec)</f>
        <v/>
      </c>
      <c r="BW141">
        <f>IF($G141=0,"",INDEX(AR$4:AR$183,R141))</f>
        <v/>
      </c>
      <c r="BX141">
        <f>IF($G141=0,"",INDEX(BB$4:BB$183,V141))</f>
        <v/>
      </c>
      <c r="BY141">
        <f>IF($G141=0,"",INDEX(BL$4:BL$183,Z141))</f>
        <v/>
      </c>
      <c r="BZ141">
        <f>IF($G141=0,"",INDEX(BV$4:BV$183,AD141))</f>
        <v/>
      </c>
    </row>
    <row r="142">
      <c r="A142" t="n">
        <v>139</v>
      </c>
      <c r="B142" t="n">
        <v>24</v>
      </c>
      <c r="C142" t="n">
        <v>1</v>
      </c>
      <c r="D142" t="n">
        <v>1</v>
      </c>
      <c r="E142" t="n">
        <v>47</v>
      </c>
      <c r="F142">
        <f>RAND()</f>
        <v/>
      </c>
      <c r="G142">
        <f>IF(SUMPRODUCT(($F$4:$F$183&lt;F142)*1)+SUMPRODUCT(($F$4:$F$183=F142)*($A$4:$A$183&lt;A142))&lt;Passengers,1,0)</f>
        <v/>
      </c>
      <c r="H142">
        <f>RAND()</f>
        <v/>
      </c>
      <c r="I142">
        <f>RAND()</f>
        <v/>
      </c>
      <c r="J142">
        <f>RAND()</f>
        <v/>
      </c>
      <c r="K142">
        <f>RAND()</f>
        <v/>
      </c>
      <c r="L142">
        <f>RAND()</f>
        <v/>
      </c>
      <c r="M142">
        <f>IF(K142&lt;BagShare,EXP(NORMSINV(L142)*StowSigma+StowMu),StowNoBag)</f>
        <v/>
      </c>
      <c r="N142">
        <f>IF(INDEX($AG$4:$AG$63,E142)&lt;GroupShare,1,0)</f>
        <v/>
      </c>
      <c r="P142">
        <f>IF(G142=1,IF(I142&gt;Compliance,J142,$H142),2)</f>
        <v/>
      </c>
      <c r="Q142">
        <f>IF(G142=0,2,IF(N142=0,P142,1-SUMPRODUCT(MAX(($E$4:$E$183=E142)*($G$4:$G$183=1)*(1-P$4:P$183)))+0.000000001*D142))</f>
        <v/>
      </c>
      <c r="R142">
        <f>IF(G142=0,999,SUMPRODUCT((Q$4:Q$183&lt;Q142)*($G$4:$G$183=1))+SUMPRODUCT((Q$4:Q$183=Q142)*($G$4:$G$183=1)*($A$4:$A$183&lt;A142))+1)</f>
        <v/>
      </c>
      <c r="T142">
        <f>IF(G142=1,IF(I142&gt;Compliance,J142,(INT((30-$B142)/(30/Zones))+$H142)/Zones),2)</f>
        <v/>
      </c>
      <c r="U142">
        <f>IF(G142=0,2,IF(N142=0,T142,1-SUMPRODUCT(MAX(($E$4:$E$183=E142)*($G$4:$G$183=1)*(1-T$4:T$183)))+0.000000001*D142))</f>
        <v/>
      </c>
      <c r="V142">
        <f>IF(G142=0,999,SUMPRODUCT((U$4:U$183&lt;U142)*($G$4:$G$183=1))+SUMPRODUCT((U$4:U$183=U142)*($G$4:$G$183=1)*($A$4:$A$183&lt;A142))+1)</f>
        <v/>
      </c>
      <c r="X142">
        <f>IF(G142=1,IF(I142&gt;Compliance,J142,(($D142-1)+$H142)/3),2)</f>
        <v/>
      </c>
      <c r="Y142">
        <f>IF(G142=0,2,IF(N142=0,X142,1-SUMPRODUCT(MAX(($E$4:$E$183=E142)*($G$4:$G$183=1)*(1-X$4:X$183)))+0.000000001*D142))</f>
        <v/>
      </c>
      <c r="Z142">
        <f>IF(G142=0,999,SUMPRODUCT((Y$4:Y$183&lt;Y142)*($G$4:$G$183=1))+SUMPRODUCT((Y$4:Y$183=Y142)*($G$4:$G$183=1)*($A$4:$A$183&lt;A142))+1)</f>
        <v/>
      </c>
      <c r="AB142">
        <f>IF(G142=1,IF(I142&gt;Compliance,J142,((($D142-1)*4+($C142-1)*2+MOD($B142,2))+(30-$B142)/30)/12),2)</f>
        <v/>
      </c>
      <c r="AC142">
        <f>IF(G142=0,2,IF(N142=0,AB142,1-SUMPRODUCT(MAX(($E$4:$E$183=E142)*($G$4:$G$183=1)*(1-AB$4:AB$183)))+0.000000001*D142))</f>
        <v/>
      </c>
      <c r="AD142">
        <f>IF(G142=0,999,SUMPRODUCT((AC$4:AC$183&lt;AC142)*($G$4:$G$183=1))+SUMPRODUCT((AC$4:AC$183=AC142)*($G$4:$G$183=1)*($A$4:$A$183&lt;A142))+1)</f>
        <v/>
      </c>
      <c r="AI142" t="n">
        <v>139</v>
      </c>
      <c r="AJ142">
        <f>IF(139&gt;Passengers,"",MATCH(139,R$4:R$183,0))</f>
        <v/>
      </c>
      <c r="AK142">
        <f>IF(AJ142="","",INDEX($B$4:$B$183,AJ142))</f>
        <v/>
      </c>
      <c r="AL142">
        <f>IF(AJ142="","",INDEX($C$4:$C$183,AJ142))</f>
        <v/>
      </c>
      <c r="AM142">
        <f>IF(AJ142="","",INDEX($D$4:$D$183,AJ142))</f>
        <v/>
      </c>
      <c r="AN142">
        <f>IF(AJ142="","",COUNTIFS($B$4:$B$183,AK142,$C$4:$C$183,AL142,$D$4:$D$183,"&gt;"&amp;AM142,R$4:R$183,"&lt;"&amp;139,$G$4:$G$183,1))</f>
        <v/>
      </c>
      <c r="AO142">
        <f>IF(AJ142="","",INDEX($M$4:$M$183,AJ142)+IF(AN142=1,Shuffle1,IF(AN142&gt;=2,Shuffle2,0)))</f>
        <v/>
      </c>
      <c r="AP142">
        <f>IF(AJ142="","",MAX(DoorGap*138,SUMPRODUCT(MAX((AK$4:AK141&lt;=AK142)*AQ$4:AQ141)),SUMPRODUCT(MAX((AK$4:AK141&gt;AK142)*AP$4:AP141))+Headway))</f>
        <v/>
      </c>
      <c r="AQ142">
        <f>IF(AJ142="","",AP142+AO142)</f>
        <v/>
      </c>
      <c r="AR142">
        <f>IF(AJ142="","",AQ142+AK142*WalkSec)</f>
        <v/>
      </c>
      <c r="AS142" t="n">
        <v>139</v>
      </c>
      <c r="AT142">
        <f>IF(139&gt;Passengers,"",MATCH(139,V$4:V$183,0))</f>
        <v/>
      </c>
      <c r="AU142">
        <f>IF(AT142="","",INDEX($B$4:$B$183,AT142))</f>
        <v/>
      </c>
      <c r="AV142">
        <f>IF(AT142="","",INDEX($C$4:$C$183,AT142))</f>
        <v/>
      </c>
      <c r="AW142">
        <f>IF(AT142="","",INDEX($D$4:$D$183,AT142))</f>
        <v/>
      </c>
      <c r="AX142">
        <f>IF(AT142="","",COUNTIFS($B$4:$B$183,AU142,$C$4:$C$183,AV142,$D$4:$D$183,"&gt;"&amp;AW142,V$4:V$183,"&lt;"&amp;139,$G$4:$G$183,1))</f>
        <v/>
      </c>
      <c r="AY142">
        <f>IF(AT142="","",INDEX($M$4:$M$183,AT142)+IF(AX142=1,Shuffle1,IF(AX142&gt;=2,Shuffle2,0)))</f>
        <v/>
      </c>
      <c r="AZ142">
        <f>IF(AT142="","",MAX(DoorGap*138,SUMPRODUCT(MAX((AU$4:AU141&lt;=AU142)*BA$4:BA141)),SUMPRODUCT(MAX((AU$4:AU141&gt;AU142)*AZ$4:AZ141))+Headway))</f>
        <v/>
      </c>
      <c r="BA142">
        <f>IF(AT142="","",AZ142+AY142)</f>
        <v/>
      </c>
      <c r="BB142">
        <f>IF(AT142="","",BA142+AU142*WalkSec)</f>
        <v/>
      </c>
      <c r="BC142" t="n">
        <v>139</v>
      </c>
      <c r="BD142">
        <f>IF(139&gt;Passengers,"",MATCH(139,Z$4:Z$183,0))</f>
        <v/>
      </c>
      <c r="BE142">
        <f>IF(BD142="","",INDEX($B$4:$B$183,BD142))</f>
        <v/>
      </c>
      <c r="BF142">
        <f>IF(BD142="","",INDEX($C$4:$C$183,BD142))</f>
        <v/>
      </c>
      <c r="BG142">
        <f>IF(BD142="","",INDEX($D$4:$D$183,BD142))</f>
        <v/>
      </c>
      <c r="BH142">
        <f>IF(BD142="","",COUNTIFS($B$4:$B$183,BE142,$C$4:$C$183,BF142,$D$4:$D$183,"&gt;"&amp;BG142,Z$4:Z$183,"&lt;"&amp;139,$G$4:$G$183,1))</f>
        <v/>
      </c>
      <c r="BI142">
        <f>IF(BD142="","",INDEX($M$4:$M$183,BD142)+IF(BH142=1,Shuffle1,IF(BH142&gt;=2,Shuffle2,0)))</f>
        <v/>
      </c>
      <c r="BJ142">
        <f>IF(BD142="","",MAX(DoorGap*138,SUMPRODUCT(MAX((BE$4:BE141&lt;=BE142)*BK$4:BK141)),SUMPRODUCT(MAX((BE$4:BE141&gt;BE142)*BJ$4:BJ141))+Headway))</f>
        <v/>
      </c>
      <c r="BK142">
        <f>IF(BD142="","",BJ142+BI142)</f>
        <v/>
      </c>
      <c r="BL142">
        <f>IF(BD142="","",BK142+BE142*WalkSec)</f>
        <v/>
      </c>
      <c r="BM142" t="n">
        <v>139</v>
      </c>
      <c r="BN142">
        <f>IF(139&gt;Passengers,"",MATCH(139,AD$4:AD$183,0))</f>
        <v/>
      </c>
      <c r="BO142">
        <f>IF(BN142="","",INDEX($B$4:$B$183,BN142))</f>
        <v/>
      </c>
      <c r="BP142">
        <f>IF(BN142="","",INDEX($C$4:$C$183,BN142))</f>
        <v/>
      </c>
      <c r="BQ142">
        <f>IF(BN142="","",INDEX($D$4:$D$183,BN142))</f>
        <v/>
      </c>
      <c r="BR142">
        <f>IF(BN142="","",COUNTIFS($B$4:$B$183,BO142,$C$4:$C$183,BP142,$D$4:$D$183,"&gt;"&amp;BQ142,AD$4:AD$183,"&lt;"&amp;139,$G$4:$G$183,1))</f>
        <v/>
      </c>
      <c r="BS142">
        <f>IF(BN142="","",INDEX($M$4:$M$183,BN142)+IF(BR142=1,Shuffle1,IF(BR142&gt;=2,Shuffle2,0)))</f>
        <v/>
      </c>
      <c r="BT142">
        <f>IF(BN142="","",MAX(DoorGap*138,SUMPRODUCT(MAX((BO$4:BO141&lt;=BO142)*BU$4:BU141)),SUMPRODUCT(MAX((BO$4:BO141&gt;BO142)*BT$4:BT141))+Headway))</f>
        <v/>
      </c>
      <c r="BU142">
        <f>IF(BN142="","",BT142+BS142)</f>
        <v/>
      </c>
      <c r="BV142">
        <f>IF(BN142="","",BU142+BO142*WalkSec)</f>
        <v/>
      </c>
      <c r="BW142">
        <f>IF($G142=0,"",INDEX(AR$4:AR$183,R142))</f>
        <v/>
      </c>
      <c r="BX142">
        <f>IF($G142=0,"",INDEX(BB$4:BB$183,V142))</f>
        <v/>
      </c>
      <c r="BY142">
        <f>IF($G142=0,"",INDEX(BL$4:BL$183,Z142))</f>
        <v/>
      </c>
      <c r="BZ142">
        <f>IF($G142=0,"",INDEX(BV$4:BV$183,AD142))</f>
        <v/>
      </c>
    </row>
    <row r="143">
      <c r="A143" t="n">
        <v>140</v>
      </c>
      <c r="B143" t="n">
        <v>24</v>
      </c>
      <c r="C143" t="n">
        <v>1</v>
      </c>
      <c r="D143" t="n">
        <v>2</v>
      </c>
      <c r="E143" t="n">
        <v>47</v>
      </c>
      <c r="F143">
        <f>RAND()</f>
        <v/>
      </c>
      <c r="G143">
        <f>IF(SUMPRODUCT(($F$4:$F$183&lt;F143)*1)+SUMPRODUCT(($F$4:$F$183=F143)*($A$4:$A$183&lt;A143))&lt;Passengers,1,0)</f>
        <v/>
      </c>
      <c r="H143">
        <f>RAND()</f>
        <v/>
      </c>
      <c r="I143">
        <f>RAND()</f>
        <v/>
      </c>
      <c r="J143">
        <f>RAND()</f>
        <v/>
      </c>
      <c r="K143">
        <f>RAND()</f>
        <v/>
      </c>
      <c r="L143">
        <f>RAND()</f>
        <v/>
      </c>
      <c r="M143">
        <f>IF(K143&lt;BagShare,EXP(NORMSINV(L143)*StowSigma+StowMu),StowNoBag)</f>
        <v/>
      </c>
      <c r="N143">
        <f>IF(INDEX($AG$4:$AG$63,E143)&lt;GroupShare,1,0)</f>
        <v/>
      </c>
      <c r="P143">
        <f>IF(G143=1,IF(I143&gt;Compliance,J143,$H143),2)</f>
        <v/>
      </c>
      <c r="Q143">
        <f>IF(G143=0,2,IF(N143=0,P143,1-SUMPRODUCT(MAX(($E$4:$E$183=E143)*($G$4:$G$183=1)*(1-P$4:P$183)))+0.000000001*D143))</f>
        <v/>
      </c>
      <c r="R143">
        <f>IF(G143=0,999,SUMPRODUCT((Q$4:Q$183&lt;Q143)*($G$4:$G$183=1))+SUMPRODUCT((Q$4:Q$183=Q143)*($G$4:$G$183=1)*($A$4:$A$183&lt;A143))+1)</f>
        <v/>
      </c>
      <c r="T143">
        <f>IF(G143=1,IF(I143&gt;Compliance,J143,(INT((30-$B143)/(30/Zones))+$H143)/Zones),2)</f>
        <v/>
      </c>
      <c r="U143">
        <f>IF(G143=0,2,IF(N143=0,T143,1-SUMPRODUCT(MAX(($E$4:$E$183=E143)*($G$4:$G$183=1)*(1-T$4:T$183)))+0.000000001*D143))</f>
        <v/>
      </c>
      <c r="V143">
        <f>IF(G143=0,999,SUMPRODUCT((U$4:U$183&lt;U143)*($G$4:$G$183=1))+SUMPRODUCT((U$4:U$183=U143)*($G$4:$G$183=1)*($A$4:$A$183&lt;A143))+1)</f>
        <v/>
      </c>
      <c r="X143">
        <f>IF(G143=1,IF(I143&gt;Compliance,J143,(($D143-1)+$H143)/3),2)</f>
        <v/>
      </c>
      <c r="Y143">
        <f>IF(G143=0,2,IF(N143=0,X143,1-SUMPRODUCT(MAX(($E$4:$E$183=E143)*($G$4:$G$183=1)*(1-X$4:X$183)))+0.000000001*D143))</f>
        <v/>
      </c>
      <c r="Z143">
        <f>IF(G143=0,999,SUMPRODUCT((Y$4:Y$183&lt;Y143)*($G$4:$G$183=1))+SUMPRODUCT((Y$4:Y$183=Y143)*($G$4:$G$183=1)*($A$4:$A$183&lt;A143))+1)</f>
        <v/>
      </c>
      <c r="AB143">
        <f>IF(G143=1,IF(I143&gt;Compliance,J143,((($D143-1)*4+($C143-1)*2+MOD($B143,2))+(30-$B143)/30)/12),2)</f>
        <v/>
      </c>
      <c r="AC143">
        <f>IF(G143=0,2,IF(N143=0,AB143,1-SUMPRODUCT(MAX(($E$4:$E$183=E143)*($G$4:$G$183=1)*(1-AB$4:AB$183)))+0.000000001*D143))</f>
        <v/>
      </c>
      <c r="AD143">
        <f>IF(G143=0,999,SUMPRODUCT((AC$4:AC$183&lt;AC143)*($G$4:$G$183=1))+SUMPRODUCT((AC$4:AC$183=AC143)*($G$4:$G$183=1)*($A$4:$A$183&lt;A143))+1)</f>
        <v/>
      </c>
      <c r="AI143" t="n">
        <v>140</v>
      </c>
      <c r="AJ143">
        <f>IF(140&gt;Passengers,"",MATCH(140,R$4:R$183,0))</f>
        <v/>
      </c>
      <c r="AK143">
        <f>IF(AJ143="","",INDEX($B$4:$B$183,AJ143))</f>
        <v/>
      </c>
      <c r="AL143">
        <f>IF(AJ143="","",INDEX($C$4:$C$183,AJ143))</f>
        <v/>
      </c>
      <c r="AM143">
        <f>IF(AJ143="","",INDEX($D$4:$D$183,AJ143))</f>
        <v/>
      </c>
      <c r="AN143">
        <f>IF(AJ143="","",COUNTIFS($B$4:$B$183,AK143,$C$4:$C$183,AL143,$D$4:$D$183,"&gt;"&amp;AM143,R$4:R$183,"&lt;"&amp;140,$G$4:$G$183,1))</f>
        <v/>
      </c>
      <c r="AO143">
        <f>IF(AJ143="","",INDEX($M$4:$M$183,AJ143)+IF(AN143=1,Shuffle1,IF(AN143&gt;=2,Shuffle2,0)))</f>
        <v/>
      </c>
      <c r="AP143">
        <f>IF(AJ143="","",MAX(DoorGap*139,SUMPRODUCT(MAX((AK$4:AK142&lt;=AK143)*AQ$4:AQ142)),SUMPRODUCT(MAX((AK$4:AK142&gt;AK143)*AP$4:AP142))+Headway))</f>
        <v/>
      </c>
      <c r="AQ143">
        <f>IF(AJ143="","",AP143+AO143)</f>
        <v/>
      </c>
      <c r="AR143">
        <f>IF(AJ143="","",AQ143+AK143*WalkSec)</f>
        <v/>
      </c>
      <c r="AS143" t="n">
        <v>140</v>
      </c>
      <c r="AT143">
        <f>IF(140&gt;Passengers,"",MATCH(140,V$4:V$183,0))</f>
        <v/>
      </c>
      <c r="AU143">
        <f>IF(AT143="","",INDEX($B$4:$B$183,AT143))</f>
        <v/>
      </c>
      <c r="AV143">
        <f>IF(AT143="","",INDEX($C$4:$C$183,AT143))</f>
        <v/>
      </c>
      <c r="AW143">
        <f>IF(AT143="","",INDEX($D$4:$D$183,AT143))</f>
        <v/>
      </c>
      <c r="AX143">
        <f>IF(AT143="","",COUNTIFS($B$4:$B$183,AU143,$C$4:$C$183,AV143,$D$4:$D$183,"&gt;"&amp;AW143,V$4:V$183,"&lt;"&amp;140,$G$4:$G$183,1))</f>
        <v/>
      </c>
      <c r="AY143">
        <f>IF(AT143="","",INDEX($M$4:$M$183,AT143)+IF(AX143=1,Shuffle1,IF(AX143&gt;=2,Shuffle2,0)))</f>
        <v/>
      </c>
      <c r="AZ143">
        <f>IF(AT143="","",MAX(DoorGap*139,SUMPRODUCT(MAX((AU$4:AU142&lt;=AU143)*BA$4:BA142)),SUMPRODUCT(MAX((AU$4:AU142&gt;AU143)*AZ$4:AZ142))+Headway))</f>
        <v/>
      </c>
      <c r="BA143">
        <f>IF(AT143="","",AZ143+AY143)</f>
        <v/>
      </c>
      <c r="BB143">
        <f>IF(AT143="","",BA143+AU143*WalkSec)</f>
        <v/>
      </c>
      <c r="BC143" t="n">
        <v>140</v>
      </c>
      <c r="BD143">
        <f>IF(140&gt;Passengers,"",MATCH(140,Z$4:Z$183,0))</f>
        <v/>
      </c>
      <c r="BE143">
        <f>IF(BD143="","",INDEX($B$4:$B$183,BD143))</f>
        <v/>
      </c>
      <c r="BF143">
        <f>IF(BD143="","",INDEX($C$4:$C$183,BD143))</f>
        <v/>
      </c>
      <c r="BG143">
        <f>IF(BD143="","",INDEX($D$4:$D$183,BD143))</f>
        <v/>
      </c>
      <c r="BH143">
        <f>IF(BD143="","",COUNTIFS($B$4:$B$183,BE143,$C$4:$C$183,BF143,$D$4:$D$183,"&gt;"&amp;BG143,Z$4:Z$183,"&lt;"&amp;140,$G$4:$G$183,1))</f>
        <v/>
      </c>
      <c r="BI143">
        <f>IF(BD143="","",INDEX($M$4:$M$183,BD143)+IF(BH143=1,Shuffle1,IF(BH143&gt;=2,Shuffle2,0)))</f>
        <v/>
      </c>
      <c r="BJ143">
        <f>IF(BD143="","",MAX(DoorGap*139,SUMPRODUCT(MAX((BE$4:BE142&lt;=BE143)*BK$4:BK142)),SUMPRODUCT(MAX((BE$4:BE142&gt;BE143)*BJ$4:BJ142))+Headway))</f>
        <v/>
      </c>
      <c r="BK143">
        <f>IF(BD143="","",BJ143+BI143)</f>
        <v/>
      </c>
      <c r="BL143">
        <f>IF(BD143="","",BK143+BE143*WalkSec)</f>
        <v/>
      </c>
      <c r="BM143" t="n">
        <v>140</v>
      </c>
      <c r="BN143">
        <f>IF(140&gt;Passengers,"",MATCH(140,AD$4:AD$183,0))</f>
        <v/>
      </c>
      <c r="BO143">
        <f>IF(BN143="","",INDEX($B$4:$B$183,BN143))</f>
        <v/>
      </c>
      <c r="BP143">
        <f>IF(BN143="","",INDEX($C$4:$C$183,BN143))</f>
        <v/>
      </c>
      <c r="BQ143">
        <f>IF(BN143="","",INDEX($D$4:$D$183,BN143))</f>
        <v/>
      </c>
      <c r="BR143">
        <f>IF(BN143="","",COUNTIFS($B$4:$B$183,BO143,$C$4:$C$183,BP143,$D$4:$D$183,"&gt;"&amp;BQ143,AD$4:AD$183,"&lt;"&amp;140,$G$4:$G$183,1))</f>
        <v/>
      </c>
      <c r="BS143">
        <f>IF(BN143="","",INDEX($M$4:$M$183,BN143)+IF(BR143=1,Shuffle1,IF(BR143&gt;=2,Shuffle2,0)))</f>
        <v/>
      </c>
      <c r="BT143">
        <f>IF(BN143="","",MAX(DoorGap*139,SUMPRODUCT(MAX((BO$4:BO142&lt;=BO143)*BU$4:BU142)),SUMPRODUCT(MAX((BO$4:BO142&gt;BO143)*BT$4:BT142))+Headway))</f>
        <v/>
      </c>
      <c r="BU143">
        <f>IF(BN143="","",BT143+BS143)</f>
        <v/>
      </c>
      <c r="BV143">
        <f>IF(BN143="","",BU143+BO143*WalkSec)</f>
        <v/>
      </c>
      <c r="BW143">
        <f>IF($G143=0,"",INDEX(AR$4:AR$183,R143))</f>
        <v/>
      </c>
      <c r="BX143">
        <f>IF($G143=0,"",INDEX(BB$4:BB$183,V143))</f>
        <v/>
      </c>
      <c r="BY143">
        <f>IF($G143=0,"",INDEX(BL$4:BL$183,Z143))</f>
        <v/>
      </c>
      <c r="BZ143">
        <f>IF($G143=0,"",INDEX(BV$4:BV$183,AD143))</f>
        <v/>
      </c>
    </row>
    <row r="144">
      <c r="A144" t="n">
        <v>141</v>
      </c>
      <c r="B144" t="n">
        <v>24</v>
      </c>
      <c r="C144" t="n">
        <v>1</v>
      </c>
      <c r="D144" t="n">
        <v>3</v>
      </c>
      <c r="E144" t="n">
        <v>47</v>
      </c>
      <c r="F144">
        <f>RAND()</f>
        <v/>
      </c>
      <c r="G144">
        <f>IF(SUMPRODUCT(($F$4:$F$183&lt;F144)*1)+SUMPRODUCT(($F$4:$F$183=F144)*($A$4:$A$183&lt;A144))&lt;Passengers,1,0)</f>
        <v/>
      </c>
      <c r="H144">
        <f>RAND()</f>
        <v/>
      </c>
      <c r="I144">
        <f>RAND()</f>
        <v/>
      </c>
      <c r="J144">
        <f>RAND()</f>
        <v/>
      </c>
      <c r="K144">
        <f>RAND()</f>
        <v/>
      </c>
      <c r="L144">
        <f>RAND()</f>
        <v/>
      </c>
      <c r="M144">
        <f>IF(K144&lt;BagShare,EXP(NORMSINV(L144)*StowSigma+StowMu),StowNoBag)</f>
        <v/>
      </c>
      <c r="N144">
        <f>IF(INDEX($AG$4:$AG$63,E144)&lt;GroupShare,1,0)</f>
        <v/>
      </c>
      <c r="P144">
        <f>IF(G144=1,IF(I144&gt;Compliance,J144,$H144),2)</f>
        <v/>
      </c>
      <c r="Q144">
        <f>IF(G144=0,2,IF(N144=0,P144,1-SUMPRODUCT(MAX(($E$4:$E$183=E144)*($G$4:$G$183=1)*(1-P$4:P$183)))+0.000000001*D144))</f>
        <v/>
      </c>
      <c r="R144">
        <f>IF(G144=0,999,SUMPRODUCT((Q$4:Q$183&lt;Q144)*($G$4:$G$183=1))+SUMPRODUCT((Q$4:Q$183=Q144)*($G$4:$G$183=1)*($A$4:$A$183&lt;A144))+1)</f>
        <v/>
      </c>
      <c r="T144">
        <f>IF(G144=1,IF(I144&gt;Compliance,J144,(INT((30-$B144)/(30/Zones))+$H144)/Zones),2)</f>
        <v/>
      </c>
      <c r="U144">
        <f>IF(G144=0,2,IF(N144=0,T144,1-SUMPRODUCT(MAX(($E$4:$E$183=E144)*($G$4:$G$183=1)*(1-T$4:T$183)))+0.000000001*D144))</f>
        <v/>
      </c>
      <c r="V144">
        <f>IF(G144=0,999,SUMPRODUCT((U$4:U$183&lt;U144)*($G$4:$G$183=1))+SUMPRODUCT((U$4:U$183=U144)*($G$4:$G$183=1)*($A$4:$A$183&lt;A144))+1)</f>
        <v/>
      </c>
      <c r="X144">
        <f>IF(G144=1,IF(I144&gt;Compliance,J144,(($D144-1)+$H144)/3),2)</f>
        <v/>
      </c>
      <c r="Y144">
        <f>IF(G144=0,2,IF(N144=0,X144,1-SUMPRODUCT(MAX(($E$4:$E$183=E144)*($G$4:$G$183=1)*(1-X$4:X$183)))+0.000000001*D144))</f>
        <v/>
      </c>
      <c r="Z144">
        <f>IF(G144=0,999,SUMPRODUCT((Y$4:Y$183&lt;Y144)*($G$4:$G$183=1))+SUMPRODUCT((Y$4:Y$183=Y144)*($G$4:$G$183=1)*($A$4:$A$183&lt;A144))+1)</f>
        <v/>
      </c>
      <c r="AB144">
        <f>IF(G144=1,IF(I144&gt;Compliance,J144,((($D144-1)*4+($C144-1)*2+MOD($B144,2))+(30-$B144)/30)/12),2)</f>
        <v/>
      </c>
      <c r="AC144">
        <f>IF(G144=0,2,IF(N144=0,AB144,1-SUMPRODUCT(MAX(($E$4:$E$183=E144)*($G$4:$G$183=1)*(1-AB$4:AB$183)))+0.000000001*D144))</f>
        <v/>
      </c>
      <c r="AD144">
        <f>IF(G144=0,999,SUMPRODUCT((AC$4:AC$183&lt;AC144)*($G$4:$G$183=1))+SUMPRODUCT((AC$4:AC$183=AC144)*($G$4:$G$183=1)*($A$4:$A$183&lt;A144))+1)</f>
        <v/>
      </c>
      <c r="AI144" t="n">
        <v>141</v>
      </c>
      <c r="AJ144">
        <f>IF(141&gt;Passengers,"",MATCH(141,R$4:R$183,0))</f>
        <v/>
      </c>
      <c r="AK144">
        <f>IF(AJ144="","",INDEX($B$4:$B$183,AJ144))</f>
        <v/>
      </c>
      <c r="AL144">
        <f>IF(AJ144="","",INDEX($C$4:$C$183,AJ144))</f>
        <v/>
      </c>
      <c r="AM144">
        <f>IF(AJ144="","",INDEX($D$4:$D$183,AJ144))</f>
        <v/>
      </c>
      <c r="AN144">
        <f>IF(AJ144="","",COUNTIFS($B$4:$B$183,AK144,$C$4:$C$183,AL144,$D$4:$D$183,"&gt;"&amp;AM144,R$4:R$183,"&lt;"&amp;141,$G$4:$G$183,1))</f>
        <v/>
      </c>
      <c r="AO144">
        <f>IF(AJ144="","",INDEX($M$4:$M$183,AJ144)+IF(AN144=1,Shuffle1,IF(AN144&gt;=2,Shuffle2,0)))</f>
        <v/>
      </c>
      <c r="AP144">
        <f>IF(AJ144="","",MAX(DoorGap*140,SUMPRODUCT(MAX((AK$4:AK143&lt;=AK144)*AQ$4:AQ143)),SUMPRODUCT(MAX((AK$4:AK143&gt;AK144)*AP$4:AP143))+Headway))</f>
        <v/>
      </c>
      <c r="AQ144">
        <f>IF(AJ144="","",AP144+AO144)</f>
        <v/>
      </c>
      <c r="AR144">
        <f>IF(AJ144="","",AQ144+AK144*WalkSec)</f>
        <v/>
      </c>
      <c r="AS144" t="n">
        <v>141</v>
      </c>
      <c r="AT144">
        <f>IF(141&gt;Passengers,"",MATCH(141,V$4:V$183,0))</f>
        <v/>
      </c>
      <c r="AU144">
        <f>IF(AT144="","",INDEX($B$4:$B$183,AT144))</f>
        <v/>
      </c>
      <c r="AV144">
        <f>IF(AT144="","",INDEX($C$4:$C$183,AT144))</f>
        <v/>
      </c>
      <c r="AW144">
        <f>IF(AT144="","",INDEX($D$4:$D$183,AT144))</f>
        <v/>
      </c>
      <c r="AX144">
        <f>IF(AT144="","",COUNTIFS($B$4:$B$183,AU144,$C$4:$C$183,AV144,$D$4:$D$183,"&gt;"&amp;AW144,V$4:V$183,"&lt;"&amp;141,$G$4:$G$183,1))</f>
        <v/>
      </c>
      <c r="AY144">
        <f>IF(AT144="","",INDEX($M$4:$M$183,AT144)+IF(AX144=1,Shuffle1,IF(AX144&gt;=2,Shuffle2,0)))</f>
        <v/>
      </c>
      <c r="AZ144">
        <f>IF(AT144="","",MAX(DoorGap*140,SUMPRODUCT(MAX((AU$4:AU143&lt;=AU144)*BA$4:BA143)),SUMPRODUCT(MAX((AU$4:AU143&gt;AU144)*AZ$4:AZ143))+Headway))</f>
        <v/>
      </c>
      <c r="BA144">
        <f>IF(AT144="","",AZ144+AY144)</f>
        <v/>
      </c>
      <c r="BB144">
        <f>IF(AT144="","",BA144+AU144*WalkSec)</f>
        <v/>
      </c>
      <c r="BC144" t="n">
        <v>141</v>
      </c>
      <c r="BD144">
        <f>IF(141&gt;Passengers,"",MATCH(141,Z$4:Z$183,0))</f>
        <v/>
      </c>
      <c r="BE144">
        <f>IF(BD144="","",INDEX($B$4:$B$183,BD144))</f>
        <v/>
      </c>
      <c r="BF144">
        <f>IF(BD144="","",INDEX($C$4:$C$183,BD144))</f>
        <v/>
      </c>
      <c r="BG144">
        <f>IF(BD144="","",INDEX($D$4:$D$183,BD144))</f>
        <v/>
      </c>
      <c r="BH144">
        <f>IF(BD144="","",COUNTIFS($B$4:$B$183,BE144,$C$4:$C$183,BF144,$D$4:$D$183,"&gt;"&amp;BG144,Z$4:Z$183,"&lt;"&amp;141,$G$4:$G$183,1))</f>
        <v/>
      </c>
      <c r="BI144">
        <f>IF(BD144="","",INDEX($M$4:$M$183,BD144)+IF(BH144=1,Shuffle1,IF(BH144&gt;=2,Shuffle2,0)))</f>
        <v/>
      </c>
      <c r="BJ144">
        <f>IF(BD144="","",MAX(DoorGap*140,SUMPRODUCT(MAX((BE$4:BE143&lt;=BE144)*BK$4:BK143)),SUMPRODUCT(MAX((BE$4:BE143&gt;BE144)*BJ$4:BJ143))+Headway))</f>
        <v/>
      </c>
      <c r="BK144">
        <f>IF(BD144="","",BJ144+BI144)</f>
        <v/>
      </c>
      <c r="BL144">
        <f>IF(BD144="","",BK144+BE144*WalkSec)</f>
        <v/>
      </c>
      <c r="BM144" t="n">
        <v>141</v>
      </c>
      <c r="BN144">
        <f>IF(141&gt;Passengers,"",MATCH(141,AD$4:AD$183,0))</f>
        <v/>
      </c>
      <c r="BO144">
        <f>IF(BN144="","",INDEX($B$4:$B$183,BN144))</f>
        <v/>
      </c>
      <c r="BP144">
        <f>IF(BN144="","",INDEX($C$4:$C$183,BN144))</f>
        <v/>
      </c>
      <c r="BQ144">
        <f>IF(BN144="","",INDEX($D$4:$D$183,BN144))</f>
        <v/>
      </c>
      <c r="BR144">
        <f>IF(BN144="","",COUNTIFS($B$4:$B$183,BO144,$C$4:$C$183,BP144,$D$4:$D$183,"&gt;"&amp;BQ144,AD$4:AD$183,"&lt;"&amp;141,$G$4:$G$183,1))</f>
        <v/>
      </c>
      <c r="BS144">
        <f>IF(BN144="","",INDEX($M$4:$M$183,BN144)+IF(BR144=1,Shuffle1,IF(BR144&gt;=2,Shuffle2,0)))</f>
        <v/>
      </c>
      <c r="BT144">
        <f>IF(BN144="","",MAX(DoorGap*140,SUMPRODUCT(MAX((BO$4:BO143&lt;=BO144)*BU$4:BU143)),SUMPRODUCT(MAX((BO$4:BO143&gt;BO144)*BT$4:BT143))+Headway))</f>
        <v/>
      </c>
      <c r="BU144">
        <f>IF(BN144="","",BT144+BS144)</f>
        <v/>
      </c>
      <c r="BV144">
        <f>IF(BN144="","",BU144+BO144*WalkSec)</f>
        <v/>
      </c>
      <c r="BW144">
        <f>IF($G144=0,"",INDEX(AR$4:AR$183,R144))</f>
        <v/>
      </c>
      <c r="BX144">
        <f>IF($G144=0,"",INDEX(BB$4:BB$183,V144))</f>
        <v/>
      </c>
      <c r="BY144">
        <f>IF($G144=0,"",INDEX(BL$4:BL$183,Z144))</f>
        <v/>
      </c>
      <c r="BZ144">
        <f>IF($G144=0,"",INDEX(BV$4:BV$183,AD144))</f>
        <v/>
      </c>
    </row>
    <row r="145">
      <c r="A145" t="n">
        <v>142</v>
      </c>
      <c r="B145" t="n">
        <v>24</v>
      </c>
      <c r="C145" t="n">
        <v>2</v>
      </c>
      <c r="D145" t="n">
        <v>1</v>
      </c>
      <c r="E145" t="n">
        <v>48</v>
      </c>
      <c r="F145">
        <f>RAND()</f>
        <v/>
      </c>
      <c r="G145">
        <f>IF(SUMPRODUCT(($F$4:$F$183&lt;F145)*1)+SUMPRODUCT(($F$4:$F$183=F145)*($A$4:$A$183&lt;A145))&lt;Passengers,1,0)</f>
        <v/>
      </c>
      <c r="H145">
        <f>RAND()</f>
        <v/>
      </c>
      <c r="I145">
        <f>RAND()</f>
        <v/>
      </c>
      <c r="J145">
        <f>RAND()</f>
        <v/>
      </c>
      <c r="K145">
        <f>RAND()</f>
        <v/>
      </c>
      <c r="L145">
        <f>RAND()</f>
        <v/>
      </c>
      <c r="M145">
        <f>IF(K145&lt;BagShare,EXP(NORMSINV(L145)*StowSigma+StowMu),StowNoBag)</f>
        <v/>
      </c>
      <c r="N145">
        <f>IF(INDEX($AG$4:$AG$63,E145)&lt;GroupShare,1,0)</f>
        <v/>
      </c>
      <c r="P145">
        <f>IF(G145=1,IF(I145&gt;Compliance,J145,$H145),2)</f>
        <v/>
      </c>
      <c r="Q145">
        <f>IF(G145=0,2,IF(N145=0,P145,1-SUMPRODUCT(MAX(($E$4:$E$183=E145)*($G$4:$G$183=1)*(1-P$4:P$183)))+0.000000001*D145))</f>
        <v/>
      </c>
      <c r="R145">
        <f>IF(G145=0,999,SUMPRODUCT((Q$4:Q$183&lt;Q145)*($G$4:$G$183=1))+SUMPRODUCT((Q$4:Q$183=Q145)*($G$4:$G$183=1)*($A$4:$A$183&lt;A145))+1)</f>
        <v/>
      </c>
      <c r="T145">
        <f>IF(G145=1,IF(I145&gt;Compliance,J145,(INT((30-$B145)/(30/Zones))+$H145)/Zones),2)</f>
        <v/>
      </c>
      <c r="U145">
        <f>IF(G145=0,2,IF(N145=0,T145,1-SUMPRODUCT(MAX(($E$4:$E$183=E145)*($G$4:$G$183=1)*(1-T$4:T$183)))+0.000000001*D145))</f>
        <v/>
      </c>
      <c r="V145">
        <f>IF(G145=0,999,SUMPRODUCT((U$4:U$183&lt;U145)*($G$4:$G$183=1))+SUMPRODUCT((U$4:U$183=U145)*($G$4:$G$183=1)*($A$4:$A$183&lt;A145))+1)</f>
        <v/>
      </c>
      <c r="X145">
        <f>IF(G145=1,IF(I145&gt;Compliance,J145,(($D145-1)+$H145)/3),2)</f>
        <v/>
      </c>
      <c r="Y145">
        <f>IF(G145=0,2,IF(N145=0,X145,1-SUMPRODUCT(MAX(($E$4:$E$183=E145)*($G$4:$G$183=1)*(1-X$4:X$183)))+0.000000001*D145))</f>
        <v/>
      </c>
      <c r="Z145">
        <f>IF(G145=0,999,SUMPRODUCT((Y$4:Y$183&lt;Y145)*($G$4:$G$183=1))+SUMPRODUCT((Y$4:Y$183=Y145)*($G$4:$G$183=1)*($A$4:$A$183&lt;A145))+1)</f>
        <v/>
      </c>
      <c r="AB145">
        <f>IF(G145=1,IF(I145&gt;Compliance,J145,((($D145-1)*4+($C145-1)*2+MOD($B145,2))+(30-$B145)/30)/12),2)</f>
        <v/>
      </c>
      <c r="AC145">
        <f>IF(G145=0,2,IF(N145=0,AB145,1-SUMPRODUCT(MAX(($E$4:$E$183=E145)*($G$4:$G$183=1)*(1-AB$4:AB$183)))+0.000000001*D145))</f>
        <v/>
      </c>
      <c r="AD145">
        <f>IF(G145=0,999,SUMPRODUCT((AC$4:AC$183&lt;AC145)*($G$4:$G$183=1))+SUMPRODUCT((AC$4:AC$183=AC145)*($G$4:$G$183=1)*($A$4:$A$183&lt;A145))+1)</f>
        <v/>
      </c>
      <c r="AI145" t="n">
        <v>142</v>
      </c>
      <c r="AJ145">
        <f>IF(142&gt;Passengers,"",MATCH(142,R$4:R$183,0))</f>
        <v/>
      </c>
      <c r="AK145">
        <f>IF(AJ145="","",INDEX($B$4:$B$183,AJ145))</f>
        <v/>
      </c>
      <c r="AL145">
        <f>IF(AJ145="","",INDEX($C$4:$C$183,AJ145))</f>
        <v/>
      </c>
      <c r="AM145">
        <f>IF(AJ145="","",INDEX($D$4:$D$183,AJ145))</f>
        <v/>
      </c>
      <c r="AN145">
        <f>IF(AJ145="","",COUNTIFS($B$4:$B$183,AK145,$C$4:$C$183,AL145,$D$4:$D$183,"&gt;"&amp;AM145,R$4:R$183,"&lt;"&amp;142,$G$4:$G$183,1))</f>
        <v/>
      </c>
      <c r="AO145">
        <f>IF(AJ145="","",INDEX($M$4:$M$183,AJ145)+IF(AN145=1,Shuffle1,IF(AN145&gt;=2,Shuffle2,0)))</f>
        <v/>
      </c>
      <c r="AP145">
        <f>IF(AJ145="","",MAX(DoorGap*141,SUMPRODUCT(MAX((AK$4:AK144&lt;=AK145)*AQ$4:AQ144)),SUMPRODUCT(MAX((AK$4:AK144&gt;AK145)*AP$4:AP144))+Headway))</f>
        <v/>
      </c>
      <c r="AQ145">
        <f>IF(AJ145="","",AP145+AO145)</f>
        <v/>
      </c>
      <c r="AR145">
        <f>IF(AJ145="","",AQ145+AK145*WalkSec)</f>
        <v/>
      </c>
      <c r="AS145" t="n">
        <v>142</v>
      </c>
      <c r="AT145">
        <f>IF(142&gt;Passengers,"",MATCH(142,V$4:V$183,0))</f>
        <v/>
      </c>
      <c r="AU145">
        <f>IF(AT145="","",INDEX($B$4:$B$183,AT145))</f>
        <v/>
      </c>
      <c r="AV145">
        <f>IF(AT145="","",INDEX($C$4:$C$183,AT145))</f>
        <v/>
      </c>
      <c r="AW145">
        <f>IF(AT145="","",INDEX($D$4:$D$183,AT145))</f>
        <v/>
      </c>
      <c r="AX145">
        <f>IF(AT145="","",COUNTIFS($B$4:$B$183,AU145,$C$4:$C$183,AV145,$D$4:$D$183,"&gt;"&amp;AW145,V$4:V$183,"&lt;"&amp;142,$G$4:$G$183,1))</f>
        <v/>
      </c>
      <c r="AY145">
        <f>IF(AT145="","",INDEX($M$4:$M$183,AT145)+IF(AX145=1,Shuffle1,IF(AX145&gt;=2,Shuffle2,0)))</f>
        <v/>
      </c>
      <c r="AZ145">
        <f>IF(AT145="","",MAX(DoorGap*141,SUMPRODUCT(MAX((AU$4:AU144&lt;=AU145)*BA$4:BA144)),SUMPRODUCT(MAX((AU$4:AU144&gt;AU145)*AZ$4:AZ144))+Headway))</f>
        <v/>
      </c>
      <c r="BA145">
        <f>IF(AT145="","",AZ145+AY145)</f>
        <v/>
      </c>
      <c r="BB145">
        <f>IF(AT145="","",BA145+AU145*WalkSec)</f>
        <v/>
      </c>
      <c r="BC145" t="n">
        <v>142</v>
      </c>
      <c r="BD145">
        <f>IF(142&gt;Passengers,"",MATCH(142,Z$4:Z$183,0))</f>
        <v/>
      </c>
      <c r="BE145">
        <f>IF(BD145="","",INDEX($B$4:$B$183,BD145))</f>
        <v/>
      </c>
      <c r="BF145">
        <f>IF(BD145="","",INDEX($C$4:$C$183,BD145))</f>
        <v/>
      </c>
      <c r="BG145">
        <f>IF(BD145="","",INDEX($D$4:$D$183,BD145))</f>
        <v/>
      </c>
      <c r="BH145">
        <f>IF(BD145="","",COUNTIFS($B$4:$B$183,BE145,$C$4:$C$183,BF145,$D$4:$D$183,"&gt;"&amp;BG145,Z$4:Z$183,"&lt;"&amp;142,$G$4:$G$183,1))</f>
        <v/>
      </c>
      <c r="BI145">
        <f>IF(BD145="","",INDEX($M$4:$M$183,BD145)+IF(BH145=1,Shuffle1,IF(BH145&gt;=2,Shuffle2,0)))</f>
        <v/>
      </c>
      <c r="BJ145">
        <f>IF(BD145="","",MAX(DoorGap*141,SUMPRODUCT(MAX((BE$4:BE144&lt;=BE145)*BK$4:BK144)),SUMPRODUCT(MAX((BE$4:BE144&gt;BE145)*BJ$4:BJ144))+Headway))</f>
        <v/>
      </c>
      <c r="BK145">
        <f>IF(BD145="","",BJ145+BI145)</f>
        <v/>
      </c>
      <c r="BL145">
        <f>IF(BD145="","",BK145+BE145*WalkSec)</f>
        <v/>
      </c>
      <c r="BM145" t="n">
        <v>142</v>
      </c>
      <c r="BN145">
        <f>IF(142&gt;Passengers,"",MATCH(142,AD$4:AD$183,0))</f>
        <v/>
      </c>
      <c r="BO145">
        <f>IF(BN145="","",INDEX($B$4:$B$183,BN145))</f>
        <v/>
      </c>
      <c r="BP145">
        <f>IF(BN145="","",INDEX($C$4:$C$183,BN145))</f>
        <v/>
      </c>
      <c r="BQ145">
        <f>IF(BN145="","",INDEX($D$4:$D$183,BN145))</f>
        <v/>
      </c>
      <c r="BR145">
        <f>IF(BN145="","",COUNTIFS($B$4:$B$183,BO145,$C$4:$C$183,BP145,$D$4:$D$183,"&gt;"&amp;BQ145,AD$4:AD$183,"&lt;"&amp;142,$G$4:$G$183,1))</f>
        <v/>
      </c>
      <c r="BS145">
        <f>IF(BN145="","",INDEX($M$4:$M$183,BN145)+IF(BR145=1,Shuffle1,IF(BR145&gt;=2,Shuffle2,0)))</f>
        <v/>
      </c>
      <c r="BT145">
        <f>IF(BN145="","",MAX(DoorGap*141,SUMPRODUCT(MAX((BO$4:BO144&lt;=BO145)*BU$4:BU144)),SUMPRODUCT(MAX((BO$4:BO144&gt;BO145)*BT$4:BT144))+Headway))</f>
        <v/>
      </c>
      <c r="BU145">
        <f>IF(BN145="","",BT145+BS145)</f>
        <v/>
      </c>
      <c r="BV145">
        <f>IF(BN145="","",BU145+BO145*WalkSec)</f>
        <v/>
      </c>
      <c r="BW145">
        <f>IF($G145=0,"",INDEX(AR$4:AR$183,R145))</f>
        <v/>
      </c>
      <c r="BX145">
        <f>IF($G145=0,"",INDEX(BB$4:BB$183,V145))</f>
        <v/>
      </c>
      <c r="BY145">
        <f>IF($G145=0,"",INDEX(BL$4:BL$183,Z145))</f>
        <v/>
      </c>
      <c r="BZ145">
        <f>IF($G145=0,"",INDEX(BV$4:BV$183,AD145))</f>
        <v/>
      </c>
    </row>
    <row r="146">
      <c r="A146" t="n">
        <v>143</v>
      </c>
      <c r="B146" t="n">
        <v>24</v>
      </c>
      <c r="C146" t="n">
        <v>2</v>
      </c>
      <c r="D146" t="n">
        <v>2</v>
      </c>
      <c r="E146" t="n">
        <v>48</v>
      </c>
      <c r="F146">
        <f>RAND()</f>
        <v/>
      </c>
      <c r="G146">
        <f>IF(SUMPRODUCT(($F$4:$F$183&lt;F146)*1)+SUMPRODUCT(($F$4:$F$183=F146)*($A$4:$A$183&lt;A146))&lt;Passengers,1,0)</f>
        <v/>
      </c>
      <c r="H146">
        <f>RAND()</f>
        <v/>
      </c>
      <c r="I146">
        <f>RAND()</f>
        <v/>
      </c>
      <c r="J146">
        <f>RAND()</f>
        <v/>
      </c>
      <c r="K146">
        <f>RAND()</f>
        <v/>
      </c>
      <c r="L146">
        <f>RAND()</f>
        <v/>
      </c>
      <c r="M146">
        <f>IF(K146&lt;BagShare,EXP(NORMSINV(L146)*StowSigma+StowMu),StowNoBag)</f>
        <v/>
      </c>
      <c r="N146">
        <f>IF(INDEX($AG$4:$AG$63,E146)&lt;GroupShare,1,0)</f>
        <v/>
      </c>
      <c r="P146">
        <f>IF(G146=1,IF(I146&gt;Compliance,J146,$H146),2)</f>
        <v/>
      </c>
      <c r="Q146">
        <f>IF(G146=0,2,IF(N146=0,P146,1-SUMPRODUCT(MAX(($E$4:$E$183=E146)*($G$4:$G$183=1)*(1-P$4:P$183)))+0.000000001*D146))</f>
        <v/>
      </c>
      <c r="R146">
        <f>IF(G146=0,999,SUMPRODUCT((Q$4:Q$183&lt;Q146)*($G$4:$G$183=1))+SUMPRODUCT((Q$4:Q$183=Q146)*($G$4:$G$183=1)*($A$4:$A$183&lt;A146))+1)</f>
        <v/>
      </c>
      <c r="T146">
        <f>IF(G146=1,IF(I146&gt;Compliance,J146,(INT((30-$B146)/(30/Zones))+$H146)/Zones),2)</f>
        <v/>
      </c>
      <c r="U146">
        <f>IF(G146=0,2,IF(N146=0,T146,1-SUMPRODUCT(MAX(($E$4:$E$183=E146)*($G$4:$G$183=1)*(1-T$4:T$183)))+0.000000001*D146))</f>
        <v/>
      </c>
      <c r="V146">
        <f>IF(G146=0,999,SUMPRODUCT((U$4:U$183&lt;U146)*($G$4:$G$183=1))+SUMPRODUCT((U$4:U$183=U146)*($G$4:$G$183=1)*($A$4:$A$183&lt;A146))+1)</f>
        <v/>
      </c>
      <c r="X146">
        <f>IF(G146=1,IF(I146&gt;Compliance,J146,(($D146-1)+$H146)/3),2)</f>
        <v/>
      </c>
      <c r="Y146">
        <f>IF(G146=0,2,IF(N146=0,X146,1-SUMPRODUCT(MAX(($E$4:$E$183=E146)*($G$4:$G$183=1)*(1-X$4:X$183)))+0.000000001*D146))</f>
        <v/>
      </c>
      <c r="Z146">
        <f>IF(G146=0,999,SUMPRODUCT((Y$4:Y$183&lt;Y146)*($G$4:$G$183=1))+SUMPRODUCT((Y$4:Y$183=Y146)*($G$4:$G$183=1)*($A$4:$A$183&lt;A146))+1)</f>
        <v/>
      </c>
      <c r="AB146">
        <f>IF(G146=1,IF(I146&gt;Compliance,J146,((($D146-1)*4+($C146-1)*2+MOD($B146,2))+(30-$B146)/30)/12),2)</f>
        <v/>
      </c>
      <c r="AC146">
        <f>IF(G146=0,2,IF(N146=0,AB146,1-SUMPRODUCT(MAX(($E$4:$E$183=E146)*($G$4:$G$183=1)*(1-AB$4:AB$183)))+0.000000001*D146))</f>
        <v/>
      </c>
      <c r="AD146">
        <f>IF(G146=0,999,SUMPRODUCT((AC$4:AC$183&lt;AC146)*($G$4:$G$183=1))+SUMPRODUCT((AC$4:AC$183=AC146)*($G$4:$G$183=1)*($A$4:$A$183&lt;A146))+1)</f>
        <v/>
      </c>
      <c r="AI146" t="n">
        <v>143</v>
      </c>
      <c r="AJ146">
        <f>IF(143&gt;Passengers,"",MATCH(143,R$4:R$183,0))</f>
        <v/>
      </c>
      <c r="AK146">
        <f>IF(AJ146="","",INDEX($B$4:$B$183,AJ146))</f>
        <v/>
      </c>
      <c r="AL146">
        <f>IF(AJ146="","",INDEX($C$4:$C$183,AJ146))</f>
        <v/>
      </c>
      <c r="AM146">
        <f>IF(AJ146="","",INDEX($D$4:$D$183,AJ146))</f>
        <v/>
      </c>
      <c r="AN146">
        <f>IF(AJ146="","",COUNTIFS($B$4:$B$183,AK146,$C$4:$C$183,AL146,$D$4:$D$183,"&gt;"&amp;AM146,R$4:R$183,"&lt;"&amp;143,$G$4:$G$183,1))</f>
        <v/>
      </c>
      <c r="AO146">
        <f>IF(AJ146="","",INDEX($M$4:$M$183,AJ146)+IF(AN146=1,Shuffle1,IF(AN146&gt;=2,Shuffle2,0)))</f>
        <v/>
      </c>
      <c r="AP146">
        <f>IF(AJ146="","",MAX(DoorGap*142,SUMPRODUCT(MAX((AK$4:AK145&lt;=AK146)*AQ$4:AQ145)),SUMPRODUCT(MAX((AK$4:AK145&gt;AK146)*AP$4:AP145))+Headway))</f>
        <v/>
      </c>
      <c r="AQ146">
        <f>IF(AJ146="","",AP146+AO146)</f>
        <v/>
      </c>
      <c r="AR146">
        <f>IF(AJ146="","",AQ146+AK146*WalkSec)</f>
        <v/>
      </c>
      <c r="AS146" t="n">
        <v>143</v>
      </c>
      <c r="AT146">
        <f>IF(143&gt;Passengers,"",MATCH(143,V$4:V$183,0))</f>
        <v/>
      </c>
      <c r="AU146">
        <f>IF(AT146="","",INDEX($B$4:$B$183,AT146))</f>
        <v/>
      </c>
      <c r="AV146">
        <f>IF(AT146="","",INDEX($C$4:$C$183,AT146))</f>
        <v/>
      </c>
      <c r="AW146">
        <f>IF(AT146="","",INDEX($D$4:$D$183,AT146))</f>
        <v/>
      </c>
      <c r="AX146">
        <f>IF(AT146="","",COUNTIFS($B$4:$B$183,AU146,$C$4:$C$183,AV146,$D$4:$D$183,"&gt;"&amp;AW146,V$4:V$183,"&lt;"&amp;143,$G$4:$G$183,1))</f>
        <v/>
      </c>
      <c r="AY146">
        <f>IF(AT146="","",INDEX($M$4:$M$183,AT146)+IF(AX146=1,Shuffle1,IF(AX146&gt;=2,Shuffle2,0)))</f>
        <v/>
      </c>
      <c r="AZ146">
        <f>IF(AT146="","",MAX(DoorGap*142,SUMPRODUCT(MAX((AU$4:AU145&lt;=AU146)*BA$4:BA145)),SUMPRODUCT(MAX((AU$4:AU145&gt;AU146)*AZ$4:AZ145))+Headway))</f>
        <v/>
      </c>
      <c r="BA146">
        <f>IF(AT146="","",AZ146+AY146)</f>
        <v/>
      </c>
      <c r="BB146">
        <f>IF(AT146="","",BA146+AU146*WalkSec)</f>
        <v/>
      </c>
      <c r="BC146" t="n">
        <v>143</v>
      </c>
      <c r="BD146">
        <f>IF(143&gt;Passengers,"",MATCH(143,Z$4:Z$183,0))</f>
        <v/>
      </c>
      <c r="BE146">
        <f>IF(BD146="","",INDEX($B$4:$B$183,BD146))</f>
        <v/>
      </c>
      <c r="BF146">
        <f>IF(BD146="","",INDEX($C$4:$C$183,BD146))</f>
        <v/>
      </c>
      <c r="BG146">
        <f>IF(BD146="","",INDEX($D$4:$D$183,BD146))</f>
        <v/>
      </c>
      <c r="BH146">
        <f>IF(BD146="","",COUNTIFS($B$4:$B$183,BE146,$C$4:$C$183,BF146,$D$4:$D$183,"&gt;"&amp;BG146,Z$4:Z$183,"&lt;"&amp;143,$G$4:$G$183,1))</f>
        <v/>
      </c>
      <c r="BI146">
        <f>IF(BD146="","",INDEX($M$4:$M$183,BD146)+IF(BH146=1,Shuffle1,IF(BH146&gt;=2,Shuffle2,0)))</f>
        <v/>
      </c>
      <c r="BJ146">
        <f>IF(BD146="","",MAX(DoorGap*142,SUMPRODUCT(MAX((BE$4:BE145&lt;=BE146)*BK$4:BK145)),SUMPRODUCT(MAX((BE$4:BE145&gt;BE146)*BJ$4:BJ145))+Headway))</f>
        <v/>
      </c>
      <c r="BK146">
        <f>IF(BD146="","",BJ146+BI146)</f>
        <v/>
      </c>
      <c r="BL146">
        <f>IF(BD146="","",BK146+BE146*WalkSec)</f>
        <v/>
      </c>
      <c r="BM146" t="n">
        <v>143</v>
      </c>
      <c r="BN146">
        <f>IF(143&gt;Passengers,"",MATCH(143,AD$4:AD$183,0))</f>
        <v/>
      </c>
      <c r="BO146">
        <f>IF(BN146="","",INDEX($B$4:$B$183,BN146))</f>
        <v/>
      </c>
      <c r="BP146">
        <f>IF(BN146="","",INDEX($C$4:$C$183,BN146))</f>
        <v/>
      </c>
      <c r="BQ146">
        <f>IF(BN146="","",INDEX($D$4:$D$183,BN146))</f>
        <v/>
      </c>
      <c r="BR146">
        <f>IF(BN146="","",COUNTIFS($B$4:$B$183,BO146,$C$4:$C$183,BP146,$D$4:$D$183,"&gt;"&amp;BQ146,AD$4:AD$183,"&lt;"&amp;143,$G$4:$G$183,1))</f>
        <v/>
      </c>
      <c r="BS146">
        <f>IF(BN146="","",INDEX($M$4:$M$183,BN146)+IF(BR146=1,Shuffle1,IF(BR146&gt;=2,Shuffle2,0)))</f>
        <v/>
      </c>
      <c r="BT146">
        <f>IF(BN146="","",MAX(DoorGap*142,SUMPRODUCT(MAX((BO$4:BO145&lt;=BO146)*BU$4:BU145)),SUMPRODUCT(MAX((BO$4:BO145&gt;BO146)*BT$4:BT145))+Headway))</f>
        <v/>
      </c>
      <c r="BU146">
        <f>IF(BN146="","",BT146+BS146)</f>
        <v/>
      </c>
      <c r="BV146">
        <f>IF(BN146="","",BU146+BO146*WalkSec)</f>
        <v/>
      </c>
      <c r="BW146">
        <f>IF($G146=0,"",INDEX(AR$4:AR$183,R146))</f>
        <v/>
      </c>
      <c r="BX146">
        <f>IF($G146=0,"",INDEX(BB$4:BB$183,V146))</f>
        <v/>
      </c>
      <c r="BY146">
        <f>IF($G146=0,"",INDEX(BL$4:BL$183,Z146))</f>
        <v/>
      </c>
      <c r="BZ146">
        <f>IF($G146=0,"",INDEX(BV$4:BV$183,AD146))</f>
        <v/>
      </c>
    </row>
    <row r="147">
      <c r="A147" t="n">
        <v>144</v>
      </c>
      <c r="B147" t="n">
        <v>24</v>
      </c>
      <c r="C147" t="n">
        <v>2</v>
      </c>
      <c r="D147" t="n">
        <v>3</v>
      </c>
      <c r="E147" t="n">
        <v>48</v>
      </c>
      <c r="F147">
        <f>RAND()</f>
        <v/>
      </c>
      <c r="G147">
        <f>IF(SUMPRODUCT(($F$4:$F$183&lt;F147)*1)+SUMPRODUCT(($F$4:$F$183=F147)*($A$4:$A$183&lt;A147))&lt;Passengers,1,0)</f>
        <v/>
      </c>
      <c r="H147">
        <f>RAND()</f>
        <v/>
      </c>
      <c r="I147">
        <f>RAND()</f>
        <v/>
      </c>
      <c r="J147">
        <f>RAND()</f>
        <v/>
      </c>
      <c r="K147">
        <f>RAND()</f>
        <v/>
      </c>
      <c r="L147">
        <f>RAND()</f>
        <v/>
      </c>
      <c r="M147">
        <f>IF(K147&lt;BagShare,EXP(NORMSINV(L147)*StowSigma+StowMu),StowNoBag)</f>
        <v/>
      </c>
      <c r="N147">
        <f>IF(INDEX($AG$4:$AG$63,E147)&lt;GroupShare,1,0)</f>
        <v/>
      </c>
      <c r="P147">
        <f>IF(G147=1,IF(I147&gt;Compliance,J147,$H147),2)</f>
        <v/>
      </c>
      <c r="Q147">
        <f>IF(G147=0,2,IF(N147=0,P147,1-SUMPRODUCT(MAX(($E$4:$E$183=E147)*($G$4:$G$183=1)*(1-P$4:P$183)))+0.000000001*D147))</f>
        <v/>
      </c>
      <c r="R147">
        <f>IF(G147=0,999,SUMPRODUCT((Q$4:Q$183&lt;Q147)*($G$4:$G$183=1))+SUMPRODUCT((Q$4:Q$183=Q147)*($G$4:$G$183=1)*($A$4:$A$183&lt;A147))+1)</f>
        <v/>
      </c>
      <c r="T147">
        <f>IF(G147=1,IF(I147&gt;Compliance,J147,(INT((30-$B147)/(30/Zones))+$H147)/Zones),2)</f>
        <v/>
      </c>
      <c r="U147">
        <f>IF(G147=0,2,IF(N147=0,T147,1-SUMPRODUCT(MAX(($E$4:$E$183=E147)*($G$4:$G$183=1)*(1-T$4:T$183)))+0.000000001*D147))</f>
        <v/>
      </c>
      <c r="V147">
        <f>IF(G147=0,999,SUMPRODUCT((U$4:U$183&lt;U147)*($G$4:$G$183=1))+SUMPRODUCT((U$4:U$183=U147)*($G$4:$G$183=1)*($A$4:$A$183&lt;A147))+1)</f>
        <v/>
      </c>
      <c r="X147">
        <f>IF(G147=1,IF(I147&gt;Compliance,J147,(($D147-1)+$H147)/3),2)</f>
        <v/>
      </c>
      <c r="Y147">
        <f>IF(G147=0,2,IF(N147=0,X147,1-SUMPRODUCT(MAX(($E$4:$E$183=E147)*($G$4:$G$183=1)*(1-X$4:X$183)))+0.000000001*D147))</f>
        <v/>
      </c>
      <c r="Z147">
        <f>IF(G147=0,999,SUMPRODUCT((Y$4:Y$183&lt;Y147)*($G$4:$G$183=1))+SUMPRODUCT((Y$4:Y$183=Y147)*($G$4:$G$183=1)*($A$4:$A$183&lt;A147))+1)</f>
        <v/>
      </c>
      <c r="AB147">
        <f>IF(G147=1,IF(I147&gt;Compliance,J147,((($D147-1)*4+($C147-1)*2+MOD($B147,2))+(30-$B147)/30)/12),2)</f>
        <v/>
      </c>
      <c r="AC147">
        <f>IF(G147=0,2,IF(N147=0,AB147,1-SUMPRODUCT(MAX(($E$4:$E$183=E147)*($G$4:$G$183=1)*(1-AB$4:AB$183)))+0.000000001*D147))</f>
        <v/>
      </c>
      <c r="AD147">
        <f>IF(G147=0,999,SUMPRODUCT((AC$4:AC$183&lt;AC147)*($G$4:$G$183=1))+SUMPRODUCT((AC$4:AC$183=AC147)*($G$4:$G$183=1)*($A$4:$A$183&lt;A147))+1)</f>
        <v/>
      </c>
      <c r="AI147" t="n">
        <v>144</v>
      </c>
      <c r="AJ147">
        <f>IF(144&gt;Passengers,"",MATCH(144,R$4:R$183,0))</f>
        <v/>
      </c>
      <c r="AK147">
        <f>IF(AJ147="","",INDEX($B$4:$B$183,AJ147))</f>
        <v/>
      </c>
      <c r="AL147">
        <f>IF(AJ147="","",INDEX($C$4:$C$183,AJ147))</f>
        <v/>
      </c>
      <c r="AM147">
        <f>IF(AJ147="","",INDEX($D$4:$D$183,AJ147))</f>
        <v/>
      </c>
      <c r="AN147">
        <f>IF(AJ147="","",COUNTIFS($B$4:$B$183,AK147,$C$4:$C$183,AL147,$D$4:$D$183,"&gt;"&amp;AM147,R$4:R$183,"&lt;"&amp;144,$G$4:$G$183,1))</f>
        <v/>
      </c>
      <c r="AO147">
        <f>IF(AJ147="","",INDEX($M$4:$M$183,AJ147)+IF(AN147=1,Shuffle1,IF(AN147&gt;=2,Shuffle2,0)))</f>
        <v/>
      </c>
      <c r="AP147">
        <f>IF(AJ147="","",MAX(DoorGap*143,SUMPRODUCT(MAX((AK$4:AK146&lt;=AK147)*AQ$4:AQ146)),SUMPRODUCT(MAX((AK$4:AK146&gt;AK147)*AP$4:AP146))+Headway))</f>
        <v/>
      </c>
      <c r="AQ147">
        <f>IF(AJ147="","",AP147+AO147)</f>
        <v/>
      </c>
      <c r="AR147">
        <f>IF(AJ147="","",AQ147+AK147*WalkSec)</f>
        <v/>
      </c>
      <c r="AS147" t="n">
        <v>144</v>
      </c>
      <c r="AT147">
        <f>IF(144&gt;Passengers,"",MATCH(144,V$4:V$183,0))</f>
        <v/>
      </c>
      <c r="AU147">
        <f>IF(AT147="","",INDEX($B$4:$B$183,AT147))</f>
        <v/>
      </c>
      <c r="AV147">
        <f>IF(AT147="","",INDEX($C$4:$C$183,AT147))</f>
        <v/>
      </c>
      <c r="AW147">
        <f>IF(AT147="","",INDEX($D$4:$D$183,AT147))</f>
        <v/>
      </c>
      <c r="AX147">
        <f>IF(AT147="","",COUNTIFS($B$4:$B$183,AU147,$C$4:$C$183,AV147,$D$4:$D$183,"&gt;"&amp;AW147,V$4:V$183,"&lt;"&amp;144,$G$4:$G$183,1))</f>
        <v/>
      </c>
      <c r="AY147">
        <f>IF(AT147="","",INDEX($M$4:$M$183,AT147)+IF(AX147=1,Shuffle1,IF(AX147&gt;=2,Shuffle2,0)))</f>
        <v/>
      </c>
      <c r="AZ147">
        <f>IF(AT147="","",MAX(DoorGap*143,SUMPRODUCT(MAX((AU$4:AU146&lt;=AU147)*BA$4:BA146)),SUMPRODUCT(MAX((AU$4:AU146&gt;AU147)*AZ$4:AZ146))+Headway))</f>
        <v/>
      </c>
      <c r="BA147">
        <f>IF(AT147="","",AZ147+AY147)</f>
        <v/>
      </c>
      <c r="BB147">
        <f>IF(AT147="","",BA147+AU147*WalkSec)</f>
        <v/>
      </c>
      <c r="BC147" t="n">
        <v>144</v>
      </c>
      <c r="BD147">
        <f>IF(144&gt;Passengers,"",MATCH(144,Z$4:Z$183,0))</f>
        <v/>
      </c>
      <c r="BE147">
        <f>IF(BD147="","",INDEX($B$4:$B$183,BD147))</f>
        <v/>
      </c>
      <c r="BF147">
        <f>IF(BD147="","",INDEX($C$4:$C$183,BD147))</f>
        <v/>
      </c>
      <c r="BG147">
        <f>IF(BD147="","",INDEX($D$4:$D$183,BD147))</f>
        <v/>
      </c>
      <c r="BH147">
        <f>IF(BD147="","",COUNTIFS($B$4:$B$183,BE147,$C$4:$C$183,BF147,$D$4:$D$183,"&gt;"&amp;BG147,Z$4:Z$183,"&lt;"&amp;144,$G$4:$G$183,1))</f>
        <v/>
      </c>
      <c r="BI147">
        <f>IF(BD147="","",INDEX($M$4:$M$183,BD147)+IF(BH147=1,Shuffle1,IF(BH147&gt;=2,Shuffle2,0)))</f>
        <v/>
      </c>
      <c r="BJ147">
        <f>IF(BD147="","",MAX(DoorGap*143,SUMPRODUCT(MAX((BE$4:BE146&lt;=BE147)*BK$4:BK146)),SUMPRODUCT(MAX((BE$4:BE146&gt;BE147)*BJ$4:BJ146))+Headway))</f>
        <v/>
      </c>
      <c r="BK147">
        <f>IF(BD147="","",BJ147+BI147)</f>
        <v/>
      </c>
      <c r="BL147">
        <f>IF(BD147="","",BK147+BE147*WalkSec)</f>
        <v/>
      </c>
      <c r="BM147" t="n">
        <v>144</v>
      </c>
      <c r="BN147">
        <f>IF(144&gt;Passengers,"",MATCH(144,AD$4:AD$183,0))</f>
        <v/>
      </c>
      <c r="BO147">
        <f>IF(BN147="","",INDEX($B$4:$B$183,BN147))</f>
        <v/>
      </c>
      <c r="BP147">
        <f>IF(BN147="","",INDEX($C$4:$C$183,BN147))</f>
        <v/>
      </c>
      <c r="BQ147">
        <f>IF(BN147="","",INDEX($D$4:$D$183,BN147))</f>
        <v/>
      </c>
      <c r="BR147">
        <f>IF(BN147="","",COUNTIFS($B$4:$B$183,BO147,$C$4:$C$183,BP147,$D$4:$D$183,"&gt;"&amp;BQ147,AD$4:AD$183,"&lt;"&amp;144,$G$4:$G$183,1))</f>
        <v/>
      </c>
      <c r="BS147">
        <f>IF(BN147="","",INDEX($M$4:$M$183,BN147)+IF(BR147=1,Shuffle1,IF(BR147&gt;=2,Shuffle2,0)))</f>
        <v/>
      </c>
      <c r="BT147">
        <f>IF(BN147="","",MAX(DoorGap*143,SUMPRODUCT(MAX((BO$4:BO146&lt;=BO147)*BU$4:BU146)),SUMPRODUCT(MAX((BO$4:BO146&gt;BO147)*BT$4:BT146))+Headway))</f>
        <v/>
      </c>
      <c r="BU147">
        <f>IF(BN147="","",BT147+BS147)</f>
        <v/>
      </c>
      <c r="BV147">
        <f>IF(BN147="","",BU147+BO147*WalkSec)</f>
        <v/>
      </c>
      <c r="BW147">
        <f>IF($G147=0,"",INDEX(AR$4:AR$183,R147))</f>
        <v/>
      </c>
      <c r="BX147">
        <f>IF($G147=0,"",INDEX(BB$4:BB$183,V147))</f>
        <v/>
      </c>
      <c r="BY147">
        <f>IF($G147=0,"",INDEX(BL$4:BL$183,Z147))</f>
        <v/>
      </c>
      <c r="BZ147">
        <f>IF($G147=0,"",INDEX(BV$4:BV$183,AD147))</f>
        <v/>
      </c>
    </row>
    <row r="148">
      <c r="A148" t="n">
        <v>145</v>
      </c>
      <c r="B148" t="n">
        <v>25</v>
      </c>
      <c r="C148" t="n">
        <v>1</v>
      </c>
      <c r="D148" t="n">
        <v>1</v>
      </c>
      <c r="E148" t="n">
        <v>49</v>
      </c>
      <c r="F148">
        <f>RAND()</f>
        <v/>
      </c>
      <c r="G148">
        <f>IF(SUMPRODUCT(($F$4:$F$183&lt;F148)*1)+SUMPRODUCT(($F$4:$F$183=F148)*($A$4:$A$183&lt;A148))&lt;Passengers,1,0)</f>
        <v/>
      </c>
      <c r="H148">
        <f>RAND()</f>
        <v/>
      </c>
      <c r="I148">
        <f>RAND()</f>
        <v/>
      </c>
      <c r="J148">
        <f>RAND()</f>
        <v/>
      </c>
      <c r="K148">
        <f>RAND()</f>
        <v/>
      </c>
      <c r="L148">
        <f>RAND()</f>
        <v/>
      </c>
      <c r="M148">
        <f>IF(K148&lt;BagShare,EXP(NORMSINV(L148)*StowSigma+StowMu),StowNoBag)</f>
        <v/>
      </c>
      <c r="N148">
        <f>IF(INDEX($AG$4:$AG$63,E148)&lt;GroupShare,1,0)</f>
        <v/>
      </c>
      <c r="P148">
        <f>IF(G148=1,IF(I148&gt;Compliance,J148,$H148),2)</f>
        <v/>
      </c>
      <c r="Q148">
        <f>IF(G148=0,2,IF(N148=0,P148,1-SUMPRODUCT(MAX(($E$4:$E$183=E148)*($G$4:$G$183=1)*(1-P$4:P$183)))+0.000000001*D148))</f>
        <v/>
      </c>
      <c r="R148">
        <f>IF(G148=0,999,SUMPRODUCT((Q$4:Q$183&lt;Q148)*($G$4:$G$183=1))+SUMPRODUCT((Q$4:Q$183=Q148)*($G$4:$G$183=1)*($A$4:$A$183&lt;A148))+1)</f>
        <v/>
      </c>
      <c r="T148">
        <f>IF(G148=1,IF(I148&gt;Compliance,J148,(INT((30-$B148)/(30/Zones))+$H148)/Zones),2)</f>
        <v/>
      </c>
      <c r="U148">
        <f>IF(G148=0,2,IF(N148=0,T148,1-SUMPRODUCT(MAX(($E$4:$E$183=E148)*($G$4:$G$183=1)*(1-T$4:T$183)))+0.000000001*D148))</f>
        <v/>
      </c>
      <c r="V148">
        <f>IF(G148=0,999,SUMPRODUCT((U$4:U$183&lt;U148)*($G$4:$G$183=1))+SUMPRODUCT((U$4:U$183=U148)*($G$4:$G$183=1)*($A$4:$A$183&lt;A148))+1)</f>
        <v/>
      </c>
      <c r="X148">
        <f>IF(G148=1,IF(I148&gt;Compliance,J148,(($D148-1)+$H148)/3),2)</f>
        <v/>
      </c>
      <c r="Y148">
        <f>IF(G148=0,2,IF(N148=0,X148,1-SUMPRODUCT(MAX(($E$4:$E$183=E148)*($G$4:$G$183=1)*(1-X$4:X$183)))+0.000000001*D148))</f>
        <v/>
      </c>
      <c r="Z148">
        <f>IF(G148=0,999,SUMPRODUCT((Y$4:Y$183&lt;Y148)*($G$4:$G$183=1))+SUMPRODUCT((Y$4:Y$183=Y148)*($G$4:$G$183=1)*($A$4:$A$183&lt;A148))+1)</f>
        <v/>
      </c>
      <c r="AB148">
        <f>IF(G148=1,IF(I148&gt;Compliance,J148,((($D148-1)*4+($C148-1)*2+MOD($B148,2))+(30-$B148)/30)/12),2)</f>
        <v/>
      </c>
      <c r="AC148">
        <f>IF(G148=0,2,IF(N148=0,AB148,1-SUMPRODUCT(MAX(($E$4:$E$183=E148)*($G$4:$G$183=1)*(1-AB$4:AB$183)))+0.000000001*D148))</f>
        <v/>
      </c>
      <c r="AD148">
        <f>IF(G148=0,999,SUMPRODUCT((AC$4:AC$183&lt;AC148)*($G$4:$G$183=1))+SUMPRODUCT((AC$4:AC$183=AC148)*($G$4:$G$183=1)*($A$4:$A$183&lt;A148))+1)</f>
        <v/>
      </c>
      <c r="AI148" t="n">
        <v>145</v>
      </c>
      <c r="AJ148">
        <f>IF(145&gt;Passengers,"",MATCH(145,R$4:R$183,0))</f>
        <v/>
      </c>
      <c r="AK148">
        <f>IF(AJ148="","",INDEX($B$4:$B$183,AJ148))</f>
        <v/>
      </c>
      <c r="AL148">
        <f>IF(AJ148="","",INDEX($C$4:$C$183,AJ148))</f>
        <v/>
      </c>
      <c r="AM148">
        <f>IF(AJ148="","",INDEX($D$4:$D$183,AJ148))</f>
        <v/>
      </c>
      <c r="AN148">
        <f>IF(AJ148="","",COUNTIFS($B$4:$B$183,AK148,$C$4:$C$183,AL148,$D$4:$D$183,"&gt;"&amp;AM148,R$4:R$183,"&lt;"&amp;145,$G$4:$G$183,1))</f>
        <v/>
      </c>
      <c r="AO148">
        <f>IF(AJ148="","",INDEX($M$4:$M$183,AJ148)+IF(AN148=1,Shuffle1,IF(AN148&gt;=2,Shuffle2,0)))</f>
        <v/>
      </c>
      <c r="AP148">
        <f>IF(AJ148="","",MAX(DoorGap*144,SUMPRODUCT(MAX((AK$4:AK147&lt;=AK148)*AQ$4:AQ147)),SUMPRODUCT(MAX((AK$4:AK147&gt;AK148)*AP$4:AP147))+Headway))</f>
        <v/>
      </c>
      <c r="AQ148">
        <f>IF(AJ148="","",AP148+AO148)</f>
        <v/>
      </c>
      <c r="AR148">
        <f>IF(AJ148="","",AQ148+AK148*WalkSec)</f>
        <v/>
      </c>
      <c r="AS148" t="n">
        <v>145</v>
      </c>
      <c r="AT148">
        <f>IF(145&gt;Passengers,"",MATCH(145,V$4:V$183,0))</f>
        <v/>
      </c>
      <c r="AU148">
        <f>IF(AT148="","",INDEX($B$4:$B$183,AT148))</f>
        <v/>
      </c>
      <c r="AV148">
        <f>IF(AT148="","",INDEX($C$4:$C$183,AT148))</f>
        <v/>
      </c>
      <c r="AW148">
        <f>IF(AT148="","",INDEX($D$4:$D$183,AT148))</f>
        <v/>
      </c>
      <c r="AX148">
        <f>IF(AT148="","",COUNTIFS($B$4:$B$183,AU148,$C$4:$C$183,AV148,$D$4:$D$183,"&gt;"&amp;AW148,V$4:V$183,"&lt;"&amp;145,$G$4:$G$183,1))</f>
        <v/>
      </c>
      <c r="AY148">
        <f>IF(AT148="","",INDEX($M$4:$M$183,AT148)+IF(AX148=1,Shuffle1,IF(AX148&gt;=2,Shuffle2,0)))</f>
        <v/>
      </c>
      <c r="AZ148">
        <f>IF(AT148="","",MAX(DoorGap*144,SUMPRODUCT(MAX((AU$4:AU147&lt;=AU148)*BA$4:BA147)),SUMPRODUCT(MAX((AU$4:AU147&gt;AU148)*AZ$4:AZ147))+Headway))</f>
        <v/>
      </c>
      <c r="BA148">
        <f>IF(AT148="","",AZ148+AY148)</f>
        <v/>
      </c>
      <c r="BB148">
        <f>IF(AT148="","",BA148+AU148*WalkSec)</f>
        <v/>
      </c>
      <c r="BC148" t="n">
        <v>145</v>
      </c>
      <c r="BD148">
        <f>IF(145&gt;Passengers,"",MATCH(145,Z$4:Z$183,0))</f>
        <v/>
      </c>
      <c r="BE148">
        <f>IF(BD148="","",INDEX($B$4:$B$183,BD148))</f>
        <v/>
      </c>
      <c r="BF148">
        <f>IF(BD148="","",INDEX($C$4:$C$183,BD148))</f>
        <v/>
      </c>
      <c r="BG148">
        <f>IF(BD148="","",INDEX($D$4:$D$183,BD148))</f>
        <v/>
      </c>
      <c r="BH148">
        <f>IF(BD148="","",COUNTIFS($B$4:$B$183,BE148,$C$4:$C$183,BF148,$D$4:$D$183,"&gt;"&amp;BG148,Z$4:Z$183,"&lt;"&amp;145,$G$4:$G$183,1))</f>
        <v/>
      </c>
      <c r="BI148">
        <f>IF(BD148="","",INDEX($M$4:$M$183,BD148)+IF(BH148=1,Shuffle1,IF(BH148&gt;=2,Shuffle2,0)))</f>
        <v/>
      </c>
      <c r="BJ148">
        <f>IF(BD148="","",MAX(DoorGap*144,SUMPRODUCT(MAX((BE$4:BE147&lt;=BE148)*BK$4:BK147)),SUMPRODUCT(MAX((BE$4:BE147&gt;BE148)*BJ$4:BJ147))+Headway))</f>
        <v/>
      </c>
      <c r="BK148">
        <f>IF(BD148="","",BJ148+BI148)</f>
        <v/>
      </c>
      <c r="BL148">
        <f>IF(BD148="","",BK148+BE148*WalkSec)</f>
        <v/>
      </c>
      <c r="BM148" t="n">
        <v>145</v>
      </c>
      <c r="BN148">
        <f>IF(145&gt;Passengers,"",MATCH(145,AD$4:AD$183,0))</f>
        <v/>
      </c>
      <c r="BO148">
        <f>IF(BN148="","",INDEX($B$4:$B$183,BN148))</f>
        <v/>
      </c>
      <c r="BP148">
        <f>IF(BN148="","",INDEX($C$4:$C$183,BN148))</f>
        <v/>
      </c>
      <c r="BQ148">
        <f>IF(BN148="","",INDEX($D$4:$D$183,BN148))</f>
        <v/>
      </c>
      <c r="BR148">
        <f>IF(BN148="","",COUNTIFS($B$4:$B$183,BO148,$C$4:$C$183,BP148,$D$4:$D$183,"&gt;"&amp;BQ148,AD$4:AD$183,"&lt;"&amp;145,$G$4:$G$183,1))</f>
        <v/>
      </c>
      <c r="BS148">
        <f>IF(BN148="","",INDEX($M$4:$M$183,BN148)+IF(BR148=1,Shuffle1,IF(BR148&gt;=2,Shuffle2,0)))</f>
        <v/>
      </c>
      <c r="BT148">
        <f>IF(BN148="","",MAX(DoorGap*144,SUMPRODUCT(MAX((BO$4:BO147&lt;=BO148)*BU$4:BU147)),SUMPRODUCT(MAX((BO$4:BO147&gt;BO148)*BT$4:BT147))+Headway))</f>
        <v/>
      </c>
      <c r="BU148">
        <f>IF(BN148="","",BT148+BS148)</f>
        <v/>
      </c>
      <c r="BV148">
        <f>IF(BN148="","",BU148+BO148*WalkSec)</f>
        <v/>
      </c>
      <c r="BW148">
        <f>IF($G148=0,"",INDEX(AR$4:AR$183,R148))</f>
        <v/>
      </c>
      <c r="BX148">
        <f>IF($G148=0,"",INDEX(BB$4:BB$183,V148))</f>
        <v/>
      </c>
      <c r="BY148">
        <f>IF($G148=0,"",INDEX(BL$4:BL$183,Z148))</f>
        <v/>
      </c>
      <c r="BZ148">
        <f>IF($G148=0,"",INDEX(BV$4:BV$183,AD148))</f>
        <v/>
      </c>
    </row>
    <row r="149">
      <c r="A149" t="n">
        <v>146</v>
      </c>
      <c r="B149" t="n">
        <v>25</v>
      </c>
      <c r="C149" t="n">
        <v>1</v>
      </c>
      <c r="D149" t="n">
        <v>2</v>
      </c>
      <c r="E149" t="n">
        <v>49</v>
      </c>
      <c r="F149">
        <f>RAND()</f>
        <v/>
      </c>
      <c r="G149">
        <f>IF(SUMPRODUCT(($F$4:$F$183&lt;F149)*1)+SUMPRODUCT(($F$4:$F$183=F149)*($A$4:$A$183&lt;A149))&lt;Passengers,1,0)</f>
        <v/>
      </c>
      <c r="H149">
        <f>RAND()</f>
        <v/>
      </c>
      <c r="I149">
        <f>RAND()</f>
        <v/>
      </c>
      <c r="J149">
        <f>RAND()</f>
        <v/>
      </c>
      <c r="K149">
        <f>RAND()</f>
        <v/>
      </c>
      <c r="L149">
        <f>RAND()</f>
        <v/>
      </c>
      <c r="M149">
        <f>IF(K149&lt;BagShare,EXP(NORMSINV(L149)*StowSigma+StowMu),StowNoBag)</f>
        <v/>
      </c>
      <c r="N149">
        <f>IF(INDEX($AG$4:$AG$63,E149)&lt;GroupShare,1,0)</f>
        <v/>
      </c>
      <c r="P149">
        <f>IF(G149=1,IF(I149&gt;Compliance,J149,$H149),2)</f>
        <v/>
      </c>
      <c r="Q149">
        <f>IF(G149=0,2,IF(N149=0,P149,1-SUMPRODUCT(MAX(($E$4:$E$183=E149)*($G$4:$G$183=1)*(1-P$4:P$183)))+0.000000001*D149))</f>
        <v/>
      </c>
      <c r="R149">
        <f>IF(G149=0,999,SUMPRODUCT((Q$4:Q$183&lt;Q149)*($G$4:$G$183=1))+SUMPRODUCT((Q$4:Q$183=Q149)*($G$4:$G$183=1)*($A$4:$A$183&lt;A149))+1)</f>
        <v/>
      </c>
      <c r="T149">
        <f>IF(G149=1,IF(I149&gt;Compliance,J149,(INT((30-$B149)/(30/Zones))+$H149)/Zones),2)</f>
        <v/>
      </c>
      <c r="U149">
        <f>IF(G149=0,2,IF(N149=0,T149,1-SUMPRODUCT(MAX(($E$4:$E$183=E149)*($G$4:$G$183=1)*(1-T$4:T$183)))+0.000000001*D149))</f>
        <v/>
      </c>
      <c r="V149">
        <f>IF(G149=0,999,SUMPRODUCT((U$4:U$183&lt;U149)*($G$4:$G$183=1))+SUMPRODUCT((U$4:U$183=U149)*($G$4:$G$183=1)*($A$4:$A$183&lt;A149))+1)</f>
        <v/>
      </c>
      <c r="X149">
        <f>IF(G149=1,IF(I149&gt;Compliance,J149,(($D149-1)+$H149)/3),2)</f>
        <v/>
      </c>
      <c r="Y149">
        <f>IF(G149=0,2,IF(N149=0,X149,1-SUMPRODUCT(MAX(($E$4:$E$183=E149)*($G$4:$G$183=1)*(1-X$4:X$183)))+0.000000001*D149))</f>
        <v/>
      </c>
      <c r="Z149">
        <f>IF(G149=0,999,SUMPRODUCT((Y$4:Y$183&lt;Y149)*($G$4:$G$183=1))+SUMPRODUCT((Y$4:Y$183=Y149)*($G$4:$G$183=1)*($A$4:$A$183&lt;A149))+1)</f>
        <v/>
      </c>
      <c r="AB149">
        <f>IF(G149=1,IF(I149&gt;Compliance,J149,((($D149-1)*4+($C149-1)*2+MOD($B149,2))+(30-$B149)/30)/12),2)</f>
        <v/>
      </c>
      <c r="AC149">
        <f>IF(G149=0,2,IF(N149=0,AB149,1-SUMPRODUCT(MAX(($E$4:$E$183=E149)*($G$4:$G$183=1)*(1-AB$4:AB$183)))+0.000000001*D149))</f>
        <v/>
      </c>
      <c r="AD149">
        <f>IF(G149=0,999,SUMPRODUCT((AC$4:AC$183&lt;AC149)*($G$4:$G$183=1))+SUMPRODUCT((AC$4:AC$183=AC149)*($G$4:$G$183=1)*($A$4:$A$183&lt;A149))+1)</f>
        <v/>
      </c>
      <c r="AI149" t="n">
        <v>146</v>
      </c>
      <c r="AJ149">
        <f>IF(146&gt;Passengers,"",MATCH(146,R$4:R$183,0))</f>
        <v/>
      </c>
      <c r="AK149">
        <f>IF(AJ149="","",INDEX($B$4:$B$183,AJ149))</f>
        <v/>
      </c>
      <c r="AL149">
        <f>IF(AJ149="","",INDEX($C$4:$C$183,AJ149))</f>
        <v/>
      </c>
      <c r="AM149">
        <f>IF(AJ149="","",INDEX($D$4:$D$183,AJ149))</f>
        <v/>
      </c>
      <c r="AN149">
        <f>IF(AJ149="","",COUNTIFS($B$4:$B$183,AK149,$C$4:$C$183,AL149,$D$4:$D$183,"&gt;"&amp;AM149,R$4:R$183,"&lt;"&amp;146,$G$4:$G$183,1))</f>
        <v/>
      </c>
      <c r="AO149">
        <f>IF(AJ149="","",INDEX($M$4:$M$183,AJ149)+IF(AN149=1,Shuffle1,IF(AN149&gt;=2,Shuffle2,0)))</f>
        <v/>
      </c>
      <c r="AP149">
        <f>IF(AJ149="","",MAX(DoorGap*145,SUMPRODUCT(MAX((AK$4:AK148&lt;=AK149)*AQ$4:AQ148)),SUMPRODUCT(MAX((AK$4:AK148&gt;AK149)*AP$4:AP148))+Headway))</f>
        <v/>
      </c>
      <c r="AQ149">
        <f>IF(AJ149="","",AP149+AO149)</f>
        <v/>
      </c>
      <c r="AR149">
        <f>IF(AJ149="","",AQ149+AK149*WalkSec)</f>
        <v/>
      </c>
      <c r="AS149" t="n">
        <v>146</v>
      </c>
      <c r="AT149">
        <f>IF(146&gt;Passengers,"",MATCH(146,V$4:V$183,0))</f>
        <v/>
      </c>
      <c r="AU149">
        <f>IF(AT149="","",INDEX($B$4:$B$183,AT149))</f>
        <v/>
      </c>
      <c r="AV149">
        <f>IF(AT149="","",INDEX($C$4:$C$183,AT149))</f>
        <v/>
      </c>
      <c r="AW149">
        <f>IF(AT149="","",INDEX($D$4:$D$183,AT149))</f>
        <v/>
      </c>
      <c r="AX149">
        <f>IF(AT149="","",COUNTIFS($B$4:$B$183,AU149,$C$4:$C$183,AV149,$D$4:$D$183,"&gt;"&amp;AW149,V$4:V$183,"&lt;"&amp;146,$G$4:$G$183,1))</f>
        <v/>
      </c>
      <c r="AY149">
        <f>IF(AT149="","",INDEX($M$4:$M$183,AT149)+IF(AX149=1,Shuffle1,IF(AX149&gt;=2,Shuffle2,0)))</f>
        <v/>
      </c>
      <c r="AZ149">
        <f>IF(AT149="","",MAX(DoorGap*145,SUMPRODUCT(MAX((AU$4:AU148&lt;=AU149)*BA$4:BA148)),SUMPRODUCT(MAX((AU$4:AU148&gt;AU149)*AZ$4:AZ148))+Headway))</f>
        <v/>
      </c>
      <c r="BA149">
        <f>IF(AT149="","",AZ149+AY149)</f>
        <v/>
      </c>
      <c r="BB149">
        <f>IF(AT149="","",BA149+AU149*WalkSec)</f>
        <v/>
      </c>
      <c r="BC149" t="n">
        <v>146</v>
      </c>
      <c r="BD149">
        <f>IF(146&gt;Passengers,"",MATCH(146,Z$4:Z$183,0))</f>
        <v/>
      </c>
      <c r="BE149">
        <f>IF(BD149="","",INDEX($B$4:$B$183,BD149))</f>
        <v/>
      </c>
      <c r="BF149">
        <f>IF(BD149="","",INDEX($C$4:$C$183,BD149))</f>
        <v/>
      </c>
      <c r="BG149">
        <f>IF(BD149="","",INDEX($D$4:$D$183,BD149))</f>
        <v/>
      </c>
      <c r="BH149">
        <f>IF(BD149="","",COUNTIFS($B$4:$B$183,BE149,$C$4:$C$183,BF149,$D$4:$D$183,"&gt;"&amp;BG149,Z$4:Z$183,"&lt;"&amp;146,$G$4:$G$183,1))</f>
        <v/>
      </c>
      <c r="BI149">
        <f>IF(BD149="","",INDEX($M$4:$M$183,BD149)+IF(BH149=1,Shuffle1,IF(BH149&gt;=2,Shuffle2,0)))</f>
        <v/>
      </c>
      <c r="BJ149">
        <f>IF(BD149="","",MAX(DoorGap*145,SUMPRODUCT(MAX((BE$4:BE148&lt;=BE149)*BK$4:BK148)),SUMPRODUCT(MAX((BE$4:BE148&gt;BE149)*BJ$4:BJ148))+Headway))</f>
        <v/>
      </c>
      <c r="BK149">
        <f>IF(BD149="","",BJ149+BI149)</f>
        <v/>
      </c>
      <c r="BL149">
        <f>IF(BD149="","",BK149+BE149*WalkSec)</f>
        <v/>
      </c>
      <c r="BM149" t="n">
        <v>146</v>
      </c>
      <c r="BN149">
        <f>IF(146&gt;Passengers,"",MATCH(146,AD$4:AD$183,0))</f>
        <v/>
      </c>
      <c r="BO149">
        <f>IF(BN149="","",INDEX($B$4:$B$183,BN149))</f>
        <v/>
      </c>
      <c r="BP149">
        <f>IF(BN149="","",INDEX($C$4:$C$183,BN149))</f>
        <v/>
      </c>
      <c r="BQ149">
        <f>IF(BN149="","",INDEX($D$4:$D$183,BN149))</f>
        <v/>
      </c>
      <c r="BR149">
        <f>IF(BN149="","",COUNTIFS($B$4:$B$183,BO149,$C$4:$C$183,BP149,$D$4:$D$183,"&gt;"&amp;BQ149,AD$4:AD$183,"&lt;"&amp;146,$G$4:$G$183,1))</f>
        <v/>
      </c>
      <c r="BS149">
        <f>IF(BN149="","",INDEX($M$4:$M$183,BN149)+IF(BR149=1,Shuffle1,IF(BR149&gt;=2,Shuffle2,0)))</f>
        <v/>
      </c>
      <c r="BT149">
        <f>IF(BN149="","",MAX(DoorGap*145,SUMPRODUCT(MAX((BO$4:BO148&lt;=BO149)*BU$4:BU148)),SUMPRODUCT(MAX((BO$4:BO148&gt;BO149)*BT$4:BT148))+Headway))</f>
        <v/>
      </c>
      <c r="BU149">
        <f>IF(BN149="","",BT149+BS149)</f>
        <v/>
      </c>
      <c r="BV149">
        <f>IF(BN149="","",BU149+BO149*WalkSec)</f>
        <v/>
      </c>
      <c r="BW149">
        <f>IF($G149=0,"",INDEX(AR$4:AR$183,R149))</f>
        <v/>
      </c>
      <c r="BX149">
        <f>IF($G149=0,"",INDEX(BB$4:BB$183,V149))</f>
        <v/>
      </c>
      <c r="BY149">
        <f>IF($G149=0,"",INDEX(BL$4:BL$183,Z149))</f>
        <v/>
      </c>
      <c r="BZ149">
        <f>IF($G149=0,"",INDEX(BV$4:BV$183,AD149))</f>
        <v/>
      </c>
    </row>
    <row r="150">
      <c r="A150" t="n">
        <v>147</v>
      </c>
      <c r="B150" t="n">
        <v>25</v>
      </c>
      <c r="C150" t="n">
        <v>1</v>
      </c>
      <c r="D150" t="n">
        <v>3</v>
      </c>
      <c r="E150" t="n">
        <v>49</v>
      </c>
      <c r="F150">
        <f>RAND()</f>
        <v/>
      </c>
      <c r="G150">
        <f>IF(SUMPRODUCT(($F$4:$F$183&lt;F150)*1)+SUMPRODUCT(($F$4:$F$183=F150)*($A$4:$A$183&lt;A150))&lt;Passengers,1,0)</f>
        <v/>
      </c>
      <c r="H150">
        <f>RAND()</f>
        <v/>
      </c>
      <c r="I150">
        <f>RAND()</f>
        <v/>
      </c>
      <c r="J150">
        <f>RAND()</f>
        <v/>
      </c>
      <c r="K150">
        <f>RAND()</f>
        <v/>
      </c>
      <c r="L150">
        <f>RAND()</f>
        <v/>
      </c>
      <c r="M150">
        <f>IF(K150&lt;BagShare,EXP(NORMSINV(L150)*StowSigma+StowMu),StowNoBag)</f>
        <v/>
      </c>
      <c r="N150">
        <f>IF(INDEX($AG$4:$AG$63,E150)&lt;GroupShare,1,0)</f>
        <v/>
      </c>
      <c r="P150">
        <f>IF(G150=1,IF(I150&gt;Compliance,J150,$H150),2)</f>
        <v/>
      </c>
      <c r="Q150">
        <f>IF(G150=0,2,IF(N150=0,P150,1-SUMPRODUCT(MAX(($E$4:$E$183=E150)*($G$4:$G$183=1)*(1-P$4:P$183)))+0.000000001*D150))</f>
        <v/>
      </c>
      <c r="R150">
        <f>IF(G150=0,999,SUMPRODUCT((Q$4:Q$183&lt;Q150)*($G$4:$G$183=1))+SUMPRODUCT((Q$4:Q$183=Q150)*($G$4:$G$183=1)*($A$4:$A$183&lt;A150))+1)</f>
        <v/>
      </c>
      <c r="T150">
        <f>IF(G150=1,IF(I150&gt;Compliance,J150,(INT((30-$B150)/(30/Zones))+$H150)/Zones),2)</f>
        <v/>
      </c>
      <c r="U150">
        <f>IF(G150=0,2,IF(N150=0,T150,1-SUMPRODUCT(MAX(($E$4:$E$183=E150)*($G$4:$G$183=1)*(1-T$4:T$183)))+0.000000001*D150))</f>
        <v/>
      </c>
      <c r="V150">
        <f>IF(G150=0,999,SUMPRODUCT((U$4:U$183&lt;U150)*($G$4:$G$183=1))+SUMPRODUCT((U$4:U$183=U150)*($G$4:$G$183=1)*($A$4:$A$183&lt;A150))+1)</f>
        <v/>
      </c>
      <c r="X150">
        <f>IF(G150=1,IF(I150&gt;Compliance,J150,(($D150-1)+$H150)/3),2)</f>
        <v/>
      </c>
      <c r="Y150">
        <f>IF(G150=0,2,IF(N150=0,X150,1-SUMPRODUCT(MAX(($E$4:$E$183=E150)*($G$4:$G$183=1)*(1-X$4:X$183)))+0.000000001*D150))</f>
        <v/>
      </c>
      <c r="Z150">
        <f>IF(G150=0,999,SUMPRODUCT((Y$4:Y$183&lt;Y150)*($G$4:$G$183=1))+SUMPRODUCT((Y$4:Y$183=Y150)*($G$4:$G$183=1)*($A$4:$A$183&lt;A150))+1)</f>
        <v/>
      </c>
      <c r="AB150">
        <f>IF(G150=1,IF(I150&gt;Compliance,J150,((($D150-1)*4+($C150-1)*2+MOD($B150,2))+(30-$B150)/30)/12),2)</f>
        <v/>
      </c>
      <c r="AC150">
        <f>IF(G150=0,2,IF(N150=0,AB150,1-SUMPRODUCT(MAX(($E$4:$E$183=E150)*($G$4:$G$183=1)*(1-AB$4:AB$183)))+0.000000001*D150))</f>
        <v/>
      </c>
      <c r="AD150">
        <f>IF(G150=0,999,SUMPRODUCT((AC$4:AC$183&lt;AC150)*($G$4:$G$183=1))+SUMPRODUCT((AC$4:AC$183=AC150)*($G$4:$G$183=1)*($A$4:$A$183&lt;A150))+1)</f>
        <v/>
      </c>
      <c r="AI150" t="n">
        <v>147</v>
      </c>
      <c r="AJ150">
        <f>IF(147&gt;Passengers,"",MATCH(147,R$4:R$183,0))</f>
        <v/>
      </c>
      <c r="AK150">
        <f>IF(AJ150="","",INDEX($B$4:$B$183,AJ150))</f>
        <v/>
      </c>
      <c r="AL150">
        <f>IF(AJ150="","",INDEX($C$4:$C$183,AJ150))</f>
        <v/>
      </c>
      <c r="AM150">
        <f>IF(AJ150="","",INDEX($D$4:$D$183,AJ150))</f>
        <v/>
      </c>
      <c r="AN150">
        <f>IF(AJ150="","",COUNTIFS($B$4:$B$183,AK150,$C$4:$C$183,AL150,$D$4:$D$183,"&gt;"&amp;AM150,R$4:R$183,"&lt;"&amp;147,$G$4:$G$183,1))</f>
        <v/>
      </c>
      <c r="AO150">
        <f>IF(AJ150="","",INDEX($M$4:$M$183,AJ150)+IF(AN150=1,Shuffle1,IF(AN150&gt;=2,Shuffle2,0)))</f>
        <v/>
      </c>
      <c r="AP150">
        <f>IF(AJ150="","",MAX(DoorGap*146,SUMPRODUCT(MAX((AK$4:AK149&lt;=AK150)*AQ$4:AQ149)),SUMPRODUCT(MAX((AK$4:AK149&gt;AK150)*AP$4:AP149))+Headway))</f>
        <v/>
      </c>
      <c r="AQ150">
        <f>IF(AJ150="","",AP150+AO150)</f>
        <v/>
      </c>
      <c r="AR150">
        <f>IF(AJ150="","",AQ150+AK150*WalkSec)</f>
        <v/>
      </c>
      <c r="AS150" t="n">
        <v>147</v>
      </c>
      <c r="AT150">
        <f>IF(147&gt;Passengers,"",MATCH(147,V$4:V$183,0))</f>
        <v/>
      </c>
      <c r="AU150">
        <f>IF(AT150="","",INDEX($B$4:$B$183,AT150))</f>
        <v/>
      </c>
      <c r="AV150">
        <f>IF(AT150="","",INDEX($C$4:$C$183,AT150))</f>
        <v/>
      </c>
      <c r="AW150">
        <f>IF(AT150="","",INDEX($D$4:$D$183,AT150))</f>
        <v/>
      </c>
      <c r="AX150">
        <f>IF(AT150="","",COUNTIFS($B$4:$B$183,AU150,$C$4:$C$183,AV150,$D$4:$D$183,"&gt;"&amp;AW150,V$4:V$183,"&lt;"&amp;147,$G$4:$G$183,1))</f>
        <v/>
      </c>
      <c r="AY150">
        <f>IF(AT150="","",INDEX($M$4:$M$183,AT150)+IF(AX150=1,Shuffle1,IF(AX150&gt;=2,Shuffle2,0)))</f>
        <v/>
      </c>
      <c r="AZ150">
        <f>IF(AT150="","",MAX(DoorGap*146,SUMPRODUCT(MAX((AU$4:AU149&lt;=AU150)*BA$4:BA149)),SUMPRODUCT(MAX((AU$4:AU149&gt;AU150)*AZ$4:AZ149))+Headway))</f>
        <v/>
      </c>
      <c r="BA150">
        <f>IF(AT150="","",AZ150+AY150)</f>
        <v/>
      </c>
      <c r="BB150">
        <f>IF(AT150="","",BA150+AU150*WalkSec)</f>
        <v/>
      </c>
      <c r="BC150" t="n">
        <v>147</v>
      </c>
      <c r="BD150">
        <f>IF(147&gt;Passengers,"",MATCH(147,Z$4:Z$183,0))</f>
        <v/>
      </c>
      <c r="BE150">
        <f>IF(BD150="","",INDEX($B$4:$B$183,BD150))</f>
        <v/>
      </c>
      <c r="BF150">
        <f>IF(BD150="","",INDEX($C$4:$C$183,BD150))</f>
        <v/>
      </c>
      <c r="BG150">
        <f>IF(BD150="","",INDEX($D$4:$D$183,BD150))</f>
        <v/>
      </c>
      <c r="BH150">
        <f>IF(BD150="","",COUNTIFS($B$4:$B$183,BE150,$C$4:$C$183,BF150,$D$4:$D$183,"&gt;"&amp;BG150,Z$4:Z$183,"&lt;"&amp;147,$G$4:$G$183,1))</f>
        <v/>
      </c>
      <c r="BI150">
        <f>IF(BD150="","",INDEX($M$4:$M$183,BD150)+IF(BH150=1,Shuffle1,IF(BH150&gt;=2,Shuffle2,0)))</f>
        <v/>
      </c>
      <c r="BJ150">
        <f>IF(BD150="","",MAX(DoorGap*146,SUMPRODUCT(MAX((BE$4:BE149&lt;=BE150)*BK$4:BK149)),SUMPRODUCT(MAX((BE$4:BE149&gt;BE150)*BJ$4:BJ149))+Headway))</f>
        <v/>
      </c>
      <c r="BK150">
        <f>IF(BD150="","",BJ150+BI150)</f>
        <v/>
      </c>
      <c r="BL150">
        <f>IF(BD150="","",BK150+BE150*WalkSec)</f>
        <v/>
      </c>
      <c r="BM150" t="n">
        <v>147</v>
      </c>
      <c r="BN150">
        <f>IF(147&gt;Passengers,"",MATCH(147,AD$4:AD$183,0))</f>
        <v/>
      </c>
      <c r="BO150">
        <f>IF(BN150="","",INDEX($B$4:$B$183,BN150))</f>
        <v/>
      </c>
      <c r="BP150">
        <f>IF(BN150="","",INDEX($C$4:$C$183,BN150))</f>
        <v/>
      </c>
      <c r="BQ150">
        <f>IF(BN150="","",INDEX($D$4:$D$183,BN150))</f>
        <v/>
      </c>
      <c r="BR150">
        <f>IF(BN150="","",COUNTIFS($B$4:$B$183,BO150,$C$4:$C$183,BP150,$D$4:$D$183,"&gt;"&amp;BQ150,AD$4:AD$183,"&lt;"&amp;147,$G$4:$G$183,1))</f>
        <v/>
      </c>
      <c r="BS150">
        <f>IF(BN150="","",INDEX($M$4:$M$183,BN150)+IF(BR150=1,Shuffle1,IF(BR150&gt;=2,Shuffle2,0)))</f>
        <v/>
      </c>
      <c r="BT150">
        <f>IF(BN150="","",MAX(DoorGap*146,SUMPRODUCT(MAX((BO$4:BO149&lt;=BO150)*BU$4:BU149)),SUMPRODUCT(MAX((BO$4:BO149&gt;BO150)*BT$4:BT149))+Headway))</f>
        <v/>
      </c>
      <c r="BU150">
        <f>IF(BN150="","",BT150+BS150)</f>
        <v/>
      </c>
      <c r="BV150">
        <f>IF(BN150="","",BU150+BO150*WalkSec)</f>
        <v/>
      </c>
      <c r="BW150">
        <f>IF($G150=0,"",INDEX(AR$4:AR$183,R150))</f>
        <v/>
      </c>
      <c r="BX150">
        <f>IF($G150=0,"",INDEX(BB$4:BB$183,V150))</f>
        <v/>
      </c>
      <c r="BY150">
        <f>IF($G150=0,"",INDEX(BL$4:BL$183,Z150))</f>
        <v/>
      </c>
      <c r="BZ150">
        <f>IF($G150=0,"",INDEX(BV$4:BV$183,AD150))</f>
        <v/>
      </c>
    </row>
    <row r="151">
      <c r="A151" t="n">
        <v>148</v>
      </c>
      <c r="B151" t="n">
        <v>25</v>
      </c>
      <c r="C151" t="n">
        <v>2</v>
      </c>
      <c r="D151" t="n">
        <v>1</v>
      </c>
      <c r="E151" t="n">
        <v>50</v>
      </c>
      <c r="F151">
        <f>RAND()</f>
        <v/>
      </c>
      <c r="G151">
        <f>IF(SUMPRODUCT(($F$4:$F$183&lt;F151)*1)+SUMPRODUCT(($F$4:$F$183=F151)*($A$4:$A$183&lt;A151))&lt;Passengers,1,0)</f>
        <v/>
      </c>
      <c r="H151">
        <f>RAND()</f>
        <v/>
      </c>
      <c r="I151">
        <f>RAND()</f>
        <v/>
      </c>
      <c r="J151">
        <f>RAND()</f>
        <v/>
      </c>
      <c r="K151">
        <f>RAND()</f>
        <v/>
      </c>
      <c r="L151">
        <f>RAND()</f>
        <v/>
      </c>
      <c r="M151">
        <f>IF(K151&lt;BagShare,EXP(NORMSINV(L151)*StowSigma+StowMu),StowNoBag)</f>
        <v/>
      </c>
      <c r="N151">
        <f>IF(INDEX($AG$4:$AG$63,E151)&lt;GroupShare,1,0)</f>
        <v/>
      </c>
      <c r="P151">
        <f>IF(G151=1,IF(I151&gt;Compliance,J151,$H151),2)</f>
        <v/>
      </c>
      <c r="Q151">
        <f>IF(G151=0,2,IF(N151=0,P151,1-SUMPRODUCT(MAX(($E$4:$E$183=E151)*($G$4:$G$183=1)*(1-P$4:P$183)))+0.000000001*D151))</f>
        <v/>
      </c>
      <c r="R151">
        <f>IF(G151=0,999,SUMPRODUCT((Q$4:Q$183&lt;Q151)*($G$4:$G$183=1))+SUMPRODUCT((Q$4:Q$183=Q151)*($G$4:$G$183=1)*($A$4:$A$183&lt;A151))+1)</f>
        <v/>
      </c>
      <c r="T151">
        <f>IF(G151=1,IF(I151&gt;Compliance,J151,(INT((30-$B151)/(30/Zones))+$H151)/Zones),2)</f>
        <v/>
      </c>
      <c r="U151">
        <f>IF(G151=0,2,IF(N151=0,T151,1-SUMPRODUCT(MAX(($E$4:$E$183=E151)*($G$4:$G$183=1)*(1-T$4:T$183)))+0.000000001*D151))</f>
        <v/>
      </c>
      <c r="V151">
        <f>IF(G151=0,999,SUMPRODUCT((U$4:U$183&lt;U151)*($G$4:$G$183=1))+SUMPRODUCT((U$4:U$183=U151)*($G$4:$G$183=1)*($A$4:$A$183&lt;A151))+1)</f>
        <v/>
      </c>
      <c r="X151">
        <f>IF(G151=1,IF(I151&gt;Compliance,J151,(($D151-1)+$H151)/3),2)</f>
        <v/>
      </c>
      <c r="Y151">
        <f>IF(G151=0,2,IF(N151=0,X151,1-SUMPRODUCT(MAX(($E$4:$E$183=E151)*($G$4:$G$183=1)*(1-X$4:X$183)))+0.000000001*D151))</f>
        <v/>
      </c>
      <c r="Z151">
        <f>IF(G151=0,999,SUMPRODUCT((Y$4:Y$183&lt;Y151)*($G$4:$G$183=1))+SUMPRODUCT((Y$4:Y$183=Y151)*($G$4:$G$183=1)*($A$4:$A$183&lt;A151))+1)</f>
        <v/>
      </c>
      <c r="AB151">
        <f>IF(G151=1,IF(I151&gt;Compliance,J151,((($D151-1)*4+($C151-1)*2+MOD($B151,2))+(30-$B151)/30)/12),2)</f>
        <v/>
      </c>
      <c r="AC151">
        <f>IF(G151=0,2,IF(N151=0,AB151,1-SUMPRODUCT(MAX(($E$4:$E$183=E151)*($G$4:$G$183=1)*(1-AB$4:AB$183)))+0.000000001*D151))</f>
        <v/>
      </c>
      <c r="AD151">
        <f>IF(G151=0,999,SUMPRODUCT((AC$4:AC$183&lt;AC151)*($G$4:$G$183=1))+SUMPRODUCT((AC$4:AC$183=AC151)*($G$4:$G$183=1)*($A$4:$A$183&lt;A151))+1)</f>
        <v/>
      </c>
      <c r="AI151" t="n">
        <v>148</v>
      </c>
      <c r="AJ151">
        <f>IF(148&gt;Passengers,"",MATCH(148,R$4:R$183,0))</f>
        <v/>
      </c>
      <c r="AK151">
        <f>IF(AJ151="","",INDEX($B$4:$B$183,AJ151))</f>
        <v/>
      </c>
      <c r="AL151">
        <f>IF(AJ151="","",INDEX($C$4:$C$183,AJ151))</f>
        <v/>
      </c>
      <c r="AM151">
        <f>IF(AJ151="","",INDEX($D$4:$D$183,AJ151))</f>
        <v/>
      </c>
      <c r="AN151">
        <f>IF(AJ151="","",COUNTIFS($B$4:$B$183,AK151,$C$4:$C$183,AL151,$D$4:$D$183,"&gt;"&amp;AM151,R$4:R$183,"&lt;"&amp;148,$G$4:$G$183,1))</f>
        <v/>
      </c>
      <c r="AO151">
        <f>IF(AJ151="","",INDEX($M$4:$M$183,AJ151)+IF(AN151=1,Shuffle1,IF(AN151&gt;=2,Shuffle2,0)))</f>
        <v/>
      </c>
      <c r="AP151">
        <f>IF(AJ151="","",MAX(DoorGap*147,SUMPRODUCT(MAX((AK$4:AK150&lt;=AK151)*AQ$4:AQ150)),SUMPRODUCT(MAX((AK$4:AK150&gt;AK151)*AP$4:AP150))+Headway))</f>
        <v/>
      </c>
      <c r="AQ151">
        <f>IF(AJ151="","",AP151+AO151)</f>
        <v/>
      </c>
      <c r="AR151">
        <f>IF(AJ151="","",AQ151+AK151*WalkSec)</f>
        <v/>
      </c>
      <c r="AS151" t="n">
        <v>148</v>
      </c>
      <c r="AT151">
        <f>IF(148&gt;Passengers,"",MATCH(148,V$4:V$183,0))</f>
        <v/>
      </c>
      <c r="AU151">
        <f>IF(AT151="","",INDEX($B$4:$B$183,AT151))</f>
        <v/>
      </c>
      <c r="AV151">
        <f>IF(AT151="","",INDEX($C$4:$C$183,AT151))</f>
        <v/>
      </c>
      <c r="AW151">
        <f>IF(AT151="","",INDEX($D$4:$D$183,AT151))</f>
        <v/>
      </c>
      <c r="AX151">
        <f>IF(AT151="","",COUNTIFS($B$4:$B$183,AU151,$C$4:$C$183,AV151,$D$4:$D$183,"&gt;"&amp;AW151,V$4:V$183,"&lt;"&amp;148,$G$4:$G$183,1))</f>
        <v/>
      </c>
      <c r="AY151">
        <f>IF(AT151="","",INDEX($M$4:$M$183,AT151)+IF(AX151=1,Shuffle1,IF(AX151&gt;=2,Shuffle2,0)))</f>
        <v/>
      </c>
      <c r="AZ151">
        <f>IF(AT151="","",MAX(DoorGap*147,SUMPRODUCT(MAX((AU$4:AU150&lt;=AU151)*BA$4:BA150)),SUMPRODUCT(MAX((AU$4:AU150&gt;AU151)*AZ$4:AZ150))+Headway))</f>
        <v/>
      </c>
      <c r="BA151">
        <f>IF(AT151="","",AZ151+AY151)</f>
        <v/>
      </c>
      <c r="BB151">
        <f>IF(AT151="","",BA151+AU151*WalkSec)</f>
        <v/>
      </c>
      <c r="BC151" t="n">
        <v>148</v>
      </c>
      <c r="BD151">
        <f>IF(148&gt;Passengers,"",MATCH(148,Z$4:Z$183,0))</f>
        <v/>
      </c>
      <c r="BE151">
        <f>IF(BD151="","",INDEX($B$4:$B$183,BD151))</f>
        <v/>
      </c>
      <c r="BF151">
        <f>IF(BD151="","",INDEX($C$4:$C$183,BD151))</f>
        <v/>
      </c>
      <c r="BG151">
        <f>IF(BD151="","",INDEX($D$4:$D$183,BD151))</f>
        <v/>
      </c>
      <c r="BH151">
        <f>IF(BD151="","",COUNTIFS($B$4:$B$183,BE151,$C$4:$C$183,BF151,$D$4:$D$183,"&gt;"&amp;BG151,Z$4:Z$183,"&lt;"&amp;148,$G$4:$G$183,1))</f>
        <v/>
      </c>
      <c r="BI151">
        <f>IF(BD151="","",INDEX($M$4:$M$183,BD151)+IF(BH151=1,Shuffle1,IF(BH151&gt;=2,Shuffle2,0)))</f>
        <v/>
      </c>
      <c r="BJ151">
        <f>IF(BD151="","",MAX(DoorGap*147,SUMPRODUCT(MAX((BE$4:BE150&lt;=BE151)*BK$4:BK150)),SUMPRODUCT(MAX((BE$4:BE150&gt;BE151)*BJ$4:BJ150))+Headway))</f>
        <v/>
      </c>
      <c r="BK151">
        <f>IF(BD151="","",BJ151+BI151)</f>
        <v/>
      </c>
      <c r="BL151">
        <f>IF(BD151="","",BK151+BE151*WalkSec)</f>
        <v/>
      </c>
      <c r="BM151" t="n">
        <v>148</v>
      </c>
      <c r="BN151">
        <f>IF(148&gt;Passengers,"",MATCH(148,AD$4:AD$183,0))</f>
        <v/>
      </c>
      <c r="BO151">
        <f>IF(BN151="","",INDEX($B$4:$B$183,BN151))</f>
        <v/>
      </c>
      <c r="BP151">
        <f>IF(BN151="","",INDEX($C$4:$C$183,BN151))</f>
        <v/>
      </c>
      <c r="BQ151">
        <f>IF(BN151="","",INDEX($D$4:$D$183,BN151))</f>
        <v/>
      </c>
      <c r="BR151">
        <f>IF(BN151="","",COUNTIFS($B$4:$B$183,BO151,$C$4:$C$183,BP151,$D$4:$D$183,"&gt;"&amp;BQ151,AD$4:AD$183,"&lt;"&amp;148,$G$4:$G$183,1))</f>
        <v/>
      </c>
      <c r="BS151">
        <f>IF(BN151="","",INDEX($M$4:$M$183,BN151)+IF(BR151=1,Shuffle1,IF(BR151&gt;=2,Shuffle2,0)))</f>
        <v/>
      </c>
      <c r="BT151">
        <f>IF(BN151="","",MAX(DoorGap*147,SUMPRODUCT(MAX((BO$4:BO150&lt;=BO151)*BU$4:BU150)),SUMPRODUCT(MAX((BO$4:BO150&gt;BO151)*BT$4:BT150))+Headway))</f>
        <v/>
      </c>
      <c r="BU151">
        <f>IF(BN151="","",BT151+BS151)</f>
        <v/>
      </c>
      <c r="BV151">
        <f>IF(BN151="","",BU151+BO151*WalkSec)</f>
        <v/>
      </c>
      <c r="BW151">
        <f>IF($G151=0,"",INDEX(AR$4:AR$183,R151))</f>
        <v/>
      </c>
      <c r="BX151">
        <f>IF($G151=0,"",INDEX(BB$4:BB$183,V151))</f>
        <v/>
      </c>
      <c r="BY151">
        <f>IF($G151=0,"",INDEX(BL$4:BL$183,Z151))</f>
        <v/>
      </c>
      <c r="BZ151">
        <f>IF($G151=0,"",INDEX(BV$4:BV$183,AD151))</f>
        <v/>
      </c>
    </row>
    <row r="152">
      <c r="A152" t="n">
        <v>149</v>
      </c>
      <c r="B152" t="n">
        <v>25</v>
      </c>
      <c r="C152" t="n">
        <v>2</v>
      </c>
      <c r="D152" t="n">
        <v>2</v>
      </c>
      <c r="E152" t="n">
        <v>50</v>
      </c>
      <c r="F152">
        <f>RAND()</f>
        <v/>
      </c>
      <c r="G152">
        <f>IF(SUMPRODUCT(($F$4:$F$183&lt;F152)*1)+SUMPRODUCT(($F$4:$F$183=F152)*($A$4:$A$183&lt;A152))&lt;Passengers,1,0)</f>
        <v/>
      </c>
      <c r="H152">
        <f>RAND()</f>
        <v/>
      </c>
      <c r="I152">
        <f>RAND()</f>
        <v/>
      </c>
      <c r="J152">
        <f>RAND()</f>
        <v/>
      </c>
      <c r="K152">
        <f>RAND()</f>
        <v/>
      </c>
      <c r="L152">
        <f>RAND()</f>
        <v/>
      </c>
      <c r="M152">
        <f>IF(K152&lt;BagShare,EXP(NORMSINV(L152)*StowSigma+StowMu),StowNoBag)</f>
        <v/>
      </c>
      <c r="N152">
        <f>IF(INDEX($AG$4:$AG$63,E152)&lt;GroupShare,1,0)</f>
        <v/>
      </c>
      <c r="P152">
        <f>IF(G152=1,IF(I152&gt;Compliance,J152,$H152),2)</f>
        <v/>
      </c>
      <c r="Q152">
        <f>IF(G152=0,2,IF(N152=0,P152,1-SUMPRODUCT(MAX(($E$4:$E$183=E152)*($G$4:$G$183=1)*(1-P$4:P$183)))+0.000000001*D152))</f>
        <v/>
      </c>
      <c r="R152">
        <f>IF(G152=0,999,SUMPRODUCT((Q$4:Q$183&lt;Q152)*($G$4:$G$183=1))+SUMPRODUCT((Q$4:Q$183=Q152)*($G$4:$G$183=1)*($A$4:$A$183&lt;A152))+1)</f>
        <v/>
      </c>
      <c r="T152">
        <f>IF(G152=1,IF(I152&gt;Compliance,J152,(INT((30-$B152)/(30/Zones))+$H152)/Zones),2)</f>
        <v/>
      </c>
      <c r="U152">
        <f>IF(G152=0,2,IF(N152=0,T152,1-SUMPRODUCT(MAX(($E$4:$E$183=E152)*($G$4:$G$183=1)*(1-T$4:T$183)))+0.000000001*D152))</f>
        <v/>
      </c>
      <c r="V152">
        <f>IF(G152=0,999,SUMPRODUCT((U$4:U$183&lt;U152)*($G$4:$G$183=1))+SUMPRODUCT((U$4:U$183=U152)*($G$4:$G$183=1)*($A$4:$A$183&lt;A152))+1)</f>
        <v/>
      </c>
      <c r="X152">
        <f>IF(G152=1,IF(I152&gt;Compliance,J152,(($D152-1)+$H152)/3),2)</f>
        <v/>
      </c>
      <c r="Y152">
        <f>IF(G152=0,2,IF(N152=0,X152,1-SUMPRODUCT(MAX(($E$4:$E$183=E152)*($G$4:$G$183=1)*(1-X$4:X$183)))+0.000000001*D152))</f>
        <v/>
      </c>
      <c r="Z152">
        <f>IF(G152=0,999,SUMPRODUCT((Y$4:Y$183&lt;Y152)*($G$4:$G$183=1))+SUMPRODUCT((Y$4:Y$183=Y152)*($G$4:$G$183=1)*($A$4:$A$183&lt;A152))+1)</f>
        <v/>
      </c>
      <c r="AB152">
        <f>IF(G152=1,IF(I152&gt;Compliance,J152,((($D152-1)*4+($C152-1)*2+MOD($B152,2))+(30-$B152)/30)/12),2)</f>
        <v/>
      </c>
      <c r="AC152">
        <f>IF(G152=0,2,IF(N152=0,AB152,1-SUMPRODUCT(MAX(($E$4:$E$183=E152)*($G$4:$G$183=1)*(1-AB$4:AB$183)))+0.000000001*D152))</f>
        <v/>
      </c>
      <c r="AD152">
        <f>IF(G152=0,999,SUMPRODUCT((AC$4:AC$183&lt;AC152)*($G$4:$G$183=1))+SUMPRODUCT((AC$4:AC$183=AC152)*($G$4:$G$183=1)*($A$4:$A$183&lt;A152))+1)</f>
        <v/>
      </c>
      <c r="AI152" t="n">
        <v>149</v>
      </c>
      <c r="AJ152">
        <f>IF(149&gt;Passengers,"",MATCH(149,R$4:R$183,0))</f>
        <v/>
      </c>
      <c r="AK152">
        <f>IF(AJ152="","",INDEX($B$4:$B$183,AJ152))</f>
        <v/>
      </c>
      <c r="AL152">
        <f>IF(AJ152="","",INDEX($C$4:$C$183,AJ152))</f>
        <v/>
      </c>
      <c r="AM152">
        <f>IF(AJ152="","",INDEX($D$4:$D$183,AJ152))</f>
        <v/>
      </c>
      <c r="AN152">
        <f>IF(AJ152="","",COUNTIFS($B$4:$B$183,AK152,$C$4:$C$183,AL152,$D$4:$D$183,"&gt;"&amp;AM152,R$4:R$183,"&lt;"&amp;149,$G$4:$G$183,1))</f>
        <v/>
      </c>
      <c r="AO152">
        <f>IF(AJ152="","",INDEX($M$4:$M$183,AJ152)+IF(AN152=1,Shuffle1,IF(AN152&gt;=2,Shuffle2,0)))</f>
        <v/>
      </c>
      <c r="AP152">
        <f>IF(AJ152="","",MAX(DoorGap*148,SUMPRODUCT(MAX((AK$4:AK151&lt;=AK152)*AQ$4:AQ151)),SUMPRODUCT(MAX((AK$4:AK151&gt;AK152)*AP$4:AP151))+Headway))</f>
        <v/>
      </c>
      <c r="AQ152">
        <f>IF(AJ152="","",AP152+AO152)</f>
        <v/>
      </c>
      <c r="AR152">
        <f>IF(AJ152="","",AQ152+AK152*WalkSec)</f>
        <v/>
      </c>
      <c r="AS152" t="n">
        <v>149</v>
      </c>
      <c r="AT152">
        <f>IF(149&gt;Passengers,"",MATCH(149,V$4:V$183,0))</f>
        <v/>
      </c>
      <c r="AU152">
        <f>IF(AT152="","",INDEX($B$4:$B$183,AT152))</f>
        <v/>
      </c>
      <c r="AV152">
        <f>IF(AT152="","",INDEX($C$4:$C$183,AT152))</f>
        <v/>
      </c>
      <c r="AW152">
        <f>IF(AT152="","",INDEX($D$4:$D$183,AT152))</f>
        <v/>
      </c>
      <c r="AX152">
        <f>IF(AT152="","",COUNTIFS($B$4:$B$183,AU152,$C$4:$C$183,AV152,$D$4:$D$183,"&gt;"&amp;AW152,V$4:V$183,"&lt;"&amp;149,$G$4:$G$183,1))</f>
        <v/>
      </c>
      <c r="AY152">
        <f>IF(AT152="","",INDEX($M$4:$M$183,AT152)+IF(AX152=1,Shuffle1,IF(AX152&gt;=2,Shuffle2,0)))</f>
        <v/>
      </c>
      <c r="AZ152">
        <f>IF(AT152="","",MAX(DoorGap*148,SUMPRODUCT(MAX((AU$4:AU151&lt;=AU152)*BA$4:BA151)),SUMPRODUCT(MAX((AU$4:AU151&gt;AU152)*AZ$4:AZ151))+Headway))</f>
        <v/>
      </c>
      <c r="BA152">
        <f>IF(AT152="","",AZ152+AY152)</f>
        <v/>
      </c>
      <c r="BB152">
        <f>IF(AT152="","",BA152+AU152*WalkSec)</f>
        <v/>
      </c>
      <c r="BC152" t="n">
        <v>149</v>
      </c>
      <c r="BD152">
        <f>IF(149&gt;Passengers,"",MATCH(149,Z$4:Z$183,0))</f>
        <v/>
      </c>
      <c r="BE152">
        <f>IF(BD152="","",INDEX($B$4:$B$183,BD152))</f>
        <v/>
      </c>
      <c r="BF152">
        <f>IF(BD152="","",INDEX($C$4:$C$183,BD152))</f>
        <v/>
      </c>
      <c r="BG152">
        <f>IF(BD152="","",INDEX($D$4:$D$183,BD152))</f>
        <v/>
      </c>
      <c r="BH152">
        <f>IF(BD152="","",COUNTIFS($B$4:$B$183,BE152,$C$4:$C$183,BF152,$D$4:$D$183,"&gt;"&amp;BG152,Z$4:Z$183,"&lt;"&amp;149,$G$4:$G$183,1))</f>
        <v/>
      </c>
      <c r="BI152">
        <f>IF(BD152="","",INDEX($M$4:$M$183,BD152)+IF(BH152=1,Shuffle1,IF(BH152&gt;=2,Shuffle2,0)))</f>
        <v/>
      </c>
      <c r="BJ152">
        <f>IF(BD152="","",MAX(DoorGap*148,SUMPRODUCT(MAX((BE$4:BE151&lt;=BE152)*BK$4:BK151)),SUMPRODUCT(MAX((BE$4:BE151&gt;BE152)*BJ$4:BJ151))+Headway))</f>
        <v/>
      </c>
      <c r="BK152">
        <f>IF(BD152="","",BJ152+BI152)</f>
        <v/>
      </c>
      <c r="BL152">
        <f>IF(BD152="","",BK152+BE152*WalkSec)</f>
        <v/>
      </c>
      <c r="BM152" t="n">
        <v>149</v>
      </c>
      <c r="BN152">
        <f>IF(149&gt;Passengers,"",MATCH(149,AD$4:AD$183,0))</f>
        <v/>
      </c>
      <c r="BO152">
        <f>IF(BN152="","",INDEX($B$4:$B$183,BN152))</f>
        <v/>
      </c>
      <c r="BP152">
        <f>IF(BN152="","",INDEX($C$4:$C$183,BN152))</f>
        <v/>
      </c>
      <c r="BQ152">
        <f>IF(BN152="","",INDEX($D$4:$D$183,BN152))</f>
        <v/>
      </c>
      <c r="BR152">
        <f>IF(BN152="","",COUNTIFS($B$4:$B$183,BO152,$C$4:$C$183,BP152,$D$4:$D$183,"&gt;"&amp;BQ152,AD$4:AD$183,"&lt;"&amp;149,$G$4:$G$183,1))</f>
        <v/>
      </c>
      <c r="BS152">
        <f>IF(BN152="","",INDEX($M$4:$M$183,BN152)+IF(BR152=1,Shuffle1,IF(BR152&gt;=2,Shuffle2,0)))</f>
        <v/>
      </c>
      <c r="BT152">
        <f>IF(BN152="","",MAX(DoorGap*148,SUMPRODUCT(MAX((BO$4:BO151&lt;=BO152)*BU$4:BU151)),SUMPRODUCT(MAX((BO$4:BO151&gt;BO152)*BT$4:BT151))+Headway))</f>
        <v/>
      </c>
      <c r="BU152">
        <f>IF(BN152="","",BT152+BS152)</f>
        <v/>
      </c>
      <c r="BV152">
        <f>IF(BN152="","",BU152+BO152*WalkSec)</f>
        <v/>
      </c>
      <c r="BW152">
        <f>IF($G152=0,"",INDEX(AR$4:AR$183,R152))</f>
        <v/>
      </c>
      <c r="BX152">
        <f>IF($G152=0,"",INDEX(BB$4:BB$183,V152))</f>
        <v/>
      </c>
      <c r="BY152">
        <f>IF($G152=0,"",INDEX(BL$4:BL$183,Z152))</f>
        <v/>
      </c>
      <c r="BZ152">
        <f>IF($G152=0,"",INDEX(BV$4:BV$183,AD152))</f>
        <v/>
      </c>
    </row>
    <row r="153">
      <c r="A153" t="n">
        <v>150</v>
      </c>
      <c r="B153" t="n">
        <v>25</v>
      </c>
      <c r="C153" t="n">
        <v>2</v>
      </c>
      <c r="D153" t="n">
        <v>3</v>
      </c>
      <c r="E153" t="n">
        <v>50</v>
      </c>
      <c r="F153">
        <f>RAND()</f>
        <v/>
      </c>
      <c r="G153">
        <f>IF(SUMPRODUCT(($F$4:$F$183&lt;F153)*1)+SUMPRODUCT(($F$4:$F$183=F153)*($A$4:$A$183&lt;A153))&lt;Passengers,1,0)</f>
        <v/>
      </c>
      <c r="H153">
        <f>RAND()</f>
        <v/>
      </c>
      <c r="I153">
        <f>RAND()</f>
        <v/>
      </c>
      <c r="J153">
        <f>RAND()</f>
        <v/>
      </c>
      <c r="K153">
        <f>RAND()</f>
        <v/>
      </c>
      <c r="L153">
        <f>RAND()</f>
        <v/>
      </c>
      <c r="M153">
        <f>IF(K153&lt;BagShare,EXP(NORMSINV(L153)*StowSigma+StowMu),StowNoBag)</f>
        <v/>
      </c>
      <c r="N153">
        <f>IF(INDEX($AG$4:$AG$63,E153)&lt;GroupShare,1,0)</f>
        <v/>
      </c>
      <c r="P153">
        <f>IF(G153=1,IF(I153&gt;Compliance,J153,$H153),2)</f>
        <v/>
      </c>
      <c r="Q153">
        <f>IF(G153=0,2,IF(N153=0,P153,1-SUMPRODUCT(MAX(($E$4:$E$183=E153)*($G$4:$G$183=1)*(1-P$4:P$183)))+0.000000001*D153))</f>
        <v/>
      </c>
      <c r="R153">
        <f>IF(G153=0,999,SUMPRODUCT((Q$4:Q$183&lt;Q153)*($G$4:$G$183=1))+SUMPRODUCT((Q$4:Q$183=Q153)*($G$4:$G$183=1)*($A$4:$A$183&lt;A153))+1)</f>
        <v/>
      </c>
      <c r="T153">
        <f>IF(G153=1,IF(I153&gt;Compliance,J153,(INT((30-$B153)/(30/Zones))+$H153)/Zones),2)</f>
        <v/>
      </c>
      <c r="U153">
        <f>IF(G153=0,2,IF(N153=0,T153,1-SUMPRODUCT(MAX(($E$4:$E$183=E153)*($G$4:$G$183=1)*(1-T$4:T$183)))+0.000000001*D153))</f>
        <v/>
      </c>
      <c r="V153">
        <f>IF(G153=0,999,SUMPRODUCT((U$4:U$183&lt;U153)*($G$4:$G$183=1))+SUMPRODUCT((U$4:U$183=U153)*($G$4:$G$183=1)*($A$4:$A$183&lt;A153))+1)</f>
        <v/>
      </c>
      <c r="X153">
        <f>IF(G153=1,IF(I153&gt;Compliance,J153,(($D153-1)+$H153)/3),2)</f>
        <v/>
      </c>
      <c r="Y153">
        <f>IF(G153=0,2,IF(N153=0,X153,1-SUMPRODUCT(MAX(($E$4:$E$183=E153)*($G$4:$G$183=1)*(1-X$4:X$183)))+0.000000001*D153))</f>
        <v/>
      </c>
      <c r="Z153">
        <f>IF(G153=0,999,SUMPRODUCT((Y$4:Y$183&lt;Y153)*($G$4:$G$183=1))+SUMPRODUCT((Y$4:Y$183=Y153)*($G$4:$G$183=1)*($A$4:$A$183&lt;A153))+1)</f>
        <v/>
      </c>
      <c r="AB153">
        <f>IF(G153=1,IF(I153&gt;Compliance,J153,((($D153-1)*4+($C153-1)*2+MOD($B153,2))+(30-$B153)/30)/12),2)</f>
        <v/>
      </c>
      <c r="AC153">
        <f>IF(G153=0,2,IF(N153=0,AB153,1-SUMPRODUCT(MAX(($E$4:$E$183=E153)*($G$4:$G$183=1)*(1-AB$4:AB$183)))+0.000000001*D153))</f>
        <v/>
      </c>
      <c r="AD153">
        <f>IF(G153=0,999,SUMPRODUCT((AC$4:AC$183&lt;AC153)*($G$4:$G$183=1))+SUMPRODUCT((AC$4:AC$183=AC153)*($G$4:$G$183=1)*($A$4:$A$183&lt;A153))+1)</f>
        <v/>
      </c>
      <c r="AI153" t="n">
        <v>150</v>
      </c>
      <c r="AJ153">
        <f>IF(150&gt;Passengers,"",MATCH(150,R$4:R$183,0))</f>
        <v/>
      </c>
      <c r="AK153">
        <f>IF(AJ153="","",INDEX($B$4:$B$183,AJ153))</f>
        <v/>
      </c>
      <c r="AL153">
        <f>IF(AJ153="","",INDEX($C$4:$C$183,AJ153))</f>
        <v/>
      </c>
      <c r="AM153">
        <f>IF(AJ153="","",INDEX($D$4:$D$183,AJ153))</f>
        <v/>
      </c>
      <c r="AN153">
        <f>IF(AJ153="","",COUNTIFS($B$4:$B$183,AK153,$C$4:$C$183,AL153,$D$4:$D$183,"&gt;"&amp;AM153,R$4:R$183,"&lt;"&amp;150,$G$4:$G$183,1))</f>
        <v/>
      </c>
      <c r="AO153">
        <f>IF(AJ153="","",INDEX($M$4:$M$183,AJ153)+IF(AN153=1,Shuffle1,IF(AN153&gt;=2,Shuffle2,0)))</f>
        <v/>
      </c>
      <c r="AP153">
        <f>IF(AJ153="","",MAX(DoorGap*149,SUMPRODUCT(MAX((AK$4:AK152&lt;=AK153)*AQ$4:AQ152)),SUMPRODUCT(MAX((AK$4:AK152&gt;AK153)*AP$4:AP152))+Headway))</f>
        <v/>
      </c>
      <c r="AQ153">
        <f>IF(AJ153="","",AP153+AO153)</f>
        <v/>
      </c>
      <c r="AR153">
        <f>IF(AJ153="","",AQ153+AK153*WalkSec)</f>
        <v/>
      </c>
      <c r="AS153" t="n">
        <v>150</v>
      </c>
      <c r="AT153">
        <f>IF(150&gt;Passengers,"",MATCH(150,V$4:V$183,0))</f>
        <v/>
      </c>
      <c r="AU153">
        <f>IF(AT153="","",INDEX($B$4:$B$183,AT153))</f>
        <v/>
      </c>
      <c r="AV153">
        <f>IF(AT153="","",INDEX($C$4:$C$183,AT153))</f>
        <v/>
      </c>
      <c r="AW153">
        <f>IF(AT153="","",INDEX($D$4:$D$183,AT153))</f>
        <v/>
      </c>
      <c r="AX153">
        <f>IF(AT153="","",COUNTIFS($B$4:$B$183,AU153,$C$4:$C$183,AV153,$D$4:$D$183,"&gt;"&amp;AW153,V$4:V$183,"&lt;"&amp;150,$G$4:$G$183,1))</f>
        <v/>
      </c>
      <c r="AY153">
        <f>IF(AT153="","",INDEX($M$4:$M$183,AT153)+IF(AX153=1,Shuffle1,IF(AX153&gt;=2,Shuffle2,0)))</f>
        <v/>
      </c>
      <c r="AZ153">
        <f>IF(AT153="","",MAX(DoorGap*149,SUMPRODUCT(MAX((AU$4:AU152&lt;=AU153)*BA$4:BA152)),SUMPRODUCT(MAX((AU$4:AU152&gt;AU153)*AZ$4:AZ152))+Headway))</f>
        <v/>
      </c>
      <c r="BA153">
        <f>IF(AT153="","",AZ153+AY153)</f>
        <v/>
      </c>
      <c r="BB153">
        <f>IF(AT153="","",BA153+AU153*WalkSec)</f>
        <v/>
      </c>
      <c r="BC153" t="n">
        <v>150</v>
      </c>
      <c r="BD153">
        <f>IF(150&gt;Passengers,"",MATCH(150,Z$4:Z$183,0))</f>
        <v/>
      </c>
      <c r="BE153">
        <f>IF(BD153="","",INDEX($B$4:$B$183,BD153))</f>
        <v/>
      </c>
      <c r="BF153">
        <f>IF(BD153="","",INDEX($C$4:$C$183,BD153))</f>
        <v/>
      </c>
      <c r="BG153">
        <f>IF(BD153="","",INDEX($D$4:$D$183,BD153))</f>
        <v/>
      </c>
      <c r="BH153">
        <f>IF(BD153="","",COUNTIFS($B$4:$B$183,BE153,$C$4:$C$183,BF153,$D$4:$D$183,"&gt;"&amp;BG153,Z$4:Z$183,"&lt;"&amp;150,$G$4:$G$183,1))</f>
        <v/>
      </c>
      <c r="BI153">
        <f>IF(BD153="","",INDEX($M$4:$M$183,BD153)+IF(BH153=1,Shuffle1,IF(BH153&gt;=2,Shuffle2,0)))</f>
        <v/>
      </c>
      <c r="BJ153">
        <f>IF(BD153="","",MAX(DoorGap*149,SUMPRODUCT(MAX((BE$4:BE152&lt;=BE153)*BK$4:BK152)),SUMPRODUCT(MAX((BE$4:BE152&gt;BE153)*BJ$4:BJ152))+Headway))</f>
        <v/>
      </c>
      <c r="BK153">
        <f>IF(BD153="","",BJ153+BI153)</f>
        <v/>
      </c>
      <c r="BL153">
        <f>IF(BD153="","",BK153+BE153*WalkSec)</f>
        <v/>
      </c>
      <c r="BM153" t="n">
        <v>150</v>
      </c>
      <c r="BN153">
        <f>IF(150&gt;Passengers,"",MATCH(150,AD$4:AD$183,0))</f>
        <v/>
      </c>
      <c r="BO153">
        <f>IF(BN153="","",INDEX($B$4:$B$183,BN153))</f>
        <v/>
      </c>
      <c r="BP153">
        <f>IF(BN153="","",INDEX($C$4:$C$183,BN153))</f>
        <v/>
      </c>
      <c r="BQ153">
        <f>IF(BN153="","",INDEX($D$4:$D$183,BN153))</f>
        <v/>
      </c>
      <c r="BR153">
        <f>IF(BN153="","",COUNTIFS($B$4:$B$183,BO153,$C$4:$C$183,BP153,$D$4:$D$183,"&gt;"&amp;BQ153,AD$4:AD$183,"&lt;"&amp;150,$G$4:$G$183,1))</f>
        <v/>
      </c>
      <c r="BS153">
        <f>IF(BN153="","",INDEX($M$4:$M$183,BN153)+IF(BR153=1,Shuffle1,IF(BR153&gt;=2,Shuffle2,0)))</f>
        <v/>
      </c>
      <c r="BT153">
        <f>IF(BN153="","",MAX(DoorGap*149,SUMPRODUCT(MAX((BO$4:BO152&lt;=BO153)*BU$4:BU152)),SUMPRODUCT(MAX((BO$4:BO152&gt;BO153)*BT$4:BT152))+Headway))</f>
        <v/>
      </c>
      <c r="BU153">
        <f>IF(BN153="","",BT153+BS153)</f>
        <v/>
      </c>
      <c r="BV153">
        <f>IF(BN153="","",BU153+BO153*WalkSec)</f>
        <v/>
      </c>
      <c r="BW153">
        <f>IF($G153=0,"",INDEX(AR$4:AR$183,R153))</f>
        <v/>
      </c>
      <c r="BX153">
        <f>IF($G153=0,"",INDEX(BB$4:BB$183,V153))</f>
        <v/>
      </c>
      <c r="BY153">
        <f>IF($G153=0,"",INDEX(BL$4:BL$183,Z153))</f>
        <v/>
      </c>
      <c r="BZ153">
        <f>IF($G153=0,"",INDEX(BV$4:BV$183,AD153))</f>
        <v/>
      </c>
    </row>
    <row r="154">
      <c r="A154" t="n">
        <v>151</v>
      </c>
      <c r="B154" t="n">
        <v>26</v>
      </c>
      <c r="C154" t="n">
        <v>1</v>
      </c>
      <c r="D154" t="n">
        <v>1</v>
      </c>
      <c r="E154" t="n">
        <v>51</v>
      </c>
      <c r="F154">
        <f>RAND()</f>
        <v/>
      </c>
      <c r="G154">
        <f>IF(SUMPRODUCT(($F$4:$F$183&lt;F154)*1)+SUMPRODUCT(($F$4:$F$183=F154)*($A$4:$A$183&lt;A154))&lt;Passengers,1,0)</f>
        <v/>
      </c>
      <c r="H154">
        <f>RAND()</f>
        <v/>
      </c>
      <c r="I154">
        <f>RAND()</f>
        <v/>
      </c>
      <c r="J154">
        <f>RAND()</f>
        <v/>
      </c>
      <c r="K154">
        <f>RAND()</f>
        <v/>
      </c>
      <c r="L154">
        <f>RAND()</f>
        <v/>
      </c>
      <c r="M154">
        <f>IF(K154&lt;BagShare,EXP(NORMSINV(L154)*StowSigma+StowMu),StowNoBag)</f>
        <v/>
      </c>
      <c r="N154">
        <f>IF(INDEX($AG$4:$AG$63,E154)&lt;GroupShare,1,0)</f>
        <v/>
      </c>
      <c r="P154">
        <f>IF(G154=1,IF(I154&gt;Compliance,J154,$H154),2)</f>
        <v/>
      </c>
      <c r="Q154">
        <f>IF(G154=0,2,IF(N154=0,P154,1-SUMPRODUCT(MAX(($E$4:$E$183=E154)*($G$4:$G$183=1)*(1-P$4:P$183)))+0.000000001*D154))</f>
        <v/>
      </c>
      <c r="R154">
        <f>IF(G154=0,999,SUMPRODUCT((Q$4:Q$183&lt;Q154)*($G$4:$G$183=1))+SUMPRODUCT((Q$4:Q$183=Q154)*($G$4:$G$183=1)*($A$4:$A$183&lt;A154))+1)</f>
        <v/>
      </c>
      <c r="T154">
        <f>IF(G154=1,IF(I154&gt;Compliance,J154,(INT((30-$B154)/(30/Zones))+$H154)/Zones),2)</f>
        <v/>
      </c>
      <c r="U154">
        <f>IF(G154=0,2,IF(N154=0,T154,1-SUMPRODUCT(MAX(($E$4:$E$183=E154)*($G$4:$G$183=1)*(1-T$4:T$183)))+0.000000001*D154))</f>
        <v/>
      </c>
      <c r="V154">
        <f>IF(G154=0,999,SUMPRODUCT((U$4:U$183&lt;U154)*($G$4:$G$183=1))+SUMPRODUCT((U$4:U$183=U154)*($G$4:$G$183=1)*($A$4:$A$183&lt;A154))+1)</f>
        <v/>
      </c>
      <c r="X154">
        <f>IF(G154=1,IF(I154&gt;Compliance,J154,(($D154-1)+$H154)/3),2)</f>
        <v/>
      </c>
      <c r="Y154">
        <f>IF(G154=0,2,IF(N154=0,X154,1-SUMPRODUCT(MAX(($E$4:$E$183=E154)*($G$4:$G$183=1)*(1-X$4:X$183)))+0.000000001*D154))</f>
        <v/>
      </c>
      <c r="Z154">
        <f>IF(G154=0,999,SUMPRODUCT((Y$4:Y$183&lt;Y154)*($G$4:$G$183=1))+SUMPRODUCT((Y$4:Y$183=Y154)*($G$4:$G$183=1)*($A$4:$A$183&lt;A154))+1)</f>
        <v/>
      </c>
      <c r="AB154">
        <f>IF(G154=1,IF(I154&gt;Compliance,J154,((($D154-1)*4+($C154-1)*2+MOD($B154,2))+(30-$B154)/30)/12),2)</f>
        <v/>
      </c>
      <c r="AC154">
        <f>IF(G154=0,2,IF(N154=0,AB154,1-SUMPRODUCT(MAX(($E$4:$E$183=E154)*($G$4:$G$183=1)*(1-AB$4:AB$183)))+0.000000001*D154))</f>
        <v/>
      </c>
      <c r="AD154">
        <f>IF(G154=0,999,SUMPRODUCT((AC$4:AC$183&lt;AC154)*($G$4:$G$183=1))+SUMPRODUCT((AC$4:AC$183=AC154)*($G$4:$G$183=1)*($A$4:$A$183&lt;A154))+1)</f>
        <v/>
      </c>
      <c r="AI154" t="n">
        <v>151</v>
      </c>
      <c r="AJ154">
        <f>IF(151&gt;Passengers,"",MATCH(151,R$4:R$183,0))</f>
        <v/>
      </c>
      <c r="AK154">
        <f>IF(AJ154="","",INDEX($B$4:$B$183,AJ154))</f>
        <v/>
      </c>
      <c r="AL154">
        <f>IF(AJ154="","",INDEX($C$4:$C$183,AJ154))</f>
        <v/>
      </c>
      <c r="AM154">
        <f>IF(AJ154="","",INDEX($D$4:$D$183,AJ154))</f>
        <v/>
      </c>
      <c r="AN154">
        <f>IF(AJ154="","",COUNTIFS($B$4:$B$183,AK154,$C$4:$C$183,AL154,$D$4:$D$183,"&gt;"&amp;AM154,R$4:R$183,"&lt;"&amp;151,$G$4:$G$183,1))</f>
        <v/>
      </c>
      <c r="AO154">
        <f>IF(AJ154="","",INDEX($M$4:$M$183,AJ154)+IF(AN154=1,Shuffle1,IF(AN154&gt;=2,Shuffle2,0)))</f>
        <v/>
      </c>
      <c r="AP154">
        <f>IF(AJ154="","",MAX(DoorGap*150,SUMPRODUCT(MAX((AK$4:AK153&lt;=AK154)*AQ$4:AQ153)),SUMPRODUCT(MAX((AK$4:AK153&gt;AK154)*AP$4:AP153))+Headway))</f>
        <v/>
      </c>
      <c r="AQ154">
        <f>IF(AJ154="","",AP154+AO154)</f>
        <v/>
      </c>
      <c r="AR154">
        <f>IF(AJ154="","",AQ154+AK154*WalkSec)</f>
        <v/>
      </c>
      <c r="AS154" t="n">
        <v>151</v>
      </c>
      <c r="AT154">
        <f>IF(151&gt;Passengers,"",MATCH(151,V$4:V$183,0))</f>
        <v/>
      </c>
      <c r="AU154">
        <f>IF(AT154="","",INDEX($B$4:$B$183,AT154))</f>
        <v/>
      </c>
      <c r="AV154">
        <f>IF(AT154="","",INDEX($C$4:$C$183,AT154))</f>
        <v/>
      </c>
      <c r="AW154">
        <f>IF(AT154="","",INDEX($D$4:$D$183,AT154))</f>
        <v/>
      </c>
      <c r="AX154">
        <f>IF(AT154="","",COUNTIFS($B$4:$B$183,AU154,$C$4:$C$183,AV154,$D$4:$D$183,"&gt;"&amp;AW154,V$4:V$183,"&lt;"&amp;151,$G$4:$G$183,1))</f>
        <v/>
      </c>
      <c r="AY154">
        <f>IF(AT154="","",INDEX($M$4:$M$183,AT154)+IF(AX154=1,Shuffle1,IF(AX154&gt;=2,Shuffle2,0)))</f>
        <v/>
      </c>
      <c r="AZ154">
        <f>IF(AT154="","",MAX(DoorGap*150,SUMPRODUCT(MAX((AU$4:AU153&lt;=AU154)*BA$4:BA153)),SUMPRODUCT(MAX((AU$4:AU153&gt;AU154)*AZ$4:AZ153))+Headway))</f>
        <v/>
      </c>
      <c r="BA154">
        <f>IF(AT154="","",AZ154+AY154)</f>
        <v/>
      </c>
      <c r="BB154">
        <f>IF(AT154="","",BA154+AU154*WalkSec)</f>
        <v/>
      </c>
      <c r="BC154" t="n">
        <v>151</v>
      </c>
      <c r="BD154">
        <f>IF(151&gt;Passengers,"",MATCH(151,Z$4:Z$183,0))</f>
        <v/>
      </c>
      <c r="BE154">
        <f>IF(BD154="","",INDEX($B$4:$B$183,BD154))</f>
        <v/>
      </c>
      <c r="BF154">
        <f>IF(BD154="","",INDEX($C$4:$C$183,BD154))</f>
        <v/>
      </c>
      <c r="BG154">
        <f>IF(BD154="","",INDEX($D$4:$D$183,BD154))</f>
        <v/>
      </c>
      <c r="BH154">
        <f>IF(BD154="","",COUNTIFS($B$4:$B$183,BE154,$C$4:$C$183,BF154,$D$4:$D$183,"&gt;"&amp;BG154,Z$4:Z$183,"&lt;"&amp;151,$G$4:$G$183,1))</f>
        <v/>
      </c>
      <c r="BI154">
        <f>IF(BD154="","",INDEX($M$4:$M$183,BD154)+IF(BH154=1,Shuffle1,IF(BH154&gt;=2,Shuffle2,0)))</f>
        <v/>
      </c>
      <c r="BJ154">
        <f>IF(BD154="","",MAX(DoorGap*150,SUMPRODUCT(MAX((BE$4:BE153&lt;=BE154)*BK$4:BK153)),SUMPRODUCT(MAX((BE$4:BE153&gt;BE154)*BJ$4:BJ153))+Headway))</f>
        <v/>
      </c>
      <c r="BK154">
        <f>IF(BD154="","",BJ154+BI154)</f>
        <v/>
      </c>
      <c r="BL154">
        <f>IF(BD154="","",BK154+BE154*WalkSec)</f>
        <v/>
      </c>
      <c r="BM154" t="n">
        <v>151</v>
      </c>
      <c r="BN154">
        <f>IF(151&gt;Passengers,"",MATCH(151,AD$4:AD$183,0))</f>
        <v/>
      </c>
      <c r="BO154">
        <f>IF(BN154="","",INDEX($B$4:$B$183,BN154))</f>
        <v/>
      </c>
      <c r="BP154">
        <f>IF(BN154="","",INDEX($C$4:$C$183,BN154))</f>
        <v/>
      </c>
      <c r="BQ154">
        <f>IF(BN154="","",INDEX($D$4:$D$183,BN154))</f>
        <v/>
      </c>
      <c r="BR154">
        <f>IF(BN154="","",COUNTIFS($B$4:$B$183,BO154,$C$4:$C$183,BP154,$D$4:$D$183,"&gt;"&amp;BQ154,AD$4:AD$183,"&lt;"&amp;151,$G$4:$G$183,1))</f>
        <v/>
      </c>
      <c r="BS154">
        <f>IF(BN154="","",INDEX($M$4:$M$183,BN154)+IF(BR154=1,Shuffle1,IF(BR154&gt;=2,Shuffle2,0)))</f>
        <v/>
      </c>
      <c r="BT154">
        <f>IF(BN154="","",MAX(DoorGap*150,SUMPRODUCT(MAX((BO$4:BO153&lt;=BO154)*BU$4:BU153)),SUMPRODUCT(MAX((BO$4:BO153&gt;BO154)*BT$4:BT153))+Headway))</f>
        <v/>
      </c>
      <c r="BU154">
        <f>IF(BN154="","",BT154+BS154)</f>
        <v/>
      </c>
      <c r="BV154">
        <f>IF(BN154="","",BU154+BO154*WalkSec)</f>
        <v/>
      </c>
      <c r="BW154">
        <f>IF($G154=0,"",INDEX(AR$4:AR$183,R154))</f>
        <v/>
      </c>
      <c r="BX154">
        <f>IF($G154=0,"",INDEX(BB$4:BB$183,V154))</f>
        <v/>
      </c>
      <c r="BY154">
        <f>IF($G154=0,"",INDEX(BL$4:BL$183,Z154))</f>
        <v/>
      </c>
      <c r="BZ154">
        <f>IF($G154=0,"",INDEX(BV$4:BV$183,AD154))</f>
        <v/>
      </c>
    </row>
    <row r="155">
      <c r="A155" t="n">
        <v>152</v>
      </c>
      <c r="B155" t="n">
        <v>26</v>
      </c>
      <c r="C155" t="n">
        <v>1</v>
      </c>
      <c r="D155" t="n">
        <v>2</v>
      </c>
      <c r="E155" t="n">
        <v>51</v>
      </c>
      <c r="F155">
        <f>RAND()</f>
        <v/>
      </c>
      <c r="G155">
        <f>IF(SUMPRODUCT(($F$4:$F$183&lt;F155)*1)+SUMPRODUCT(($F$4:$F$183=F155)*($A$4:$A$183&lt;A155))&lt;Passengers,1,0)</f>
        <v/>
      </c>
      <c r="H155">
        <f>RAND()</f>
        <v/>
      </c>
      <c r="I155">
        <f>RAND()</f>
        <v/>
      </c>
      <c r="J155">
        <f>RAND()</f>
        <v/>
      </c>
      <c r="K155">
        <f>RAND()</f>
        <v/>
      </c>
      <c r="L155">
        <f>RAND()</f>
        <v/>
      </c>
      <c r="M155">
        <f>IF(K155&lt;BagShare,EXP(NORMSINV(L155)*StowSigma+StowMu),StowNoBag)</f>
        <v/>
      </c>
      <c r="N155">
        <f>IF(INDEX($AG$4:$AG$63,E155)&lt;GroupShare,1,0)</f>
        <v/>
      </c>
      <c r="P155">
        <f>IF(G155=1,IF(I155&gt;Compliance,J155,$H155),2)</f>
        <v/>
      </c>
      <c r="Q155">
        <f>IF(G155=0,2,IF(N155=0,P155,1-SUMPRODUCT(MAX(($E$4:$E$183=E155)*($G$4:$G$183=1)*(1-P$4:P$183)))+0.000000001*D155))</f>
        <v/>
      </c>
      <c r="R155">
        <f>IF(G155=0,999,SUMPRODUCT((Q$4:Q$183&lt;Q155)*($G$4:$G$183=1))+SUMPRODUCT((Q$4:Q$183=Q155)*($G$4:$G$183=1)*($A$4:$A$183&lt;A155))+1)</f>
        <v/>
      </c>
      <c r="T155">
        <f>IF(G155=1,IF(I155&gt;Compliance,J155,(INT((30-$B155)/(30/Zones))+$H155)/Zones),2)</f>
        <v/>
      </c>
      <c r="U155">
        <f>IF(G155=0,2,IF(N155=0,T155,1-SUMPRODUCT(MAX(($E$4:$E$183=E155)*($G$4:$G$183=1)*(1-T$4:T$183)))+0.000000001*D155))</f>
        <v/>
      </c>
      <c r="V155">
        <f>IF(G155=0,999,SUMPRODUCT((U$4:U$183&lt;U155)*($G$4:$G$183=1))+SUMPRODUCT((U$4:U$183=U155)*($G$4:$G$183=1)*($A$4:$A$183&lt;A155))+1)</f>
        <v/>
      </c>
      <c r="X155">
        <f>IF(G155=1,IF(I155&gt;Compliance,J155,(($D155-1)+$H155)/3),2)</f>
        <v/>
      </c>
      <c r="Y155">
        <f>IF(G155=0,2,IF(N155=0,X155,1-SUMPRODUCT(MAX(($E$4:$E$183=E155)*($G$4:$G$183=1)*(1-X$4:X$183)))+0.000000001*D155))</f>
        <v/>
      </c>
      <c r="Z155">
        <f>IF(G155=0,999,SUMPRODUCT((Y$4:Y$183&lt;Y155)*($G$4:$G$183=1))+SUMPRODUCT((Y$4:Y$183=Y155)*($G$4:$G$183=1)*($A$4:$A$183&lt;A155))+1)</f>
        <v/>
      </c>
      <c r="AB155">
        <f>IF(G155=1,IF(I155&gt;Compliance,J155,((($D155-1)*4+($C155-1)*2+MOD($B155,2))+(30-$B155)/30)/12),2)</f>
        <v/>
      </c>
      <c r="AC155">
        <f>IF(G155=0,2,IF(N155=0,AB155,1-SUMPRODUCT(MAX(($E$4:$E$183=E155)*($G$4:$G$183=1)*(1-AB$4:AB$183)))+0.000000001*D155))</f>
        <v/>
      </c>
      <c r="AD155">
        <f>IF(G155=0,999,SUMPRODUCT((AC$4:AC$183&lt;AC155)*($G$4:$G$183=1))+SUMPRODUCT((AC$4:AC$183=AC155)*($G$4:$G$183=1)*($A$4:$A$183&lt;A155))+1)</f>
        <v/>
      </c>
      <c r="AI155" t="n">
        <v>152</v>
      </c>
      <c r="AJ155">
        <f>IF(152&gt;Passengers,"",MATCH(152,R$4:R$183,0))</f>
        <v/>
      </c>
      <c r="AK155">
        <f>IF(AJ155="","",INDEX($B$4:$B$183,AJ155))</f>
        <v/>
      </c>
      <c r="AL155">
        <f>IF(AJ155="","",INDEX($C$4:$C$183,AJ155))</f>
        <v/>
      </c>
      <c r="AM155">
        <f>IF(AJ155="","",INDEX($D$4:$D$183,AJ155))</f>
        <v/>
      </c>
      <c r="AN155">
        <f>IF(AJ155="","",COUNTIFS($B$4:$B$183,AK155,$C$4:$C$183,AL155,$D$4:$D$183,"&gt;"&amp;AM155,R$4:R$183,"&lt;"&amp;152,$G$4:$G$183,1))</f>
        <v/>
      </c>
      <c r="AO155">
        <f>IF(AJ155="","",INDEX($M$4:$M$183,AJ155)+IF(AN155=1,Shuffle1,IF(AN155&gt;=2,Shuffle2,0)))</f>
        <v/>
      </c>
      <c r="AP155">
        <f>IF(AJ155="","",MAX(DoorGap*151,SUMPRODUCT(MAX((AK$4:AK154&lt;=AK155)*AQ$4:AQ154)),SUMPRODUCT(MAX((AK$4:AK154&gt;AK155)*AP$4:AP154))+Headway))</f>
        <v/>
      </c>
      <c r="AQ155">
        <f>IF(AJ155="","",AP155+AO155)</f>
        <v/>
      </c>
      <c r="AR155">
        <f>IF(AJ155="","",AQ155+AK155*WalkSec)</f>
        <v/>
      </c>
      <c r="AS155" t="n">
        <v>152</v>
      </c>
      <c r="AT155">
        <f>IF(152&gt;Passengers,"",MATCH(152,V$4:V$183,0))</f>
        <v/>
      </c>
      <c r="AU155">
        <f>IF(AT155="","",INDEX($B$4:$B$183,AT155))</f>
        <v/>
      </c>
      <c r="AV155">
        <f>IF(AT155="","",INDEX($C$4:$C$183,AT155))</f>
        <v/>
      </c>
      <c r="AW155">
        <f>IF(AT155="","",INDEX($D$4:$D$183,AT155))</f>
        <v/>
      </c>
      <c r="AX155">
        <f>IF(AT155="","",COUNTIFS($B$4:$B$183,AU155,$C$4:$C$183,AV155,$D$4:$D$183,"&gt;"&amp;AW155,V$4:V$183,"&lt;"&amp;152,$G$4:$G$183,1))</f>
        <v/>
      </c>
      <c r="AY155">
        <f>IF(AT155="","",INDEX($M$4:$M$183,AT155)+IF(AX155=1,Shuffle1,IF(AX155&gt;=2,Shuffle2,0)))</f>
        <v/>
      </c>
      <c r="AZ155">
        <f>IF(AT155="","",MAX(DoorGap*151,SUMPRODUCT(MAX((AU$4:AU154&lt;=AU155)*BA$4:BA154)),SUMPRODUCT(MAX((AU$4:AU154&gt;AU155)*AZ$4:AZ154))+Headway))</f>
        <v/>
      </c>
      <c r="BA155">
        <f>IF(AT155="","",AZ155+AY155)</f>
        <v/>
      </c>
      <c r="BB155">
        <f>IF(AT155="","",BA155+AU155*WalkSec)</f>
        <v/>
      </c>
      <c r="BC155" t="n">
        <v>152</v>
      </c>
      <c r="BD155">
        <f>IF(152&gt;Passengers,"",MATCH(152,Z$4:Z$183,0))</f>
        <v/>
      </c>
      <c r="BE155">
        <f>IF(BD155="","",INDEX($B$4:$B$183,BD155))</f>
        <v/>
      </c>
      <c r="BF155">
        <f>IF(BD155="","",INDEX($C$4:$C$183,BD155))</f>
        <v/>
      </c>
      <c r="BG155">
        <f>IF(BD155="","",INDEX($D$4:$D$183,BD155))</f>
        <v/>
      </c>
      <c r="BH155">
        <f>IF(BD155="","",COUNTIFS($B$4:$B$183,BE155,$C$4:$C$183,BF155,$D$4:$D$183,"&gt;"&amp;BG155,Z$4:Z$183,"&lt;"&amp;152,$G$4:$G$183,1))</f>
        <v/>
      </c>
      <c r="BI155">
        <f>IF(BD155="","",INDEX($M$4:$M$183,BD155)+IF(BH155=1,Shuffle1,IF(BH155&gt;=2,Shuffle2,0)))</f>
        <v/>
      </c>
      <c r="BJ155">
        <f>IF(BD155="","",MAX(DoorGap*151,SUMPRODUCT(MAX((BE$4:BE154&lt;=BE155)*BK$4:BK154)),SUMPRODUCT(MAX((BE$4:BE154&gt;BE155)*BJ$4:BJ154))+Headway))</f>
        <v/>
      </c>
      <c r="BK155">
        <f>IF(BD155="","",BJ155+BI155)</f>
        <v/>
      </c>
      <c r="BL155">
        <f>IF(BD155="","",BK155+BE155*WalkSec)</f>
        <v/>
      </c>
      <c r="BM155" t="n">
        <v>152</v>
      </c>
      <c r="BN155">
        <f>IF(152&gt;Passengers,"",MATCH(152,AD$4:AD$183,0))</f>
        <v/>
      </c>
      <c r="BO155">
        <f>IF(BN155="","",INDEX($B$4:$B$183,BN155))</f>
        <v/>
      </c>
      <c r="BP155">
        <f>IF(BN155="","",INDEX($C$4:$C$183,BN155))</f>
        <v/>
      </c>
      <c r="BQ155">
        <f>IF(BN155="","",INDEX($D$4:$D$183,BN155))</f>
        <v/>
      </c>
      <c r="BR155">
        <f>IF(BN155="","",COUNTIFS($B$4:$B$183,BO155,$C$4:$C$183,BP155,$D$4:$D$183,"&gt;"&amp;BQ155,AD$4:AD$183,"&lt;"&amp;152,$G$4:$G$183,1))</f>
        <v/>
      </c>
      <c r="BS155">
        <f>IF(BN155="","",INDEX($M$4:$M$183,BN155)+IF(BR155=1,Shuffle1,IF(BR155&gt;=2,Shuffle2,0)))</f>
        <v/>
      </c>
      <c r="BT155">
        <f>IF(BN155="","",MAX(DoorGap*151,SUMPRODUCT(MAX((BO$4:BO154&lt;=BO155)*BU$4:BU154)),SUMPRODUCT(MAX((BO$4:BO154&gt;BO155)*BT$4:BT154))+Headway))</f>
        <v/>
      </c>
      <c r="BU155">
        <f>IF(BN155="","",BT155+BS155)</f>
        <v/>
      </c>
      <c r="BV155">
        <f>IF(BN155="","",BU155+BO155*WalkSec)</f>
        <v/>
      </c>
      <c r="BW155">
        <f>IF($G155=0,"",INDEX(AR$4:AR$183,R155))</f>
        <v/>
      </c>
      <c r="BX155">
        <f>IF($G155=0,"",INDEX(BB$4:BB$183,V155))</f>
        <v/>
      </c>
      <c r="BY155">
        <f>IF($G155=0,"",INDEX(BL$4:BL$183,Z155))</f>
        <v/>
      </c>
      <c r="BZ155">
        <f>IF($G155=0,"",INDEX(BV$4:BV$183,AD155))</f>
        <v/>
      </c>
    </row>
    <row r="156">
      <c r="A156" t="n">
        <v>153</v>
      </c>
      <c r="B156" t="n">
        <v>26</v>
      </c>
      <c r="C156" t="n">
        <v>1</v>
      </c>
      <c r="D156" t="n">
        <v>3</v>
      </c>
      <c r="E156" t="n">
        <v>51</v>
      </c>
      <c r="F156">
        <f>RAND()</f>
        <v/>
      </c>
      <c r="G156">
        <f>IF(SUMPRODUCT(($F$4:$F$183&lt;F156)*1)+SUMPRODUCT(($F$4:$F$183=F156)*($A$4:$A$183&lt;A156))&lt;Passengers,1,0)</f>
        <v/>
      </c>
      <c r="H156">
        <f>RAND()</f>
        <v/>
      </c>
      <c r="I156">
        <f>RAND()</f>
        <v/>
      </c>
      <c r="J156">
        <f>RAND()</f>
        <v/>
      </c>
      <c r="K156">
        <f>RAND()</f>
        <v/>
      </c>
      <c r="L156">
        <f>RAND()</f>
        <v/>
      </c>
      <c r="M156">
        <f>IF(K156&lt;BagShare,EXP(NORMSINV(L156)*StowSigma+StowMu),StowNoBag)</f>
        <v/>
      </c>
      <c r="N156">
        <f>IF(INDEX($AG$4:$AG$63,E156)&lt;GroupShare,1,0)</f>
        <v/>
      </c>
      <c r="P156">
        <f>IF(G156=1,IF(I156&gt;Compliance,J156,$H156),2)</f>
        <v/>
      </c>
      <c r="Q156">
        <f>IF(G156=0,2,IF(N156=0,P156,1-SUMPRODUCT(MAX(($E$4:$E$183=E156)*($G$4:$G$183=1)*(1-P$4:P$183)))+0.000000001*D156))</f>
        <v/>
      </c>
      <c r="R156">
        <f>IF(G156=0,999,SUMPRODUCT((Q$4:Q$183&lt;Q156)*($G$4:$G$183=1))+SUMPRODUCT((Q$4:Q$183=Q156)*($G$4:$G$183=1)*($A$4:$A$183&lt;A156))+1)</f>
        <v/>
      </c>
      <c r="T156">
        <f>IF(G156=1,IF(I156&gt;Compliance,J156,(INT((30-$B156)/(30/Zones))+$H156)/Zones),2)</f>
        <v/>
      </c>
      <c r="U156">
        <f>IF(G156=0,2,IF(N156=0,T156,1-SUMPRODUCT(MAX(($E$4:$E$183=E156)*($G$4:$G$183=1)*(1-T$4:T$183)))+0.000000001*D156))</f>
        <v/>
      </c>
      <c r="V156">
        <f>IF(G156=0,999,SUMPRODUCT((U$4:U$183&lt;U156)*($G$4:$G$183=1))+SUMPRODUCT((U$4:U$183=U156)*($G$4:$G$183=1)*($A$4:$A$183&lt;A156))+1)</f>
        <v/>
      </c>
      <c r="X156">
        <f>IF(G156=1,IF(I156&gt;Compliance,J156,(($D156-1)+$H156)/3),2)</f>
        <v/>
      </c>
      <c r="Y156">
        <f>IF(G156=0,2,IF(N156=0,X156,1-SUMPRODUCT(MAX(($E$4:$E$183=E156)*($G$4:$G$183=1)*(1-X$4:X$183)))+0.000000001*D156))</f>
        <v/>
      </c>
      <c r="Z156">
        <f>IF(G156=0,999,SUMPRODUCT((Y$4:Y$183&lt;Y156)*($G$4:$G$183=1))+SUMPRODUCT((Y$4:Y$183=Y156)*($G$4:$G$183=1)*($A$4:$A$183&lt;A156))+1)</f>
        <v/>
      </c>
      <c r="AB156">
        <f>IF(G156=1,IF(I156&gt;Compliance,J156,((($D156-1)*4+($C156-1)*2+MOD($B156,2))+(30-$B156)/30)/12),2)</f>
        <v/>
      </c>
      <c r="AC156">
        <f>IF(G156=0,2,IF(N156=0,AB156,1-SUMPRODUCT(MAX(($E$4:$E$183=E156)*($G$4:$G$183=1)*(1-AB$4:AB$183)))+0.000000001*D156))</f>
        <v/>
      </c>
      <c r="AD156">
        <f>IF(G156=0,999,SUMPRODUCT((AC$4:AC$183&lt;AC156)*($G$4:$G$183=1))+SUMPRODUCT((AC$4:AC$183=AC156)*($G$4:$G$183=1)*($A$4:$A$183&lt;A156))+1)</f>
        <v/>
      </c>
      <c r="AI156" t="n">
        <v>153</v>
      </c>
      <c r="AJ156">
        <f>IF(153&gt;Passengers,"",MATCH(153,R$4:R$183,0))</f>
        <v/>
      </c>
      <c r="AK156">
        <f>IF(AJ156="","",INDEX($B$4:$B$183,AJ156))</f>
        <v/>
      </c>
      <c r="AL156">
        <f>IF(AJ156="","",INDEX($C$4:$C$183,AJ156))</f>
        <v/>
      </c>
      <c r="AM156">
        <f>IF(AJ156="","",INDEX($D$4:$D$183,AJ156))</f>
        <v/>
      </c>
      <c r="AN156">
        <f>IF(AJ156="","",COUNTIFS($B$4:$B$183,AK156,$C$4:$C$183,AL156,$D$4:$D$183,"&gt;"&amp;AM156,R$4:R$183,"&lt;"&amp;153,$G$4:$G$183,1))</f>
        <v/>
      </c>
      <c r="AO156">
        <f>IF(AJ156="","",INDEX($M$4:$M$183,AJ156)+IF(AN156=1,Shuffle1,IF(AN156&gt;=2,Shuffle2,0)))</f>
        <v/>
      </c>
      <c r="AP156">
        <f>IF(AJ156="","",MAX(DoorGap*152,SUMPRODUCT(MAX((AK$4:AK155&lt;=AK156)*AQ$4:AQ155)),SUMPRODUCT(MAX((AK$4:AK155&gt;AK156)*AP$4:AP155))+Headway))</f>
        <v/>
      </c>
      <c r="AQ156">
        <f>IF(AJ156="","",AP156+AO156)</f>
        <v/>
      </c>
      <c r="AR156">
        <f>IF(AJ156="","",AQ156+AK156*WalkSec)</f>
        <v/>
      </c>
      <c r="AS156" t="n">
        <v>153</v>
      </c>
      <c r="AT156">
        <f>IF(153&gt;Passengers,"",MATCH(153,V$4:V$183,0))</f>
        <v/>
      </c>
      <c r="AU156">
        <f>IF(AT156="","",INDEX($B$4:$B$183,AT156))</f>
        <v/>
      </c>
      <c r="AV156">
        <f>IF(AT156="","",INDEX($C$4:$C$183,AT156))</f>
        <v/>
      </c>
      <c r="AW156">
        <f>IF(AT156="","",INDEX($D$4:$D$183,AT156))</f>
        <v/>
      </c>
      <c r="AX156">
        <f>IF(AT156="","",COUNTIFS($B$4:$B$183,AU156,$C$4:$C$183,AV156,$D$4:$D$183,"&gt;"&amp;AW156,V$4:V$183,"&lt;"&amp;153,$G$4:$G$183,1))</f>
        <v/>
      </c>
      <c r="AY156">
        <f>IF(AT156="","",INDEX($M$4:$M$183,AT156)+IF(AX156=1,Shuffle1,IF(AX156&gt;=2,Shuffle2,0)))</f>
        <v/>
      </c>
      <c r="AZ156">
        <f>IF(AT156="","",MAX(DoorGap*152,SUMPRODUCT(MAX((AU$4:AU155&lt;=AU156)*BA$4:BA155)),SUMPRODUCT(MAX((AU$4:AU155&gt;AU156)*AZ$4:AZ155))+Headway))</f>
        <v/>
      </c>
      <c r="BA156">
        <f>IF(AT156="","",AZ156+AY156)</f>
        <v/>
      </c>
      <c r="BB156">
        <f>IF(AT156="","",BA156+AU156*WalkSec)</f>
        <v/>
      </c>
      <c r="BC156" t="n">
        <v>153</v>
      </c>
      <c r="BD156">
        <f>IF(153&gt;Passengers,"",MATCH(153,Z$4:Z$183,0))</f>
        <v/>
      </c>
      <c r="BE156">
        <f>IF(BD156="","",INDEX($B$4:$B$183,BD156))</f>
        <v/>
      </c>
      <c r="BF156">
        <f>IF(BD156="","",INDEX($C$4:$C$183,BD156))</f>
        <v/>
      </c>
      <c r="BG156">
        <f>IF(BD156="","",INDEX($D$4:$D$183,BD156))</f>
        <v/>
      </c>
      <c r="BH156">
        <f>IF(BD156="","",COUNTIFS($B$4:$B$183,BE156,$C$4:$C$183,BF156,$D$4:$D$183,"&gt;"&amp;BG156,Z$4:Z$183,"&lt;"&amp;153,$G$4:$G$183,1))</f>
        <v/>
      </c>
      <c r="BI156">
        <f>IF(BD156="","",INDEX($M$4:$M$183,BD156)+IF(BH156=1,Shuffle1,IF(BH156&gt;=2,Shuffle2,0)))</f>
        <v/>
      </c>
      <c r="BJ156">
        <f>IF(BD156="","",MAX(DoorGap*152,SUMPRODUCT(MAX((BE$4:BE155&lt;=BE156)*BK$4:BK155)),SUMPRODUCT(MAX((BE$4:BE155&gt;BE156)*BJ$4:BJ155))+Headway))</f>
        <v/>
      </c>
      <c r="BK156">
        <f>IF(BD156="","",BJ156+BI156)</f>
        <v/>
      </c>
      <c r="BL156">
        <f>IF(BD156="","",BK156+BE156*WalkSec)</f>
        <v/>
      </c>
      <c r="BM156" t="n">
        <v>153</v>
      </c>
      <c r="BN156">
        <f>IF(153&gt;Passengers,"",MATCH(153,AD$4:AD$183,0))</f>
        <v/>
      </c>
      <c r="BO156">
        <f>IF(BN156="","",INDEX($B$4:$B$183,BN156))</f>
        <v/>
      </c>
      <c r="BP156">
        <f>IF(BN156="","",INDEX($C$4:$C$183,BN156))</f>
        <v/>
      </c>
      <c r="BQ156">
        <f>IF(BN156="","",INDEX($D$4:$D$183,BN156))</f>
        <v/>
      </c>
      <c r="BR156">
        <f>IF(BN156="","",COUNTIFS($B$4:$B$183,BO156,$C$4:$C$183,BP156,$D$4:$D$183,"&gt;"&amp;BQ156,AD$4:AD$183,"&lt;"&amp;153,$G$4:$G$183,1))</f>
        <v/>
      </c>
      <c r="BS156">
        <f>IF(BN156="","",INDEX($M$4:$M$183,BN156)+IF(BR156=1,Shuffle1,IF(BR156&gt;=2,Shuffle2,0)))</f>
        <v/>
      </c>
      <c r="BT156">
        <f>IF(BN156="","",MAX(DoorGap*152,SUMPRODUCT(MAX((BO$4:BO155&lt;=BO156)*BU$4:BU155)),SUMPRODUCT(MAX((BO$4:BO155&gt;BO156)*BT$4:BT155))+Headway))</f>
        <v/>
      </c>
      <c r="BU156">
        <f>IF(BN156="","",BT156+BS156)</f>
        <v/>
      </c>
      <c r="BV156">
        <f>IF(BN156="","",BU156+BO156*WalkSec)</f>
        <v/>
      </c>
      <c r="BW156">
        <f>IF($G156=0,"",INDEX(AR$4:AR$183,R156))</f>
        <v/>
      </c>
      <c r="BX156">
        <f>IF($G156=0,"",INDEX(BB$4:BB$183,V156))</f>
        <v/>
      </c>
      <c r="BY156">
        <f>IF($G156=0,"",INDEX(BL$4:BL$183,Z156))</f>
        <v/>
      </c>
      <c r="BZ156">
        <f>IF($G156=0,"",INDEX(BV$4:BV$183,AD156))</f>
        <v/>
      </c>
    </row>
    <row r="157">
      <c r="A157" t="n">
        <v>154</v>
      </c>
      <c r="B157" t="n">
        <v>26</v>
      </c>
      <c r="C157" t="n">
        <v>2</v>
      </c>
      <c r="D157" t="n">
        <v>1</v>
      </c>
      <c r="E157" t="n">
        <v>52</v>
      </c>
      <c r="F157">
        <f>RAND()</f>
        <v/>
      </c>
      <c r="G157">
        <f>IF(SUMPRODUCT(($F$4:$F$183&lt;F157)*1)+SUMPRODUCT(($F$4:$F$183=F157)*($A$4:$A$183&lt;A157))&lt;Passengers,1,0)</f>
        <v/>
      </c>
      <c r="H157">
        <f>RAND()</f>
        <v/>
      </c>
      <c r="I157">
        <f>RAND()</f>
        <v/>
      </c>
      <c r="J157">
        <f>RAND()</f>
        <v/>
      </c>
      <c r="K157">
        <f>RAND()</f>
        <v/>
      </c>
      <c r="L157">
        <f>RAND()</f>
        <v/>
      </c>
      <c r="M157">
        <f>IF(K157&lt;BagShare,EXP(NORMSINV(L157)*StowSigma+StowMu),StowNoBag)</f>
        <v/>
      </c>
      <c r="N157">
        <f>IF(INDEX($AG$4:$AG$63,E157)&lt;GroupShare,1,0)</f>
        <v/>
      </c>
      <c r="P157">
        <f>IF(G157=1,IF(I157&gt;Compliance,J157,$H157),2)</f>
        <v/>
      </c>
      <c r="Q157">
        <f>IF(G157=0,2,IF(N157=0,P157,1-SUMPRODUCT(MAX(($E$4:$E$183=E157)*($G$4:$G$183=1)*(1-P$4:P$183)))+0.000000001*D157))</f>
        <v/>
      </c>
      <c r="R157">
        <f>IF(G157=0,999,SUMPRODUCT((Q$4:Q$183&lt;Q157)*($G$4:$G$183=1))+SUMPRODUCT((Q$4:Q$183=Q157)*($G$4:$G$183=1)*($A$4:$A$183&lt;A157))+1)</f>
        <v/>
      </c>
      <c r="T157">
        <f>IF(G157=1,IF(I157&gt;Compliance,J157,(INT((30-$B157)/(30/Zones))+$H157)/Zones),2)</f>
        <v/>
      </c>
      <c r="U157">
        <f>IF(G157=0,2,IF(N157=0,T157,1-SUMPRODUCT(MAX(($E$4:$E$183=E157)*($G$4:$G$183=1)*(1-T$4:T$183)))+0.000000001*D157))</f>
        <v/>
      </c>
      <c r="V157">
        <f>IF(G157=0,999,SUMPRODUCT((U$4:U$183&lt;U157)*($G$4:$G$183=1))+SUMPRODUCT((U$4:U$183=U157)*($G$4:$G$183=1)*($A$4:$A$183&lt;A157))+1)</f>
        <v/>
      </c>
      <c r="X157">
        <f>IF(G157=1,IF(I157&gt;Compliance,J157,(($D157-1)+$H157)/3),2)</f>
        <v/>
      </c>
      <c r="Y157">
        <f>IF(G157=0,2,IF(N157=0,X157,1-SUMPRODUCT(MAX(($E$4:$E$183=E157)*($G$4:$G$183=1)*(1-X$4:X$183)))+0.000000001*D157))</f>
        <v/>
      </c>
      <c r="Z157">
        <f>IF(G157=0,999,SUMPRODUCT((Y$4:Y$183&lt;Y157)*($G$4:$G$183=1))+SUMPRODUCT((Y$4:Y$183=Y157)*($G$4:$G$183=1)*($A$4:$A$183&lt;A157))+1)</f>
        <v/>
      </c>
      <c r="AB157">
        <f>IF(G157=1,IF(I157&gt;Compliance,J157,((($D157-1)*4+($C157-1)*2+MOD($B157,2))+(30-$B157)/30)/12),2)</f>
        <v/>
      </c>
      <c r="AC157">
        <f>IF(G157=0,2,IF(N157=0,AB157,1-SUMPRODUCT(MAX(($E$4:$E$183=E157)*($G$4:$G$183=1)*(1-AB$4:AB$183)))+0.000000001*D157))</f>
        <v/>
      </c>
      <c r="AD157">
        <f>IF(G157=0,999,SUMPRODUCT((AC$4:AC$183&lt;AC157)*($G$4:$G$183=1))+SUMPRODUCT((AC$4:AC$183=AC157)*($G$4:$G$183=1)*($A$4:$A$183&lt;A157))+1)</f>
        <v/>
      </c>
      <c r="AI157" t="n">
        <v>154</v>
      </c>
      <c r="AJ157">
        <f>IF(154&gt;Passengers,"",MATCH(154,R$4:R$183,0))</f>
        <v/>
      </c>
      <c r="AK157">
        <f>IF(AJ157="","",INDEX($B$4:$B$183,AJ157))</f>
        <v/>
      </c>
      <c r="AL157">
        <f>IF(AJ157="","",INDEX($C$4:$C$183,AJ157))</f>
        <v/>
      </c>
      <c r="AM157">
        <f>IF(AJ157="","",INDEX($D$4:$D$183,AJ157))</f>
        <v/>
      </c>
      <c r="AN157">
        <f>IF(AJ157="","",COUNTIFS($B$4:$B$183,AK157,$C$4:$C$183,AL157,$D$4:$D$183,"&gt;"&amp;AM157,R$4:R$183,"&lt;"&amp;154,$G$4:$G$183,1))</f>
        <v/>
      </c>
      <c r="AO157">
        <f>IF(AJ157="","",INDEX($M$4:$M$183,AJ157)+IF(AN157=1,Shuffle1,IF(AN157&gt;=2,Shuffle2,0)))</f>
        <v/>
      </c>
      <c r="AP157">
        <f>IF(AJ157="","",MAX(DoorGap*153,SUMPRODUCT(MAX((AK$4:AK156&lt;=AK157)*AQ$4:AQ156)),SUMPRODUCT(MAX((AK$4:AK156&gt;AK157)*AP$4:AP156))+Headway))</f>
        <v/>
      </c>
      <c r="AQ157">
        <f>IF(AJ157="","",AP157+AO157)</f>
        <v/>
      </c>
      <c r="AR157">
        <f>IF(AJ157="","",AQ157+AK157*WalkSec)</f>
        <v/>
      </c>
      <c r="AS157" t="n">
        <v>154</v>
      </c>
      <c r="AT157">
        <f>IF(154&gt;Passengers,"",MATCH(154,V$4:V$183,0))</f>
        <v/>
      </c>
      <c r="AU157">
        <f>IF(AT157="","",INDEX($B$4:$B$183,AT157))</f>
        <v/>
      </c>
      <c r="AV157">
        <f>IF(AT157="","",INDEX($C$4:$C$183,AT157))</f>
        <v/>
      </c>
      <c r="AW157">
        <f>IF(AT157="","",INDEX($D$4:$D$183,AT157))</f>
        <v/>
      </c>
      <c r="AX157">
        <f>IF(AT157="","",COUNTIFS($B$4:$B$183,AU157,$C$4:$C$183,AV157,$D$4:$D$183,"&gt;"&amp;AW157,V$4:V$183,"&lt;"&amp;154,$G$4:$G$183,1))</f>
        <v/>
      </c>
      <c r="AY157">
        <f>IF(AT157="","",INDEX($M$4:$M$183,AT157)+IF(AX157=1,Shuffle1,IF(AX157&gt;=2,Shuffle2,0)))</f>
        <v/>
      </c>
      <c r="AZ157">
        <f>IF(AT157="","",MAX(DoorGap*153,SUMPRODUCT(MAX((AU$4:AU156&lt;=AU157)*BA$4:BA156)),SUMPRODUCT(MAX((AU$4:AU156&gt;AU157)*AZ$4:AZ156))+Headway))</f>
        <v/>
      </c>
      <c r="BA157">
        <f>IF(AT157="","",AZ157+AY157)</f>
        <v/>
      </c>
      <c r="BB157">
        <f>IF(AT157="","",BA157+AU157*WalkSec)</f>
        <v/>
      </c>
      <c r="BC157" t="n">
        <v>154</v>
      </c>
      <c r="BD157">
        <f>IF(154&gt;Passengers,"",MATCH(154,Z$4:Z$183,0))</f>
        <v/>
      </c>
      <c r="BE157">
        <f>IF(BD157="","",INDEX($B$4:$B$183,BD157))</f>
        <v/>
      </c>
      <c r="BF157">
        <f>IF(BD157="","",INDEX($C$4:$C$183,BD157))</f>
        <v/>
      </c>
      <c r="BG157">
        <f>IF(BD157="","",INDEX($D$4:$D$183,BD157))</f>
        <v/>
      </c>
      <c r="BH157">
        <f>IF(BD157="","",COUNTIFS($B$4:$B$183,BE157,$C$4:$C$183,BF157,$D$4:$D$183,"&gt;"&amp;BG157,Z$4:Z$183,"&lt;"&amp;154,$G$4:$G$183,1))</f>
        <v/>
      </c>
      <c r="BI157">
        <f>IF(BD157="","",INDEX($M$4:$M$183,BD157)+IF(BH157=1,Shuffle1,IF(BH157&gt;=2,Shuffle2,0)))</f>
        <v/>
      </c>
      <c r="BJ157">
        <f>IF(BD157="","",MAX(DoorGap*153,SUMPRODUCT(MAX((BE$4:BE156&lt;=BE157)*BK$4:BK156)),SUMPRODUCT(MAX((BE$4:BE156&gt;BE157)*BJ$4:BJ156))+Headway))</f>
        <v/>
      </c>
      <c r="BK157">
        <f>IF(BD157="","",BJ157+BI157)</f>
        <v/>
      </c>
      <c r="BL157">
        <f>IF(BD157="","",BK157+BE157*WalkSec)</f>
        <v/>
      </c>
      <c r="BM157" t="n">
        <v>154</v>
      </c>
      <c r="BN157">
        <f>IF(154&gt;Passengers,"",MATCH(154,AD$4:AD$183,0))</f>
        <v/>
      </c>
      <c r="BO157">
        <f>IF(BN157="","",INDEX($B$4:$B$183,BN157))</f>
        <v/>
      </c>
      <c r="BP157">
        <f>IF(BN157="","",INDEX($C$4:$C$183,BN157))</f>
        <v/>
      </c>
      <c r="BQ157">
        <f>IF(BN157="","",INDEX($D$4:$D$183,BN157))</f>
        <v/>
      </c>
      <c r="BR157">
        <f>IF(BN157="","",COUNTIFS($B$4:$B$183,BO157,$C$4:$C$183,BP157,$D$4:$D$183,"&gt;"&amp;BQ157,AD$4:AD$183,"&lt;"&amp;154,$G$4:$G$183,1))</f>
        <v/>
      </c>
      <c r="BS157">
        <f>IF(BN157="","",INDEX($M$4:$M$183,BN157)+IF(BR157=1,Shuffle1,IF(BR157&gt;=2,Shuffle2,0)))</f>
        <v/>
      </c>
      <c r="BT157">
        <f>IF(BN157="","",MAX(DoorGap*153,SUMPRODUCT(MAX((BO$4:BO156&lt;=BO157)*BU$4:BU156)),SUMPRODUCT(MAX((BO$4:BO156&gt;BO157)*BT$4:BT156))+Headway))</f>
        <v/>
      </c>
      <c r="BU157">
        <f>IF(BN157="","",BT157+BS157)</f>
        <v/>
      </c>
      <c r="BV157">
        <f>IF(BN157="","",BU157+BO157*WalkSec)</f>
        <v/>
      </c>
      <c r="BW157">
        <f>IF($G157=0,"",INDEX(AR$4:AR$183,R157))</f>
        <v/>
      </c>
      <c r="BX157">
        <f>IF($G157=0,"",INDEX(BB$4:BB$183,V157))</f>
        <v/>
      </c>
      <c r="BY157">
        <f>IF($G157=0,"",INDEX(BL$4:BL$183,Z157))</f>
        <v/>
      </c>
      <c r="BZ157">
        <f>IF($G157=0,"",INDEX(BV$4:BV$183,AD157))</f>
        <v/>
      </c>
    </row>
    <row r="158">
      <c r="A158" t="n">
        <v>155</v>
      </c>
      <c r="B158" t="n">
        <v>26</v>
      </c>
      <c r="C158" t="n">
        <v>2</v>
      </c>
      <c r="D158" t="n">
        <v>2</v>
      </c>
      <c r="E158" t="n">
        <v>52</v>
      </c>
      <c r="F158">
        <f>RAND()</f>
        <v/>
      </c>
      <c r="G158">
        <f>IF(SUMPRODUCT(($F$4:$F$183&lt;F158)*1)+SUMPRODUCT(($F$4:$F$183=F158)*($A$4:$A$183&lt;A158))&lt;Passengers,1,0)</f>
        <v/>
      </c>
      <c r="H158">
        <f>RAND()</f>
        <v/>
      </c>
      <c r="I158">
        <f>RAND()</f>
        <v/>
      </c>
      <c r="J158">
        <f>RAND()</f>
        <v/>
      </c>
      <c r="K158">
        <f>RAND()</f>
        <v/>
      </c>
      <c r="L158">
        <f>RAND()</f>
        <v/>
      </c>
      <c r="M158">
        <f>IF(K158&lt;BagShare,EXP(NORMSINV(L158)*StowSigma+StowMu),StowNoBag)</f>
        <v/>
      </c>
      <c r="N158">
        <f>IF(INDEX($AG$4:$AG$63,E158)&lt;GroupShare,1,0)</f>
        <v/>
      </c>
      <c r="P158">
        <f>IF(G158=1,IF(I158&gt;Compliance,J158,$H158),2)</f>
        <v/>
      </c>
      <c r="Q158">
        <f>IF(G158=0,2,IF(N158=0,P158,1-SUMPRODUCT(MAX(($E$4:$E$183=E158)*($G$4:$G$183=1)*(1-P$4:P$183)))+0.000000001*D158))</f>
        <v/>
      </c>
      <c r="R158">
        <f>IF(G158=0,999,SUMPRODUCT((Q$4:Q$183&lt;Q158)*($G$4:$G$183=1))+SUMPRODUCT((Q$4:Q$183=Q158)*($G$4:$G$183=1)*($A$4:$A$183&lt;A158))+1)</f>
        <v/>
      </c>
      <c r="T158">
        <f>IF(G158=1,IF(I158&gt;Compliance,J158,(INT((30-$B158)/(30/Zones))+$H158)/Zones),2)</f>
        <v/>
      </c>
      <c r="U158">
        <f>IF(G158=0,2,IF(N158=0,T158,1-SUMPRODUCT(MAX(($E$4:$E$183=E158)*($G$4:$G$183=1)*(1-T$4:T$183)))+0.000000001*D158))</f>
        <v/>
      </c>
      <c r="V158">
        <f>IF(G158=0,999,SUMPRODUCT((U$4:U$183&lt;U158)*($G$4:$G$183=1))+SUMPRODUCT((U$4:U$183=U158)*($G$4:$G$183=1)*($A$4:$A$183&lt;A158))+1)</f>
        <v/>
      </c>
      <c r="X158">
        <f>IF(G158=1,IF(I158&gt;Compliance,J158,(($D158-1)+$H158)/3),2)</f>
        <v/>
      </c>
      <c r="Y158">
        <f>IF(G158=0,2,IF(N158=0,X158,1-SUMPRODUCT(MAX(($E$4:$E$183=E158)*($G$4:$G$183=1)*(1-X$4:X$183)))+0.000000001*D158))</f>
        <v/>
      </c>
      <c r="Z158">
        <f>IF(G158=0,999,SUMPRODUCT((Y$4:Y$183&lt;Y158)*($G$4:$G$183=1))+SUMPRODUCT((Y$4:Y$183=Y158)*($G$4:$G$183=1)*($A$4:$A$183&lt;A158))+1)</f>
        <v/>
      </c>
      <c r="AB158">
        <f>IF(G158=1,IF(I158&gt;Compliance,J158,((($D158-1)*4+($C158-1)*2+MOD($B158,2))+(30-$B158)/30)/12),2)</f>
        <v/>
      </c>
      <c r="AC158">
        <f>IF(G158=0,2,IF(N158=0,AB158,1-SUMPRODUCT(MAX(($E$4:$E$183=E158)*($G$4:$G$183=1)*(1-AB$4:AB$183)))+0.000000001*D158))</f>
        <v/>
      </c>
      <c r="AD158">
        <f>IF(G158=0,999,SUMPRODUCT((AC$4:AC$183&lt;AC158)*($G$4:$G$183=1))+SUMPRODUCT((AC$4:AC$183=AC158)*($G$4:$G$183=1)*($A$4:$A$183&lt;A158))+1)</f>
        <v/>
      </c>
      <c r="AI158" t="n">
        <v>155</v>
      </c>
      <c r="AJ158">
        <f>IF(155&gt;Passengers,"",MATCH(155,R$4:R$183,0))</f>
        <v/>
      </c>
      <c r="AK158">
        <f>IF(AJ158="","",INDEX($B$4:$B$183,AJ158))</f>
        <v/>
      </c>
      <c r="AL158">
        <f>IF(AJ158="","",INDEX($C$4:$C$183,AJ158))</f>
        <v/>
      </c>
      <c r="AM158">
        <f>IF(AJ158="","",INDEX($D$4:$D$183,AJ158))</f>
        <v/>
      </c>
      <c r="AN158">
        <f>IF(AJ158="","",COUNTIFS($B$4:$B$183,AK158,$C$4:$C$183,AL158,$D$4:$D$183,"&gt;"&amp;AM158,R$4:R$183,"&lt;"&amp;155,$G$4:$G$183,1))</f>
        <v/>
      </c>
      <c r="AO158">
        <f>IF(AJ158="","",INDEX($M$4:$M$183,AJ158)+IF(AN158=1,Shuffle1,IF(AN158&gt;=2,Shuffle2,0)))</f>
        <v/>
      </c>
      <c r="AP158">
        <f>IF(AJ158="","",MAX(DoorGap*154,SUMPRODUCT(MAX((AK$4:AK157&lt;=AK158)*AQ$4:AQ157)),SUMPRODUCT(MAX((AK$4:AK157&gt;AK158)*AP$4:AP157))+Headway))</f>
        <v/>
      </c>
      <c r="AQ158">
        <f>IF(AJ158="","",AP158+AO158)</f>
        <v/>
      </c>
      <c r="AR158">
        <f>IF(AJ158="","",AQ158+AK158*WalkSec)</f>
        <v/>
      </c>
      <c r="AS158" t="n">
        <v>155</v>
      </c>
      <c r="AT158">
        <f>IF(155&gt;Passengers,"",MATCH(155,V$4:V$183,0))</f>
        <v/>
      </c>
      <c r="AU158">
        <f>IF(AT158="","",INDEX($B$4:$B$183,AT158))</f>
        <v/>
      </c>
      <c r="AV158">
        <f>IF(AT158="","",INDEX($C$4:$C$183,AT158))</f>
        <v/>
      </c>
      <c r="AW158">
        <f>IF(AT158="","",INDEX($D$4:$D$183,AT158))</f>
        <v/>
      </c>
      <c r="AX158">
        <f>IF(AT158="","",COUNTIFS($B$4:$B$183,AU158,$C$4:$C$183,AV158,$D$4:$D$183,"&gt;"&amp;AW158,V$4:V$183,"&lt;"&amp;155,$G$4:$G$183,1))</f>
        <v/>
      </c>
      <c r="AY158">
        <f>IF(AT158="","",INDEX($M$4:$M$183,AT158)+IF(AX158=1,Shuffle1,IF(AX158&gt;=2,Shuffle2,0)))</f>
        <v/>
      </c>
      <c r="AZ158">
        <f>IF(AT158="","",MAX(DoorGap*154,SUMPRODUCT(MAX((AU$4:AU157&lt;=AU158)*BA$4:BA157)),SUMPRODUCT(MAX((AU$4:AU157&gt;AU158)*AZ$4:AZ157))+Headway))</f>
        <v/>
      </c>
      <c r="BA158">
        <f>IF(AT158="","",AZ158+AY158)</f>
        <v/>
      </c>
      <c r="BB158">
        <f>IF(AT158="","",BA158+AU158*WalkSec)</f>
        <v/>
      </c>
      <c r="BC158" t="n">
        <v>155</v>
      </c>
      <c r="BD158">
        <f>IF(155&gt;Passengers,"",MATCH(155,Z$4:Z$183,0))</f>
        <v/>
      </c>
      <c r="BE158">
        <f>IF(BD158="","",INDEX($B$4:$B$183,BD158))</f>
        <v/>
      </c>
      <c r="BF158">
        <f>IF(BD158="","",INDEX($C$4:$C$183,BD158))</f>
        <v/>
      </c>
      <c r="BG158">
        <f>IF(BD158="","",INDEX($D$4:$D$183,BD158))</f>
        <v/>
      </c>
      <c r="BH158">
        <f>IF(BD158="","",COUNTIFS($B$4:$B$183,BE158,$C$4:$C$183,BF158,$D$4:$D$183,"&gt;"&amp;BG158,Z$4:Z$183,"&lt;"&amp;155,$G$4:$G$183,1))</f>
        <v/>
      </c>
      <c r="BI158">
        <f>IF(BD158="","",INDEX($M$4:$M$183,BD158)+IF(BH158=1,Shuffle1,IF(BH158&gt;=2,Shuffle2,0)))</f>
        <v/>
      </c>
      <c r="BJ158">
        <f>IF(BD158="","",MAX(DoorGap*154,SUMPRODUCT(MAX((BE$4:BE157&lt;=BE158)*BK$4:BK157)),SUMPRODUCT(MAX((BE$4:BE157&gt;BE158)*BJ$4:BJ157))+Headway))</f>
        <v/>
      </c>
      <c r="BK158">
        <f>IF(BD158="","",BJ158+BI158)</f>
        <v/>
      </c>
      <c r="BL158">
        <f>IF(BD158="","",BK158+BE158*WalkSec)</f>
        <v/>
      </c>
      <c r="BM158" t="n">
        <v>155</v>
      </c>
      <c r="BN158">
        <f>IF(155&gt;Passengers,"",MATCH(155,AD$4:AD$183,0))</f>
        <v/>
      </c>
      <c r="BO158">
        <f>IF(BN158="","",INDEX($B$4:$B$183,BN158))</f>
        <v/>
      </c>
      <c r="BP158">
        <f>IF(BN158="","",INDEX($C$4:$C$183,BN158))</f>
        <v/>
      </c>
      <c r="BQ158">
        <f>IF(BN158="","",INDEX($D$4:$D$183,BN158))</f>
        <v/>
      </c>
      <c r="BR158">
        <f>IF(BN158="","",COUNTIFS($B$4:$B$183,BO158,$C$4:$C$183,BP158,$D$4:$D$183,"&gt;"&amp;BQ158,AD$4:AD$183,"&lt;"&amp;155,$G$4:$G$183,1))</f>
        <v/>
      </c>
      <c r="BS158">
        <f>IF(BN158="","",INDEX($M$4:$M$183,BN158)+IF(BR158=1,Shuffle1,IF(BR158&gt;=2,Shuffle2,0)))</f>
        <v/>
      </c>
      <c r="BT158">
        <f>IF(BN158="","",MAX(DoorGap*154,SUMPRODUCT(MAX((BO$4:BO157&lt;=BO158)*BU$4:BU157)),SUMPRODUCT(MAX((BO$4:BO157&gt;BO158)*BT$4:BT157))+Headway))</f>
        <v/>
      </c>
      <c r="BU158">
        <f>IF(BN158="","",BT158+BS158)</f>
        <v/>
      </c>
      <c r="BV158">
        <f>IF(BN158="","",BU158+BO158*WalkSec)</f>
        <v/>
      </c>
      <c r="BW158">
        <f>IF($G158=0,"",INDEX(AR$4:AR$183,R158))</f>
        <v/>
      </c>
      <c r="BX158">
        <f>IF($G158=0,"",INDEX(BB$4:BB$183,V158))</f>
        <v/>
      </c>
      <c r="BY158">
        <f>IF($G158=0,"",INDEX(BL$4:BL$183,Z158))</f>
        <v/>
      </c>
      <c r="BZ158">
        <f>IF($G158=0,"",INDEX(BV$4:BV$183,AD158))</f>
        <v/>
      </c>
    </row>
    <row r="159">
      <c r="A159" t="n">
        <v>156</v>
      </c>
      <c r="B159" t="n">
        <v>26</v>
      </c>
      <c r="C159" t="n">
        <v>2</v>
      </c>
      <c r="D159" t="n">
        <v>3</v>
      </c>
      <c r="E159" t="n">
        <v>52</v>
      </c>
      <c r="F159">
        <f>RAND()</f>
        <v/>
      </c>
      <c r="G159">
        <f>IF(SUMPRODUCT(($F$4:$F$183&lt;F159)*1)+SUMPRODUCT(($F$4:$F$183=F159)*($A$4:$A$183&lt;A159))&lt;Passengers,1,0)</f>
        <v/>
      </c>
      <c r="H159">
        <f>RAND()</f>
        <v/>
      </c>
      <c r="I159">
        <f>RAND()</f>
        <v/>
      </c>
      <c r="J159">
        <f>RAND()</f>
        <v/>
      </c>
      <c r="K159">
        <f>RAND()</f>
        <v/>
      </c>
      <c r="L159">
        <f>RAND()</f>
        <v/>
      </c>
      <c r="M159">
        <f>IF(K159&lt;BagShare,EXP(NORMSINV(L159)*StowSigma+StowMu),StowNoBag)</f>
        <v/>
      </c>
      <c r="N159">
        <f>IF(INDEX($AG$4:$AG$63,E159)&lt;GroupShare,1,0)</f>
        <v/>
      </c>
      <c r="P159">
        <f>IF(G159=1,IF(I159&gt;Compliance,J159,$H159),2)</f>
        <v/>
      </c>
      <c r="Q159">
        <f>IF(G159=0,2,IF(N159=0,P159,1-SUMPRODUCT(MAX(($E$4:$E$183=E159)*($G$4:$G$183=1)*(1-P$4:P$183)))+0.000000001*D159))</f>
        <v/>
      </c>
      <c r="R159">
        <f>IF(G159=0,999,SUMPRODUCT((Q$4:Q$183&lt;Q159)*($G$4:$G$183=1))+SUMPRODUCT((Q$4:Q$183=Q159)*($G$4:$G$183=1)*($A$4:$A$183&lt;A159))+1)</f>
        <v/>
      </c>
      <c r="T159">
        <f>IF(G159=1,IF(I159&gt;Compliance,J159,(INT((30-$B159)/(30/Zones))+$H159)/Zones),2)</f>
        <v/>
      </c>
      <c r="U159">
        <f>IF(G159=0,2,IF(N159=0,T159,1-SUMPRODUCT(MAX(($E$4:$E$183=E159)*($G$4:$G$183=1)*(1-T$4:T$183)))+0.000000001*D159))</f>
        <v/>
      </c>
      <c r="V159">
        <f>IF(G159=0,999,SUMPRODUCT((U$4:U$183&lt;U159)*($G$4:$G$183=1))+SUMPRODUCT((U$4:U$183=U159)*($G$4:$G$183=1)*($A$4:$A$183&lt;A159))+1)</f>
        <v/>
      </c>
      <c r="X159">
        <f>IF(G159=1,IF(I159&gt;Compliance,J159,(($D159-1)+$H159)/3),2)</f>
        <v/>
      </c>
      <c r="Y159">
        <f>IF(G159=0,2,IF(N159=0,X159,1-SUMPRODUCT(MAX(($E$4:$E$183=E159)*($G$4:$G$183=1)*(1-X$4:X$183)))+0.000000001*D159))</f>
        <v/>
      </c>
      <c r="Z159">
        <f>IF(G159=0,999,SUMPRODUCT((Y$4:Y$183&lt;Y159)*($G$4:$G$183=1))+SUMPRODUCT((Y$4:Y$183=Y159)*($G$4:$G$183=1)*($A$4:$A$183&lt;A159))+1)</f>
        <v/>
      </c>
      <c r="AB159">
        <f>IF(G159=1,IF(I159&gt;Compliance,J159,((($D159-1)*4+($C159-1)*2+MOD($B159,2))+(30-$B159)/30)/12),2)</f>
        <v/>
      </c>
      <c r="AC159">
        <f>IF(G159=0,2,IF(N159=0,AB159,1-SUMPRODUCT(MAX(($E$4:$E$183=E159)*($G$4:$G$183=1)*(1-AB$4:AB$183)))+0.000000001*D159))</f>
        <v/>
      </c>
      <c r="AD159">
        <f>IF(G159=0,999,SUMPRODUCT((AC$4:AC$183&lt;AC159)*($G$4:$G$183=1))+SUMPRODUCT((AC$4:AC$183=AC159)*($G$4:$G$183=1)*($A$4:$A$183&lt;A159))+1)</f>
        <v/>
      </c>
      <c r="AI159" t="n">
        <v>156</v>
      </c>
      <c r="AJ159">
        <f>IF(156&gt;Passengers,"",MATCH(156,R$4:R$183,0))</f>
        <v/>
      </c>
      <c r="AK159">
        <f>IF(AJ159="","",INDEX($B$4:$B$183,AJ159))</f>
        <v/>
      </c>
      <c r="AL159">
        <f>IF(AJ159="","",INDEX($C$4:$C$183,AJ159))</f>
        <v/>
      </c>
      <c r="AM159">
        <f>IF(AJ159="","",INDEX($D$4:$D$183,AJ159))</f>
        <v/>
      </c>
      <c r="AN159">
        <f>IF(AJ159="","",COUNTIFS($B$4:$B$183,AK159,$C$4:$C$183,AL159,$D$4:$D$183,"&gt;"&amp;AM159,R$4:R$183,"&lt;"&amp;156,$G$4:$G$183,1))</f>
        <v/>
      </c>
      <c r="AO159">
        <f>IF(AJ159="","",INDEX($M$4:$M$183,AJ159)+IF(AN159=1,Shuffle1,IF(AN159&gt;=2,Shuffle2,0)))</f>
        <v/>
      </c>
      <c r="AP159">
        <f>IF(AJ159="","",MAX(DoorGap*155,SUMPRODUCT(MAX((AK$4:AK158&lt;=AK159)*AQ$4:AQ158)),SUMPRODUCT(MAX((AK$4:AK158&gt;AK159)*AP$4:AP158))+Headway))</f>
        <v/>
      </c>
      <c r="AQ159">
        <f>IF(AJ159="","",AP159+AO159)</f>
        <v/>
      </c>
      <c r="AR159">
        <f>IF(AJ159="","",AQ159+AK159*WalkSec)</f>
        <v/>
      </c>
      <c r="AS159" t="n">
        <v>156</v>
      </c>
      <c r="AT159">
        <f>IF(156&gt;Passengers,"",MATCH(156,V$4:V$183,0))</f>
        <v/>
      </c>
      <c r="AU159">
        <f>IF(AT159="","",INDEX($B$4:$B$183,AT159))</f>
        <v/>
      </c>
      <c r="AV159">
        <f>IF(AT159="","",INDEX($C$4:$C$183,AT159))</f>
        <v/>
      </c>
      <c r="AW159">
        <f>IF(AT159="","",INDEX($D$4:$D$183,AT159))</f>
        <v/>
      </c>
      <c r="AX159">
        <f>IF(AT159="","",COUNTIFS($B$4:$B$183,AU159,$C$4:$C$183,AV159,$D$4:$D$183,"&gt;"&amp;AW159,V$4:V$183,"&lt;"&amp;156,$G$4:$G$183,1))</f>
        <v/>
      </c>
      <c r="AY159">
        <f>IF(AT159="","",INDEX($M$4:$M$183,AT159)+IF(AX159=1,Shuffle1,IF(AX159&gt;=2,Shuffle2,0)))</f>
        <v/>
      </c>
      <c r="AZ159">
        <f>IF(AT159="","",MAX(DoorGap*155,SUMPRODUCT(MAX((AU$4:AU158&lt;=AU159)*BA$4:BA158)),SUMPRODUCT(MAX((AU$4:AU158&gt;AU159)*AZ$4:AZ158))+Headway))</f>
        <v/>
      </c>
      <c r="BA159">
        <f>IF(AT159="","",AZ159+AY159)</f>
        <v/>
      </c>
      <c r="BB159">
        <f>IF(AT159="","",BA159+AU159*WalkSec)</f>
        <v/>
      </c>
      <c r="BC159" t="n">
        <v>156</v>
      </c>
      <c r="BD159">
        <f>IF(156&gt;Passengers,"",MATCH(156,Z$4:Z$183,0))</f>
        <v/>
      </c>
      <c r="BE159">
        <f>IF(BD159="","",INDEX($B$4:$B$183,BD159))</f>
        <v/>
      </c>
      <c r="BF159">
        <f>IF(BD159="","",INDEX($C$4:$C$183,BD159))</f>
        <v/>
      </c>
      <c r="BG159">
        <f>IF(BD159="","",INDEX($D$4:$D$183,BD159))</f>
        <v/>
      </c>
      <c r="BH159">
        <f>IF(BD159="","",COUNTIFS($B$4:$B$183,BE159,$C$4:$C$183,BF159,$D$4:$D$183,"&gt;"&amp;BG159,Z$4:Z$183,"&lt;"&amp;156,$G$4:$G$183,1))</f>
        <v/>
      </c>
      <c r="BI159">
        <f>IF(BD159="","",INDEX($M$4:$M$183,BD159)+IF(BH159=1,Shuffle1,IF(BH159&gt;=2,Shuffle2,0)))</f>
        <v/>
      </c>
      <c r="BJ159">
        <f>IF(BD159="","",MAX(DoorGap*155,SUMPRODUCT(MAX((BE$4:BE158&lt;=BE159)*BK$4:BK158)),SUMPRODUCT(MAX((BE$4:BE158&gt;BE159)*BJ$4:BJ158))+Headway))</f>
        <v/>
      </c>
      <c r="BK159">
        <f>IF(BD159="","",BJ159+BI159)</f>
        <v/>
      </c>
      <c r="BL159">
        <f>IF(BD159="","",BK159+BE159*WalkSec)</f>
        <v/>
      </c>
      <c r="BM159" t="n">
        <v>156</v>
      </c>
      <c r="BN159">
        <f>IF(156&gt;Passengers,"",MATCH(156,AD$4:AD$183,0))</f>
        <v/>
      </c>
      <c r="BO159">
        <f>IF(BN159="","",INDEX($B$4:$B$183,BN159))</f>
        <v/>
      </c>
      <c r="BP159">
        <f>IF(BN159="","",INDEX($C$4:$C$183,BN159))</f>
        <v/>
      </c>
      <c r="BQ159">
        <f>IF(BN159="","",INDEX($D$4:$D$183,BN159))</f>
        <v/>
      </c>
      <c r="BR159">
        <f>IF(BN159="","",COUNTIFS($B$4:$B$183,BO159,$C$4:$C$183,BP159,$D$4:$D$183,"&gt;"&amp;BQ159,AD$4:AD$183,"&lt;"&amp;156,$G$4:$G$183,1))</f>
        <v/>
      </c>
      <c r="BS159">
        <f>IF(BN159="","",INDEX($M$4:$M$183,BN159)+IF(BR159=1,Shuffle1,IF(BR159&gt;=2,Shuffle2,0)))</f>
        <v/>
      </c>
      <c r="BT159">
        <f>IF(BN159="","",MAX(DoorGap*155,SUMPRODUCT(MAX((BO$4:BO158&lt;=BO159)*BU$4:BU158)),SUMPRODUCT(MAX((BO$4:BO158&gt;BO159)*BT$4:BT158))+Headway))</f>
        <v/>
      </c>
      <c r="BU159">
        <f>IF(BN159="","",BT159+BS159)</f>
        <v/>
      </c>
      <c r="BV159">
        <f>IF(BN159="","",BU159+BO159*WalkSec)</f>
        <v/>
      </c>
      <c r="BW159">
        <f>IF($G159=0,"",INDEX(AR$4:AR$183,R159))</f>
        <v/>
      </c>
      <c r="BX159">
        <f>IF($G159=0,"",INDEX(BB$4:BB$183,V159))</f>
        <v/>
      </c>
      <c r="BY159">
        <f>IF($G159=0,"",INDEX(BL$4:BL$183,Z159))</f>
        <v/>
      </c>
      <c r="BZ159">
        <f>IF($G159=0,"",INDEX(BV$4:BV$183,AD159))</f>
        <v/>
      </c>
    </row>
    <row r="160">
      <c r="A160" t="n">
        <v>157</v>
      </c>
      <c r="B160" t="n">
        <v>27</v>
      </c>
      <c r="C160" t="n">
        <v>1</v>
      </c>
      <c r="D160" t="n">
        <v>1</v>
      </c>
      <c r="E160" t="n">
        <v>53</v>
      </c>
      <c r="F160">
        <f>RAND()</f>
        <v/>
      </c>
      <c r="G160">
        <f>IF(SUMPRODUCT(($F$4:$F$183&lt;F160)*1)+SUMPRODUCT(($F$4:$F$183=F160)*($A$4:$A$183&lt;A160))&lt;Passengers,1,0)</f>
        <v/>
      </c>
      <c r="H160">
        <f>RAND()</f>
        <v/>
      </c>
      <c r="I160">
        <f>RAND()</f>
        <v/>
      </c>
      <c r="J160">
        <f>RAND()</f>
        <v/>
      </c>
      <c r="K160">
        <f>RAND()</f>
        <v/>
      </c>
      <c r="L160">
        <f>RAND()</f>
        <v/>
      </c>
      <c r="M160">
        <f>IF(K160&lt;BagShare,EXP(NORMSINV(L160)*StowSigma+StowMu),StowNoBag)</f>
        <v/>
      </c>
      <c r="N160">
        <f>IF(INDEX($AG$4:$AG$63,E160)&lt;GroupShare,1,0)</f>
        <v/>
      </c>
      <c r="P160">
        <f>IF(G160=1,IF(I160&gt;Compliance,J160,$H160),2)</f>
        <v/>
      </c>
      <c r="Q160">
        <f>IF(G160=0,2,IF(N160=0,P160,1-SUMPRODUCT(MAX(($E$4:$E$183=E160)*($G$4:$G$183=1)*(1-P$4:P$183)))+0.000000001*D160))</f>
        <v/>
      </c>
      <c r="R160">
        <f>IF(G160=0,999,SUMPRODUCT((Q$4:Q$183&lt;Q160)*($G$4:$G$183=1))+SUMPRODUCT((Q$4:Q$183=Q160)*($G$4:$G$183=1)*($A$4:$A$183&lt;A160))+1)</f>
        <v/>
      </c>
      <c r="T160">
        <f>IF(G160=1,IF(I160&gt;Compliance,J160,(INT((30-$B160)/(30/Zones))+$H160)/Zones),2)</f>
        <v/>
      </c>
      <c r="U160">
        <f>IF(G160=0,2,IF(N160=0,T160,1-SUMPRODUCT(MAX(($E$4:$E$183=E160)*($G$4:$G$183=1)*(1-T$4:T$183)))+0.000000001*D160))</f>
        <v/>
      </c>
      <c r="V160">
        <f>IF(G160=0,999,SUMPRODUCT((U$4:U$183&lt;U160)*($G$4:$G$183=1))+SUMPRODUCT((U$4:U$183=U160)*($G$4:$G$183=1)*($A$4:$A$183&lt;A160))+1)</f>
        <v/>
      </c>
      <c r="X160">
        <f>IF(G160=1,IF(I160&gt;Compliance,J160,(($D160-1)+$H160)/3),2)</f>
        <v/>
      </c>
      <c r="Y160">
        <f>IF(G160=0,2,IF(N160=0,X160,1-SUMPRODUCT(MAX(($E$4:$E$183=E160)*($G$4:$G$183=1)*(1-X$4:X$183)))+0.000000001*D160))</f>
        <v/>
      </c>
      <c r="Z160">
        <f>IF(G160=0,999,SUMPRODUCT((Y$4:Y$183&lt;Y160)*($G$4:$G$183=1))+SUMPRODUCT((Y$4:Y$183=Y160)*($G$4:$G$183=1)*($A$4:$A$183&lt;A160))+1)</f>
        <v/>
      </c>
      <c r="AB160">
        <f>IF(G160=1,IF(I160&gt;Compliance,J160,((($D160-1)*4+($C160-1)*2+MOD($B160,2))+(30-$B160)/30)/12),2)</f>
        <v/>
      </c>
      <c r="AC160">
        <f>IF(G160=0,2,IF(N160=0,AB160,1-SUMPRODUCT(MAX(($E$4:$E$183=E160)*($G$4:$G$183=1)*(1-AB$4:AB$183)))+0.000000001*D160))</f>
        <v/>
      </c>
      <c r="AD160">
        <f>IF(G160=0,999,SUMPRODUCT((AC$4:AC$183&lt;AC160)*($G$4:$G$183=1))+SUMPRODUCT((AC$4:AC$183=AC160)*($G$4:$G$183=1)*($A$4:$A$183&lt;A160))+1)</f>
        <v/>
      </c>
      <c r="AI160" t="n">
        <v>157</v>
      </c>
      <c r="AJ160">
        <f>IF(157&gt;Passengers,"",MATCH(157,R$4:R$183,0))</f>
        <v/>
      </c>
      <c r="AK160">
        <f>IF(AJ160="","",INDEX($B$4:$B$183,AJ160))</f>
        <v/>
      </c>
      <c r="AL160">
        <f>IF(AJ160="","",INDEX($C$4:$C$183,AJ160))</f>
        <v/>
      </c>
      <c r="AM160">
        <f>IF(AJ160="","",INDEX($D$4:$D$183,AJ160))</f>
        <v/>
      </c>
      <c r="AN160">
        <f>IF(AJ160="","",COUNTIFS($B$4:$B$183,AK160,$C$4:$C$183,AL160,$D$4:$D$183,"&gt;"&amp;AM160,R$4:R$183,"&lt;"&amp;157,$G$4:$G$183,1))</f>
        <v/>
      </c>
      <c r="AO160">
        <f>IF(AJ160="","",INDEX($M$4:$M$183,AJ160)+IF(AN160=1,Shuffle1,IF(AN160&gt;=2,Shuffle2,0)))</f>
        <v/>
      </c>
      <c r="AP160">
        <f>IF(AJ160="","",MAX(DoorGap*156,SUMPRODUCT(MAX((AK$4:AK159&lt;=AK160)*AQ$4:AQ159)),SUMPRODUCT(MAX((AK$4:AK159&gt;AK160)*AP$4:AP159))+Headway))</f>
        <v/>
      </c>
      <c r="AQ160">
        <f>IF(AJ160="","",AP160+AO160)</f>
        <v/>
      </c>
      <c r="AR160">
        <f>IF(AJ160="","",AQ160+AK160*WalkSec)</f>
        <v/>
      </c>
      <c r="AS160" t="n">
        <v>157</v>
      </c>
      <c r="AT160">
        <f>IF(157&gt;Passengers,"",MATCH(157,V$4:V$183,0))</f>
        <v/>
      </c>
      <c r="AU160">
        <f>IF(AT160="","",INDEX($B$4:$B$183,AT160))</f>
        <v/>
      </c>
      <c r="AV160">
        <f>IF(AT160="","",INDEX($C$4:$C$183,AT160))</f>
        <v/>
      </c>
      <c r="AW160">
        <f>IF(AT160="","",INDEX($D$4:$D$183,AT160))</f>
        <v/>
      </c>
      <c r="AX160">
        <f>IF(AT160="","",COUNTIFS($B$4:$B$183,AU160,$C$4:$C$183,AV160,$D$4:$D$183,"&gt;"&amp;AW160,V$4:V$183,"&lt;"&amp;157,$G$4:$G$183,1))</f>
        <v/>
      </c>
      <c r="AY160">
        <f>IF(AT160="","",INDEX($M$4:$M$183,AT160)+IF(AX160=1,Shuffle1,IF(AX160&gt;=2,Shuffle2,0)))</f>
        <v/>
      </c>
      <c r="AZ160">
        <f>IF(AT160="","",MAX(DoorGap*156,SUMPRODUCT(MAX((AU$4:AU159&lt;=AU160)*BA$4:BA159)),SUMPRODUCT(MAX((AU$4:AU159&gt;AU160)*AZ$4:AZ159))+Headway))</f>
        <v/>
      </c>
      <c r="BA160">
        <f>IF(AT160="","",AZ160+AY160)</f>
        <v/>
      </c>
      <c r="BB160">
        <f>IF(AT160="","",BA160+AU160*WalkSec)</f>
        <v/>
      </c>
      <c r="BC160" t="n">
        <v>157</v>
      </c>
      <c r="BD160">
        <f>IF(157&gt;Passengers,"",MATCH(157,Z$4:Z$183,0))</f>
        <v/>
      </c>
      <c r="BE160">
        <f>IF(BD160="","",INDEX($B$4:$B$183,BD160))</f>
        <v/>
      </c>
      <c r="BF160">
        <f>IF(BD160="","",INDEX($C$4:$C$183,BD160))</f>
        <v/>
      </c>
      <c r="BG160">
        <f>IF(BD160="","",INDEX($D$4:$D$183,BD160))</f>
        <v/>
      </c>
      <c r="BH160">
        <f>IF(BD160="","",COUNTIFS($B$4:$B$183,BE160,$C$4:$C$183,BF160,$D$4:$D$183,"&gt;"&amp;BG160,Z$4:Z$183,"&lt;"&amp;157,$G$4:$G$183,1))</f>
        <v/>
      </c>
      <c r="BI160">
        <f>IF(BD160="","",INDEX($M$4:$M$183,BD160)+IF(BH160=1,Shuffle1,IF(BH160&gt;=2,Shuffle2,0)))</f>
        <v/>
      </c>
      <c r="BJ160">
        <f>IF(BD160="","",MAX(DoorGap*156,SUMPRODUCT(MAX((BE$4:BE159&lt;=BE160)*BK$4:BK159)),SUMPRODUCT(MAX((BE$4:BE159&gt;BE160)*BJ$4:BJ159))+Headway))</f>
        <v/>
      </c>
      <c r="BK160">
        <f>IF(BD160="","",BJ160+BI160)</f>
        <v/>
      </c>
      <c r="BL160">
        <f>IF(BD160="","",BK160+BE160*WalkSec)</f>
        <v/>
      </c>
      <c r="BM160" t="n">
        <v>157</v>
      </c>
      <c r="BN160">
        <f>IF(157&gt;Passengers,"",MATCH(157,AD$4:AD$183,0))</f>
        <v/>
      </c>
      <c r="BO160">
        <f>IF(BN160="","",INDEX($B$4:$B$183,BN160))</f>
        <v/>
      </c>
      <c r="BP160">
        <f>IF(BN160="","",INDEX($C$4:$C$183,BN160))</f>
        <v/>
      </c>
      <c r="BQ160">
        <f>IF(BN160="","",INDEX($D$4:$D$183,BN160))</f>
        <v/>
      </c>
      <c r="BR160">
        <f>IF(BN160="","",COUNTIFS($B$4:$B$183,BO160,$C$4:$C$183,BP160,$D$4:$D$183,"&gt;"&amp;BQ160,AD$4:AD$183,"&lt;"&amp;157,$G$4:$G$183,1))</f>
        <v/>
      </c>
      <c r="BS160">
        <f>IF(BN160="","",INDEX($M$4:$M$183,BN160)+IF(BR160=1,Shuffle1,IF(BR160&gt;=2,Shuffle2,0)))</f>
        <v/>
      </c>
      <c r="BT160">
        <f>IF(BN160="","",MAX(DoorGap*156,SUMPRODUCT(MAX((BO$4:BO159&lt;=BO160)*BU$4:BU159)),SUMPRODUCT(MAX((BO$4:BO159&gt;BO160)*BT$4:BT159))+Headway))</f>
        <v/>
      </c>
      <c r="BU160">
        <f>IF(BN160="","",BT160+BS160)</f>
        <v/>
      </c>
      <c r="BV160">
        <f>IF(BN160="","",BU160+BO160*WalkSec)</f>
        <v/>
      </c>
      <c r="BW160">
        <f>IF($G160=0,"",INDEX(AR$4:AR$183,R160))</f>
        <v/>
      </c>
      <c r="BX160">
        <f>IF($G160=0,"",INDEX(BB$4:BB$183,V160))</f>
        <v/>
      </c>
      <c r="BY160">
        <f>IF($G160=0,"",INDEX(BL$4:BL$183,Z160))</f>
        <v/>
      </c>
      <c r="BZ160">
        <f>IF($G160=0,"",INDEX(BV$4:BV$183,AD160))</f>
        <v/>
      </c>
    </row>
    <row r="161">
      <c r="A161" t="n">
        <v>158</v>
      </c>
      <c r="B161" t="n">
        <v>27</v>
      </c>
      <c r="C161" t="n">
        <v>1</v>
      </c>
      <c r="D161" t="n">
        <v>2</v>
      </c>
      <c r="E161" t="n">
        <v>53</v>
      </c>
      <c r="F161">
        <f>RAND()</f>
        <v/>
      </c>
      <c r="G161">
        <f>IF(SUMPRODUCT(($F$4:$F$183&lt;F161)*1)+SUMPRODUCT(($F$4:$F$183=F161)*($A$4:$A$183&lt;A161))&lt;Passengers,1,0)</f>
        <v/>
      </c>
      <c r="H161">
        <f>RAND()</f>
        <v/>
      </c>
      <c r="I161">
        <f>RAND()</f>
        <v/>
      </c>
      <c r="J161">
        <f>RAND()</f>
        <v/>
      </c>
      <c r="K161">
        <f>RAND()</f>
        <v/>
      </c>
      <c r="L161">
        <f>RAND()</f>
        <v/>
      </c>
      <c r="M161">
        <f>IF(K161&lt;BagShare,EXP(NORMSINV(L161)*StowSigma+StowMu),StowNoBag)</f>
        <v/>
      </c>
      <c r="N161">
        <f>IF(INDEX($AG$4:$AG$63,E161)&lt;GroupShare,1,0)</f>
        <v/>
      </c>
      <c r="P161">
        <f>IF(G161=1,IF(I161&gt;Compliance,J161,$H161),2)</f>
        <v/>
      </c>
      <c r="Q161">
        <f>IF(G161=0,2,IF(N161=0,P161,1-SUMPRODUCT(MAX(($E$4:$E$183=E161)*($G$4:$G$183=1)*(1-P$4:P$183)))+0.000000001*D161))</f>
        <v/>
      </c>
      <c r="R161">
        <f>IF(G161=0,999,SUMPRODUCT((Q$4:Q$183&lt;Q161)*($G$4:$G$183=1))+SUMPRODUCT((Q$4:Q$183=Q161)*($G$4:$G$183=1)*($A$4:$A$183&lt;A161))+1)</f>
        <v/>
      </c>
      <c r="T161">
        <f>IF(G161=1,IF(I161&gt;Compliance,J161,(INT((30-$B161)/(30/Zones))+$H161)/Zones),2)</f>
        <v/>
      </c>
      <c r="U161">
        <f>IF(G161=0,2,IF(N161=0,T161,1-SUMPRODUCT(MAX(($E$4:$E$183=E161)*($G$4:$G$183=1)*(1-T$4:T$183)))+0.000000001*D161))</f>
        <v/>
      </c>
      <c r="V161">
        <f>IF(G161=0,999,SUMPRODUCT((U$4:U$183&lt;U161)*($G$4:$G$183=1))+SUMPRODUCT((U$4:U$183=U161)*($G$4:$G$183=1)*($A$4:$A$183&lt;A161))+1)</f>
        <v/>
      </c>
      <c r="X161">
        <f>IF(G161=1,IF(I161&gt;Compliance,J161,(($D161-1)+$H161)/3),2)</f>
        <v/>
      </c>
      <c r="Y161">
        <f>IF(G161=0,2,IF(N161=0,X161,1-SUMPRODUCT(MAX(($E$4:$E$183=E161)*($G$4:$G$183=1)*(1-X$4:X$183)))+0.000000001*D161))</f>
        <v/>
      </c>
      <c r="Z161">
        <f>IF(G161=0,999,SUMPRODUCT((Y$4:Y$183&lt;Y161)*($G$4:$G$183=1))+SUMPRODUCT((Y$4:Y$183=Y161)*($G$4:$G$183=1)*($A$4:$A$183&lt;A161))+1)</f>
        <v/>
      </c>
      <c r="AB161">
        <f>IF(G161=1,IF(I161&gt;Compliance,J161,((($D161-1)*4+($C161-1)*2+MOD($B161,2))+(30-$B161)/30)/12),2)</f>
        <v/>
      </c>
      <c r="AC161">
        <f>IF(G161=0,2,IF(N161=0,AB161,1-SUMPRODUCT(MAX(($E$4:$E$183=E161)*($G$4:$G$183=1)*(1-AB$4:AB$183)))+0.000000001*D161))</f>
        <v/>
      </c>
      <c r="AD161">
        <f>IF(G161=0,999,SUMPRODUCT((AC$4:AC$183&lt;AC161)*($G$4:$G$183=1))+SUMPRODUCT((AC$4:AC$183=AC161)*($G$4:$G$183=1)*($A$4:$A$183&lt;A161))+1)</f>
        <v/>
      </c>
      <c r="AI161" t="n">
        <v>158</v>
      </c>
      <c r="AJ161">
        <f>IF(158&gt;Passengers,"",MATCH(158,R$4:R$183,0))</f>
        <v/>
      </c>
      <c r="AK161">
        <f>IF(AJ161="","",INDEX($B$4:$B$183,AJ161))</f>
        <v/>
      </c>
      <c r="AL161">
        <f>IF(AJ161="","",INDEX($C$4:$C$183,AJ161))</f>
        <v/>
      </c>
      <c r="AM161">
        <f>IF(AJ161="","",INDEX($D$4:$D$183,AJ161))</f>
        <v/>
      </c>
      <c r="AN161">
        <f>IF(AJ161="","",COUNTIFS($B$4:$B$183,AK161,$C$4:$C$183,AL161,$D$4:$D$183,"&gt;"&amp;AM161,R$4:R$183,"&lt;"&amp;158,$G$4:$G$183,1))</f>
        <v/>
      </c>
      <c r="AO161">
        <f>IF(AJ161="","",INDEX($M$4:$M$183,AJ161)+IF(AN161=1,Shuffle1,IF(AN161&gt;=2,Shuffle2,0)))</f>
        <v/>
      </c>
      <c r="AP161">
        <f>IF(AJ161="","",MAX(DoorGap*157,SUMPRODUCT(MAX((AK$4:AK160&lt;=AK161)*AQ$4:AQ160)),SUMPRODUCT(MAX((AK$4:AK160&gt;AK161)*AP$4:AP160))+Headway))</f>
        <v/>
      </c>
      <c r="AQ161">
        <f>IF(AJ161="","",AP161+AO161)</f>
        <v/>
      </c>
      <c r="AR161">
        <f>IF(AJ161="","",AQ161+AK161*WalkSec)</f>
        <v/>
      </c>
      <c r="AS161" t="n">
        <v>158</v>
      </c>
      <c r="AT161">
        <f>IF(158&gt;Passengers,"",MATCH(158,V$4:V$183,0))</f>
        <v/>
      </c>
      <c r="AU161">
        <f>IF(AT161="","",INDEX($B$4:$B$183,AT161))</f>
        <v/>
      </c>
      <c r="AV161">
        <f>IF(AT161="","",INDEX($C$4:$C$183,AT161))</f>
        <v/>
      </c>
      <c r="AW161">
        <f>IF(AT161="","",INDEX($D$4:$D$183,AT161))</f>
        <v/>
      </c>
      <c r="AX161">
        <f>IF(AT161="","",COUNTIFS($B$4:$B$183,AU161,$C$4:$C$183,AV161,$D$4:$D$183,"&gt;"&amp;AW161,V$4:V$183,"&lt;"&amp;158,$G$4:$G$183,1))</f>
        <v/>
      </c>
      <c r="AY161">
        <f>IF(AT161="","",INDEX($M$4:$M$183,AT161)+IF(AX161=1,Shuffle1,IF(AX161&gt;=2,Shuffle2,0)))</f>
        <v/>
      </c>
      <c r="AZ161">
        <f>IF(AT161="","",MAX(DoorGap*157,SUMPRODUCT(MAX((AU$4:AU160&lt;=AU161)*BA$4:BA160)),SUMPRODUCT(MAX((AU$4:AU160&gt;AU161)*AZ$4:AZ160))+Headway))</f>
        <v/>
      </c>
      <c r="BA161">
        <f>IF(AT161="","",AZ161+AY161)</f>
        <v/>
      </c>
      <c r="BB161">
        <f>IF(AT161="","",BA161+AU161*WalkSec)</f>
        <v/>
      </c>
      <c r="BC161" t="n">
        <v>158</v>
      </c>
      <c r="BD161">
        <f>IF(158&gt;Passengers,"",MATCH(158,Z$4:Z$183,0))</f>
        <v/>
      </c>
      <c r="BE161">
        <f>IF(BD161="","",INDEX($B$4:$B$183,BD161))</f>
        <v/>
      </c>
      <c r="BF161">
        <f>IF(BD161="","",INDEX($C$4:$C$183,BD161))</f>
        <v/>
      </c>
      <c r="BG161">
        <f>IF(BD161="","",INDEX($D$4:$D$183,BD161))</f>
        <v/>
      </c>
      <c r="BH161">
        <f>IF(BD161="","",COUNTIFS($B$4:$B$183,BE161,$C$4:$C$183,BF161,$D$4:$D$183,"&gt;"&amp;BG161,Z$4:Z$183,"&lt;"&amp;158,$G$4:$G$183,1))</f>
        <v/>
      </c>
      <c r="BI161">
        <f>IF(BD161="","",INDEX($M$4:$M$183,BD161)+IF(BH161=1,Shuffle1,IF(BH161&gt;=2,Shuffle2,0)))</f>
        <v/>
      </c>
      <c r="BJ161">
        <f>IF(BD161="","",MAX(DoorGap*157,SUMPRODUCT(MAX((BE$4:BE160&lt;=BE161)*BK$4:BK160)),SUMPRODUCT(MAX((BE$4:BE160&gt;BE161)*BJ$4:BJ160))+Headway))</f>
        <v/>
      </c>
      <c r="BK161">
        <f>IF(BD161="","",BJ161+BI161)</f>
        <v/>
      </c>
      <c r="BL161">
        <f>IF(BD161="","",BK161+BE161*WalkSec)</f>
        <v/>
      </c>
      <c r="BM161" t="n">
        <v>158</v>
      </c>
      <c r="BN161">
        <f>IF(158&gt;Passengers,"",MATCH(158,AD$4:AD$183,0))</f>
        <v/>
      </c>
      <c r="BO161">
        <f>IF(BN161="","",INDEX($B$4:$B$183,BN161))</f>
        <v/>
      </c>
      <c r="BP161">
        <f>IF(BN161="","",INDEX($C$4:$C$183,BN161))</f>
        <v/>
      </c>
      <c r="BQ161">
        <f>IF(BN161="","",INDEX($D$4:$D$183,BN161))</f>
        <v/>
      </c>
      <c r="BR161">
        <f>IF(BN161="","",COUNTIFS($B$4:$B$183,BO161,$C$4:$C$183,BP161,$D$4:$D$183,"&gt;"&amp;BQ161,AD$4:AD$183,"&lt;"&amp;158,$G$4:$G$183,1))</f>
        <v/>
      </c>
      <c r="BS161">
        <f>IF(BN161="","",INDEX($M$4:$M$183,BN161)+IF(BR161=1,Shuffle1,IF(BR161&gt;=2,Shuffle2,0)))</f>
        <v/>
      </c>
      <c r="BT161">
        <f>IF(BN161="","",MAX(DoorGap*157,SUMPRODUCT(MAX((BO$4:BO160&lt;=BO161)*BU$4:BU160)),SUMPRODUCT(MAX((BO$4:BO160&gt;BO161)*BT$4:BT160))+Headway))</f>
        <v/>
      </c>
      <c r="BU161">
        <f>IF(BN161="","",BT161+BS161)</f>
        <v/>
      </c>
      <c r="BV161">
        <f>IF(BN161="","",BU161+BO161*WalkSec)</f>
        <v/>
      </c>
      <c r="BW161">
        <f>IF($G161=0,"",INDEX(AR$4:AR$183,R161))</f>
        <v/>
      </c>
      <c r="BX161">
        <f>IF($G161=0,"",INDEX(BB$4:BB$183,V161))</f>
        <v/>
      </c>
      <c r="BY161">
        <f>IF($G161=0,"",INDEX(BL$4:BL$183,Z161))</f>
        <v/>
      </c>
      <c r="BZ161">
        <f>IF($G161=0,"",INDEX(BV$4:BV$183,AD161))</f>
        <v/>
      </c>
    </row>
    <row r="162">
      <c r="A162" t="n">
        <v>159</v>
      </c>
      <c r="B162" t="n">
        <v>27</v>
      </c>
      <c r="C162" t="n">
        <v>1</v>
      </c>
      <c r="D162" t="n">
        <v>3</v>
      </c>
      <c r="E162" t="n">
        <v>53</v>
      </c>
      <c r="F162">
        <f>RAND()</f>
        <v/>
      </c>
      <c r="G162">
        <f>IF(SUMPRODUCT(($F$4:$F$183&lt;F162)*1)+SUMPRODUCT(($F$4:$F$183=F162)*($A$4:$A$183&lt;A162))&lt;Passengers,1,0)</f>
        <v/>
      </c>
      <c r="H162">
        <f>RAND()</f>
        <v/>
      </c>
      <c r="I162">
        <f>RAND()</f>
        <v/>
      </c>
      <c r="J162">
        <f>RAND()</f>
        <v/>
      </c>
      <c r="K162">
        <f>RAND()</f>
        <v/>
      </c>
      <c r="L162">
        <f>RAND()</f>
        <v/>
      </c>
      <c r="M162">
        <f>IF(K162&lt;BagShare,EXP(NORMSINV(L162)*StowSigma+StowMu),StowNoBag)</f>
        <v/>
      </c>
      <c r="N162">
        <f>IF(INDEX($AG$4:$AG$63,E162)&lt;GroupShare,1,0)</f>
        <v/>
      </c>
      <c r="P162">
        <f>IF(G162=1,IF(I162&gt;Compliance,J162,$H162),2)</f>
        <v/>
      </c>
      <c r="Q162">
        <f>IF(G162=0,2,IF(N162=0,P162,1-SUMPRODUCT(MAX(($E$4:$E$183=E162)*($G$4:$G$183=1)*(1-P$4:P$183)))+0.000000001*D162))</f>
        <v/>
      </c>
      <c r="R162">
        <f>IF(G162=0,999,SUMPRODUCT((Q$4:Q$183&lt;Q162)*($G$4:$G$183=1))+SUMPRODUCT((Q$4:Q$183=Q162)*($G$4:$G$183=1)*($A$4:$A$183&lt;A162))+1)</f>
        <v/>
      </c>
      <c r="T162">
        <f>IF(G162=1,IF(I162&gt;Compliance,J162,(INT((30-$B162)/(30/Zones))+$H162)/Zones),2)</f>
        <v/>
      </c>
      <c r="U162">
        <f>IF(G162=0,2,IF(N162=0,T162,1-SUMPRODUCT(MAX(($E$4:$E$183=E162)*($G$4:$G$183=1)*(1-T$4:T$183)))+0.000000001*D162))</f>
        <v/>
      </c>
      <c r="V162">
        <f>IF(G162=0,999,SUMPRODUCT((U$4:U$183&lt;U162)*($G$4:$G$183=1))+SUMPRODUCT((U$4:U$183=U162)*($G$4:$G$183=1)*($A$4:$A$183&lt;A162))+1)</f>
        <v/>
      </c>
      <c r="X162">
        <f>IF(G162=1,IF(I162&gt;Compliance,J162,(($D162-1)+$H162)/3),2)</f>
        <v/>
      </c>
      <c r="Y162">
        <f>IF(G162=0,2,IF(N162=0,X162,1-SUMPRODUCT(MAX(($E$4:$E$183=E162)*($G$4:$G$183=1)*(1-X$4:X$183)))+0.000000001*D162))</f>
        <v/>
      </c>
      <c r="Z162">
        <f>IF(G162=0,999,SUMPRODUCT((Y$4:Y$183&lt;Y162)*($G$4:$G$183=1))+SUMPRODUCT((Y$4:Y$183=Y162)*($G$4:$G$183=1)*($A$4:$A$183&lt;A162))+1)</f>
        <v/>
      </c>
      <c r="AB162">
        <f>IF(G162=1,IF(I162&gt;Compliance,J162,((($D162-1)*4+($C162-1)*2+MOD($B162,2))+(30-$B162)/30)/12),2)</f>
        <v/>
      </c>
      <c r="AC162">
        <f>IF(G162=0,2,IF(N162=0,AB162,1-SUMPRODUCT(MAX(($E$4:$E$183=E162)*($G$4:$G$183=1)*(1-AB$4:AB$183)))+0.000000001*D162))</f>
        <v/>
      </c>
      <c r="AD162">
        <f>IF(G162=0,999,SUMPRODUCT((AC$4:AC$183&lt;AC162)*($G$4:$G$183=1))+SUMPRODUCT((AC$4:AC$183=AC162)*($G$4:$G$183=1)*($A$4:$A$183&lt;A162))+1)</f>
        <v/>
      </c>
      <c r="AI162" t="n">
        <v>159</v>
      </c>
      <c r="AJ162">
        <f>IF(159&gt;Passengers,"",MATCH(159,R$4:R$183,0))</f>
        <v/>
      </c>
      <c r="AK162">
        <f>IF(AJ162="","",INDEX($B$4:$B$183,AJ162))</f>
        <v/>
      </c>
      <c r="AL162">
        <f>IF(AJ162="","",INDEX($C$4:$C$183,AJ162))</f>
        <v/>
      </c>
      <c r="AM162">
        <f>IF(AJ162="","",INDEX($D$4:$D$183,AJ162))</f>
        <v/>
      </c>
      <c r="AN162">
        <f>IF(AJ162="","",COUNTIFS($B$4:$B$183,AK162,$C$4:$C$183,AL162,$D$4:$D$183,"&gt;"&amp;AM162,R$4:R$183,"&lt;"&amp;159,$G$4:$G$183,1))</f>
        <v/>
      </c>
      <c r="AO162">
        <f>IF(AJ162="","",INDEX($M$4:$M$183,AJ162)+IF(AN162=1,Shuffle1,IF(AN162&gt;=2,Shuffle2,0)))</f>
        <v/>
      </c>
      <c r="AP162">
        <f>IF(AJ162="","",MAX(DoorGap*158,SUMPRODUCT(MAX((AK$4:AK161&lt;=AK162)*AQ$4:AQ161)),SUMPRODUCT(MAX((AK$4:AK161&gt;AK162)*AP$4:AP161))+Headway))</f>
        <v/>
      </c>
      <c r="AQ162">
        <f>IF(AJ162="","",AP162+AO162)</f>
        <v/>
      </c>
      <c r="AR162">
        <f>IF(AJ162="","",AQ162+AK162*WalkSec)</f>
        <v/>
      </c>
      <c r="AS162" t="n">
        <v>159</v>
      </c>
      <c r="AT162">
        <f>IF(159&gt;Passengers,"",MATCH(159,V$4:V$183,0))</f>
        <v/>
      </c>
      <c r="AU162">
        <f>IF(AT162="","",INDEX($B$4:$B$183,AT162))</f>
        <v/>
      </c>
      <c r="AV162">
        <f>IF(AT162="","",INDEX($C$4:$C$183,AT162))</f>
        <v/>
      </c>
      <c r="AW162">
        <f>IF(AT162="","",INDEX($D$4:$D$183,AT162))</f>
        <v/>
      </c>
      <c r="AX162">
        <f>IF(AT162="","",COUNTIFS($B$4:$B$183,AU162,$C$4:$C$183,AV162,$D$4:$D$183,"&gt;"&amp;AW162,V$4:V$183,"&lt;"&amp;159,$G$4:$G$183,1))</f>
        <v/>
      </c>
      <c r="AY162">
        <f>IF(AT162="","",INDEX($M$4:$M$183,AT162)+IF(AX162=1,Shuffle1,IF(AX162&gt;=2,Shuffle2,0)))</f>
        <v/>
      </c>
      <c r="AZ162">
        <f>IF(AT162="","",MAX(DoorGap*158,SUMPRODUCT(MAX((AU$4:AU161&lt;=AU162)*BA$4:BA161)),SUMPRODUCT(MAX((AU$4:AU161&gt;AU162)*AZ$4:AZ161))+Headway))</f>
        <v/>
      </c>
      <c r="BA162">
        <f>IF(AT162="","",AZ162+AY162)</f>
        <v/>
      </c>
      <c r="BB162">
        <f>IF(AT162="","",BA162+AU162*WalkSec)</f>
        <v/>
      </c>
      <c r="BC162" t="n">
        <v>159</v>
      </c>
      <c r="BD162">
        <f>IF(159&gt;Passengers,"",MATCH(159,Z$4:Z$183,0))</f>
        <v/>
      </c>
      <c r="BE162">
        <f>IF(BD162="","",INDEX($B$4:$B$183,BD162))</f>
        <v/>
      </c>
      <c r="BF162">
        <f>IF(BD162="","",INDEX($C$4:$C$183,BD162))</f>
        <v/>
      </c>
      <c r="BG162">
        <f>IF(BD162="","",INDEX($D$4:$D$183,BD162))</f>
        <v/>
      </c>
      <c r="BH162">
        <f>IF(BD162="","",COUNTIFS($B$4:$B$183,BE162,$C$4:$C$183,BF162,$D$4:$D$183,"&gt;"&amp;BG162,Z$4:Z$183,"&lt;"&amp;159,$G$4:$G$183,1))</f>
        <v/>
      </c>
      <c r="BI162">
        <f>IF(BD162="","",INDEX($M$4:$M$183,BD162)+IF(BH162=1,Shuffle1,IF(BH162&gt;=2,Shuffle2,0)))</f>
        <v/>
      </c>
      <c r="BJ162">
        <f>IF(BD162="","",MAX(DoorGap*158,SUMPRODUCT(MAX((BE$4:BE161&lt;=BE162)*BK$4:BK161)),SUMPRODUCT(MAX((BE$4:BE161&gt;BE162)*BJ$4:BJ161))+Headway))</f>
        <v/>
      </c>
      <c r="BK162">
        <f>IF(BD162="","",BJ162+BI162)</f>
        <v/>
      </c>
      <c r="BL162">
        <f>IF(BD162="","",BK162+BE162*WalkSec)</f>
        <v/>
      </c>
      <c r="BM162" t="n">
        <v>159</v>
      </c>
      <c r="BN162">
        <f>IF(159&gt;Passengers,"",MATCH(159,AD$4:AD$183,0))</f>
        <v/>
      </c>
      <c r="BO162">
        <f>IF(BN162="","",INDEX($B$4:$B$183,BN162))</f>
        <v/>
      </c>
      <c r="BP162">
        <f>IF(BN162="","",INDEX($C$4:$C$183,BN162))</f>
        <v/>
      </c>
      <c r="BQ162">
        <f>IF(BN162="","",INDEX($D$4:$D$183,BN162))</f>
        <v/>
      </c>
      <c r="BR162">
        <f>IF(BN162="","",COUNTIFS($B$4:$B$183,BO162,$C$4:$C$183,BP162,$D$4:$D$183,"&gt;"&amp;BQ162,AD$4:AD$183,"&lt;"&amp;159,$G$4:$G$183,1))</f>
        <v/>
      </c>
      <c r="BS162">
        <f>IF(BN162="","",INDEX($M$4:$M$183,BN162)+IF(BR162=1,Shuffle1,IF(BR162&gt;=2,Shuffle2,0)))</f>
        <v/>
      </c>
      <c r="BT162">
        <f>IF(BN162="","",MAX(DoorGap*158,SUMPRODUCT(MAX((BO$4:BO161&lt;=BO162)*BU$4:BU161)),SUMPRODUCT(MAX((BO$4:BO161&gt;BO162)*BT$4:BT161))+Headway))</f>
        <v/>
      </c>
      <c r="BU162">
        <f>IF(BN162="","",BT162+BS162)</f>
        <v/>
      </c>
      <c r="BV162">
        <f>IF(BN162="","",BU162+BO162*WalkSec)</f>
        <v/>
      </c>
      <c r="BW162">
        <f>IF($G162=0,"",INDEX(AR$4:AR$183,R162))</f>
        <v/>
      </c>
      <c r="BX162">
        <f>IF($G162=0,"",INDEX(BB$4:BB$183,V162))</f>
        <v/>
      </c>
      <c r="BY162">
        <f>IF($G162=0,"",INDEX(BL$4:BL$183,Z162))</f>
        <v/>
      </c>
      <c r="BZ162">
        <f>IF($G162=0,"",INDEX(BV$4:BV$183,AD162))</f>
        <v/>
      </c>
    </row>
    <row r="163">
      <c r="A163" t="n">
        <v>160</v>
      </c>
      <c r="B163" t="n">
        <v>27</v>
      </c>
      <c r="C163" t="n">
        <v>2</v>
      </c>
      <c r="D163" t="n">
        <v>1</v>
      </c>
      <c r="E163" t="n">
        <v>54</v>
      </c>
      <c r="F163">
        <f>RAND()</f>
        <v/>
      </c>
      <c r="G163">
        <f>IF(SUMPRODUCT(($F$4:$F$183&lt;F163)*1)+SUMPRODUCT(($F$4:$F$183=F163)*($A$4:$A$183&lt;A163))&lt;Passengers,1,0)</f>
        <v/>
      </c>
      <c r="H163">
        <f>RAND()</f>
        <v/>
      </c>
      <c r="I163">
        <f>RAND()</f>
        <v/>
      </c>
      <c r="J163">
        <f>RAND()</f>
        <v/>
      </c>
      <c r="K163">
        <f>RAND()</f>
        <v/>
      </c>
      <c r="L163">
        <f>RAND()</f>
        <v/>
      </c>
      <c r="M163">
        <f>IF(K163&lt;BagShare,EXP(NORMSINV(L163)*StowSigma+StowMu),StowNoBag)</f>
        <v/>
      </c>
      <c r="N163">
        <f>IF(INDEX($AG$4:$AG$63,E163)&lt;GroupShare,1,0)</f>
        <v/>
      </c>
      <c r="P163">
        <f>IF(G163=1,IF(I163&gt;Compliance,J163,$H163),2)</f>
        <v/>
      </c>
      <c r="Q163">
        <f>IF(G163=0,2,IF(N163=0,P163,1-SUMPRODUCT(MAX(($E$4:$E$183=E163)*($G$4:$G$183=1)*(1-P$4:P$183)))+0.000000001*D163))</f>
        <v/>
      </c>
      <c r="R163">
        <f>IF(G163=0,999,SUMPRODUCT((Q$4:Q$183&lt;Q163)*($G$4:$G$183=1))+SUMPRODUCT((Q$4:Q$183=Q163)*($G$4:$G$183=1)*($A$4:$A$183&lt;A163))+1)</f>
        <v/>
      </c>
      <c r="T163">
        <f>IF(G163=1,IF(I163&gt;Compliance,J163,(INT((30-$B163)/(30/Zones))+$H163)/Zones),2)</f>
        <v/>
      </c>
      <c r="U163">
        <f>IF(G163=0,2,IF(N163=0,T163,1-SUMPRODUCT(MAX(($E$4:$E$183=E163)*($G$4:$G$183=1)*(1-T$4:T$183)))+0.000000001*D163))</f>
        <v/>
      </c>
      <c r="V163">
        <f>IF(G163=0,999,SUMPRODUCT((U$4:U$183&lt;U163)*($G$4:$G$183=1))+SUMPRODUCT((U$4:U$183=U163)*($G$4:$G$183=1)*($A$4:$A$183&lt;A163))+1)</f>
        <v/>
      </c>
      <c r="X163">
        <f>IF(G163=1,IF(I163&gt;Compliance,J163,(($D163-1)+$H163)/3),2)</f>
        <v/>
      </c>
      <c r="Y163">
        <f>IF(G163=0,2,IF(N163=0,X163,1-SUMPRODUCT(MAX(($E$4:$E$183=E163)*($G$4:$G$183=1)*(1-X$4:X$183)))+0.000000001*D163))</f>
        <v/>
      </c>
      <c r="Z163">
        <f>IF(G163=0,999,SUMPRODUCT((Y$4:Y$183&lt;Y163)*($G$4:$G$183=1))+SUMPRODUCT((Y$4:Y$183=Y163)*($G$4:$G$183=1)*($A$4:$A$183&lt;A163))+1)</f>
        <v/>
      </c>
      <c r="AB163">
        <f>IF(G163=1,IF(I163&gt;Compliance,J163,((($D163-1)*4+($C163-1)*2+MOD($B163,2))+(30-$B163)/30)/12),2)</f>
        <v/>
      </c>
      <c r="AC163">
        <f>IF(G163=0,2,IF(N163=0,AB163,1-SUMPRODUCT(MAX(($E$4:$E$183=E163)*($G$4:$G$183=1)*(1-AB$4:AB$183)))+0.000000001*D163))</f>
        <v/>
      </c>
      <c r="AD163">
        <f>IF(G163=0,999,SUMPRODUCT((AC$4:AC$183&lt;AC163)*($G$4:$G$183=1))+SUMPRODUCT((AC$4:AC$183=AC163)*($G$4:$G$183=1)*($A$4:$A$183&lt;A163))+1)</f>
        <v/>
      </c>
      <c r="AI163" t="n">
        <v>160</v>
      </c>
      <c r="AJ163">
        <f>IF(160&gt;Passengers,"",MATCH(160,R$4:R$183,0))</f>
        <v/>
      </c>
      <c r="AK163">
        <f>IF(AJ163="","",INDEX($B$4:$B$183,AJ163))</f>
        <v/>
      </c>
      <c r="AL163">
        <f>IF(AJ163="","",INDEX($C$4:$C$183,AJ163))</f>
        <v/>
      </c>
      <c r="AM163">
        <f>IF(AJ163="","",INDEX($D$4:$D$183,AJ163))</f>
        <v/>
      </c>
      <c r="AN163">
        <f>IF(AJ163="","",COUNTIFS($B$4:$B$183,AK163,$C$4:$C$183,AL163,$D$4:$D$183,"&gt;"&amp;AM163,R$4:R$183,"&lt;"&amp;160,$G$4:$G$183,1))</f>
        <v/>
      </c>
      <c r="AO163">
        <f>IF(AJ163="","",INDEX($M$4:$M$183,AJ163)+IF(AN163=1,Shuffle1,IF(AN163&gt;=2,Shuffle2,0)))</f>
        <v/>
      </c>
      <c r="AP163">
        <f>IF(AJ163="","",MAX(DoorGap*159,SUMPRODUCT(MAX((AK$4:AK162&lt;=AK163)*AQ$4:AQ162)),SUMPRODUCT(MAX((AK$4:AK162&gt;AK163)*AP$4:AP162))+Headway))</f>
        <v/>
      </c>
      <c r="AQ163">
        <f>IF(AJ163="","",AP163+AO163)</f>
        <v/>
      </c>
      <c r="AR163">
        <f>IF(AJ163="","",AQ163+AK163*WalkSec)</f>
        <v/>
      </c>
      <c r="AS163" t="n">
        <v>160</v>
      </c>
      <c r="AT163">
        <f>IF(160&gt;Passengers,"",MATCH(160,V$4:V$183,0))</f>
        <v/>
      </c>
      <c r="AU163">
        <f>IF(AT163="","",INDEX($B$4:$B$183,AT163))</f>
        <v/>
      </c>
      <c r="AV163">
        <f>IF(AT163="","",INDEX($C$4:$C$183,AT163))</f>
        <v/>
      </c>
      <c r="AW163">
        <f>IF(AT163="","",INDEX($D$4:$D$183,AT163))</f>
        <v/>
      </c>
      <c r="AX163">
        <f>IF(AT163="","",COUNTIFS($B$4:$B$183,AU163,$C$4:$C$183,AV163,$D$4:$D$183,"&gt;"&amp;AW163,V$4:V$183,"&lt;"&amp;160,$G$4:$G$183,1))</f>
        <v/>
      </c>
      <c r="AY163">
        <f>IF(AT163="","",INDEX($M$4:$M$183,AT163)+IF(AX163=1,Shuffle1,IF(AX163&gt;=2,Shuffle2,0)))</f>
        <v/>
      </c>
      <c r="AZ163">
        <f>IF(AT163="","",MAX(DoorGap*159,SUMPRODUCT(MAX((AU$4:AU162&lt;=AU163)*BA$4:BA162)),SUMPRODUCT(MAX((AU$4:AU162&gt;AU163)*AZ$4:AZ162))+Headway))</f>
        <v/>
      </c>
      <c r="BA163">
        <f>IF(AT163="","",AZ163+AY163)</f>
        <v/>
      </c>
      <c r="BB163">
        <f>IF(AT163="","",BA163+AU163*WalkSec)</f>
        <v/>
      </c>
      <c r="BC163" t="n">
        <v>160</v>
      </c>
      <c r="BD163">
        <f>IF(160&gt;Passengers,"",MATCH(160,Z$4:Z$183,0))</f>
        <v/>
      </c>
      <c r="BE163">
        <f>IF(BD163="","",INDEX($B$4:$B$183,BD163))</f>
        <v/>
      </c>
      <c r="BF163">
        <f>IF(BD163="","",INDEX($C$4:$C$183,BD163))</f>
        <v/>
      </c>
      <c r="BG163">
        <f>IF(BD163="","",INDEX($D$4:$D$183,BD163))</f>
        <v/>
      </c>
      <c r="BH163">
        <f>IF(BD163="","",COUNTIFS($B$4:$B$183,BE163,$C$4:$C$183,BF163,$D$4:$D$183,"&gt;"&amp;BG163,Z$4:Z$183,"&lt;"&amp;160,$G$4:$G$183,1))</f>
        <v/>
      </c>
      <c r="BI163">
        <f>IF(BD163="","",INDEX($M$4:$M$183,BD163)+IF(BH163=1,Shuffle1,IF(BH163&gt;=2,Shuffle2,0)))</f>
        <v/>
      </c>
      <c r="BJ163">
        <f>IF(BD163="","",MAX(DoorGap*159,SUMPRODUCT(MAX((BE$4:BE162&lt;=BE163)*BK$4:BK162)),SUMPRODUCT(MAX((BE$4:BE162&gt;BE163)*BJ$4:BJ162))+Headway))</f>
        <v/>
      </c>
      <c r="BK163">
        <f>IF(BD163="","",BJ163+BI163)</f>
        <v/>
      </c>
      <c r="BL163">
        <f>IF(BD163="","",BK163+BE163*WalkSec)</f>
        <v/>
      </c>
      <c r="BM163" t="n">
        <v>160</v>
      </c>
      <c r="BN163">
        <f>IF(160&gt;Passengers,"",MATCH(160,AD$4:AD$183,0))</f>
        <v/>
      </c>
      <c r="BO163">
        <f>IF(BN163="","",INDEX($B$4:$B$183,BN163))</f>
        <v/>
      </c>
      <c r="BP163">
        <f>IF(BN163="","",INDEX($C$4:$C$183,BN163))</f>
        <v/>
      </c>
      <c r="BQ163">
        <f>IF(BN163="","",INDEX($D$4:$D$183,BN163))</f>
        <v/>
      </c>
      <c r="BR163">
        <f>IF(BN163="","",COUNTIFS($B$4:$B$183,BO163,$C$4:$C$183,BP163,$D$4:$D$183,"&gt;"&amp;BQ163,AD$4:AD$183,"&lt;"&amp;160,$G$4:$G$183,1))</f>
        <v/>
      </c>
      <c r="BS163">
        <f>IF(BN163="","",INDEX($M$4:$M$183,BN163)+IF(BR163=1,Shuffle1,IF(BR163&gt;=2,Shuffle2,0)))</f>
        <v/>
      </c>
      <c r="BT163">
        <f>IF(BN163="","",MAX(DoorGap*159,SUMPRODUCT(MAX((BO$4:BO162&lt;=BO163)*BU$4:BU162)),SUMPRODUCT(MAX((BO$4:BO162&gt;BO163)*BT$4:BT162))+Headway))</f>
        <v/>
      </c>
      <c r="BU163">
        <f>IF(BN163="","",BT163+BS163)</f>
        <v/>
      </c>
      <c r="BV163">
        <f>IF(BN163="","",BU163+BO163*WalkSec)</f>
        <v/>
      </c>
      <c r="BW163">
        <f>IF($G163=0,"",INDEX(AR$4:AR$183,R163))</f>
        <v/>
      </c>
      <c r="BX163">
        <f>IF($G163=0,"",INDEX(BB$4:BB$183,V163))</f>
        <v/>
      </c>
      <c r="BY163">
        <f>IF($G163=0,"",INDEX(BL$4:BL$183,Z163))</f>
        <v/>
      </c>
      <c r="BZ163">
        <f>IF($G163=0,"",INDEX(BV$4:BV$183,AD163))</f>
        <v/>
      </c>
    </row>
    <row r="164">
      <c r="A164" t="n">
        <v>161</v>
      </c>
      <c r="B164" t="n">
        <v>27</v>
      </c>
      <c r="C164" t="n">
        <v>2</v>
      </c>
      <c r="D164" t="n">
        <v>2</v>
      </c>
      <c r="E164" t="n">
        <v>54</v>
      </c>
      <c r="F164">
        <f>RAND()</f>
        <v/>
      </c>
      <c r="G164">
        <f>IF(SUMPRODUCT(($F$4:$F$183&lt;F164)*1)+SUMPRODUCT(($F$4:$F$183=F164)*($A$4:$A$183&lt;A164))&lt;Passengers,1,0)</f>
        <v/>
      </c>
      <c r="H164">
        <f>RAND()</f>
        <v/>
      </c>
      <c r="I164">
        <f>RAND()</f>
        <v/>
      </c>
      <c r="J164">
        <f>RAND()</f>
        <v/>
      </c>
      <c r="K164">
        <f>RAND()</f>
        <v/>
      </c>
      <c r="L164">
        <f>RAND()</f>
        <v/>
      </c>
      <c r="M164">
        <f>IF(K164&lt;BagShare,EXP(NORMSINV(L164)*StowSigma+StowMu),StowNoBag)</f>
        <v/>
      </c>
      <c r="N164">
        <f>IF(INDEX($AG$4:$AG$63,E164)&lt;GroupShare,1,0)</f>
        <v/>
      </c>
      <c r="P164">
        <f>IF(G164=1,IF(I164&gt;Compliance,J164,$H164),2)</f>
        <v/>
      </c>
      <c r="Q164">
        <f>IF(G164=0,2,IF(N164=0,P164,1-SUMPRODUCT(MAX(($E$4:$E$183=E164)*($G$4:$G$183=1)*(1-P$4:P$183)))+0.000000001*D164))</f>
        <v/>
      </c>
      <c r="R164">
        <f>IF(G164=0,999,SUMPRODUCT((Q$4:Q$183&lt;Q164)*($G$4:$G$183=1))+SUMPRODUCT((Q$4:Q$183=Q164)*($G$4:$G$183=1)*($A$4:$A$183&lt;A164))+1)</f>
        <v/>
      </c>
      <c r="T164">
        <f>IF(G164=1,IF(I164&gt;Compliance,J164,(INT((30-$B164)/(30/Zones))+$H164)/Zones),2)</f>
        <v/>
      </c>
      <c r="U164">
        <f>IF(G164=0,2,IF(N164=0,T164,1-SUMPRODUCT(MAX(($E$4:$E$183=E164)*($G$4:$G$183=1)*(1-T$4:T$183)))+0.000000001*D164))</f>
        <v/>
      </c>
      <c r="V164">
        <f>IF(G164=0,999,SUMPRODUCT((U$4:U$183&lt;U164)*($G$4:$G$183=1))+SUMPRODUCT((U$4:U$183=U164)*($G$4:$G$183=1)*($A$4:$A$183&lt;A164))+1)</f>
        <v/>
      </c>
      <c r="X164">
        <f>IF(G164=1,IF(I164&gt;Compliance,J164,(($D164-1)+$H164)/3),2)</f>
        <v/>
      </c>
      <c r="Y164">
        <f>IF(G164=0,2,IF(N164=0,X164,1-SUMPRODUCT(MAX(($E$4:$E$183=E164)*($G$4:$G$183=1)*(1-X$4:X$183)))+0.000000001*D164))</f>
        <v/>
      </c>
      <c r="Z164">
        <f>IF(G164=0,999,SUMPRODUCT((Y$4:Y$183&lt;Y164)*($G$4:$G$183=1))+SUMPRODUCT((Y$4:Y$183=Y164)*($G$4:$G$183=1)*($A$4:$A$183&lt;A164))+1)</f>
        <v/>
      </c>
      <c r="AB164">
        <f>IF(G164=1,IF(I164&gt;Compliance,J164,((($D164-1)*4+($C164-1)*2+MOD($B164,2))+(30-$B164)/30)/12),2)</f>
        <v/>
      </c>
      <c r="AC164">
        <f>IF(G164=0,2,IF(N164=0,AB164,1-SUMPRODUCT(MAX(($E$4:$E$183=E164)*($G$4:$G$183=1)*(1-AB$4:AB$183)))+0.000000001*D164))</f>
        <v/>
      </c>
      <c r="AD164">
        <f>IF(G164=0,999,SUMPRODUCT((AC$4:AC$183&lt;AC164)*($G$4:$G$183=1))+SUMPRODUCT((AC$4:AC$183=AC164)*($G$4:$G$183=1)*($A$4:$A$183&lt;A164))+1)</f>
        <v/>
      </c>
      <c r="AI164" t="n">
        <v>161</v>
      </c>
      <c r="AJ164">
        <f>IF(161&gt;Passengers,"",MATCH(161,R$4:R$183,0))</f>
        <v/>
      </c>
      <c r="AK164">
        <f>IF(AJ164="","",INDEX($B$4:$B$183,AJ164))</f>
        <v/>
      </c>
      <c r="AL164">
        <f>IF(AJ164="","",INDEX($C$4:$C$183,AJ164))</f>
        <v/>
      </c>
      <c r="AM164">
        <f>IF(AJ164="","",INDEX($D$4:$D$183,AJ164))</f>
        <v/>
      </c>
      <c r="AN164">
        <f>IF(AJ164="","",COUNTIFS($B$4:$B$183,AK164,$C$4:$C$183,AL164,$D$4:$D$183,"&gt;"&amp;AM164,R$4:R$183,"&lt;"&amp;161,$G$4:$G$183,1))</f>
        <v/>
      </c>
      <c r="AO164">
        <f>IF(AJ164="","",INDEX($M$4:$M$183,AJ164)+IF(AN164=1,Shuffle1,IF(AN164&gt;=2,Shuffle2,0)))</f>
        <v/>
      </c>
      <c r="AP164">
        <f>IF(AJ164="","",MAX(DoorGap*160,SUMPRODUCT(MAX((AK$4:AK163&lt;=AK164)*AQ$4:AQ163)),SUMPRODUCT(MAX((AK$4:AK163&gt;AK164)*AP$4:AP163))+Headway))</f>
        <v/>
      </c>
      <c r="AQ164">
        <f>IF(AJ164="","",AP164+AO164)</f>
        <v/>
      </c>
      <c r="AR164">
        <f>IF(AJ164="","",AQ164+AK164*WalkSec)</f>
        <v/>
      </c>
      <c r="AS164" t="n">
        <v>161</v>
      </c>
      <c r="AT164">
        <f>IF(161&gt;Passengers,"",MATCH(161,V$4:V$183,0))</f>
        <v/>
      </c>
      <c r="AU164">
        <f>IF(AT164="","",INDEX($B$4:$B$183,AT164))</f>
        <v/>
      </c>
      <c r="AV164">
        <f>IF(AT164="","",INDEX($C$4:$C$183,AT164))</f>
        <v/>
      </c>
      <c r="AW164">
        <f>IF(AT164="","",INDEX($D$4:$D$183,AT164))</f>
        <v/>
      </c>
      <c r="AX164">
        <f>IF(AT164="","",COUNTIFS($B$4:$B$183,AU164,$C$4:$C$183,AV164,$D$4:$D$183,"&gt;"&amp;AW164,V$4:V$183,"&lt;"&amp;161,$G$4:$G$183,1))</f>
        <v/>
      </c>
      <c r="AY164">
        <f>IF(AT164="","",INDEX($M$4:$M$183,AT164)+IF(AX164=1,Shuffle1,IF(AX164&gt;=2,Shuffle2,0)))</f>
        <v/>
      </c>
      <c r="AZ164">
        <f>IF(AT164="","",MAX(DoorGap*160,SUMPRODUCT(MAX((AU$4:AU163&lt;=AU164)*BA$4:BA163)),SUMPRODUCT(MAX((AU$4:AU163&gt;AU164)*AZ$4:AZ163))+Headway))</f>
        <v/>
      </c>
      <c r="BA164">
        <f>IF(AT164="","",AZ164+AY164)</f>
        <v/>
      </c>
      <c r="BB164">
        <f>IF(AT164="","",BA164+AU164*WalkSec)</f>
        <v/>
      </c>
      <c r="BC164" t="n">
        <v>161</v>
      </c>
      <c r="BD164">
        <f>IF(161&gt;Passengers,"",MATCH(161,Z$4:Z$183,0))</f>
        <v/>
      </c>
      <c r="BE164">
        <f>IF(BD164="","",INDEX($B$4:$B$183,BD164))</f>
        <v/>
      </c>
      <c r="BF164">
        <f>IF(BD164="","",INDEX($C$4:$C$183,BD164))</f>
        <v/>
      </c>
      <c r="BG164">
        <f>IF(BD164="","",INDEX($D$4:$D$183,BD164))</f>
        <v/>
      </c>
      <c r="BH164">
        <f>IF(BD164="","",COUNTIFS($B$4:$B$183,BE164,$C$4:$C$183,BF164,$D$4:$D$183,"&gt;"&amp;BG164,Z$4:Z$183,"&lt;"&amp;161,$G$4:$G$183,1))</f>
        <v/>
      </c>
      <c r="BI164">
        <f>IF(BD164="","",INDEX($M$4:$M$183,BD164)+IF(BH164=1,Shuffle1,IF(BH164&gt;=2,Shuffle2,0)))</f>
        <v/>
      </c>
      <c r="BJ164">
        <f>IF(BD164="","",MAX(DoorGap*160,SUMPRODUCT(MAX((BE$4:BE163&lt;=BE164)*BK$4:BK163)),SUMPRODUCT(MAX((BE$4:BE163&gt;BE164)*BJ$4:BJ163))+Headway))</f>
        <v/>
      </c>
      <c r="BK164">
        <f>IF(BD164="","",BJ164+BI164)</f>
        <v/>
      </c>
      <c r="BL164">
        <f>IF(BD164="","",BK164+BE164*WalkSec)</f>
        <v/>
      </c>
      <c r="BM164" t="n">
        <v>161</v>
      </c>
      <c r="BN164">
        <f>IF(161&gt;Passengers,"",MATCH(161,AD$4:AD$183,0))</f>
        <v/>
      </c>
      <c r="BO164">
        <f>IF(BN164="","",INDEX($B$4:$B$183,BN164))</f>
        <v/>
      </c>
      <c r="BP164">
        <f>IF(BN164="","",INDEX($C$4:$C$183,BN164))</f>
        <v/>
      </c>
      <c r="BQ164">
        <f>IF(BN164="","",INDEX($D$4:$D$183,BN164))</f>
        <v/>
      </c>
      <c r="BR164">
        <f>IF(BN164="","",COUNTIFS($B$4:$B$183,BO164,$C$4:$C$183,BP164,$D$4:$D$183,"&gt;"&amp;BQ164,AD$4:AD$183,"&lt;"&amp;161,$G$4:$G$183,1))</f>
        <v/>
      </c>
      <c r="BS164">
        <f>IF(BN164="","",INDEX($M$4:$M$183,BN164)+IF(BR164=1,Shuffle1,IF(BR164&gt;=2,Shuffle2,0)))</f>
        <v/>
      </c>
      <c r="BT164">
        <f>IF(BN164="","",MAX(DoorGap*160,SUMPRODUCT(MAX((BO$4:BO163&lt;=BO164)*BU$4:BU163)),SUMPRODUCT(MAX((BO$4:BO163&gt;BO164)*BT$4:BT163))+Headway))</f>
        <v/>
      </c>
      <c r="BU164">
        <f>IF(BN164="","",BT164+BS164)</f>
        <v/>
      </c>
      <c r="BV164">
        <f>IF(BN164="","",BU164+BO164*WalkSec)</f>
        <v/>
      </c>
      <c r="BW164">
        <f>IF($G164=0,"",INDEX(AR$4:AR$183,R164))</f>
        <v/>
      </c>
      <c r="BX164">
        <f>IF($G164=0,"",INDEX(BB$4:BB$183,V164))</f>
        <v/>
      </c>
      <c r="BY164">
        <f>IF($G164=0,"",INDEX(BL$4:BL$183,Z164))</f>
        <v/>
      </c>
      <c r="BZ164">
        <f>IF($G164=0,"",INDEX(BV$4:BV$183,AD164))</f>
        <v/>
      </c>
    </row>
    <row r="165">
      <c r="A165" t="n">
        <v>162</v>
      </c>
      <c r="B165" t="n">
        <v>27</v>
      </c>
      <c r="C165" t="n">
        <v>2</v>
      </c>
      <c r="D165" t="n">
        <v>3</v>
      </c>
      <c r="E165" t="n">
        <v>54</v>
      </c>
      <c r="F165">
        <f>RAND()</f>
        <v/>
      </c>
      <c r="G165">
        <f>IF(SUMPRODUCT(($F$4:$F$183&lt;F165)*1)+SUMPRODUCT(($F$4:$F$183=F165)*($A$4:$A$183&lt;A165))&lt;Passengers,1,0)</f>
        <v/>
      </c>
      <c r="H165">
        <f>RAND()</f>
        <v/>
      </c>
      <c r="I165">
        <f>RAND()</f>
        <v/>
      </c>
      <c r="J165">
        <f>RAND()</f>
        <v/>
      </c>
      <c r="K165">
        <f>RAND()</f>
        <v/>
      </c>
      <c r="L165">
        <f>RAND()</f>
        <v/>
      </c>
      <c r="M165">
        <f>IF(K165&lt;BagShare,EXP(NORMSINV(L165)*StowSigma+StowMu),StowNoBag)</f>
        <v/>
      </c>
      <c r="N165">
        <f>IF(INDEX($AG$4:$AG$63,E165)&lt;GroupShare,1,0)</f>
        <v/>
      </c>
      <c r="P165">
        <f>IF(G165=1,IF(I165&gt;Compliance,J165,$H165),2)</f>
        <v/>
      </c>
      <c r="Q165">
        <f>IF(G165=0,2,IF(N165=0,P165,1-SUMPRODUCT(MAX(($E$4:$E$183=E165)*($G$4:$G$183=1)*(1-P$4:P$183)))+0.000000001*D165))</f>
        <v/>
      </c>
      <c r="R165">
        <f>IF(G165=0,999,SUMPRODUCT((Q$4:Q$183&lt;Q165)*($G$4:$G$183=1))+SUMPRODUCT((Q$4:Q$183=Q165)*($G$4:$G$183=1)*($A$4:$A$183&lt;A165))+1)</f>
        <v/>
      </c>
      <c r="T165">
        <f>IF(G165=1,IF(I165&gt;Compliance,J165,(INT((30-$B165)/(30/Zones))+$H165)/Zones),2)</f>
        <v/>
      </c>
      <c r="U165">
        <f>IF(G165=0,2,IF(N165=0,T165,1-SUMPRODUCT(MAX(($E$4:$E$183=E165)*($G$4:$G$183=1)*(1-T$4:T$183)))+0.000000001*D165))</f>
        <v/>
      </c>
      <c r="V165">
        <f>IF(G165=0,999,SUMPRODUCT((U$4:U$183&lt;U165)*($G$4:$G$183=1))+SUMPRODUCT((U$4:U$183=U165)*($G$4:$G$183=1)*($A$4:$A$183&lt;A165))+1)</f>
        <v/>
      </c>
      <c r="X165">
        <f>IF(G165=1,IF(I165&gt;Compliance,J165,(($D165-1)+$H165)/3),2)</f>
        <v/>
      </c>
      <c r="Y165">
        <f>IF(G165=0,2,IF(N165=0,X165,1-SUMPRODUCT(MAX(($E$4:$E$183=E165)*($G$4:$G$183=1)*(1-X$4:X$183)))+0.000000001*D165))</f>
        <v/>
      </c>
      <c r="Z165">
        <f>IF(G165=0,999,SUMPRODUCT((Y$4:Y$183&lt;Y165)*($G$4:$G$183=1))+SUMPRODUCT((Y$4:Y$183=Y165)*($G$4:$G$183=1)*($A$4:$A$183&lt;A165))+1)</f>
        <v/>
      </c>
      <c r="AB165">
        <f>IF(G165=1,IF(I165&gt;Compliance,J165,((($D165-1)*4+($C165-1)*2+MOD($B165,2))+(30-$B165)/30)/12),2)</f>
        <v/>
      </c>
      <c r="AC165">
        <f>IF(G165=0,2,IF(N165=0,AB165,1-SUMPRODUCT(MAX(($E$4:$E$183=E165)*($G$4:$G$183=1)*(1-AB$4:AB$183)))+0.000000001*D165))</f>
        <v/>
      </c>
      <c r="AD165">
        <f>IF(G165=0,999,SUMPRODUCT((AC$4:AC$183&lt;AC165)*($G$4:$G$183=1))+SUMPRODUCT((AC$4:AC$183=AC165)*($G$4:$G$183=1)*($A$4:$A$183&lt;A165))+1)</f>
        <v/>
      </c>
      <c r="AI165" t="n">
        <v>162</v>
      </c>
      <c r="AJ165">
        <f>IF(162&gt;Passengers,"",MATCH(162,R$4:R$183,0))</f>
        <v/>
      </c>
      <c r="AK165">
        <f>IF(AJ165="","",INDEX($B$4:$B$183,AJ165))</f>
        <v/>
      </c>
      <c r="AL165">
        <f>IF(AJ165="","",INDEX($C$4:$C$183,AJ165))</f>
        <v/>
      </c>
      <c r="AM165">
        <f>IF(AJ165="","",INDEX($D$4:$D$183,AJ165))</f>
        <v/>
      </c>
      <c r="AN165">
        <f>IF(AJ165="","",COUNTIFS($B$4:$B$183,AK165,$C$4:$C$183,AL165,$D$4:$D$183,"&gt;"&amp;AM165,R$4:R$183,"&lt;"&amp;162,$G$4:$G$183,1))</f>
        <v/>
      </c>
      <c r="AO165">
        <f>IF(AJ165="","",INDEX($M$4:$M$183,AJ165)+IF(AN165=1,Shuffle1,IF(AN165&gt;=2,Shuffle2,0)))</f>
        <v/>
      </c>
      <c r="AP165">
        <f>IF(AJ165="","",MAX(DoorGap*161,SUMPRODUCT(MAX((AK$4:AK164&lt;=AK165)*AQ$4:AQ164)),SUMPRODUCT(MAX((AK$4:AK164&gt;AK165)*AP$4:AP164))+Headway))</f>
        <v/>
      </c>
      <c r="AQ165">
        <f>IF(AJ165="","",AP165+AO165)</f>
        <v/>
      </c>
      <c r="AR165">
        <f>IF(AJ165="","",AQ165+AK165*WalkSec)</f>
        <v/>
      </c>
      <c r="AS165" t="n">
        <v>162</v>
      </c>
      <c r="AT165">
        <f>IF(162&gt;Passengers,"",MATCH(162,V$4:V$183,0))</f>
        <v/>
      </c>
      <c r="AU165">
        <f>IF(AT165="","",INDEX($B$4:$B$183,AT165))</f>
        <v/>
      </c>
      <c r="AV165">
        <f>IF(AT165="","",INDEX($C$4:$C$183,AT165))</f>
        <v/>
      </c>
      <c r="AW165">
        <f>IF(AT165="","",INDEX($D$4:$D$183,AT165))</f>
        <v/>
      </c>
      <c r="AX165">
        <f>IF(AT165="","",COUNTIFS($B$4:$B$183,AU165,$C$4:$C$183,AV165,$D$4:$D$183,"&gt;"&amp;AW165,V$4:V$183,"&lt;"&amp;162,$G$4:$G$183,1))</f>
        <v/>
      </c>
      <c r="AY165">
        <f>IF(AT165="","",INDEX($M$4:$M$183,AT165)+IF(AX165=1,Shuffle1,IF(AX165&gt;=2,Shuffle2,0)))</f>
        <v/>
      </c>
      <c r="AZ165">
        <f>IF(AT165="","",MAX(DoorGap*161,SUMPRODUCT(MAX((AU$4:AU164&lt;=AU165)*BA$4:BA164)),SUMPRODUCT(MAX((AU$4:AU164&gt;AU165)*AZ$4:AZ164))+Headway))</f>
        <v/>
      </c>
      <c r="BA165">
        <f>IF(AT165="","",AZ165+AY165)</f>
        <v/>
      </c>
      <c r="BB165">
        <f>IF(AT165="","",BA165+AU165*WalkSec)</f>
        <v/>
      </c>
      <c r="BC165" t="n">
        <v>162</v>
      </c>
      <c r="BD165">
        <f>IF(162&gt;Passengers,"",MATCH(162,Z$4:Z$183,0))</f>
        <v/>
      </c>
      <c r="BE165">
        <f>IF(BD165="","",INDEX($B$4:$B$183,BD165))</f>
        <v/>
      </c>
      <c r="BF165">
        <f>IF(BD165="","",INDEX($C$4:$C$183,BD165))</f>
        <v/>
      </c>
      <c r="BG165">
        <f>IF(BD165="","",INDEX($D$4:$D$183,BD165))</f>
        <v/>
      </c>
      <c r="BH165">
        <f>IF(BD165="","",COUNTIFS($B$4:$B$183,BE165,$C$4:$C$183,BF165,$D$4:$D$183,"&gt;"&amp;BG165,Z$4:Z$183,"&lt;"&amp;162,$G$4:$G$183,1))</f>
        <v/>
      </c>
      <c r="BI165">
        <f>IF(BD165="","",INDEX($M$4:$M$183,BD165)+IF(BH165=1,Shuffle1,IF(BH165&gt;=2,Shuffle2,0)))</f>
        <v/>
      </c>
      <c r="BJ165">
        <f>IF(BD165="","",MAX(DoorGap*161,SUMPRODUCT(MAX((BE$4:BE164&lt;=BE165)*BK$4:BK164)),SUMPRODUCT(MAX((BE$4:BE164&gt;BE165)*BJ$4:BJ164))+Headway))</f>
        <v/>
      </c>
      <c r="BK165">
        <f>IF(BD165="","",BJ165+BI165)</f>
        <v/>
      </c>
      <c r="BL165">
        <f>IF(BD165="","",BK165+BE165*WalkSec)</f>
        <v/>
      </c>
      <c r="BM165" t="n">
        <v>162</v>
      </c>
      <c r="BN165">
        <f>IF(162&gt;Passengers,"",MATCH(162,AD$4:AD$183,0))</f>
        <v/>
      </c>
      <c r="BO165">
        <f>IF(BN165="","",INDEX($B$4:$B$183,BN165))</f>
        <v/>
      </c>
      <c r="BP165">
        <f>IF(BN165="","",INDEX($C$4:$C$183,BN165))</f>
        <v/>
      </c>
      <c r="BQ165">
        <f>IF(BN165="","",INDEX($D$4:$D$183,BN165))</f>
        <v/>
      </c>
      <c r="BR165">
        <f>IF(BN165="","",COUNTIFS($B$4:$B$183,BO165,$C$4:$C$183,BP165,$D$4:$D$183,"&gt;"&amp;BQ165,AD$4:AD$183,"&lt;"&amp;162,$G$4:$G$183,1))</f>
        <v/>
      </c>
      <c r="BS165">
        <f>IF(BN165="","",INDEX($M$4:$M$183,BN165)+IF(BR165=1,Shuffle1,IF(BR165&gt;=2,Shuffle2,0)))</f>
        <v/>
      </c>
      <c r="BT165">
        <f>IF(BN165="","",MAX(DoorGap*161,SUMPRODUCT(MAX((BO$4:BO164&lt;=BO165)*BU$4:BU164)),SUMPRODUCT(MAX((BO$4:BO164&gt;BO165)*BT$4:BT164))+Headway))</f>
        <v/>
      </c>
      <c r="BU165">
        <f>IF(BN165="","",BT165+BS165)</f>
        <v/>
      </c>
      <c r="BV165">
        <f>IF(BN165="","",BU165+BO165*WalkSec)</f>
        <v/>
      </c>
      <c r="BW165">
        <f>IF($G165=0,"",INDEX(AR$4:AR$183,R165))</f>
        <v/>
      </c>
      <c r="BX165">
        <f>IF($G165=0,"",INDEX(BB$4:BB$183,V165))</f>
        <v/>
      </c>
      <c r="BY165">
        <f>IF($G165=0,"",INDEX(BL$4:BL$183,Z165))</f>
        <v/>
      </c>
      <c r="BZ165">
        <f>IF($G165=0,"",INDEX(BV$4:BV$183,AD165))</f>
        <v/>
      </c>
    </row>
    <row r="166">
      <c r="A166" t="n">
        <v>163</v>
      </c>
      <c r="B166" t="n">
        <v>28</v>
      </c>
      <c r="C166" t="n">
        <v>1</v>
      </c>
      <c r="D166" t="n">
        <v>1</v>
      </c>
      <c r="E166" t="n">
        <v>55</v>
      </c>
      <c r="F166">
        <f>RAND()</f>
        <v/>
      </c>
      <c r="G166">
        <f>IF(SUMPRODUCT(($F$4:$F$183&lt;F166)*1)+SUMPRODUCT(($F$4:$F$183=F166)*($A$4:$A$183&lt;A166))&lt;Passengers,1,0)</f>
        <v/>
      </c>
      <c r="H166">
        <f>RAND()</f>
        <v/>
      </c>
      <c r="I166">
        <f>RAND()</f>
        <v/>
      </c>
      <c r="J166">
        <f>RAND()</f>
        <v/>
      </c>
      <c r="K166">
        <f>RAND()</f>
        <v/>
      </c>
      <c r="L166">
        <f>RAND()</f>
        <v/>
      </c>
      <c r="M166">
        <f>IF(K166&lt;BagShare,EXP(NORMSINV(L166)*StowSigma+StowMu),StowNoBag)</f>
        <v/>
      </c>
      <c r="N166">
        <f>IF(INDEX($AG$4:$AG$63,E166)&lt;GroupShare,1,0)</f>
        <v/>
      </c>
      <c r="P166">
        <f>IF(G166=1,IF(I166&gt;Compliance,J166,$H166),2)</f>
        <v/>
      </c>
      <c r="Q166">
        <f>IF(G166=0,2,IF(N166=0,P166,1-SUMPRODUCT(MAX(($E$4:$E$183=E166)*($G$4:$G$183=1)*(1-P$4:P$183)))+0.000000001*D166))</f>
        <v/>
      </c>
      <c r="R166">
        <f>IF(G166=0,999,SUMPRODUCT((Q$4:Q$183&lt;Q166)*($G$4:$G$183=1))+SUMPRODUCT((Q$4:Q$183=Q166)*($G$4:$G$183=1)*($A$4:$A$183&lt;A166))+1)</f>
        <v/>
      </c>
      <c r="T166">
        <f>IF(G166=1,IF(I166&gt;Compliance,J166,(INT((30-$B166)/(30/Zones))+$H166)/Zones),2)</f>
        <v/>
      </c>
      <c r="U166">
        <f>IF(G166=0,2,IF(N166=0,T166,1-SUMPRODUCT(MAX(($E$4:$E$183=E166)*($G$4:$G$183=1)*(1-T$4:T$183)))+0.000000001*D166))</f>
        <v/>
      </c>
      <c r="V166">
        <f>IF(G166=0,999,SUMPRODUCT((U$4:U$183&lt;U166)*($G$4:$G$183=1))+SUMPRODUCT((U$4:U$183=U166)*($G$4:$G$183=1)*($A$4:$A$183&lt;A166))+1)</f>
        <v/>
      </c>
      <c r="X166">
        <f>IF(G166=1,IF(I166&gt;Compliance,J166,(($D166-1)+$H166)/3),2)</f>
        <v/>
      </c>
      <c r="Y166">
        <f>IF(G166=0,2,IF(N166=0,X166,1-SUMPRODUCT(MAX(($E$4:$E$183=E166)*($G$4:$G$183=1)*(1-X$4:X$183)))+0.000000001*D166))</f>
        <v/>
      </c>
      <c r="Z166">
        <f>IF(G166=0,999,SUMPRODUCT((Y$4:Y$183&lt;Y166)*($G$4:$G$183=1))+SUMPRODUCT((Y$4:Y$183=Y166)*($G$4:$G$183=1)*($A$4:$A$183&lt;A166))+1)</f>
        <v/>
      </c>
      <c r="AB166">
        <f>IF(G166=1,IF(I166&gt;Compliance,J166,((($D166-1)*4+($C166-1)*2+MOD($B166,2))+(30-$B166)/30)/12),2)</f>
        <v/>
      </c>
      <c r="AC166">
        <f>IF(G166=0,2,IF(N166=0,AB166,1-SUMPRODUCT(MAX(($E$4:$E$183=E166)*($G$4:$G$183=1)*(1-AB$4:AB$183)))+0.000000001*D166))</f>
        <v/>
      </c>
      <c r="AD166">
        <f>IF(G166=0,999,SUMPRODUCT((AC$4:AC$183&lt;AC166)*($G$4:$G$183=1))+SUMPRODUCT((AC$4:AC$183=AC166)*($G$4:$G$183=1)*($A$4:$A$183&lt;A166))+1)</f>
        <v/>
      </c>
      <c r="AI166" t="n">
        <v>163</v>
      </c>
      <c r="AJ166">
        <f>IF(163&gt;Passengers,"",MATCH(163,R$4:R$183,0))</f>
        <v/>
      </c>
      <c r="AK166">
        <f>IF(AJ166="","",INDEX($B$4:$B$183,AJ166))</f>
        <v/>
      </c>
      <c r="AL166">
        <f>IF(AJ166="","",INDEX($C$4:$C$183,AJ166))</f>
        <v/>
      </c>
      <c r="AM166">
        <f>IF(AJ166="","",INDEX($D$4:$D$183,AJ166))</f>
        <v/>
      </c>
      <c r="AN166">
        <f>IF(AJ166="","",COUNTIFS($B$4:$B$183,AK166,$C$4:$C$183,AL166,$D$4:$D$183,"&gt;"&amp;AM166,R$4:R$183,"&lt;"&amp;163,$G$4:$G$183,1))</f>
        <v/>
      </c>
      <c r="AO166">
        <f>IF(AJ166="","",INDEX($M$4:$M$183,AJ166)+IF(AN166=1,Shuffle1,IF(AN166&gt;=2,Shuffle2,0)))</f>
        <v/>
      </c>
      <c r="AP166">
        <f>IF(AJ166="","",MAX(DoorGap*162,SUMPRODUCT(MAX((AK$4:AK165&lt;=AK166)*AQ$4:AQ165)),SUMPRODUCT(MAX((AK$4:AK165&gt;AK166)*AP$4:AP165))+Headway))</f>
        <v/>
      </c>
      <c r="AQ166">
        <f>IF(AJ166="","",AP166+AO166)</f>
        <v/>
      </c>
      <c r="AR166">
        <f>IF(AJ166="","",AQ166+AK166*WalkSec)</f>
        <v/>
      </c>
      <c r="AS166" t="n">
        <v>163</v>
      </c>
      <c r="AT166">
        <f>IF(163&gt;Passengers,"",MATCH(163,V$4:V$183,0))</f>
        <v/>
      </c>
      <c r="AU166">
        <f>IF(AT166="","",INDEX($B$4:$B$183,AT166))</f>
        <v/>
      </c>
      <c r="AV166">
        <f>IF(AT166="","",INDEX($C$4:$C$183,AT166))</f>
        <v/>
      </c>
      <c r="AW166">
        <f>IF(AT166="","",INDEX($D$4:$D$183,AT166))</f>
        <v/>
      </c>
      <c r="AX166">
        <f>IF(AT166="","",COUNTIFS($B$4:$B$183,AU166,$C$4:$C$183,AV166,$D$4:$D$183,"&gt;"&amp;AW166,V$4:V$183,"&lt;"&amp;163,$G$4:$G$183,1))</f>
        <v/>
      </c>
      <c r="AY166">
        <f>IF(AT166="","",INDEX($M$4:$M$183,AT166)+IF(AX166=1,Shuffle1,IF(AX166&gt;=2,Shuffle2,0)))</f>
        <v/>
      </c>
      <c r="AZ166">
        <f>IF(AT166="","",MAX(DoorGap*162,SUMPRODUCT(MAX((AU$4:AU165&lt;=AU166)*BA$4:BA165)),SUMPRODUCT(MAX((AU$4:AU165&gt;AU166)*AZ$4:AZ165))+Headway))</f>
        <v/>
      </c>
      <c r="BA166">
        <f>IF(AT166="","",AZ166+AY166)</f>
        <v/>
      </c>
      <c r="BB166">
        <f>IF(AT166="","",BA166+AU166*WalkSec)</f>
        <v/>
      </c>
      <c r="BC166" t="n">
        <v>163</v>
      </c>
      <c r="BD166">
        <f>IF(163&gt;Passengers,"",MATCH(163,Z$4:Z$183,0))</f>
        <v/>
      </c>
      <c r="BE166">
        <f>IF(BD166="","",INDEX($B$4:$B$183,BD166))</f>
        <v/>
      </c>
      <c r="BF166">
        <f>IF(BD166="","",INDEX($C$4:$C$183,BD166))</f>
        <v/>
      </c>
      <c r="BG166">
        <f>IF(BD166="","",INDEX($D$4:$D$183,BD166))</f>
        <v/>
      </c>
      <c r="BH166">
        <f>IF(BD166="","",COUNTIFS($B$4:$B$183,BE166,$C$4:$C$183,BF166,$D$4:$D$183,"&gt;"&amp;BG166,Z$4:Z$183,"&lt;"&amp;163,$G$4:$G$183,1))</f>
        <v/>
      </c>
      <c r="BI166">
        <f>IF(BD166="","",INDEX($M$4:$M$183,BD166)+IF(BH166=1,Shuffle1,IF(BH166&gt;=2,Shuffle2,0)))</f>
        <v/>
      </c>
      <c r="BJ166">
        <f>IF(BD166="","",MAX(DoorGap*162,SUMPRODUCT(MAX((BE$4:BE165&lt;=BE166)*BK$4:BK165)),SUMPRODUCT(MAX((BE$4:BE165&gt;BE166)*BJ$4:BJ165))+Headway))</f>
        <v/>
      </c>
      <c r="BK166">
        <f>IF(BD166="","",BJ166+BI166)</f>
        <v/>
      </c>
      <c r="BL166">
        <f>IF(BD166="","",BK166+BE166*WalkSec)</f>
        <v/>
      </c>
      <c r="BM166" t="n">
        <v>163</v>
      </c>
      <c r="BN166">
        <f>IF(163&gt;Passengers,"",MATCH(163,AD$4:AD$183,0))</f>
        <v/>
      </c>
      <c r="BO166">
        <f>IF(BN166="","",INDEX($B$4:$B$183,BN166))</f>
        <v/>
      </c>
      <c r="BP166">
        <f>IF(BN166="","",INDEX($C$4:$C$183,BN166))</f>
        <v/>
      </c>
      <c r="BQ166">
        <f>IF(BN166="","",INDEX($D$4:$D$183,BN166))</f>
        <v/>
      </c>
      <c r="BR166">
        <f>IF(BN166="","",COUNTIFS($B$4:$B$183,BO166,$C$4:$C$183,BP166,$D$4:$D$183,"&gt;"&amp;BQ166,AD$4:AD$183,"&lt;"&amp;163,$G$4:$G$183,1))</f>
        <v/>
      </c>
      <c r="BS166">
        <f>IF(BN166="","",INDEX($M$4:$M$183,BN166)+IF(BR166=1,Shuffle1,IF(BR166&gt;=2,Shuffle2,0)))</f>
        <v/>
      </c>
      <c r="BT166">
        <f>IF(BN166="","",MAX(DoorGap*162,SUMPRODUCT(MAX((BO$4:BO165&lt;=BO166)*BU$4:BU165)),SUMPRODUCT(MAX((BO$4:BO165&gt;BO166)*BT$4:BT165))+Headway))</f>
        <v/>
      </c>
      <c r="BU166">
        <f>IF(BN166="","",BT166+BS166)</f>
        <v/>
      </c>
      <c r="BV166">
        <f>IF(BN166="","",BU166+BO166*WalkSec)</f>
        <v/>
      </c>
      <c r="BW166">
        <f>IF($G166=0,"",INDEX(AR$4:AR$183,R166))</f>
        <v/>
      </c>
      <c r="BX166">
        <f>IF($G166=0,"",INDEX(BB$4:BB$183,V166))</f>
        <v/>
      </c>
      <c r="BY166">
        <f>IF($G166=0,"",INDEX(BL$4:BL$183,Z166))</f>
        <v/>
      </c>
      <c r="BZ166">
        <f>IF($G166=0,"",INDEX(BV$4:BV$183,AD166))</f>
        <v/>
      </c>
    </row>
    <row r="167">
      <c r="A167" t="n">
        <v>164</v>
      </c>
      <c r="B167" t="n">
        <v>28</v>
      </c>
      <c r="C167" t="n">
        <v>1</v>
      </c>
      <c r="D167" t="n">
        <v>2</v>
      </c>
      <c r="E167" t="n">
        <v>55</v>
      </c>
      <c r="F167">
        <f>RAND()</f>
        <v/>
      </c>
      <c r="G167">
        <f>IF(SUMPRODUCT(($F$4:$F$183&lt;F167)*1)+SUMPRODUCT(($F$4:$F$183=F167)*($A$4:$A$183&lt;A167))&lt;Passengers,1,0)</f>
        <v/>
      </c>
      <c r="H167">
        <f>RAND()</f>
        <v/>
      </c>
      <c r="I167">
        <f>RAND()</f>
        <v/>
      </c>
      <c r="J167">
        <f>RAND()</f>
        <v/>
      </c>
      <c r="K167">
        <f>RAND()</f>
        <v/>
      </c>
      <c r="L167">
        <f>RAND()</f>
        <v/>
      </c>
      <c r="M167">
        <f>IF(K167&lt;BagShare,EXP(NORMSINV(L167)*StowSigma+StowMu),StowNoBag)</f>
        <v/>
      </c>
      <c r="N167">
        <f>IF(INDEX($AG$4:$AG$63,E167)&lt;GroupShare,1,0)</f>
        <v/>
      </c>
      <c r="P167">
        <f>IF(G167=1,IF(I167&gt;Compliance,J167,$H167),2)</f>
        <v/>
      </c>
      <c r="Q167">
        <f>IF(G167=0,2,IF(N167=0,P167,1-SUMPRODUCT(MAX(($E$4:$E$183=E167)*($G$4:$G$183=1)*(1-P$4:P$183)))+0.000000001*D167))</f>
        <v/>
      </c>
      <c r="R167">
        <f>IF(G167=0,999,SUMPRODUCT((Q$4:Q$183&lt;Q167)*($G$4:$G$183=1))+SUMPRODUCT((Q$4:Q$183=Q167)*($G$4:$G$183=1)*($A$4:$A$183&lt;A167))+1)</f>
        <v/>
      </c>
      <c r="T167">
        <f>IF(G167=1,IF(I167&gt;Compliance,J167,(INT((30-$B167)/(30/Zones))+$H167)/Zones),2)</f>
        <v/>
      </c>
      <c r="U167">
        <f>IF(G167=0,2,IF(N167=0,T167,1-SUMPRODUCT(MAX(($E$4:$E$183=E167)*($G$4:$G$183=1)*(1-T$4:T$183)))+0.000000001*D167))</f>
        <v/>
      </c>
      <c r="V167">
        <f>IF(G167=0,999,SUMPRODUCT((U$4:U$183&lt;U167)*($G$4:$G$183=1))+SUMPRODUCT((U$4:U$183=U167)*($G$4:$G$183=1)*($A$4:$A$183&lt;A167))+1)</f>
        <v/>
      </c>
      <c r="X167">
        <f>IF(G167=1,IF(I167&gt;Compliance,J167,(($D167-1)+$H167)/3),2)</f>
        <v/>
      </c>
      <c r="Y167">
        <f>IF(G167=0,2,IF(N167=0,X167,1-SUMPRODUCT(MAX(($E$4:$E$183=E167)*($G$4:$G$183=1)*(1-X$4:X$183)))+0.000000001*D167))</f>
        <v/>
      </c>
      <c r="Z167">
        <f>IF(G167=0,999,SUMPRODUCT((Y$4:Y$183&lt;Y167)*($G$4:$G$183=1))+SUMPRODUCT((Y$4:Y$183=Y167)*($G$4:$G$183=1)*($A$4:$A$183&lt;A167))+1)</f>
        <v/>
      </c>
      <c r="AB167">
        <f>IF(G167=1,IF(I167&gt;Compliance,J167,((($D167-1)*4+($C167-1)*2+MOD($B167,2))+(30-$B167)/30)/12),2)</f>
        <v/>
      </c>
      <c r="AC167">
        <f>IF(G167=0,2,IF(N167=0,AB167,1-SUMPRODUCT(MAX(($E$4:$E$183=E167)*($G$4:$G$183=1)*(1-AB$4:AB$183)))+0.000000001*D167))</f>
        <v/>
      </c>
      <c r="AD167">
        <f>IF(G167=0,999,SUMPRODUCT((AC$4:AC$183&lt;AC167)*($G$4:$G$183=1))+SUMPRODUCT((AC$4:AC$183=AC167)*($G$4:$G$183=1)*($A$4:$A$183&lt;A167))+1)</f>
        <v/>
      </c>
      <c r="AI167" t="n">
        <v>164</v>
      </c>
      <c r="AJ167">
        <f>IF(164&gt;Passengers,"",MATCH(164,R$4:R$183,0))</f>
        <v/>
      </c>
      <c r="AK167">
        <f>IF(AJ167="","",INDEX($B$4:$B$183,AJ167))</f>
        <v/>
      </c>
      <c r="AL167">
        <f>IF(AJ167="","",INDEX($C$4:$C$183,AJ167))</f>
        <v/>
      </c>
      <c r="AM167">
        <f>IF(AJ167="","",INDEX($D$4:$D$183,AJ167))</f>
        <v/>
      </c>
      <c r="AN167">
        <f>IF(AJ167="","",COUNTIFS($B$4:$B$183,AK167,$C$4:$C$183,AL167,$D$4:$D$183,"&gt;"&amp;AM167,R$4:R$183,"&lt;"&amp;164,$G$4:$G$183,1))</f>
        <v/>
      </c>
      <c r="AO167">
        <f>IF(AJ167="","",INDEX($M$4:$M$183,AJ167)+IF(AN167=1,Shuffle1,IF(AN167&gt;=2,Shuffle2,0)))</f>
        <v/>
      </c>
      <c r="AP167">
        <f>IF(AJ167="","",MAX(DoorGap*163,SUMPRODUCT(MAX((AK$4:AK166&lt;=AK167)*AQ$4:AQ166)),SUMPRODUCT(MAX((AK$4:AK166&gt;AK167)*AP$4:AP166))+Headway))</f>
        <v/>
      </c>
      <c r="AQ167">
        <f>IF(AJ167="","",AP167+AO167)</f>
        <v/>
      </c>
      <c r="AR167">
        <f>IF(AJ167="","",AQ167+AK167*WalkSec)</f>
        <v/>
      </c>
      <c r="AS167" t="n">
        <v>164</v>
      </c>
      <c r="AT167">
        <f>IF(164&gt;Passengers,"",MATCH(164,V$4:V$183,0))</f>
        <v/>
      </c>
      <c r="AU167">
        <f>IF(AT167="","",INDEX($B$4:$B$183,AT167))</f>
        <v/>
      </c>
      <c r="AV167">
        <f>IF(AT167="","",INDEX($C$4:$C$183,AT167))</f>
        <v/>
      </c>
      <c r="AW167">
        <f>IF(AT167="","",INDEX($D$4:$D$183,AT167))</f>
        <v/>
      </c>
      <c r="AX167">
        <f>IF(AT167="","",COUNTIFS($B$4:$B$183,AU167,$C$4:$C$183,AV167,$D$4:$D$183,"&gt;"&amp;AW167,V$4:V$183,"&lt;"&amp;164,$G$4:$G$183,1))</f>
        <v/>
      </c>
      <c r="AY167">
        <f>IF(AT167="","",INDEX($M$4:$M$183,AT167)+IF(AX167=1,Shuffle1,IF(AX167&gt;=2,Shuffle2,0)))</f>
        <v/>
      </c>
      <c r="AZ167">
        <f>IF(AT167="","",MAX(DoorGap*163,SUMPRODUCT(MAX((AU$4:AU166&lt;=AU167)*BA$4:BA166)),SUMPRODUCT(MAX((AU$4:AU166&gt;AU167)*AZ$4:AZ166))+Headway))</f>
        <v/>
      </c>
      <c r="BA167">
        <f>IF(AT167="","",AZ167+AY167)</f>
        <v/>
      </c>
      <c r="BB167">
        <f>IF(AT167="","",BA167+AU167*WalkSec)</f>
        <v/>
      </c>
      <c r="BC167" t="n">
        <v>164</v>
      </c>
      <c r="BD167">
        <f>IF(164&gt;Passengers,"",MATCH(164,Z$4:Z$183,0))</f>
        <v/>
      </c>
      <c r="BE167">
        <f>IF(BD167="","",INDEX($B$4:$B$183,BD167))</f>
        <v/>
      </c>
      <c r="BF167">
        <f>IF(BD167="","",INDEX($C$4:$C$183,BD167))</f>
        <v/>
      </c>
      <c r="BG167">
        <f>IF(BD167="","",INDEX($D$4:$D$183,BD167))</f>
        <v/>
      </c>
      <c r="BH167">
        <f>IF(BD167="","",COUNTIFS($B$4:$B$183,BE167,$C$4:$C$183,BF167,$D$4:$D$183,"&gt;"&amp;BG167,Z$4:Z$183,"&lt;"&amp;164,$G$4:$G$183,1))</f>
        <v/>
      </c>
      <c r="BI167">
        <f>IF(BD167="","",INDEX($M$4:$M$183,BD167)+IF(BH167=1,Shuffle1,IF(BH167&gt;=2,Shuffle2,0)))</f>
        <v/>
      </c>
      <c r="BJ167">
        <f>IF(BD167="","",MAX(DoorGap*163,SUMPRODUCT(MAX((BE$4:BE166&lt;=BE167)*BK$4:BK166)),SUMPRODUCT(MAX((BE$4:BE166&gt;BE167)*BJ$4:BJ166))+Headway))</f>
        <v/>
      </c>
      <c r="BK167">
        <f>IF(BD167="","",BJ167+BI167)</f>
        <v/>
      </c>
      <c r="BL167">
        <f>IF(BD167="","",BK167+BE167*WalkSec)</f>
        <v/>
      </c>
      <c r="BM167" t="n">
        <v>164</v>
      </c>
      <c r="BN167">
        <f>IF(164&gt;Passengers,"",MATCH(164,AD$4:AD$183,0))</f>
        <v/>
      </c>
      <c r="BO167">
        <f>IF(BN167="","",INDEX($B$4:$B$183,BN167))</f>
        <v/>
      </c>
      <c r="BP167">
        <f>IF(BN167="","",INDEX($C$4:$C$183,BN167))</f>
        <v/>
      </c>
      <c r="BQ167">
        <f>IF(BN167="","",INDEX($D$4:$D$183,BN167))</f>
        <v/>
      </c>
      <c r="BR167">
        <f>IF(BN167="","",COUNTIFS($B$4:$B$183,BO167,$C$4:$C$183,BP167,$D$4:$D$183,"&gt;"&amp;BQ167,AD$4:AD$183,"&lt;"&amp;164,$G$4:$G$183,1))</f>
        <v/>
      </c>
      <c r="BS167">
        <f>IF(BN167="","",INDEX($M$4:$M$183,BN167)+IF(BR167=1,Shuffle1,IF(BR167&gt;=2,Shuffle2,0)))</f>
        <v/>
      </c>
      <c r="BT167">
        <f>IF(BN167="","",MAX(DoorGap*163,SUMPRODUCT(MAX((BO$4:BO166&lt;=BO167)*BU$4:BU166)),SUMPRODUCT(MAX((BO$4:BO166&gt;BO167)*BT$4:BT166))+Headway))</f>
        <v/>
      </c>
      <c r="BU167">
        <f>IF(BN167="","",BT167+BS167)</f>
        <v/>
      </c>
      <c r="BV167">
        <f>IF(BN167="","",BU167+BO167*WalkSec)</f>
        <v/>
      </c>
      <c r="BW167">
        <f>IF($G167=0,"",INDEX(AR$4:AR$183,R167))</f>
        <v/>
      </c>
      <c r="BX167">
        <f>IF($G167=0,"",INDEX(BB$4:BB$183,V167))</f>
        <v/>
      </c>
      <c r="BY167">
        <f>IF($G167=0,"",INDEX(BL$4:BL$183,Z167))</f>
        <v/>
      </c>
      <c r="BZ167">
        <f>IF($G167=0,"",INDEX(BV$4:BV$183,AD167))</f>
        <v/>
      </c>
    </row>
    <row r="168">
      <c r="A168" t="n">
        <v>165</v>
      </c>
      <c r="B168" t="n">
        <v>28</v>
      </c>
      <c r="C168" t="n">
        <v>1</v>
      </c>
      <c r="D168" t="n">
        <v>3</v>
      </c>
      <c r="E168" t="n">
        <v>55</v>
      </c>
      <c r="F168">
        <f>RAND()</f>
        <v/>
      </c>
      <c r="G168">
        <f>IF(SUMPRODUCT(($F$4:$F$183&lt;F168)*1)+SUMPRODUCT(($F$4:$F$183=F168)*($A$4:$A$183&lt;A168))&lt;Passengers,1,0)</f>
        <v/>
      </c>
      <c r="H168">
        <f>RAND()</f>
        <v/>
      </c>
      <c r="I168">
        <f>RAND()</f>
        <v/>
      </c>
      <c r="J168">
        <f>RAND()</f>
        <v/>
      </c>
      <c r="K168">
        <f>RAND()</f>
        <v/>
      </c>
      <c r="L168">
        <f>RAND()</f>
        <v/>
      </c>
      <c r="M168">
        <f>IF(K168&lt;BagShare,EXP(NORMSINV(L168)*StowSigma+StowMu),StowNoBag)</f>
        <v/>
      </c>
      <c r="N168">
        <f>IF(INDEX($AG$4:$AG$63,E168)&lt;GroupShare,1,0)</f>
        <v/>
      </c>
      <c r="P168">
        <f>IF(G168=1,IF(I168&gt;Compliance,J168,$H168),2)</f>
        <v/>
      </c>
      <c r="Q168">
        <f>IF(G168=0,2,IF(N168=0,P168,1-SUMPRODUCT(MAX(($E$4:$E$183=E168)*($G$4:$G$183=1)*(1-P$4:P$183)))+0.000000001*D168))</f>
        <v/>
      </c>
      <c r="R168">
        <f>IF(G168=0,999,SUMPRODUCT((Q$4:Q$183&lt;Q168)*($G$4:$G$183=1))+SUMPRODUCT((Q$4:Q$183=Q168)*($G$4:$G$183=1)*($A$4:$A$183&lt;A168))+1)</f>
        <v/>
      </c>
      <c r="T168">
        <f>IF(G168=1,IF(I168&gt;Compliance,J168,(INT((30-$B168)/(30/Zones))+$H168)/Zones),2)</f>
        <v/>
      </c>
      <c r="U168">
        <f>IF(G168=0,2,IF(N168=0,T168,1-SUMPRODUCT(MAX(($E$4:$E$183=E168)*($G$4:$G$183=1)*(1-T$4:T$183)))+0.000000001*D168))</f>
        <v/>
      </c>
      <c r="V168">
        <f>IF(G168=0,999,SUMPRODUCT((U$4:U$183&lt;U168)*($G$4:$G$183=1))+SUMPRODUCT((U$4:U$183=U168)*($G$4:$G$183=1)*($A$4:$A$183&lt;A168))+1)</f>
        <v/>
      </c>
      <c r="X168">
        <f>IF(G168=1,IF(I168&gt;Compliance,J168,(($D168-1)+$H168)/3),2)</f>
        <v/>
      </c>
      <c r="Y168">
        <f>IF(G168=0,2,IF(N168=0,X168,1-SUMPRODUCT(MAX(($E$4:$E$183=E168)*($G$4:$G$183=1)*(1-X$4:X$183)))+0.000000001*D168))</f>
        <v/>
      </c>
      <c r="Z168">
        <f>IF(G168=0,999,SUMPRODUCT((Y$4:Y$183&lt;Y168)*($G$4:$G$183=1))+SUMPRODUCT((Y$4:Y$183=Y168)*($G$4:$G$183=1)*($A$4:$A$183&lt;A168))+1)</f>
        <v/>
      </c>
      <c r="AB168">
        <f>IF(G168=1,IF(I168&gt;Compliance,J168,((($D168-1)*4+($C168-1)*2+MOD($B168,2))+(30-$B168)/30)/12),2)</f>
        <v/>
      </c>
      <c r="AC168">
        <f>IF(G168=0,2,IF(N168=0,AB168,1-SUMPRODUCT(MAX(($E$4:$E$183=E168)*($G$4:$G$183=1)*(1-AB$4:AB$183)))+0.000000001*D168))</f>
        <v/>
      </c>
      <c r="AD168">
        <f>IF(G168=0,999,SUMPRODUCT((AC$4:AC$183&lt;AC168)*($G$4:$G$183=1))+SUMPRODUCT((AC$4:AC$183=AC168)*($G$4:$G$183=1)*($A$4:$A$183&lt;A168))+1)</f>
        <v/>
      </c>
      <c r="AI168" t="n">
        <v>165</v>
      </c>
      <c r="AJ168">
        <f>IF(165&gt;Passengers,"",MATCH(165,R$4:R$183,0))</f>
        <v/>
      </c>
      <c r="AK168">
        <f>IF(AJ168="","",INDEX($B$4:$B$183,AJ168))</f>
        <v/>
      </c>
      <c r="AL168">
        <f>IF(AJ168="","",INDEX($C$4:$C$183,AJ168))</f>
        <v/>
      </c>
      <c r="AM168">
        <f>IF(AJ168="","",INDEX($D$4:$D$183,AJ168))</f>
        <v/>
      </c>
      <c r="AN168">
        <f>IF(AJ168="","",COUNTIFS($B$4:$B$183,AK168,$C$4:$C$183,AL168,$D$4:$D$183,"&gt;"&amp;AM168,R$4:R$183,"&lt;"&amp;165,$G$4:$G$183,1))</f>
        <v/>
      </c>
      <c r="AO168">
        <f>IF(AJ168="","",INDEX($M$4:$M$183,AJ168)+IF(AN168=1,Shuffle1,IF(AN168&gt;=2,Shuffle2,0)))</f>
        <v/>
      </c>
      <c r="AP168">
        <f>IF(AJ168="","",MAX(DoorGap*164,SUMPRODUCT(MAX((AK$4:AK167&lt;=AK168)*AQ$4:AQ167)),SUMPRODUCT(MAX((AK$4:AK167&gt;AK168)*AP$4:AP167))+Headway))</f>
        <v/>
      </c>
      <c r="AQ168">
        <f>IF(AJ168="","",AP168+AO168)</f>
        <v/>
      </c>
      <c r="AR168">
        <f>IF(AJ168="","",AQ168+AK168*WalkSec)</f>
        <v/>
      </c>
      <c r="AS168" t="n">
        <v>165</v>
      </c>
      <c r="AT168">
        <f>IF(165&gt;Passengers,"",MATCH(165,V$4:V$183,0))</f>
        <v/>
      </c>
      <c r="AU168">
        <f>IF(AT168="","",INDEX($B$4:$B$183,AT168))</f>
        <v/>
      </c>
      <c r="AV168">
        <f>IF(AT168="","",INDEX($C$4:$C$183,AT168))</f>
        <v/>
      </c>
      <c r="AW168">
        <f>IF(AT168="","",INDEX($D$4:$D$183,AT168))</f>
        <v/>
      </c>
      <c r="AX168">
        <f>IF(AT168="","",COUNTIFS($B$4:$B$183,AU168,$C$4:$C$183,AV168,$D$4:$D$183,"&gt;"&amp;AW168,V$4:V$183,"&lt;"&amp;165,$G$4:$G$183,1))</f>
        <v/>
      </c>
      <c r="AY168">
        <f>IF(AT168="","",INDEX($M$4:$M$183,AT168)+IF(AX168=1,Shuffle1,IF(AX168&gt;=2,Shuffle2,0)))</f>
        <v/>
      </c>
      <c r="AZ168">
        <f>IF(AT168="","",MAX(DoorGap*164,SUMPRODUCT(MAX((AU$4:AU167&lt;=AU168)*BA$4:BA167)),SUMPRODUCT(MAX((AU$4:AU167&gt;AU168)*AZ$4:AZ167))+Headway))</f>
        <v/>
      </c>
      <c r="BA168">
        <f>IF(AT168="","",AZ168+AY168)</f>
        <v/>
      </c>
      <c r="BB168">
        <f>IF(AT168="","",BA168+AU168*WalkSec)</f>
        <v/>
      </c>
      <c r="BC168" t="n">
        <v>165</v>
      </c>
      <c r="BD168">
        <f>IF(165&gt;Passengers,"",MATCH(165,Z$4:Z$183,0))</f>
        <v/>
      </c>
      <c r="BE168">
        <f>IF(BD168="","",INDEX($B$4:$B$183,BD168))</f>
        <v/>
      </c>
      <c r="BF168">
        <f>IF(BD168="","",INDEX($C$4:$C$183,BD168))</f>
        <v/>
      </c>
      <c r="BG168">
        <f>IF(BD168="","",INDEX($D$4:$D$183,BD168))</f>
        <v/>
      </c>
      <c r="BH168">
        <f>IF(BD168="","",COUNTIFS($B$4:$B$183,BE168,$C$4:$C$183,BF168,$D$4:$D$183,"&gt;"&amp;BG168,Z$4:Z$183,"&lt;"&amp;165,$G$4:$G$183,1))</f>
        <v/>
      </c>
      <c r="BI168">
        <f>IF(BD168="","",INDEX($M$4:$M$183,BD168)+IF(BH168=1,Shuffle1,IF(BH168&gt;=2,Shuffle2,0)))</f>
        <v/>
      </c>
      <c r="BJ168">
        <f>IF(BD168="","",MAX(DoorGap*164,SUMPRODUCT(MAX((BE$4:BE167&lt;=BE168)*BK$4:BK167)),SUMPRODUCT(MAX((BE$4:BE167&gt;BE168)*BJ$4:BJ167))+Headway))</f>
        <v/>
      </c>
      <c r="BK168">
        <f>IF(BD168="","",BJ168+BI168)</f>
        <v/>
      </c>
      <c r="BL168">
        <f>IF(BD168="","",BK168+BE168*WalkSec)</f>
        <v/>
      </c>
      <c r="BM168" t="n">
        <v>165</v>
      </c>
      <c r="BN168">
        <f>IF(165&gt;Passengers,"",MATCH(165,AD$4:AD$183,0))</f>
        <v/>
      </c>
      <c r="BO168">
        <f>IF(BN168="","",INDEX($B$4:$B$183,BN168))</f>
        <v/>
      </c>
      <c r="BP168">
        <f>IF(BN168="","",INDEX($C$4:$C$183,BN168))</f>
        <v/>
      </c>
      <c r="BQ168">
        <f>IF(BN168="","",INDEX($D$4:$D$183,BN168))</f>
        <v/>
      </c>
      <c r="BR168">
        <f>IF(BN168="","",COUNTIFS($B$4:$B$183,BO168,$C$4:$C$183,BP168,$D$4:$D$183,"&gt;"&amp;BQ168,AD$4:AD$183,"&lt;"&amp;165,$G$4:$G$183,1))</f>
        <v/>
      </c>
      <c r="BS168">
        <f>IF(BN168="","",INDEX($M$4:$M$183,BN168)+IF(BR168=1,Shuffle1,IF(BR168&gt;=2,Shuffle2,0)))</f>
        <v/>
      </c>
      <c r="BT168">
        <f>IF(BN168="","",MAX(DoorGap*164,SUMPRODUCT(MAX((BO$4:BO167&lt;=BO168)*BU$4:BU167)),SUMPRODUCT(MAX((BO$4:BO167&gt;BO168)*BT$4:BT167))+Headway))</f>
        <v/>
      </c>
      <c r="BU168">
        <f>IF(BN168="","",BT168+BS168)</f>
        <v/>
      </c>
      <c r="BV168">
        <f>IF(BN168="","",BU168+BO168*WalkSec)</f>
        <v/>
      </c>
      <c r="BW168">
        <f>IF($G168=0,"",INDEX(AR$4:AR$183,R168))</f>
        <v/>
      </c>
      <c r="BX168">
        <f>IF($G168=0,"",INDEX(BB$4:BB$183,V168))</f>
        <v/>
      </c>
      <c r="BY168">
        <f>IF($G168=0,"",INDEX(BL$4:BL$183,Z168))</f>
        <v/>
      </c>
      <c r="BZ168">
        <f>IF($G168=0,"",INDEX(BV$4:BV$183,AD168))</f>
        <v/>
      </c>
    </row>
    <row r="169">
      <c r="A169" t="n">
        <v>166</v>
      </c>
      <c r="B169" t="n">
        <v>28</v>
      </c>
      <c r="C169" t="n">
        <v>2</v>
      </c>
      <c r="D169" t="n">
        <v>1</v>
      </c>
      <c r="E169" t="n">
        <v>56</v>
      </c>
      <c r="F169">
        <f>RAND()</f>
        <v/>
      </c>
      <c r="G169">
        <f>IF(SUMPRODUCT(($F$4:$F$183&lt;F169)*1)+SUMPRODUCT(($F$4:$F$183=F169)*($A$4:$A$183&lt;A169))&lt;Passengers,1,0)</f>
        <v/>
      </c>
      <c r="H169">
        <f>RAND()</f>
        <v/>
      </c>
      <c r="I169">
        <f>RAND()</f>
        <v/>
      </c>
      <c r="J169">
        <f>RAND()</f>
        <v/>
      </c>
      <c r="K169">
        <f>RAND()</f>
        <v/>
      </c>
      <c r="L169">
        <f>RAND()</f>
        <v/>
      </c>
      <c r="M169">
        <f>IF(K169&lt;BagShare,EXP(NORMSINV(L169)*StowSigma+StowMu),StowNoBag)</f>
        <v/>
      </c>
      <c r="N169">
        <f>IF(INDEX($AG$4:$AG$63,E169)&lt;GroupShare,1,0)</f>
        <v/>
      </c>
      <c r="P169">
        <f>IF(G169=1,IF(I169&gt;Compliance,J169,$H169),2)</f>
        <v/>
      </c>
      <c r="Q169">
        <f>IF(G169=0,2,IF(N169=0,P169,1-SUMPRODUCT(MAX(($E$4:$E$183=E169)*($G$4:$G$183=1)*(1-P$4:P$183)))+0.000000001*D169))</f>
        <v/>
      </c>
      <c r="R169">
        <f>IF(G169=0,999,SUMPRODUCT((Q$4:Q$183&lt;Q169)*($G$4:$G$183=1))+SUMPRODUCT((Q$4:Q$183=Q169)*($G$4:$G$183=1)*($A$4:$A$183&lt;A169))+1)</f>
        <v/>
      </c>
      <c r="T169">
        <f>IF(G169=1,IF(I169&gt;Compliance,J169,(INT((30-$B169)/(30/Zones))+$H169)/Zones),2)</f>
        <v/>
      </c>
      <c r="U169">
        <f>IF(G169=0,2,IF(N169=0,T169,1-SUMPRODUCT(MAX(($E$4:$E$183=E169)*($G$4:$G$183=1)*(1-T$4:T$183)))+0.000000001*D169))</f>
        <v/>
      </c>
      <c r="V169">
        <f>IF(G169=0,999,SUMPRODUCT((U$4:U$183&lt;U169)*($G$4:$G$183=1))+SUMPRODUCT((U$4:U$183=U169)*($G$4:$G$183=1)*($A$4:$A$183&lt;A169))+1)</f>
        <v/>
      </c>
      <c r="X169">
        <f>IF(G169=1,IF(I169&gt;Compliance,J169,(($D169-1)+$H169)/3),2)</f>
        <v/>
      </c>
      <c r="Y169">
        <f>IF(G169=0,2,IF(N169=0,X169,1-SUMPRODUCT(MAX(($E$4:$E$183=E169)*($G$4:$G$183=1)*(1-X$4:X$183)))+0.000000001*D169))</f>
        <v/>
      </c>
      <c r="Z169">
        <f>IF(G169=0,999,SUMPRODUCT((Y$4:Y$183&lt;Y169)*($G$4:$G$183=1))+SUMPRODUCT((Y$4:Y$183=Y169)*($G$4:$G$183=1)*($A$4:$A$183&lt;A169))+1)</f>
        <v/>
      </c>
      <c r="AB169">
        <f>IF(G169=1,IF(I169&gt;Compliance,J169,((($D169-1)*4+($C169-1)*2+MOD($B169,2))+(30-$B169)/30)/12),2)</f>
        <v/>
      </c>
      <c r="AC169">
        <f>IF(G169=0,2,IF(N169=0,AB169,1-SUMPRODUCT(MAX(($E$4:$E$183=E169)*($G$4:$G$183=1)*(1-AB$4:AB$183)))+0.000000001*D169))</f>
        <v/>
      </c>
      <c r="AD169">
        <f>IF(G169=0,999,SUMPRODUCT((AC$4:AC$183&lt;AC169)*($G$4:$G$183=1))+SUMPRODUCT((AC$4:AC$183=AC169)*($G$4:$G$183=1)*($A$4:$A$183&lt;A169))+1)</f>
        <v/>
      </c>
      <c r="AI169" t="n">
        <v>166</v>
      </c>
      <c r="AJ169">
        <f>IF(166&gt;Passengers,"",MATCH(166,R$4:R$183,0))</f>
        <v/>
      </c>
      <c r="AK169">
        <f>IF(AJ169="","",INDEX($B$4:$B$183,AJ169))</f>
        <v/>
      </c>
      <c r="AL169">
        <f>IF(AJ169="","",INDEX($C$4:$C$183,AJ169))</f>
        <v/>
      </c>
      <c r="AM169">
        <f>IF(AJ169="","",INDEX($D$4:$D$183,AJ169))</f>
        <v/>
      </c>
      <c r="AN169">
        <f>IF(AJ169="","",COUNTIFS($B$4:$B$183,AK169,$C$4:$C$183,AL169,$D$4:$D$183,"&gt;"&amp;AM169,R$4:R$183,"&lt;"&amp;166,$G$4:$G$183,1))</f>
        <v/>
      </c>
      <c r="AO169">
        <f>IF(AJ169="","",INDEX($M$4:$M$183,AJ169)+IF(AN169=1,Shuffle1,IF(AN169&gt;=2,Shuffle2,0)))</f>
        <v/>
      </c>
      <c r="AP169">
        <f>IF(AJ169="","",MAX(DoorGap*165,SUMPRODUCT(MAX((AK$4:AK168&lt;=AK169)*AQ$4:AQ168)),SUMPRODUCT(MAX((AK$4:AK168&gt;AK169)*AP$4:AP168))+Headway))</f>
        <v/>
      </c>
      <c r="AQ169">
        <f>IF(AJ169="","",AP169+AO169)</f>
        <v/>
      </c>
      <c r="AR169">
        <f>IF(AJ169="","",AQ169+AK169*WalkSec)</f>
        <v/>
      </c>
      <c r="AS169" t="n">
        <v>166</v>
      </c>
      <c r="AT169">
        <f>IF(166&gt;Passengers,"",MATCH(166,V$4:V$183,0))</f>
        <v/>
      </c>
      <c r="AU169">
        <f>IF(AT169="","",INDEX($B$4:$B$183,AT169))</f>
        <v/>
      </c>
      <c r="AV169">
        <f>IF(AT169="","",INDEX($C$4:$C$183,AT169))</f>
        <v/>
      </c>
      <c r="AW169">
        <f>IF(AT169="","",INDEX($D$4:$D$183,AT169))</f>
        <v/>
      </c>
      <c r="AX169">
        <f>IF(AT169="","",COUNTIFS($B$4:$B$183,AU169,$C$4:$C$183,AV169,$D$4:$D$183,"&gt;"&amp;AW169,V$4:V$183,"&lt;"&amp;166,$G$4:$G$183,1))</f>
        <v/>
      </c>
      <c r="AY169">
        <f>IF(AT169="","",INDEX($M$4:$M$183,AT169)+IF(AX169=1,Shuffle1,IF(AX169&gt;=2,Shuffle2,0)))</f>
        <v/>
      </c>
      <c r="AZ169">
        <f>IF(AT169="","",MAX(DoorGap*165,SUMPRODUCT(MAX((AU$4:AU168&lt;=AU169)*BA$4:BA168)),SUMPRODUCT(MAX((AU$4:AU168&gt;AU169)*AZ$4:AZ168))+Headway))</f>
        <v/>
      </c>
      <c r="BA169">
        <f>IF(AT169="","",AZ169+AY169)</f>
        <v/>
      </c>
      <c r="BB169">
        <f>IF(AT169="","",BA169+AU169*WalkSec)</f>
        <v/>
      </c>
      <c r="BC169" t="n">
        <v>166</v>
      </c>
      <c r="BD169">
        <f>IF(166&gt;Passengers,"",MATCH(166,Z$4:Z$183,0))</f>
        <v/>
      </c>
      <c r="BE169">
        <f>IF(BD169="","",INDEX($B$4:$B$183,BD169))</f>
        <v/>
      </c>
      <c r="BF169">
        <f>IF(BD169="","",INDEX($C$4:$C$183,BD169))</f>
        <v/>
      </c>
      <c r="BG169">
        <f>IF(BD169="","",INDEX($D$4:$D$183,BD169))</f>
        <v/>
      </c>
      <c r="BH169">
        <f>IF(BD169="","",COUNTIFS($B$4:$B$183,BE169,$C$4:$C$183,BF169,$D$4:$D$183,"&gt;"&amp;BG169,Z$4:Z$183,"&lt;"&amp;166,$G$4:$G$183,1))</f>
        <v/>
      </c>
      <c r="BI169">
        <f>IF(BD169="","",INDEX($M$4:$M$183,BD169)+IF(BH169=1,Shuffle1,IF(BH169&gt;=2,Shuffle2,0)))</f>
        <v/>
      </c>
      <c r="BJ169">
        <f>IF(BD169="","",MAX(DoorGap*165,SUMPRODUCT(MAX((BE$4:BE168&lt;=BE169)*BK$4:BK168)),SUMPRODUCT(MAX((BE$4:BE168&gt;BE169)*BJ$4:BJ168))+Headway))</f>
        <v/>
      </c>
      <c r="BK169">
        <f>IF(BD169="","",BJ169+BI169)</f>
        <v/>
      </c>
      <c r="BL169">
        <f>IF(BD169="","",BK169+BE169*WalkSec)</f>
        <v/>
      </c>
      <c r="BM169" t="n">
        <v>166</v>
      </c>
      <c r="BN169">
        <f>IF(166&gt;Passengers,"",MATCH(166,AD$4:AD$183,0))</f>
        <v/>
      </c>
      <c r="BO169">
        <f>IF(BN169="","",INDEX($B$4:$B$183,BN169))</f>
        <v/>
      </c>
      <c r="BP169">
        <f>IF(BN169="","",INDEX($C$4:$C$183,BN169))</f>
        <v/>
      </c>
      <c r="BQ169">
        <f>IF(BN169="","",INDEX($D$4:$D$183,BN169))</f>
        <v/>
      </c>
      <c r="BR169">
        <f>IF(BN169="","",COUNTIFS($B$4:$B$183,BO169,$C$4:$C$183,BP169,$D$4:$D$183,"&gt;"&amp;BQ169,AD$4:AD$183,"&lt;"&amp;166,$G$4:$G$183,1))</f>
        <v/>
      </c>
      <c r="BS169">
        <f>IF(BN169="","",INDEX($M$4:$M$183,BN169)+IF(BR169=1,Shuffle1,IF(BR169&gt;=2,Shuffle2,0)))</f>
        <v/>
      </c>
      <c r="BT169">
        <f>IF(BN169="","",MAX(DoorGap*165,SUMPRODUCT(MAX((BO$4:BO168&lt;=BO169)*BU$4:BU168)),SUMPRODUCT(MAX((BO$4:BO168&gt;BO169)*BT$4:BT168))+Headway))</f>
        <v/>
      </c>
      <c r="BU169">
        <f>IF(BN169="","",BT169+BS169)</f>
        <v/>
      </c>
      <c r="BV169">
        <f>IF(BN169="","",BU169+BO169*WalkSec)</f>
        <v/>
      </c>
      <c r="BW169">
        <f>IF($G169=0,"",INDEX(AR$4:AR$183,R169))</f>
        <v/>
      </c>
      <c r="BX169">
        <f>IF($G169=0,"",INDEX(BB$4:BB$183,V169))</f>
        <v/>
      </c>
      <c r="BY169">
        <f>IF($G169=0,"",INDEX(BL$4:BL$183,Z169))</f>
        <v/>
      </c>
      <c r="BZ169">
        <f>IF($G169=0,"",INDEX(BV$4:BV$183,AD169))</f>
        <v/>
      </c>
    </row>
    <row r="170">
      <c r="A170" t="n">
        <v>167</v>
      </c>
      <c r="B170" t="n">
        <v>28</v>
      </c>
      <c r="C170" t="n">
        <v>2</v>
      </c>
      <c r="D170" t="n">
        <v>2</v>
      </c>
      <c r="E170" t="n">
        <v>56</v>
      </c>
      <c r="F170">
        <f>RAND()</f>
        <v/>
      </c>
      <c r="G170">
        <f>IF(SUMPRODUCT(($F$4:$F$183&lt;F170)*1)+SUMPRODUCT(($F$4:$F$183=F170)*($A$4:$A$183&lt;A170))&lt;Passengers,1,0)</f>
        <v/>
      </c>
      <c r="H170">
        <f>RAND()</f>
        <v/>
      </c>
      <c r="I170">
        <f>RAND()</f>
        <v/>
      </c>
      <c r="J170">
        <f>RAND()</f>
        <v/>
      </c>
      <c r="K170">
        <f>RAND()</f>
        <v/>
      </c>
      <c r="L170">
        <f>RAND()</f>
        <v/>
      </c>
      <c r="M170">
        <f>IF(K170&lt;BagShare,EXP(NORMSINV(L170)*StowSigma+StowMu),StowNoBag)</f>
        <v/>
      </c>
      <c r="N170">
        <f>IF(INDEX($AG$4:$AG$63,E170)&lt;GroupShare,1,0)</f>
        <v/>
      </c>
      <c r="P170">
        <f>IF(G170=1,IF(I170&gt;Compliance,J170,$H170),2)</f>
        <v/>
      </c>
      <c r="Q170">
        <f>IF(G170=0,2,IF(N170=0,P170,1-SUMPRODUCT(MAX(($E$4:$E$183=E170)*($G$4:$G$183=1)*(1-P$4:P$183)))+0.000000001*D170))</f>
        <v/>
      </c>
      <c r="R170">
        <f>IF(G170=0,999,SUMPRODUCT((Q$4:Q$183&lt;Q170)*($G$4:$G$183=1))+SUMPRODUCT((Q$4:Q$183=Q170)*($G$4:$G$183=1)*($A$4:$A$183&lt;A170))+1)</f>
        <v/>
      </c>
      <c r="T170">
        <f>IF(G170=1,IF(I170&gt;Compliance,J170,(INT((30-$B170)/(30/Zones))+$H170)/Zones),2)</f>
        <v/>
      </c>
      <c r="U170">
        <f>IF(G170=0,2,IF(N170=0,T170,1-SUMPRODUCT(MAX(($E$4:$E$183=E170)*($G$4:$G$183=1)*(1-T$4:T$183)))+0.000000001*D170))</f>
        <v/>
      </c>
      <c r="V170">
        <f>IF(G170=0,999,SUMPRODUCT((U$4:U$183&lt;U170)*($G$4:$G$183=1))+SUMPRODUCT((U$4:U$183=U170)*($G$4:$G$183=1)*($A$4:$A$183&lt;A170))+1)</f>
        <v/>
      </c>
      <c r="X170">
        <f>IF(G170=1,IF(I170&gt;Compliance,J170,(($D170-1)+$H170)/3),2)</f>
        <v/>
      </c>
      <c r="Y170">
        <f>IF(G170=0,2,IF(N170=0,X170,1-SUMPRODUCT(MAX(($E$4:$E$183=E170)*($G$4:$G$183=1)*(1-X$4:X$183)))+0.000000001*D170))</f>
        <v/>
      </c>
      <c r="Z170">
        <f>IF(G170=0,999,SUMPRODUCT((Y$4:Y$183&lt;Y170)*($G$4:$G$183=1))+SUMPRODUCT((Y$4:Y$183=Y170)*($G$4:$G$183=1)*($A$4:$A$183&lt;A170))+1)</f>
        <v/>
      </c>
      <c r="AB170">
        <f>IF(G170=1,IF(I170&gt;Compliance,J170,((($D170-1)*4+($C170-1)*2+MOD($B170,2))+(30-$B170)/30)/12),2)</f>
        <v/>
      </c>
      <c r="AC170">
        <f>IF(G170=0,2,IF(N170=0,AB170,1-SUMPRODUCT(MAX(($E$4:$E$183=E170)*($G$4:$G$183=1)*(1-AB$4:AB$183)))+0.000000001*D170))</f>
        <v/>
      </c>
      <c r="AD170">
        <f>IF(G170=0,999,SUMPRODUCT((AC$4:AC$183&lt;AC170)*($G$4:$G$183=1))+SUMPRODUCT((AC$4:AC$183=AC170)*($G$4:$G$183=1)*($A$4:$A$183&lt;A170))+1)</f>
        <v/>
      </c>
      <c r="AI170" t="n">
        <v>167</v>
      </c>
      <c r="AJ170">
        <f>IF(167&gt;Passengers,"",MATCH(167,R$4:R$183,0))</f>
        <v/>
      </c>
      <c r="AK170">
        <f>IF(AJ170="","",INDEX($B$4:$B$183,AJ170))</f>
        <v/>
      </c>
      <c r="AL170">
        <f>IF(AJ170="","",INDEX($C$4:$C$183,AJ170))</f>
        <v/>
      </c>
      <c r="AM170">
        <f>IF(AJ170="","",INDEX($D$4:$D$183,AJ170))</f>
        <v/>
      </c>
      <c r="AN170">
        <f>IF(AJ170="","",COUNTIFS($B$4:$B$183,AK170,$C$4:$C$183,AL170,$D$4:$D$183,"&gt;"&amp;AM170,R$4:R$183,"&lt;"&amp;167,$G$4:$G$183,1))</f>
        <v/>
      </c>
      <c r="AO170">
        <f>IF(AJ170="","",INDEX($M$4:$M$183,AJ170)+IF(AN170=1,Shuffle1,IF(AN170&gt;=2,Shuffle2,0)))</f>
        <v/>
      </c>
      <c r="AP170">
        <f>IF(AJ170="","",MAX(DoorGap*166,SUMPRODUCT(MAX((AK$4:AK169&lt;=AK170)*AQ$4:AQ169)),SUMPRODUCT(MAX((AK$4:AK169&gt;AK170)*AP$4:AP169))+Headway))</f>
        <v/>
      </c>
      <c r="AQ170">
        <f>IF(AJ170="","",AP170+AO170)</f>
        <v/>
      </c>
      <c r="AR170">
        <f>IF(AJ170="","",AQ170+AK170*WalkSec)</f>
        <v/>
      </c>
      <c r="AS170" t="n">
        <v>167</v>
      </c>
      <c r="AT170">
        <f>IF(167&gt;Passengers,"",MATCH(167,V$4:V$183,0))</f>
        <v/>
      </c>
      <c r="AU170">
        <f>IF(AT170="","",INDEX($B$4:$B$183,AT170))</f>
        <v/>
      </c>
      <c r="AV170">
        <f>IF(AT170="","",INDEX($C$4:$C$183,AT170))</f>
        <v/>
      </c>
      <c r="AW170">
        <f>IF(AT170="","",INDEX($D$4:$D$183,AT170))</f>
        <v/>
      </c>
      <c r="AX170">
        <f>IF(AT170="","",COUNTIFS($B$4:$B$183,AU170,$C$4:$C$183,AV170,$D$4:$D$183,"&gt;"&amp;AW170,V$4:V$183,"&lt;"&amp;167,$G$4:$G$183,1))</f>
        <v/>
      </c>
      <c r="AY170">
        <f>IF(AT170="","",INDEX($M$4:$M$183,AT170)+IF(AX170=1,Shuffle1,IF(AX170&gt;=2,Shuffle2,0)))</f>
        <v/>
      </c>
      <c r="AZ170">
        <f>IF(AT170="","",MAX(DoorGap*166,SUMPRODUCT(MAX((AU$4:AU169&lt;=AU170)*BA$4:BA169)),SUMPRODUCT(MAX((AU$4:AU169&gt;AU170)*AZ$4:AZ169))+Headway))</f>
        <v/>
      </c>
      <c r="BA170">
        <f>IF(AT170="","",AZ170+AY170)</f>
        <v/>
      </c>
      <c r="BB170">
        <f>IF(AT170="","",BA170+AU170*WalkSec)</f>
        <v/>
      </c>
      <c r="BC170" t="n">
        <v>167</v>
      </c>
      <c r="BD170">
        <f>IF(167&gt;Passengers,"",MATCH(167,Z$4:Z$183,0))</f>
        <v/>
      </c>
      <c r="BE170">
        <f>IF(BD170="","",INDEX($B$4:$B$183,BD170))</f>
        <v/>
      </c>
      <c r="BF170">
        <f>IF(BD170="","",INDEX($C$4:$C$183,BD170))</f>
        <v/>
      </c>
      <c r="BG170">
        <f>IF(BD170="","",INDEX($D$4:$D$183,BD170))</f>
        <v/>
      </c>
      <c r="BH170">
        <f>IF(BD170="","",COUNTIFS($B$4:$B$183,BE170,$C$4:$C$183,BF170,$D$4:$D$183,"&gt;"&amp;BG170,Z$4:Z$183,"&lt;"&amp;167,$G$4:$G$183,1))</f>
        <v/>
      </c>
      <c r="BI170">
        <f>IF(BD170="","",INDEX($M$4:$M$183,BD170)+IF(BH170=1,Shuffle1,IF(BH170&gt;=2,Shuffle2,0)))</f>
        <v/>
      </c>
      <c r="BJ170">
        <f>IF(BD170="","",MAX(DoorGap*166,SUMPRODUCT(MAX((BE$4:BE169&lt;=BE170)*BK$4:BK169)),SUMPRODUCT(MAX((BE$4:BE169&gt;BE170)*BJ$4:BJ169))+Headway))</f>
        <v/>
      </c>
      <c r="BK170">
        <f>IF(BD170="","",BJ170+BI170)</f>
        <v/>
      </c>
      <c r="BL170">
        <f>IF(BD170="","",BK170+BE170*WalkSec)</f>
        <v/>
      </c>
      <c r="BM170" t="n">
        <v>167</v>
      </c>
      <c r="BN170">
        <f>IF(167&gt;Passengers,"",MATCH(167,AD$4:AD$183,0))</f>
        <v/>
      </c>
      <c r="BO170">
        <f>IF(BN170="","",INDEX($B$4:$B$183,BN170))</f>
        <v/>
      </c>
      <c r="BP170">
        <f>IF(BN170="","",INDEX($C$4:$C$183,BN170))</f>
        <v/>
      </c>
      <c r="BQ170">
        <f>IF(BN170="","",INDEX($D$4:$D$183,BN170))</f>
        <v/>
      </c>
      <c r="BR170">
        <f>IF(BN170="","",COUNTIFS($B$4:$B$183,BO170,$C$4:$C$183,BP170,$D$4:$D$183,"&gt;"&amp;BQ170,AD$4:AD$183,"&lt;"&amp;167,$G$4:$G$183,1))</f>
        <v/>
      </c>
      <c r="BS170">
        <f>IF(BN170="","",INDEX($M$4:$M$183,BN170)+IF(BR170=1,Shuffle1,IF(BR170&gt;=2,Shuffle2,0)))</f>
        <v/>
      </c>
      <c r="BT170">
        <f>IF(BN170="","",MAX(DoorGap*166,SUMPRODUCT(MAX((BO$4:BO169&lt;=BO170)*BU$4:BU169)),SUMPRODUCT(MAX((BO$4:BO169&gt;BO170)*BT$4:BT169))+Headway))</f>
        <v/>
      </c>
      <c r="BU170">
        <f>IF(BN170="","",BT170+BS170)</f>
        <v/>
      </c>
      <c r="BV170">
        <f>IF(BN170="","",BU170+BO170*WalkSec)</f>
        <v/>
      </c>
      <c r="BW170">
        <f>IF($G170=0,"",INDEX(AR$4:AR$183,R170))</f>
        <v/>
      </c>
      <c r="BX170">
        <f>IF($G170=0,"",INDEX(BB$4:BB$183,V170))</f>
        <v/>
      </c>
      <c r="BY170">
        <f>IF($G170=0,"",INDEX(BL$4:BL$183,Z170))</f>
        <v/>
      </c>
      <c r="BZ170">
        <f>IF($G170=0,"",INDEX(BV$4:BV$183,AD170))</f>
        <v/>
      </c>
    </row>
    <row r="171">
      <c r="A171" t="n">
        <v>168</v>
      </c>
      <c r="B171" t="n">
        <v>28</v>
      </c>
      <c r="C171" t="n">
        <v>2</v>
      </c>
      <c r="D171" t="n">
        <v>3</v>
      </c>
      <c r="E171" t="n">
        <v>56</v>
      </c>
      <c r="F171">
        <f>RAND()</f>
        <v/>
      </c>
      <c r="G171">
        <f>IF(SUMPRODUCT(($F$4:$F$183&lt;F171)*1)+SUMPRODUCT(($F$4:$F$183=F171)*($A$4:$A$183&lt;A171))&lt;Passengers,1,0)</f>
        <v/>
      </c>
      <c r="H171">
        <f>RAND()</f>
        <v/>
      </c>
      <c r="I171">
        <f>RAND()</f>
        <v/>
      </c>
      <c r="J171">
        <f>RAND()</f>
        <v/>
      </c>
      <c r="K171">
        <f>RAND()</f>
        <v/>
      </c>
      <c r="L171">
        <f>RAND()</f>
        <v/>
      </c>
      <c r="M171">
        <f>IF(K171&lt;BagShare,EXP(NORMSINV(L171)*StowSigma+StowMu),StowNoBag)</f>
        <v/>
      </c>
      <c r="N171">
        <f>IF(INDEX($AG$4:$AG$63,E171)&lt;GroupShare,1,0)</f>
        <v/>
      </c>
      <c r="P171">
        <f>IF(G171=1,IF(I171&gt;Compliance,J171,$H171),2)</f>
        <v/>
      </c>
      <c r="Q171">
        <f>IF(G171=0,2,IF(N171=0,P171,1-SUMPRODUCT(MAX(($E$4:$E$183=E171)*($G$4:$G$183=1)*(1-P$4:P$183)))+0.000000001*D171))</f>
        <v/>
      </c>
      <c r="R171">
        <f>IF(G171=0,999,SUMPRODUCT((Q$4:Q$183&lt;Q171)*($G$4:$G$183=1))+SUMPRODUCT((Q$4:Q$183=Q171)*($G$4:$G$183=1)*($A$4:$A$183&lt;A171))+1)</f>
        <v/>
      </c>
      <c r="T171">
        <f>IF(G171=1,IF(I171&gt;Compliance,J171,(INT((30-$B171)/(30/Zones))+$H171)/Zones),2)</f>
        <v/>
      </c>
      <c r="U171">
        <f>IF(G171=0,2,IF(N171=0,T171,1-SUMPRODUCT(MAX(($E$4:$E$183=E171)*($G$4:$G$183=1)*(1-T$4:T$183)))+0.000000001*D171))</f>
        <v/>
      </c>
      <c r="V171">
        <f>IF(G171=0,999,SUMPRODUCT((U$4:U$183&lt;U171)*($G$4:$G$183=1))+SUMPRODUCT((U$4:U$183=U171)*($G$4:$G$183=1)*($A$4:$A$183&lt;A171))+1)</f>
        <v/>
      </c>
      <c r="X171">
        <f>IF(G171=1,IF(I171&gt;Compliance,J171,(($D171-1)+$H171)/3),2)</f>
        <v/>
      </c>
      <c r="Y171">
        <f>IF(G171=0,2,IF(N171=0,X171,1-SUMPRODUCT(MAX(($E$4:$E$183=E171)*($G$4:$G$183=1)*(1-X$4:X$183)))+0.000000001*D171))</f>
        <v/>
      </c>
      <c r="Z171">
        <f>IF(G171=0,999,SUMPRODUCT((Y$4:Y$183&lt;Y171)*($G$4:$G$183=1))+SUMPRODUCT((Y$4:Y$183=Y171)*($G$4:$G$183=1)*($A$4:$A$183&lt;A171))+1)</f>
        <v/>
      </c>
      <c r="AB171">
        <f>IF(G171=1,IF(I171&gt;Compliance,J171,((($D171-1)*4+($C171-1)*2+MOD($B171,2))+(30-$B171)/30)/12),2)</f>
        <v/>
      </c>
      <c r="AC171">
        <f>IF(G171=0,2,IF(N171=0,AB171,1-SUMPRODUCT(MAX(($E$4:$E$183=E171)*($G$4:$G$183=1)*(1-AB$4:AB$183)))+0.000000001*D171))</f>
        <v/>
      </c>
      <c r="AD171">
        <f>IF(G171=0,999,SUMPRODUCT((AC$4:AC$183&lt;AC171)*($G$4:$G$183=1))+SUMPRODUCT((AC$4:AC$183=AC171)*($G$4:$G$183=1)*($A$4:$A$183&lt;A171))+1)</f>
        <v/>
      </c>
      <c r="AI171" t="n">
        <v>168</v>
      </c>
      <c r="AJ171">
        <f>IF(168&gt;Passengers,"",MATCH(168,R$4:R$183,0))</f>
        <v/>
      </c>
      <c r="AK171">
        <f>IF(AJ171="","",INDEX($B$4:$B$183,AJ171))</f>
        <v/>
      </c>
      <c r="AL171">
        <f>IF(AJ171="","",INDEX($C$4:$C$183,AJ171))</f>
        <v/>
      </c>
      <c r="AM171">
        <f>IF(AJ171="","",INDEX($D$4:$D$183,AJ171))</f>
        <v/>
      </c>
      <c r="AN171">
        <f>IF(AJ171="","",COUNTIFS($B$4:$B$183,AK171,$C$4:$C$183,AL171,$D$4:$D$183,"&gt;"&amp;AM171,R$4:R$183,"&lt;"&amp;168,$G$4:$G$183,1))</f>
        <v/>
      </c>
      <c r="AO171">
        <f>IF(AJ171="","",INDEX($M$4:$M$183,AJ171)+IF(AN171=1,Shuffle1,IF(AN171&gt;=2,Shuffle2,0)))</f>
        <v/>
      </c>
      <c r="AP171">
        <f>IF(AJ171="","",MAX(DoorGap*167,SUMPRODUCT(MAX((AK$4:AK170&lt;=AK171)*AQ$4:AQ170)),SUMPRODUCT(MAX((AK$4:AK170&gt;AK171)*AP$4:AP170))+Headway))</f>
        <v/>
      </c>
      <c r="AQ171">
        <f>IF(AJ171="","",AP171+AO171)</f>
        <v/>
      </c>
      <c r="AR171">
        <f>IF(AJ171="","",AQ171+AK171*WalkSec)</f>
        <v/>
      </c>
      <c r="AS171" t="n">
        <v>168</v>
      </c>
      <c r="AT171">
        <f>IF(168&gt;Passengers,"",MATCH(168,V$4:V$183,0))</f>
        <v/>
      </c>
      <c r="AU171">
        <f>IF(AT171="","",INDEX($B$4:$B$183,AT171))</f>
        <v/>
      </c>
      <c r="AV171">
        <f>IF(AT171="","",INDEX($C$4:$C$183,AT171))</f>
        <v/>
      </c>
      <c r="AW171">
        <f>IF(AT171="","",INDEX($D$4:$D$183,AT171))</f>
        <v/>
      </c>
      <c r="AX171">
        <f>IF(AT171="","",COUNTIFS($B$4:$B$183,AU171,$C$4:$C$183,AV171,$D$4:$D$183,"&gt;"&amp;AW171,V$4:V$183,"&lt;"&amp;168,$G$4:$G$183,1))</f>
        <v/>
      </c>
      <c r="AY171">
        <f>IF(AT171="","",INDEX($M$4:$M$183,AT171)+IF(AX171=1,Shuffle1,IF(AX171&gt;=2,Shuffle2,0)))</f>
        <v/>
      </c>
      <c r="AZ171">
        <f>IF(AT171="","",MAX(DoorGap*167,SUMPRODUCT(MAX((AU$4:AU170&lt;=AU171)*BA$4:BA170)),SUMPRODUCT(MAX((AU$4:AU170&gt;AU171)*AZ$4:AZ170))+Headway))</f>
        <v/>
      </c>
      <c r="BA171">
        <f>IF(AT171="","",AZ171+AY171)</f>
        <v/>
      </c>
      <c r="BB171">
        <f>IF(AT171="","",BA171+AU171*WalkSec)</f>
        <v/>
      </c>
      <c r="BC171" t="n">
        <v>168</v>
      </c>
      <c r="BD171">
        <f>IF(168&gt;Passengers,"",MATCH(168,Z$4:Z$183,0))</f>
        <v/>
      </c>
      <c r="BE171">
        <f>IF(BD171="","",INDEX($B$4:$B$183,BD171))</f>
        <v/>
      </c>
      <c r="BF171">
        <f>IF(BD171="","",INDEX($C$4:$C$183,BD171))</f>
        <v/>
      </c>
      <c r="BG171">
        <f>IF(BD171="","",INDEX($D$4:$D$183,BD171))</f>
        <v/>
      </c>
      <c r="BH171">
        <f>IF(BD171="","",COUNTIFS($B$4:$B$183,BE171,$C$4:$C$183,BF171,$D$4:$D$183,"&gt;"&amp;BG171,Z$4:Z$183,"&lt;"&amp;168,$G$4:$G$183,1))</f>
        <v/>
      </c>
      <c r="BI171">
        <f>IF(BD171="","",INDEX($M$4:$M$183,BD171)+IF(BH171=1,Shuffle1,IF(BH171&gt;=2,Shuffle2,0)))</f>
        <v/>
      </c>
      <c r="BJ171">
        <f>IF(BD171="","",MAX(DoorGap*167,SUMPRODUCT(MAX((BE$4:BE170&lt;=BE171)*BK$4:BK170)),SUMPRODUCT(MAX((BE$4:BE170&gt;BE171)*BJ$4:BJ170))+Headway))</f>
        <v/>
      </c>
      <c r="BK171">
        <f>IF(BD171="","",BJ171+BI171)</f>
        <v/>
      </c>
      <c r="BL171">
        <f>IF(BD171="","",BK171+BE171*WalkSec)</f>
        <v/>
      </c>
      <c r="BM171" t="n">
        <v>168</v>
      </c>
      <c r="BN171">
        <f>IF(168&gt;Passengers,"",MATCH(168,AD$4:AD$183,0))</f>
        <v/>
      </c>
      <c r="BO171">
        <f>IF(BN171="","",INDEX($B$4:$B$183,BN171))</f>
        <v/>
      </c>
      <c r="BP171">
        <f>IF(BN171="","",INDEX($C$4:$C$183,BN171))</f>
        <v/>
      </c>
      <c r="BQ171">
        <f>IF(BN171="","",INDEX($D$4:$D$183,BN171))</f>
        <v/>
      </c>
      <c r="BR171">
        <f>IF(BN171="","",COUNTIFS($B$4:$B$183,BO171,$C$4:$C$183,BP171,$D$4:$D$183,"&gt;"&amp;BQ171,AD$4:AD$183,"&lt;"&amp;168,$G$4:$G$183,1))</f>
        <v/>
      </c>
      <c r="BS171">
        <f>IF(BN171="","",INDEX($M$4:$M$183,BN171)+IF(BR171=1,Shuffle1,IF(BR171&gt;=2,Shuffle2,0)))</f>
        <v/>
      </c>
      <c r="BT171">
        <f>IF(BN171="","",MAX(DoorGap*167,SUMPRODUCT(MAX((BO$4:BO170&lt;=BO171)*BU$4:BU170)),SUMPRODUCT(MAX((BO$4:BO170&gt;BO171)*BT$4:BT170))+Headway))</f>
        <v/>
      </c>
      <c r="BU171">
        <f>IF(BN171="","",BT171+BS171)</f>
        <v/>
      </c>
      <c r="BV171">
        <f>IF(BN171="","",BU171+BO171*WalkSec)</f>
        <v/>
      </c>
      <c r="BW171">
        <f>IF($G171=0,"",INDEX(AR$4:AR$183,R171))</f>
        <v/>
      </c>
      <c r="BX171">
        <f>IF($G171=0,"",INDEX(BB$4:BB$183,V171))</f>
        <v/>
      </c>
      <c r="BY171">
        <f>IF($G171=0,"",INDEX(BL$4:BL$183,Z171))</f>
        <v/>
      </c>
      <c r="BZ171">
        <f>IF($G171=0,"",INDEX(BV$4:BV$183,AD171))</f>
        <v/>
      </c>
    </row>
    <row r="172">
      <c r="A172" t="n">
        <v>169</v>
      </c>
      <c r="B172" t="n">
        <v>29</v>
      </c>
      <c r="C172" t="n">
        <v>1</v>
      </c>
      <c r="D172" t="n">
        <v>1</v>
      </c>
      <c r="E172" t="n">
        <v>57</v>
      </c>
      <c r="F172">
        <f>RAND()</f>
        <v/>
      </c>
      <c r="G172">
        <f>IF(SUMPRODUCT(($F$4:$F$183&lt;F172)*1)+SUMPRODUCT(($F$4:$F$183=F172)*($A$4:$A$183&lt;A172))&lt;Passengers,1,0)</f>
        <v/>
      </c>
      <c r="H172">
        <f>RAND()</f>
        <v/>
      </c>
      <c r="I172">
        <f>RAND()</f>
        <v/>
      </c>
      <c r="J172">
        <f>RAND()</f>
        <v/>
      </c>
      <c r="K172">
        <f>RAND()</f>
        <v/>
      </c>
      <c r="L172">
        <f>RAND()</f>
        <v/>
      </c>
      <c r="M172">
        <f>IF(K172&lt;BagShare,EXP(NORMSINV(L172)*StowSigma+StowMu),StowNoBag)</f>
        <v/>
      </c>
      <c r="N172">
        <f>IF(INDEX($AG$4:$AG$63,E172)&lt;GroupShare,1,0)</f>
        <v/>
      </c>
      <c r="P172">
        <f>IF(G172=1,IF(I172&gt;Compliance,J172,$H172),2)</f>
        <v/>
      </c>
      <c r="Q172">
        <f>IF(G172=0,2,IF(N172=0,P172,1-SUMPRODUCT(MAX(($E$4:$E$183=E172)*($G$4:$G$183=1)*(1-P$4:P$183)))+0.000000001*D172))</f>
        <v/>
      </c>
      <c r="R172">
        <f>IF(G172=0,999,SUMPRODUCT((Q$4:Q$183&lt;Q172)*($G$4:$G$183=1))+SUMPRODUCT((Q$4:Q$183=Q172)*($G$4:$G$183=1)*($A$4:$A$183&lt;A172))+1)</f>
        <v/>
      </c>
      <c r="T172">
        <f>IF(G172=1,IF(I172&gt;Compliance,J172,(INT((30-$B172)/(30/Zones))+$H172)/Zones),2)</f>
        <v/>
      </c>
      <c r="U172">
        <f>IF(G172=0,2,IF(N172=0,T172,1-SUMPRODUCT(MAX(($E$4:$E$183=E172)*($G$4:$G$183=1)*(1-T$4:T$183)))+0.000000001*D172))</f>
        <v/>
      </c>
      <c r="V172">
        <f>IF(G172=0,999,SUMPRODUCT((U$4:U$183&lt;U172)*($G$4:$G$183=1))+SUMPRODUCT((U$4:U$183=U172)*($G$4:$G$183=1)*($A$4:$A$183&lt;A172))+1)</f>
        <v/>
      </c>
      <c r="X172">
        <f>IF(G172=1,IF(I172&gt;Compliance,J172,(($D172-1)+$H172)/3),2)</f>
        <v/>
      </c>
      <c r="Y172">
        <f>IF(G172=0,2,IF(N172=0,X172,1-SUMPRODUCT(MAX(($E$4:$E$183=E172)*($G$4:$G$183=1)*(1-X$4:X$183)))+0.000000001*D172))</f>
        <v/>
      </c>
      <c r="Z172">
        <f>IF(G172=0,999,SUMPRODUCT((Y$4:Y$183&lt;Y172)*($G$4:$G$183=1))+SUMPRODUCT((Y$4:Y$183=Y172)*($G$4:$G$183=1)*($A$4:$A$183&lt;A172))+1)</f>
        <v/>
      </c>
      <c r="AB172">
        <f>IF(G172=1,IF(I172&gt;Compliance,J172,((($D172-1)*4+($C172-1)*2+MOD($B172,2))+(30-$B172)/30)/12),2)</f>
        <v/>
      </c>
      <c r="AC172">
        <f>IF(G172=0,2,IF(N172=0,AB172,1-SUMPRODUCT(MAX(($E$4:$E$183=E172)*($G$4:$G$183=1)*(1-AB$4:AB$183)))+0.000000001*D172))</f>
        <v/>
      </c>
      <c r="AD172">
        <f>IF(G172=0,999,SUMPRODUCT((AC$4:AC$183&lt;AC172)*($G$4:$G$183=1))+SUMPRODUCT((AC$4:AC$183=AC172)*($G$4:$G$183=1)*($A$4:$A$183&lt;A172))+1)</f>
        <v/>
      </c>
      <c r="AI172" t="n">
        <v>169</v>
      </c>
      <c r="AJ172">
        <f>IF(169&gt;Passengers,"",MATCH(169,R$4:R$183,0))</f>
        <v/>
      </c>
      <c r="AK172">
        <f>IF(AJ172="","",INDEX($B$4:$B$183,AJ172))</f>
        <v/>
      </c>
      <c r="AL172">
        <f>IF(AJ172="","",INDEX($C$4:$C$183,AJ172))</f>
        <v/>
      </c>
      <c r="AM172">
        <f>IF(AJ172="","",INDEX($D$4:$D$183,AJ172))</f>
        <v/>
      </c>
      <c r="AN172">
        <f>IF(AJ172="","",COUNTIFS($B$4:$B$183,AK172,$C$4:$C$183,AL172,$D$4:$D$183,"&gt;"&amp;AM172,R$4:R$183,"&lt;"&amp;169,$G$4:$G$183,1))</f>
        <v/>
      </c>
      <c r="AO172">
        <f>IF(AJ172="","",INDEX($M$4:$M$183,AJ172)+IF(AN172=1,Shuffle1,IF(AN172&gt;=2,Shuffle2,0)))</f>
        <v/>
      </c>
      <c r="AP172">
        <f>IF(AJ172="","",MAX(DoorGap*168,SUMPRODUCT(MAX((AK$4:AK171&lt;=AK172)*AQ$4:AQ171)),SUMPRODUCT(MAX((AK$4:AK171&gt;AK172)*AP$4:AP171))+Headway))</f>
        <v/>
      </c>
      <c r="AQ172">
        <f>IF(AJ172="","",AP172+AO172)</f>
        <v/>
      </c>
      <c r="AR172">
        <f>IF(AJ172="","",AQ172+AK172*WalkSec)</f>
        <v/>
      </c>
      <c r="AS172" t="n">
        <v>169</v>
      </c>
      <c r="AT172">
        <f>IF(169&gt;Passengers,"",MATCH(169,V$4:V$183,0))</f>
        <v/>
      </c>
      <c r="AU172">
        <f>IF(AT172="","",INDEX($B$4:$B$183,AT172))</f>
        <v/>
      </c>
      <c r="AV172">
        <f>IF(AT172="","",INDEX($C$4:$C$183,AT172))</f>
        <v/>
      </c>
      <c r="AW172">
        <f>IF(AT172="","",INDEX($D$4:$D$183,AT172))</f>
        <v/>
      </c>
      <c r="AX172">
        <f>IF(AT172="","",COUNTIFS($B$4:$B$183,AU172,$C$4:$C$183,AV172,$D$4:$D$183,"&gt;"&amp;AW172,V$4:V$183,"&lt;"&amp;169,$G$4:$G$183,1))</f>
        <v/>
      </c>
      <c r="AY172">
        <f>IF(AT172="","",INDEX($M$4:$M$183,AT172)+IF(AX172=1,Shuffle1,IF(AX172&gt;=2,Shuffle2,0)))</f>
        <v/>
      </c>
      <c r="AZ172">
        <f>IF(AT172="","",MAX(DoorGap*168,SUMPRODUCT(MAX((AU$4:AU171&lt;=AU172)*BA$4:BA171)),SUMPRODUCT(MAX((AU$4:AU171&gt;AU172)*AZ$4:AZ171))+Headway))</f>
        <v/>
      </c>
      <c r="BA172">
        <f>IF(AT172="","",AZ172+AY172)</f>
        <v/>
      </c>
      <c r="BB172">
        <f>IF(AT172="","",BA172+AU172*WalkSec)</f>
        <v/>
      </c>
      <c r="BC172" t="n">
        <v>169</v>
      </c>
      <c r="BD172">
        <f>IF(169&gt;Passengers,"",MATCH(169,Z$4:Z$183,0))</f>
        <v/>
      </c>
      <c r="BE172">
        <f>IF(BD172="","",INDEX($B$4:$B$183,BD172))</f>
        <v/>
      </c>
      <c r="BF172">
        <f>IF(BD172="","",INDEX($C$4:$C$183,BD172))</f>
        <v/>
      </c>
      <c r="BG172">
        <f>IF(BD172="","",INDEX($D$4:$D$183,BD172))</f>
        <v/>
      </c>
      <c r="BH172">
        <f>IF(BD172="","",COUNTIFS($B$4:$B$183,BE172,$C$4:$C$183,BF172,$D$4:$D$183,"&gt;"&amp;BG172,Z$4:Z$183,"&lt;"&amp;169,$G$4:$G$183,1))</f>
        <v/>
      </c>
      <c r="BI172">
        <f>IF(BD172="","",INDEX($M$4:$M$183,BD172)+IF(BH172=1,Shuffle1,IF(BH172&gt;=2,Shuffle2,0)))</f>
        <v/>
      </c>
      <c r="BJ172">
        <f>IF(BD172="","",MAX(DoorGap*168,SUMPRODUCT(MAX((BE$4:BE171&lt;=BE172)*BK$4:BK171)),SUMPRODUCT(MAX((BE$4:BE171&gt;BE172)*BJ$4:BJ171))+Headway))</f>
        <v/>
      </c>
      <c r="BK172">
        <f>IF(BD172="","",BJ172+BI172)</f>
        <v/>
      </c>
      <c r="BL172">
        <f>IF(BD172="","",BK172+BE172*WalkSec)</f>
        <v/>
      </c>
      <c r="BM172" t="n">
        <v>169</v>
      </c>
      <c r="BN172">
        <f>IF(169&gt;Passengers,"",MATCH(169,AD$4:AD$183,0))</f>
        <v/>
      </c>
      <c r="BO172">
        <f>IF(BN172="","",INDEX($B$4:$B$183,BN172))</f>
        <v/>
      </c>
      <c r="BP172">
        <f>IF(BN172="","",INDEX($C$4:$C$183,BN172))</f>
        <v/>
      </c>
      <c r="BQ172">
        <f>IF(BN172="","",INDEX($D$4:$D$183,BN172))</f>
        <v/>
      </c>
      <c r="BR172">
        <f>IF(BN172="","",COUNTIFS($B$4:$B$183,BO172,$C$4:$C$183,BP172,$D$4:$D$183,"&gt;"&amp;BQ172,AD$4:AD$183,"&lt;"&amp;169,$G$4:$G$183,1))</f>
        <v/>
      </c>
      <c r="BS172">
        <f>IF(BN172="","",INDEX($M$4:$M$183,BN172)+IF(BR172=1,Shuffle1,IF(BR172&gt;=2,Shuffle2,0)))</f>
        <v/>
      </c>
      <c r="BT172">
        <f>IF(BN172="","",MAX(DoorGap*168,SUMPRODUCT(MAX((BO$4:BO171&lt;=BO172)*BU$4:BU171)),SUMPRODUCT(MAX((BO$4:BO171&gt;BO172)*BT$4:BT171))+Headway))</f>
        <v/>
      </c>
      <c r="BU172">
        <f>IF(BN172="","",BT172+BS172)</f>
        <v/>
      </c>
      <c r="BV172">
        <f>IF(BN172="","",BU172+BO172*WalkSec)</f>
        <v/>
      </c>
      <c r="BW172">
        <f>IF($G172=0,"",INDEX(AR$4:AR$183,R172))</f>
        <v/>
      </c>
      <c r="BX172">
        <f>IF($G172=0,"",INDEX(BB$4:BB$183,V172))</f>
        <v/>
      </c>
      <c r="BY172">
        <f>IF($G172=0,"",INDEX(BL$4:BL$183,Z172))</f>
        <v/>
      </c>
      <c r="BZ172">
        <f>IF($G172=0,"",INDEX(BV$4:BV$183,AD172))</f>
        <v/>
      </c>
    </row>
    <row r="173">
      <c r="A173" t="n">
        <v>170</v>
      </c>
      <c r="B173" t="n">
        <v>29</v>
      </c>
      <c r="C173" t="n">
        <v>1</v>
      </c>
      <c r="D173" t="n">
        <v>2</v>
      </c>
      <c r="E173" t="n">
        <v>57</v>
      </c>
      <c r="F173">
        <f>RAND()</f>
        <v/>
      </c>
      <c r="G173">
        <f>IF(SUMPRODUCT(($F$4:$F$183&lt;F173)*1)+SUMPRODUCT(($F$4:$F$183=F173)*($A$4:$A$183&lt;A173))&lt;Passengers,1,0)</f>
        <v/>
      </c>
      <c r="H173">
        <f>RAND()</f>
        <v/>
      </c>
      <c r="I173">
        <f>RAND()</f>
        <v/>
      </c>
      <c r="J173">
        <f>RAND()</f>
        <v/>
      </c>
      <c r="K173">
        <f>RAND()</f>
        <v/>
      </c>
      <c r="L173">
        <f>RAND()</f>
        <v/>
      </c>
      <c r="M173">
        <f>IF(K173&lt;BagShare,EXP(NORMSINV(L173)*StowSigma+StowMu),StowNoBag)</f>
        <v/>
      </c>
      <c r="N173">
        <f>IF(INDEX($AG$4:$AG$63,E173)&lt;GroupShare,1,0)</f>
        <v/>
      </c>
      <c r="P173">
        <f>IF(G173=1,IF(I173&gt;Compliance,J173,$H173),2)</f>
        <v/>
      </c>
      <c r="Q173">
        <f>IF(G173=0,2,IF(N173=0,P173,1-SUMPRODUCT(MAX(($E$4:$E$183=E173)*($G$4:$G$183=1)*(1-P$4:P$183)))+0.000000001*D173))</f>
        <v/>
      </c>
      <c r="R173">
        <f>IF(G173=0,999,SUMPRODUCT((Q$4:Q$183&lt;Q173)*($G$4:$G$183=1))+SUMPRODUCT((Q$4:Q$183=Q173)*($G$4:$G$183=1)*($A$4:$A$183&lt;A173))+1)</f>
        <v/>
      </c>
      <c r="T173">
        <f>IF(G173=1,IF(I173&gt;Compliance,J173,(INT((30-$B173)/(30/Zones))+$H173)/Zones),2)</f>
        <v/>
      </c>
      <c r="U173">
        <f>IF(G173=0,2,IF(N173=0,T173,1-SUMPRODUCT(MAX(($E$4:$E$183=E173)*($G$4:$G$183=1)*(1-T$4:T$183)))+0.000000001*D173))</f>
        <v/>
      </c>
      <c r="V173">
        <f>IF(G173=0,999,SUMPRODUCT((U$4:U$183&lt;U173)*($G$4:$G$183=1))+SUMPRODUCT((U$4:U$183=U173)*($G$4:$G$183=1)*($A$4:$A$183&lt;A173))+1)</f>
        <v/>
      </c>
      <c r="X173">
        <f>IF(G173=1,IF(I173&gt;Compliance,J173,(($D173-1)+$H173)/3),2)</f>
        <v/>
      </c>
      <c r="Y173">
        <f>IF(G173=0,2,IF(N173=0,X173,1-SUMPRODUCT(MAX(($E$4:$E$183=E173)*($G$4:$G$183=1)*(1-X$4:X$183)))+0.000000001*D173))</f>
        <v/>
      </c>
      <c r="Z173">
        <f>IF(G173=0,999,SUMPRODUCT((Y$4:Y$183&lt;Y173)*($G$4:$G$183=1))+SUMPRODUCT((Y$4:Y$183=Y173)*($G$4:$G$183=1)*($A$4:$A$183&lt;A173))+1)</f>
        <v/>
      </c>
      <c r="AB173">
        <f>IF(G173=1,IF(I173&gt;Compliance,J173,((($D173-1)*4+($C173-1)*2+MOD($B173,2))+(30-$B173)/30)/12),2)</f>
        <v/>
      </c>
      <c r="AC173">
        <f>IF(G173=0,2,IF(N173=0,AB173,1-SUMPRODUCT(MAX(($E$4:$E$183=E173)*($G$4:$G$183=1)*(1-AB$4:AB$183)))+0.000000001*D173))</f>
        <v/>
      </c>
      <c r="AD173">
        <f>IF(G173=0,999,SUMPRODUCT((AC$4:AC$183&lt;AC173)*($G$4:$G$183=1))+SUMPRODUCT((AC$4:AC$183=AC173)*($G$4:$G$183=1)*($A$4:$A$183&lt;A173))+1)</f>
        <v/>
      </c>
      <c r="AI173" t="n">
        <v>170</v>
      </c>
      <c r="AJ173">
        <f>IF(170&gt;Passengers,"",MATCH(170,R$4:R$183,0))</f>
        <v/>
      </c>
      <c r="AK173">
        <f>IF(AJ173="","",INDEX($B$4:$B$183,AJ173))</f>
        <v/>
      </c>
      <c r="AL173">
        <f>IF(AJ173="","",INDEX($C$4:$C$183,AJ173))</f>
        <v/>
      </c>
      <c r="AM173">
        <f>IF(AJ173="","",INDEX($D$4:$D$183,AJ173))</f>
        <v/>
      </c>
      <c r="AN173">
        <f>IF(AJ173="","",COUNTIFS($B$4:$B$183,AK173,$C$4:$C$183,AL173,$D$4:$D$183,"&gt;"&amp;AM173,R$4:R$183,"&lt;"&amp;170,$G$4:$G$183,1))</f>
        <v/>
      </c>
      <c r="AO173">
        <f>IF(AJ173="","",INDEX($M$4:$M$183,AJ173)+IF(AN173=1,Shuffle1,IF(AN173&gt;=2,Shuffle2,0)))</f>
        <v/>
      </c>
      <c r="AP173">
        <f>IF(AJ173="","",MAX(DoorGap*169,SUMPRODUCT(MAX((AK$4:AK172&lt;=AK173)*AQ$4:AQ172)),SUMPRODUCT(MAX((AK$4:AK172&gt;AK173)*AP$4:AP172))+Headway))</f>
        <v/>
      </c>
      <c r="AQ173">
        <f>IF(AJ173="","",AP173+AO173)</f>
        <v/>
      </c>
      <c r="AR173">
        <f>IF(AJ173="","",AQ173+AK173*WalkSec)</f>
        <v/>
      </c>
      <c r="AS173" t="n">
        <v>170</v>
      </c>
      <c r="AT173">
        <f>IF(170&gt;Passengers,"",MATCH(170,V$4:V$183,0))</f>
        <v/>
      </c>
      <c r="AU173">
        <f>IF(AT173="","",INDEX($B$4:$B$183,AT173))</f>
        <v/>
      </c>
      <c r="AV173">
        <f>IF(AT173="","",INDEX($C$4:$C$183,AT173))</f>
        <v/>
      </c>
      <c r="AW173">
        <f>IF(AT173="","",INDEX($D$4:$D$183,AT173))</f>
        <v/>
      </c>
      <c r="AX173">
        <f>IF(AT173="","",COUNTIFS($B$4:$B$183,AU173,$C$4:$C$183,AV173,$D$4:$D$183,"&gt;"&amp;AW173,V$4:V$183,"&lt;"&amp;170,$G$4:$G$183,1))</f>
        <v/>
      </c>
      <c r="AY173">
        <f>IF(AT173="","",INDEX($M$4:$M$183,AT173)+IF(AX173=1,Shuffle1,IF(AX173&gt;=2,Shuffle2,0)))</f>
        <v/>
      </c>
      <c r="AZ173">
        <f>IF(AT173="","",MAX(DoorGap*169,SUMPRODUCT(MAX((AU$4:AU172&lt;=AU173)*BA$4:BA172)),SUMPRODUCT(MAX((AU$4:AU172&gt;AU173)*AZ$4:AZ172))+Headway))</f>
        <v/>
      </c>
      <c r="BA173">
        <f>IF(AT173="","",AZ173+AY173)</f>
        <v/>
      </c>
      <c r="BB173">
        <f>IF(AT173="","",BA173+AU173*WalkSec)</f>
        <v/>
      </c>
      <c r="BC173" t="n">
        <v>170</v>
      </c>
      <c r="BD173">
        <f>IF(170&gt;Passengers,"",MATCH(170,Z$4:Z$183,0))</f>
        <v/>
      </c>
      <c r="BE173">
        <f>IF(BD173="","",INDEX($B$4:$B$183,BD173))</f>
        <v/>
      </c>
      <c r="BF173">
        <f>IF(BD173="","",INDEX($C$4:$C$183,BD173))</f>
        <v/>
      </c>
      <c r="BG173">
        <f>IF(BD173="","",INDEX($D$4:$D$183,BD173))</f>
        <v/>
      </c>
      <c r="BH173">
        <f>IF(BD173="","",COUNTIFS($B$4:$B$183,BE173,$C$4:$C$183,BF173,$D$4:$D$183,"&gt;"&amp;BG173,Z$4:Z$183,"&lt;"&amp;170,$G$4:$G$183,1))</f>
        <v/>
      </c>
      <c r="BI173">
        <f>IF(BD173="","",INDEX($M$4:$M$183,BD173)+IF(BH173=1,Shuffle1,IF(BH173&gt;=2,Shuffle2,0)))</f>
        <v/>
      </c>
      <c r="BJ173">
        <f>IF(BD173="","",MAX(DoorGap*169,SUMPRODUCT(MAX((BE$4:BE172&lt;=BE173)*BK$4:BK172)),SUMPRODUCT(MAX((BE$4:BE172&gt;BE173)*BJ$4:BJ172))+Headway))</f>
        <v/>
      </c>
      <c r="BK173">
        <f>IF(BD173="","",BJ173+BI173)</f>
        <v/>
      </c>
      <c r="BL173">
        <f>IF(BD173="","",BK173+BE173*WalkSec)</f>
        <v/>
      </c>
      <c r="BM173" t="n">
        <v>170</v>
      </c>
      <c r="BN173">
        <f>IF(170&gt;Passengers,"",MATCH(170,AD$4:AD$183,0))</f>
        <v/>
      </c>
      <c r="BO173">
        <f>IF(BN173="","",INDEX($B$4:$B$183,BN173))</f>
        <v/>
      </c>
      <c r="BP173">
        <f>IF(BN173="","",INDEX($C$4:$C$183,BN173))</f>
        <v/>
      </c>
      <c r="BQ173">
        <f>IF(BN173="","",INDEX($D$4:$D$183,BN173))</f>
        <v/>
      </c>
      <c r="BR173">
        <f>IF(BN173="","",COUNTIFS($B$4:$B$183,BO173,$C$4:$C$183,BP173,$D$4:$D$183,"&gt;"&amp;BQ173,AD$4:AD$183,"&lt;"&amp;170,$G$4:$G$183,1))</f>
        <v/>
      </c>
      <c r="BS173">
        <f>IF(BN173="","",INDEX($M$4:$M$183,BN173)+IF(BR173=1,Shuffle1,IF(BR173&gt;=2,Shuffle2,0)))</f>
        <v/>
      </c>
      <c r="BT173">
        <f>IF(BN173="","",MAX(DoorGap*169,SUMPRODUCT(MAX((BO$4:BO172&lt;=BO173)*BU$4:BU172)),SUMPRODUCT(MAX((BO$4:BO172&gt;BO173)*BT$4:BT172))+Headway))</f>
        <v/>
      </c>
      <c r="BU173">
        <f>IF(BN173="","",BT173+BS173)</f>
        <v/>
      </c>
      <c r="BV173">
        <f>IF(BN173="","",BU173+BO173*WalkSec)</f>
        <v/>
      </c>
      <c r="BW173">
        <f>IF($G173=0,"",INDEX(AR$4:AR$183,R173))</f>
        <v/>
      </c>
      <c r="BX173">
        <f>IF($G173=0,"",INDEX(BB$4:BB$183,V173))</f>
        <v/>
      </c>
      <c r="BY173">
        <f>IF($G173=0,"",INDEX(BL$4:BL$183,Z173))</f>
        <v/>
      </c>
      <c r="BZ173">
        <f>IF($G173=0,"",INDEX(BV$4:BV$183,AD173))</f>
        <v/>
      </c>
    </row>
    <row r="174">
      <c r="A174" t="n">
        <v>171</v>
      </c>
      <c r="B174" t="n">
        <v>29</v>
      </c>
      <c r="C174" t="n">
        <v>1</v>
      </c>
      <c r="D174" t="n">
        <v>3</v>
      </c>
      <c r="E174" t="n">
        <v>57</v>
      </c>
      <c r="F174">
        <f>RAND()</f>
        <v/>
      </c>
      <c r="G174">
        <f>IF(SUMPRODUCT(($F$4:$F$183&lt;F174)*1)+SUMPRODUCT(($F$4:$F$183=F174)*($A$4:$A$183&lt;A174))&lt;Passengers,1,0)</f>
        <v/>
      </c>
      <c r="H174">
        <f>RAND()</f>
        <v/>
      </c>
      <c r="I174">
        <f>RAND()</f>
        <v/>
      </c>
      <c r="J174">
        <f>RAND()</f>
        <v/>
      </c>
      <c r="K174">
        <f>RAND()</f>
        <v/>
      </c>
      <c r="L174">
        <f>RAND()</f>
        <v/>
      </c>
      <c r="M174">
        <f>IF(K174&lt;BagShare,EXP(NORMSINV(L174)*StowSigma+StowMu),StowNoBag)</f>
        <v/>
      </c>
      <c r="N174">
        <f>IF(INDEX($AG$4:$AG$63,E174)&lt;GroupShare,1,0)</f>
        <v/>
      </c>
      <c r="P174">
        <f>IF(G174=1,IF(I174&gt;Compliance,J174,$H174),2)</f>
        <v/>
      </c>
      <c r="Q174">
        <f>IF(G174=0,2,IF(N174=0,P174,1-SUMPRODUCT(MAX(($E$4:$E$183=E174)*($G$4:$G$183=1)*(1-P$4:P$183)))+0.000000001*D174))</f>
        <v/>
      </c>
      <c r="R174">
        <f>IF(G174=0,999,SUMPRODUCT((Q$4:Q$183&lt;Q174)*($G$4:$G$183=1))+SUMPRODUCT((Q$4:Q$183=Q174)*($G$4:$G$183=1)*($A$4:$A$183&lt;A174))+1)</f>
        <v/>
      </c>
      <c r="T174">
        <f>IF(G174=1,IF(I174&gt;Compliance,J174,(INT((30-$B174)/(30/Zones))+$H174)/Zones),2)</f>
        <v/>
      </c>
      <c r="U174">
        <f>IF(G174=0,2,IF(N174=0,T174,1-SUMPRODUCT(MAX(($E$4:$E$183=E174)*($G$4:$G$183=1)*(1-T$4:T$183)))+0.000000001*D174))</f>
        <v/>
      </c>
      <c r="V174">
        <f>IF(G174=0,999,SUMPRODUCT((U$4:U$183&lt;U174)*($G$4:$G$183=1))+SUMPRODUCT((U$4:U$183=U174)*($G$4:$G$183=1)*($A$4:$A$183&lt;A174))+1)</f>
        <v/>
      </c>
      <c r="X174">
        <f>IF(G174=1,IF(I174&gt;Compliance,J174,(($D174-1)+$H174)/3),2)</f>
        <v/>
      </c>
      <c r="Y174">
        <f>IF(G174=0,2,IF(N174=0,X174,1-SUMPRODUCT(MAX(($E$4:$E$183=E174)*($G$4:$G$183=1)*(1-X$4:X$183)))+0.000000001*D174))</f>
        <v/>
      </c>
      <c r="Z174">
        <f>IF(G174=0,999,SUMPRODUCT((Y$4:Y$183&lt;Y174)*($G$4:$G$183=1))+SUMPRODUCT((Y$4:Y$183=Y174)*($G$4:$G$183=1)*($A$4:$A$183&lt;A174))+1)</f>
        <v/>
      </c>
      <c r="AB174">
        <f>IF(G174=1,IF(I174&gt;Compliance,J174,((($D174-1)*4+($C174-1)*2+MOD($B174,2))+(30-$B174)/30)/12),2)</f>
        <v/>
      </c>
      <c r="AC174">
        <f>IF(G174=0,2,IF(N174=0,AB174,1-SUMPRODUCT(MAX(($E$4:$E$183=E174)*($G$4:$G$183=1)*(1-AB$4:AB$183)))+0.000000001*D174))</f>
        <v/>
      </c>
      <c r="AD174">
        <f>IF(G174=0,999,SUMPRODUCT((AC$4:AC$183&lt;AC174)*($G$4:$G$183=1))+SUMPRODUCT((AC$4:AC$183=AC174)*($G$4:$G$183=1)*($A$4:$A$183&lt;A174))+1)</f>
        <v/>
      </c>
      <c r="AI174" t="n">
        <v>171</v>
      </c>
      <c r="AJ174">
        <f>IF(171&gt;Passengers,"",MATCH(171,R$4:R$183,0))</f>
        <v/>
      </c>
      <c r="AK174">
        <f>IF(AJ174="","",INDEX($B$4:$B$183,AJ174))</f>
        <v/>
      </c>
      <c r="AL174">
        <f>IF(AJ174="","",INDEX($C$4:$C$183,AJ174))</f>
        <v/>
      </c>
      <c r="AM174">
        <f>IF(AJ174="","",INDEX($D$4:$D$183,AJ174))</f>
        <v/>
      </c>
      <c r="AN174">
        <f>IF(AJ174="","",COUNTIFS($B$4:$B$183,AK174,$C$4:$C$183,AL174,$D$4:$D$183,"&gt;"&amp;AM174,R$4:R$183,"&lt;"&amp;171,$G$4:$G$183,1))</f>
        <v/>
      </c>
      <c r="AO174">
        <f>IF(AJ174="","",INDEX($M$4:$M$183,AJ174)+IF(AN174=1,Shuffle1,IF(AN174&gt;=2,Shuffle2,0)))</f>
        <v/>
      </c>
      <c r="AP174">
        <f>IF(AJ174="","",MAX(DoorGap*170,SUMPRODUCT(MAX((AK$4:AK173&lt;=AK174)*AQ$4:AQ173)),SUMPRODUCT(MAX((AK$4:AK173&gt;AK174)*AP$4:AP173))+Headway))</f>
        <v/>
      </c>
      <c r="AQ174">
        <f>IF(AJ174="","",AP174+AO174)</f>
        <v/>
      </c>
      <c r="AR174">
        <f>IF(AJ174="","",AQ174+AK174*WalkSec)</f>
        <v/>
      </c>
      <c r="AS174" t="n">
        <v>171</v>
      </c>
      <c r="AT174">
        <f>IF(171&gt;Passengers,"",MATCH(171,V$4:V$183,0))</f>
        <v/>
      </c>
      <c r="AU174">
        <f>IF(AT174="","",INDEX($B$4:$B$183,AT174))</f>
        <v/>
      </c>
      <c r="AV174">
        <f>IF(AT174="","",INDEX($C$4:$C$183,AT174))</f>
        <v/>
      </c>
      <c r="AW174">
        <f>IF(AT174="","",INDEX($D$4:$D$183,AT174))</f>
        <v/>
      </c>
      <c r="AX174">
        <f>IF(AT174="","",COUNTIFS($B$4:$B$183,AU174,$C$4:$C$183,AV174,$D$4:$D$183,"&gt;"&amp;AW174,V$4:V$183,"&lt;"&amp;171,$G$4:$G$183,1))</f>
        <v/>
      </c>
      <c r="AY174">
        <f>IF(AT174="","",INDEX($M$4:$M$183,AT174)+IF(AX174=1,Shuffle1,IF(AX174&gt;=2,Shuffle2,0)))</f>
        <v/>
      </c>
      <c r="AZ174">
        <f>IF(AT174="","",MAX(DoorGap*170,SUMPRODUCT(MAX((AU$4:AU173&lt;=AU174)*BA$4:BA173)),SUMPRODUCT(MAX((AU$4:AU173&gt;AU174)*AZ$4:AZ173))+Headway))</f>
        <v/>
      </c>
      <c r="BA174">
        <f>IF(AT174="","",AZ174+AY174)</f>
        <v/>
      </c>
      <c r="BB174">
        <f>IF(AT174="","",BA174+AU174*WalkSec)</f>
        <v/>
      </c>
      <c r="BC174" t="n">
        <v>171</v>
      </c>
      <c r="BD174">
        <f>IF(171&gt;Passengers,"",MATCH(171,Z$4:Z$183,0))</f>
        <v/>
      </c>
      <c r="BE174">
        <f>IF(BD174="","",INDEX($B$4:$B$183,BD174))</f>
        <v/>
      </c>
      <c r="BF174">
        <f>IF(BD174="","",INDEX($C$4:$C$183,BD174))</f>
        <v/>
      </c>
      <c r="BG174">
        <f>IF(BD174="","",INDEX($D$4:$D$183,BD174))</f>
        <v/>
      </c>
      <c r="BH174">
        <f>IF(BD174="","",COUNTIFS($B$4:$B$183,BE174,$C$4:$C$183,BF174,$D$4:$D$183,"&gt;"&amp;BG174,Z$4:Z$183,"&lt;"&amp;171,$G$4:$G$183,1))</f>
        <v/>
      </c>
      <c r="BI174">
        <f>IF(BD174="","",INDEX($M$4:$M$183,BD174)+IF(BH174=1,Shuffle1,IF(BH174&gt;=2,Shuffle2,0)))</f>
        <v/>
      </c>
      <c r="BJ174">
        <f>IF(BD174="","",MAX(DoorGap*170,SUMPRODUCT(MAX((BE$4:BE173&lt;=BE174)*BK$4:BK173)),SUMPRODUCT(MAX((BE$4:BE173&gt;BE174)*BJ$4:BJ173))+Headway))</f>
        <v/>
      </c>
      <c r="BK174">
        <f>IF(BD174="","",BJ174+BI174)</f>
        <v/>
      </c>
      <c r="BL174">
        <f>IF(BD174="","",BK174+BE174*WalkSec)</f>
        <v/>
      </c>
      <c r="BM174" t="n">
        <v>171</v>
      </c>
      <c r="BN174">
        <f>IF(171&gt;Passengers,"",MATCH(171,AD$4:AD$183,0))</f>
        <v/>
      </c>
      <c r="BO174">
        <f>IF(BN174="","",INDEX($B$4:$B$183,BN174))</f>
        <v/>
      </c>
      <c r="BP174">
        <f>IF(BN174="","",INDEX($C$4:$C$183,BN174))</f>
        <v/>
      </c>
      <c r="BQ174">
        <f>IF(BN174="","",INDEX($D$4:$D$183,BN174))</f>
        <v/>
      </c>
      <c r="BR174">
        <f>IF(BN174="","",COUNTIFS($B$4:$B$183,BO174,$C$4:$C$183,BP174,$D$4:$D$183,"&gt;"&amp;BQ174,AD$4:AD$183,"&lt;"&amp;171,$G$4:$G$183,1))</f>
        <v/>
      </c>
      <c r="BS174">
        <f>IF(BN174="","",INDEX($M$4:$M$183,BN174)+IF(BR174=1,Shuffle1,IF(BR174&gt;=2,Shuffle2,0)))</f>
        <v/>
      </c>
      <c r="BT174">
        <f>IF(BN174="","",MAX(DoorGap*170,SUMPRODUCT(MAX((BO$4:BO173&lt;=BO174)*BU$4:BU173)),SUMPRODUCT(MAX((BO$4:BO173&gt;BO174)*BT$4:BT173))+Headway))</f>
        <v/>
      </c>
      <c r="BU174">
        <f>IF(BN174="","",BT174+BS174)</f>
        <v/>
      </c>
      <c r="BV174">
        <f>IF(BN174="","",BU174+BO174*WalkSec)</f>
        <v/>
      </c>
      <c r="BW174">
        <f>IF($G174=0,"",INDEX(AR$4:AR$183,R174))</f>
        <v/>
      </c>
      <c r="BX174">
        <f>IF($G174=0,"",INDEX(BB$4:BB$183,V174))</f>
        <v/>
      </c>
      <c r="BY174">
        <f>IF($G174=0,"",INDEX(BL$4:BL$183,Z174))</f>
        <v/>
      </c>
      <c r="BZ174">
        <f>IF($G174=0,"",INDEX(BV$4:BV$183,AD174))</f>
        <v/>
      </c>
    </row>
    <row r="175">
      <c r="A175" t="n">
        <v>172</v>
      </c>
      <c r="B175" t="n">
        <v>29</v>
      </c>
      <c r="C175" t="n">
        <v>2</v>
      </c>
      <c r="D175" t="n">
        <v>1</v>
      </c>
      <c r="E175" t="n">
        <v>58</v>
      </c>
      <c r="F175">
        <f>RAND()</f>
        <v/>
      </c>
      <c r="G175">
        <f>IF(SUMPRODUCT(($F$4:$F$183&lt;F175)*1)+SUMPRODUCT(($F$4:$F$183=F175)*($A$4:$A$183&lt;A175))&lt;Passengers,1,0)</f>
        <v/>
      </c>
      <c r="H175">
        <f>RAND()</f>
        <v/>
      </c>
      <c r="I175">
        <f>RAND()</f>
        <v/>
      </c>
      <c r="J175">
        <f>RAND()</f>
        <v/>
      </c>
      <c r="K175">
        <f>RAND()</f>
        <v/>
      </c>
      <c r="L175">
        <f>RAND()</f>
        <v/>
      </c>
      <c r="M175">
        <f>IF(K175&lt;BagShare,EXP(NORMSINV(L175)*StowSigma+StowMu),StowNoBag)</f>
        <v/>
      </c>
      <c r="N175">
        <f>IF(INDEX($AG$4:$AG$63,E175)&lt;GroupShare,1,0)</f>
        <v/>
      </c>
      <c r="P175">
        <f>IF(G175=1,IF(I175&gt;Compliance,J175,$H175),2)</f>
        <v/>
      </c>
      <c r="Q175">
        <f>IF(G175=0,2,IF(N175=0,P175,1-SUMPRODUCT(MAX(($E$4:$E$183=E175)*($G$4:$G$183=1)*(1-P$4:P$183)))+0.000000001*D175))</f>
        <v/>
      </c>
      <c r="R175">
        <f>IF(G175=0,999,SUMPRODUCT((Q$4:Q$183&lt;Q175)*($G$4:$G$183=1))+SUMPRODUCT((Q$4:Q$183=Q175)*($G$4:$G$183=1)*($A$4:$A$183&lt;A175))+1)</f>
        <v/>
      </c>
      <c r="T175">
        <f>IF(G175=1,IF(I175&gt;Compliance,J175,(INT((30-$B175)/(30/Zones))+$H175)/Zones),2)</f>
        <v/>
      </c>
      <c r="U175">
        <f>IF(G175=0,2,IF(N175=0,T175,1-SUMPRODUCT(MAX(($E$4:$E$183=E175)*($G$4:$G$183=1)*(1-T$4:T$183)))+0.000000001*D175))</f>
        <v/>
      </c>
      <c r="V175">
        <f>IF(G175=0,999,SUMPRODUCT((U$4:U$183&lt;U175)*($G$4:$G$183=1))+SUMPRODUCT((U$4:U$183=U175)*($G$4:$G$183=1)*($A$4:$A$183&lt;A175))+1)</f>
        <v/>
      </c>
      <c r="X175">
        <f>IF(G175=1,IF(I175&gt;Compliance,J175,(($D175-1)+$H175)/3),2)</f>
        <v/>
      </c>
      <c r="Y175">
        <f>IF(G175=0,2,IF(N175=0,X175,1-SUMPRODUCT(MAX(($E$4:$E$183=E175)*($G$4:$G$183=1)*(1-X$4:X$183)))+0.000000001*D175))</f>
        <v/>
      </c>
      <c r="Z175">
        <f>IF(G175=0,999,SUMPRODUCT((Y$4:Y$183&lt;Y175)*($G$4:$G$183=1))+SUMPRODUCT((Y$4:Y$183=Y175)*($G$4:$G$183=1)*($A$4:$A$183&lt;A175))+1)</f>
        <v/>
      </c>
      <c r="AB175">
        <f>IF(G175=1,IF(I175&gt;Compliance,J175,((($D175-1)*4+($C175-1)*2+MOD($B175,2))+(30-$B175)/30)/12),2)</f>
        <v/>
      </c>
      <c r="AC175">
        <f>IF(G175=0,2,IF(N175=0,AB175,1-SUMPRODUCT(MAX(($E$4:$E$183=E175)*($G$4:$G$183=1)*(1-AB$4:AB$183)))+0.000000001*D175))</f>
        <v/>
      </c>
      <c r="AD175">
        <f>IF(G175=0,999,SUMPRODUCT((AC$4:AC$183&lt;AC175)*($G$4:$G$183=1))+SUMPRODUCT((AC$4:AC$183=AC175)*($G$4:$G$183=1)*($A$4:$A$183&lt;A175))+1)</f>
        <v/>
      </c>
      <c r="AI175" t="n">
        <v>172</v>
      </c>
      <c r="AJ175">
        <f>IF(172&gt;Passengers,"",MATCH(172,R$4:R$183,0))</f>
        <v/>
      </c>
      <c r="AK175">
        <f>IF(AJ175="","",INDEX($B$4:$B$183,AJ175))</f>
        <v/>
      </c>
      <c r="AL175">
        <f>IF(AJ175="","",INDEX($C$4:$C$183,AJ175))</f>
        <v/>
      </c>
      <c r="AM175">
        <f>IF(AJ175="","",INDEX($D$4:$D$183,AJ175))</f>
        <v/>
      </c>
      <c r="AN175">
        <f>IF(AJ175="","",COUNTIFS($B$4:$B$183,AK175,$C$4:$C$183,AL175,$D$4:$D$183,"&gt;"&amp;AM175,R$4:R$183,"&lt;"&amp;172,$G$4:$G$183,1))</f>
        <v/>
      </c>
      <c r="AO175">
        <f>IF(AJ175="","",INDEX($M$4:$M$183,AJ175)+IF(AN175=1,Shuffle1,IF(AN175&gt;=2,Shuffle2,0)))</f>
        <v/>
      </c>
      <c r="AP175">
        <f>IF(AJ175="","",MAX(DoorGap*171,SUMPRODUCT(MAX((AK$4:AK174&lt;=AK175)*AQ$4:AQ174)),SUMPRODUCT(MAX((AK$4:AK174&gt;AK175)*AP$4:AP174))+Headway))</f>
        <v/>
      </c>
      <c r="AQ175">
        <f>IF(AJ175="","",AP175+AO175)</f>
        <v/>
      </c>
      <c r="AR175">
        <f>IF(AJ175="","",AQ175+AK175*WalkSec)</f>
        <v/>
      </c>
      <c r="AS175" t="n">
        <v>172</v>
      </c>
      <c r="AT175">
        <f>IF(172&gt;Passengers,"",MATCH(172,V$4:V$183,0))</f>
        <v/>
      </c>
      <c r="AU175">
        <f>IF(AT175="","",INDEX($B$4:$B$183,AT175))</f>
        <v/>
      </c>
      <c r="AV175">
        <f>IF(AT175="","",INDEX($C$4:$C$183,AT175))</f>
        <v/>
      </c>
      <c r="AW175">
        <f>IF(AT175="","",INDEX($D$4:$D$183,AT175))</f>
        <v/>
      </c>
      <c r="AX175">
        <f>IF(AT175="","",COUNTIFS($B$4:$B$183,AU175,$C$4:$C$183,AV175,$D$4:$D$183,"&gt;"&amp;AW175,V$4:V$183,"&lt;"&amp;172,$G$4:$G$183,1))</f>
        <v/>
      </c>
      <c r="AY175">
        <f>IF(AT175="","",INDEX($M$4:$M$183,AT175)+IF(AX175=1,Shuffle1,IF(AX175&gt;=2,Shuffle2,0)))</f>
        <v/>
      </c>
      <c r="AZ175">
        <f>IF(AT175="","",MAX(DoorGap*171,SUMPRODUCT(MAX((AU$4:AU174&lt;=AU175)*BA$4:BA174)),SUMPRODUCT(MAX((AU$4:AU174&gt;AU175)*AZ$4:AZ174))+Headway))</f>
        <v/>
      </c>
      <c r="BA175">
        <f>IF(AT175="","",AZ175+AY175)</f>
        <v/>
      </c>
      <c r="BB175">
        <f>IF(AT175="","",BA175+AU175*WalkSec)</f>
        <v/>
      </c>
      <c r="BC175" t="n">
        <v>172</v>
      </c>
      <c r="BD175">
        <f>IF(172&gt;Passengers,"",MATCH(172,Z$4:Z$183,0))</f>
        <v/>
      </c>
      <c r="BE175">
        <f>IF(BD175="","",INDEX($B$4:$B$183,BD175))</f>
        <v/>
      </c>
      <c r="BF175">
        <f>IF(BD175="","",INDEX($C$4:$C$183,BD175))</f>
        <v/>
      </c>
      <c r="BG175">
        <f>IF(BD175="","",INDEX($D$4:$D$183,BD175))</f>
        <v/>
      </c>
      <c r="BH175">
        <f>IF(BD175="","",COUNTIFS($B$4:$B$183,BE175,$C$4:$C$183,BF175,$D$4:$D$183,"&gt;"&amp;BG175,Z$4:Z$183,"&lt;"&amp;172,$G$4:$G$183,1))</f>
        <v/>
      </c>
      <c r="BI175">
        <f>IF(BD175="","",INDEX($M$4:$M$183,BD175)+IF(BH175=1,Shuffle1,IF(BH175&gt;=2,Shuffle2,0)))</f>
        <v/>
      </c>
      <c r="BJ175">
        <f>IF(BD175="","",MAX(DoorGap*171,SUMPRODUCT(MAX((BE$4:BE174&lt;=BE175)*BK$4:BK174)),SUMPRODUCT(MAX((BE$4:BE174&gt;BE175)*BJ$4:BJ174))+Headway))</f>
        <v/>
      </c>
      <c r="BK175">
        <f>IF(BD175="","",BJ175+BI175)</f>
        <v/>
      </c>
      <c r="BL175">
        <f>IF(BD175="","",BK175+BE175*WalkSec)</f>
        <v/>
      </c>
      <c r="BM175" t="n">
        <v>172</v>
      </c>
      <c r="BN175">
        <f>IF(172&gt;Passengers,"",MATCH(172,AD$4:AD$183,0))</f>
        <v/>
      </c>
      <c r="BO175">
        <f>IF(BN175="","",INDEX($B$4:$B$183,BN175))</f>
        <v/>
      </c>
      <c r="BP175">
        <f>IF(BN175="","",INDEX($C$4:$C$183,BN175))</f>
        <v/>
      </c>
      <c r="BQ175">
        <f>IF(BN175="","",INDEX($D$4:$D$183,BN175))</f>
        <v/>
      </c>
      <c r="BR175">
        <f>IF(BN175="","",COUNTIFS($B$4:$B$183,BO175,$C$4:$C$183,BP175,$D$4:$D$183,"&gt;"&amp;BQ175,AD$4:AD$183,"&lt;"&amp;172,$G$4:$G$183,1))</f>
        <v/>
      </c>
      <c r="BS175">
        <f>IF(BN175="","",INDEX($M$4:$M$183,BN175)+IF(BR175=1,Shuffle1,IF(BR175&gt;=2,Shuffle2,0)))</f>
        <v/>
      </c>
      <c r="BT175">
        <f>IF(BN175="","",MAX(DoorGap*171,SUMPRODUCT(MAX((BO$4:BO174&lt;=BO175)*BU$4:BU174)),SUMPRODUCT(MAX((BO$4:BO174&gt;BO175)*BT$4:BT174))+Headway))</f>
        <v/>
      </c>
      <c r="BU175">
        <f>IF(BN175="","",BT175+BS175)</f>
        <v/>
      </c>
      <c r="BV175">
        <f>IF(BN175="","",BU175+BO175*WalkSec)</f>
        <v/>
      </c>
      <c r="BW175">
        <f>IF($G175=0,"",INDEX(AR$4:AR$183,R175))</f>
        <v/>
      </c>
      <c r="BX175">
        <f>IF($G175=0,"",INDEX(BB$4:BB$183,V175))</f>
        <v/>
      </c>
      <c r="BY175">
        <f>IF($G175=0,"",INDEX(BL$4:BL$183,Z175))</f>
        <v/>
      </c>
      <c r="BZ175">
        <f>IF($G175=0,"",INDEX(BV$4:BV$183,AD175))</f>
        <v/>
      </c>
    </row>
    <row r="176">
      <c r="A176" t="n">
        <v>173</v>
      </c>
      <c r="B176" t="n">
        <v>29</v>
      </c>
      <c r="C176" t="n">
        <v>2</v>
      </c>
      <c r="D176" t="n">
        <v>2</v>
      </c>
      <c r="E176" t="n">
        <v>58</v>
      </c>
      <c r="F176">
        <f>RAND()</f>
        <v/>
      </c>
      <c r="G176">
        <f>IF(SUMPRODUCT(($F$4:$F$183&lt;F176)*1)+SUMPRODUCT(($F$4:$F$183=F176)*($A$4:$A$183&lt;A176))&lt;Passengers,1,0)</f>
        <v/>
      </c>
      <c r="H176">
        <f>RAND()</f>
        <v/>
      </c>
      <c r="I176">
        <f>RAND()</f>
        <v/>
      </c>
      <c r="J176">
        <f>RAND()</f>
        <v/>
      </c>
      <c r="K176">
        <f>RAND()</f>
        <v/>
      </c>
      <c r="L176">
        <f>RAND()</f>
        <v/>
      </c>
      <c r="M176">
        <f>IF(K176&lt;BagShare,EXP(NORMSINV(L176)*StowSigma+StowMu),StowNoBag)</f>
        <v/>
      </c>
      <c r="N176">
        <f>IF(INDEX($AG$4:$AG$63,E176)&lt;GroupShare,1,0)</f>
        <v/>
      </c>
      <c r="P176">
        <f>IF(G176=1,IF(I176&gt;Compliance,J176,$H176),2)</f>
        <v/>
      </c>
      <c r="Q176">
        <f>IF(G176=0,2,IF(N176=0,P176,1-SUMPRODUCT(MAX(($E$4:$E$183=E176)*($G$4:$G$183=1)*(1-P$4:P$183)))+0.000000001*D176))</f>
        <v/>
      </c>
      <c r="R176">
        <f>IF(G176=0,999,SUMPRODUCT((Q$4:Q$183&lt;Q176)*($G$4:$G$183=1))+SUMPRODUCT((Q$4:Q$183=Q176)*($G$4:$G$183=1)*($A$4:$A$183&lt;A176))+1)</f>
        <v/>
      </c>
      <c r="T176">
        <f>IF(G176=1,IF(I176&gt;Compliance,J176,(INT((30-$B176)/(30/Zones))+$H176)/Zones),2)</f>
        <v/>
      </c>
      <c r="U176">
        <f>IF(G176=0,2,IF(N176=0,T176,1-SUMPRODUCT(MAX(($E$4:$E$183=E176)*($G$4:$G$183=1)*(1-T$4:T$183)))+0.000000001*D176))</f>
        <v/>
      </c>
      <c r="V176">
        <f>IF(G176=0,999,SUMPRODUCT((U$4:U$183&lt;U176)*($G$4:$G$183=1))+SUMPRODUCT((U$4:U$183=U176)*($G$4:$G$183=1)*($A$4:$A$183&lt;A176))+1)</f>
        <v/>
      </c>
      <c r="X176">
        <f>IF(G176=1,IF(I176&gt;Compliance,J176,(($D176-1)+$H176)/3),2)</f>
        <v/>
      </c>
      <c r="Y176">
        <f>IF(G176=0,2,IF(N176=0,X176,1-SUMPRODUCT(MAX(($E$4:$E$183=E176)*($G$4:$G$183=1)*(1-X$4:X$183)))+0.000000001*D176))</f>
        <v/>
      </c>
      <c r="Z176">
        <f>IF(G176=0,999,SUMPRODUCT((Y$4:Y$183&lt;Y176)*($G$4:$G$183=1))+SUMPRODUCT((Y$4:Y$183=Y176)*($G$4:$G$183=1)*($A$4:$A$183&lt;A176))+1)</f>
        <v/>
      </c>
      <c r="AB176">
        <f>IF(G176=1,IF(I176&gt;Compliance,J176,((($D176-1)*4+($C176-1)*2+MOD($B176,2))+(30-$B176)/30)/12),2)</f>
        <v/>
      </c>
      <c r="AC176">
        <f>IF(G176=0,2,IF(N176=0,AB176,1-SUMPRODUCT(MAX(($E$4:$E$183=E176)*($G$4:$G$183=1)*(1-AB$4:AB$183)))+0.000000001*D176))</f>
        <v/>
      </c>
      <c r="AD176">
        <f>IF(G176=0,999,SUMPRODUCT((AC$4:AC$183&lt;AC176)*($G$4:$G$183=1))+SUMPRODUCT((AC$4:AC$183=AC176)*($G$4:$G$183=1)*($A$4:$A$183&lt;A176))+1)</f>
        <v/>
      </c>
      <c r="AI176" t="n">
        <v>173</v>
      </c>
      <c r="AJ176">
        <f>IF(173&gt;Passengers,"",MATCH(173,R$4:R$183,0))</f>
        <v/>
      </c>
      <c r="AK176">
        <f>IF(AJ176="","",INDEX($B$4:$B$183,AJ176))</f>
        <v/>
      </c>
      <c r="AL176">
        <f>IF(AJ176="","",INDEX($C$4:$C$183,AJ176))</f>
        <v/>
      </c>
      <c r="AM176">
        <f>IF(AJ176="","",INDEX($D$4:$D$183,AJ176))</f>
        <v/>
      </c>
      <c r="AN176">
        <f>IF(AJ176="","",COUNTIFS($B$4:$B$183,AK176,$C$4:$C$183,AL176,$D$4:$D$183,"&gt;"&amp;AM176,R$4:R$183,"&lt;"&amp;173,$G$4:$G$183,1))</f>
        <v/>
      </c>
      <c r="AO176">
        <f>IF(AJ176="","",INDEX($M$4:$M$183,AJ176)+IF(AN176=1,Shuffle1,IF(AN176&gt;=2,Shuffle2,0)))</f>
        <v/>
      </c>
      <c r="AP176">
        <f>IF(AJ176="","",MAX(DoorGap*172,SUMPRODUCT(MAX((AK$4:AK175&lt;=AK176)*AQ$4:AQ175)),SUMPRODUCT(MAX((AK$4:AK175&gt;AK176)*AP$4:AP175))+Headway))</f>
        <v/>
      </c>
      <c r="AQ176">
        <f>IF(AJ176="","",AP176+AO176)</f>
        <v/>
      </c>
      <c r="AR176">
        <f>IF(AJ176="","",AQ176+AK176*WalkSec)</f>
        <v/>
      </c>
      <c r="AS176" t="n">
        <v>173</v>
      </c>
      <c r="AT176">
        <f>IF(173&gt;Passengers,"",MATCH(173,V$4:V$183,0))</f>
        <v/>
      </c>
      <c r="AU176">
        <f>IF(AT176="","",INDEX($B$4:$B$183,AT176))</f>
        <v/>
      </c>
      <c r="AV176">
        <f>IF(AT176="","",INDEX($C$4:$C$183,AT176))</f>
        <v/>
      </c>
      <c r="AW176">
        <f>IF(AT176="","",INDEX($D$4:$D$183,AT176))</f>
        <v/>
      </c>
      <c r="AX176">
        <f>IF(AT176="","",COUNTIFS($B$4:$B$183,AU176,$C$4:$C$183,AV176,$D$4:$D$183,"&gt;"&amp;AW176,V$4:V$183,"&lt;"&amp;173,$G$4:$G$183,1))</f>
        <v/>
      </c>
      <c r="AY176">
        <f>IF(AT176="","",INDEX($M$4:$M$183,AT176)+IF(AX176=1,Shuffle1,IF(AX176&gt;=2,Shuffle2,0)))</f>
        <v/>
      </c>
      <c r="AZ176">
        <f>IF(AT176="","",MAX(DoorGap*172,SUMPRODUCT(MAX((AU$4:AU175&lt;=AU176)*BA$4:BA175)),SUMPRODUCT(MAX((AU$4:AU175&gt;AU176)*AZ$4:AZ175))+Headway))</f>
        <v/>
      </c>
      <c r="BA176">
        <f>IF(AT176="","",AZ176+AY176)</f>
        <v/>
      </c>
      <c r="BB176">
        <f>IF(AT176="","",BA176+AU176*WalkSec)</f>
        <v/>
      </c>
      <c r="BC176" t="n">
        <v>173</v>
      </c>
      <c r="BD176">
        <f>IF(173&gt;Passengers,"",MATCH(173,Z$4:Z$183,0))</f>
        <v/>
      </c>
      <c r="BE176">
        <f>IF(BD176="","",INDEX($B$4:$B$183,BD176))</f>
        <v/>
      </c>
      <c r="BF176">
        <f>IF(BD176="","",INDEX($C$4:$C$183,BD176))</f>
        <v/>
      </c>
      <c r="BG176">
        <f>IF(BD176="","",INDEX($D$4:$D$183,BD176))</f>
        <v/>
      </c>
      <c r="BH176">
        <f>IF(BD176="","",COUNTIFS($B$4:$B$183,BE176,$C$4:$C$183,BF176,$D$4:$D$183,"&gt;"&amp;BG176,Z$4:Z$183,"&lt;"&amp;173,$G$4:$G$183,1))</f>
        <v/>
      </c>
      <c r="BI176">
        <f>IF(BD176="","",INDEX($M$4:$M$183,BD176)+IF(BH176=1,Shuffle1,IF(BH176&gt;=2,Shuffle2,0)))</f>
        <v/>
      </c>
      <c r="BJ176">
        <f>IF(BD176="","",MAX(DoorGap*172,SUMPRODUCT(MAX((BE$4:BE175&lt;=BE176)*BK$4:BK175)),SUMPRODUCT(MAX((BE$4:BE175&gt;BE176)*BJ$4:BJ175))+Headway))</f>
        <v/>
      </c>
      <c r="BK176">
        <f>IF(BD176="","",BJ176+BI176)</f>
        <v/>
      </c>
      <c r="BL176">
        <f>IF(BD176="","",BK176+BE176*WalkSec)</f>
        <v/>
      </c>
      <c r="BM176" t="n">
        <v>173</v>
      </c>
      <c r="BN176">
        <f>IF(173&gt;Passengers,"",MATCH(173,AD$4:AD$183,0))</f>
        <v/>
      </c>
      <c r="BO176">
        <f>IF(BN176="","",INDEX($B$4:$B$183,BN176))</f>
        <v/>
      </c>
      <c r="BP176">
        <f>IF(BN176="","",INDEX($C$4:$C$183,BN176))</f>
        <v/>
      </c>
      <c r="BQ176">
        <f>IF(BN176="","",INDEX($D$4:$D$183,BN176))</f>
        <v/>
      </c>
      <c r="BR176">
        <f>IF(BN176="","",COUNTIFS($B$4:$B$183,BO176,$C$4:$C$183,BP176,$D$4:$D$183,"&gt;"&amp;BQ176,AD$4:AD$183,"&lt;"&amp;173,$G$4:$G$183,1))</f>
        <v/>
      </c>
      <c r="BS176">
        <f>IF(BN176="","",INDEX($M$4:$M$183,BN176)+IF(BR176=1,Shuffle1,IF(BR176&gt;=2,Shuffle2,0)))</f>
        <v/>
      </c>
      <c r="BT176">
        <f>IF(BN176="","",MAX(DoorGap*172,SUMPRODUCT(MAX((BO$4:BO175&lt;=BO176)*BU$4:BU175)),SUMPRODUCT(MAX((BO$4:BO175&gt;BO176)*BT$4:BT175))+Headway))</f>
        <v/>
      </c>
      <c r="BU176">
        <f>IF(BN176="","",BT176+BS176)</f>
        <v/>
      </c>
      <c r="BV176">
        <f>IF(BN176="","",BU176+BO176*WalkSec)</f>
        <v/>
      </c>
      <c r="BW176">
        <f>IF($G176=0,"",INDEX(AR$4:AR$183,R176))</f>
        <v/>
      </c>
      <c r="BX176">
        <f>IF($G176=0,"",INDEX(BB$4:BB$183,V176))</f>
        <v/>
      </c>
      <c r="BY176">
        <f>IF($G176=0,"",INDEX(BL$4:BL$183,Z176))</f>
        <v/>
      </c>
      <c r="BZ176">
        <f>IF($G176=0,"",INDEX(BV$4:BV$183,AD176))</f>
        <v/>
      </c>
    </row>
    <row r="177">
      <c r="A177" t="n">
        <v>174</v>
      </c>
      <c r="B177" t="n">
        <v>29</v>
      </c>
      <c r="C177" t="n">
        <v>2</v>
      </c>
      <c r="D177" t="n">
        <v>3</v>
      </c>
      <c r="E177" t="n">
        <v>58</v>
      </c>
      <c r="F177">
        <f>RAND()</f>
        <v/>
      </c>
      <c r="G177">
        <f>IF(SUMPRODUCT(($F$4:$F$183&lt;F177)*1)+SUMPRODUCT(($F$4:$F$183=F177)*($A$4:$A$183&lt;A177))&lt;Passengers,1,0)</f>
        <v/>
      </c>
      <c r="H177">
        <f>RAND()</f>
        <v/>
      </c>
      <c r="I177">
        <f>RAND()</f>
        <v/>
      </c>
      <c r="J177">
        <f>RAND()</f>
        <v/>
      </c>
      <c r="K177">
        <f>RAND()</f>
        <v/>
      </c>
      <c r="L177">
        <f>RAND()</f>
        <v/>
      </c>
      <c r="M177">
        <f>IF(K177&lt;BagShare,EXP(NORMSINV(L177)*StowSigma+StowMu),StowNoBag)</f>
        <v/>
      </c>
      <c r="N177">
        <f>IF(INDEX($AG$4:$AG$63,E177)&lt;GroupShare,1,0)</f>
        <v/>
      </c>
      <c r="P177">
        <f>IF(G177=1,IF(I177&gt;Compliance,J177,$H177),2)</f>
        <v/>
      </c>
      <c r="Q177">
        <f>IF(G177=0,2,IF(N177=0,P177,1-SUMPRODUCT(MAX(($E$4:$E$183=E177)*($G$4:$G$183=1)*(1-P$4:P$183)))+0.000000001*D177))</f>
        <v/>
      </c>
      <c r="R177">
        <f>IF(G177=0,999,SUMPRODUCT((Q$4:Q$183&lt;Q177)*($G$4:$G$183=1))+SUMPRODUCT((Q$4:Q$183=Q177)*($G$4:$G$183=1)*($A$4:$A$183&lt;A177))+1)</f>
        <v/>
      </c>
      <c r="T177">
        <f>IF(G177=1,IF(I177&gt;Compliance,J177,(INT((30-$B177)/(30/Zones))+$H177)/Zones),2)</f>
        <v/>
      </c>
      <c r="U177">
        <f>IF(G177=0,2,IF(N177=0,T177,1-SUMPRODUCT(MAX(($E$4:$E$183=E177)*($G$4:$G$183=1)*(1-T$4:T$183)))+0.000000001*D177))</f>
        <v/>
      </c>
      <c r="V177">
        <f>IF(G177=0,999,SUMPRODUCT((U$4:U$183&lt;U177)*($G$4:$G$183=1))+SUMPRODUCT((U$4:U$183=U177)*($G$4:$G$183=1)*($A$4:$A$183&lt;A177))+1)</f>
        <v/>
      </c>
      <c r="X177">
        <f>IF(G177=1,IF(I177&gt;Compliance,J177,(($D177-1)+$H177)/3),2)</f>
        <v/>
      </c>
      <c r="Y177">
        <f>IF(G177=0,2,IF(N177=0,X177,1-SUMPRODUCT(MAX(($E$4:$E$183=E177)*($G$4:$G$183=1)*(1-X$4:X$183)))+0.000000001*D177))</f>
        <v/>
      </c>
      <c r="Z177">
        <f>IF(G177=0,999,SUMPRODUCT((Y$4:Y$183&lt;Y177)*($G$4:$G$183=1))+SUMPRODUCT((Y$4:Y$183=Y177)*($G$4:$G$183=1)*($A$4:$A$183&lt;A177))+1)</f>
        <v/>
      </c>
      <c r="AB177">
        <f>IF(G177=1,IF(I177&gt;Compliance,J177,((($D177-1)*4+($C177-1)*2+MOD($B177,2))+(30-$B177)/30)/12),2)</f>
        <v/>
      </c>
      <c r="AC177">
        <f>IF(G177=0,2,IF(N177=0,AB177,1-SUMPRODUCT(MAX(($E$4:$E$183=E177)*($G$4:$G$183=1)*(1-AB$4:AB$183)))+0.000000001*D177))</f>
        <v/>
      </c>
      <c r="AD177">
        <f>IF(G177=0,999,SUMPRODUCT((AC$4:AC$183&lt;AC177)*($G$4:$G$183=1))+SUMPRODUCT((AC$4:AC$183=AC177)*($G$4:$G$183=1)*($A$4:$A$183&lt;A177))+1)</f>
        <v/>
      </c>
      <c r="AI177" t="n">
        <v>174</v>
      </c>
      <c r="AJ177">
        <f>IF(174&gt;Passengers,"",MATCH(174,R$4:R$183,0))</f>
        <v/>
      </c>
      <c r="AK177">
        <f>IF(AJ177="","",INDEX($B$4:$B$183,AJ177))</f>
        <v/>
      </c>
      <c r="AL177">
        <f>IF(AJ177="","",INDEX($C$4:$C$183,AJ177))</f>
        <v/>
      </c>
      <c r="AM177">
        <f>IF(AJ177="","",INDEX($D$4:$D$183,AJ177))</f>
        <v/>
      </c>
      <c r="AN177">
        <f>IF(AJ177="","",COUNTIFS($B$4:$B$183,AK177,$C$4:$C$183,AL177,$D$4:$D$183,"&gt;"&amp;AM177,R$4:R$183,"&lt;"&amp;174,$G$4:$G$183,1))</f>
        <v/>
      </c>
      <c r="AO177">
        <f>IF(AJ177="","",INDEX($M$4:$M$183,AJ177)+IF(AN177=1,Shuffle1,IF(AN177&gt;=2,Shuffle2,0)))</f>
        <v/>
      </c>
      <c r="AP177">
        <f>IF(AJ177="","",MAX(DoorGap*173,SUMPRODUCT(MAX((AK$4:AK176&lt;=AK177)*AQ$4:AQ176)),SUMPRODUCT(MAX((AK$4:AK176&gt;AK177)*AP$4:AP176))+Headway))</f>
        <v/>
      </c>
      <c r="AQ177">
        <f>IF(AJ177="","",AP177+AO177)</f>
        <v/>
      </c>
      <c r="AR177">
        <f>IF(AJ177="","",AQ177+AK177*WalkSec)</f>
        <v/>
      </c>
      <c r="AS177" t="n">
        <v>174</v>
      </c>
      <c r="AT177">
        <f>IF(174&gt;Passengers,"",MATCH(174,V$4:V$183,0))</f>
        <v/>
      </c>
      <c r="AU177">
        <f>IF(AT177="","",INDEX($B$4:$B$183,AT177))</f>
        <v/>
      </c>
      <c r="AV177">
        <f>IF(AT177="","",INDEX($C$4:$C$183,AT177))</f>
        <v/>
      </c>
      <c r="AW177">
        <f>IF(AT177="","",INDEX($D$4:$D$183,AT177))</f>
        <v/>
      </c>
      <c r="AX177">
        <f>IF(AT177="","",COUNTIFS($B$4:$B$183,AU177,$C$4:$C$183,AV177,$D$4:$D$183,"&gt;"&amp;AW177,V$4:V$183,"&lt;"&amp;174,$G$4:$G$183,1))</f>
        <v/>
      </c>
      <c r="AY177">
        <f>IF(AT177="","",INDEX($M$4:$M$183,AT177)+IF(AX177=1,Shuffle1,IF(AX177&gt;=2,Shuffle2,0)))</f>
        <v/>
      </c>
      <c r="AZ177">
        <f>IF(AT177="","",MAX(DoorGap*173,SUMPRODUCT(MAX((AU$4:AU176&lt;=AU177)*BA$4:BA176)),SUMPRODUCT(MAX((AU$4:AU176&gt;AU177)*AZ$4:AZ176))+Headway))</f>
        <v/>
      </c>
      <c r="BA177">
        <f>IF(AT177="","",AZ177+AY177)</f>
        <v/>
      </c>
      <c r="BB177">
        <f>IF(AT177="","",BA177+AU177*WalkSec)</f>
        <v/>
      </c>
      <c r="BC177" t="n">
        <v>174</v>
      </c>
      <c r="BD177">
        <f>IF(174&gt;Passengers,"",MATCH(174,Z$4:Z$183,0))</f>
        <v/>
      </c>
      <c r="BE177">
        <f>IF(BD177="","",INDEX($B$4:$B$183,BD177))</f>
        <v/>
      </c>
      <c r="BF177">
        <f>IF(BD177="","",INDEX($C$4:$C$183,BD177))</f>
        <v/>
      </c>
      <c r="BG177">
        <f>IF(BD177="","",INDEX($D$4:$D$183,BD177))</f>
        <v/>
      </c>
      <c r="BH177">
        <f>IF(BD177="","",COUNTIFS($B$4:$B$183,BE177,$C$4:$C$183,BF177,$D$4:$D$183,"&gt;"&amp;BG177,Z$4:Z$183,"&lt;"&amp;174,$G$4:$G$183,1))</f>
        <v/>
      </c>
      <c r="BI177">
        <f>IF(BD177="","",INDEX($M$4:$M$183,BD177)+IF(BH177=1,Shuffle1,IF(BH177&gt;=2,Shuffle2,0)))</f>
        <v/>
      </c>
      <c r="BJ177">
        <f>IF(BD177="","",MAX(DoorGap*173,SUMPRODUCT(MAX((BE$4:BE176&lt;=BE177)*BK$4:BK176)),SUMPRODUCT(MAX((BE$4:BE176&gt;BE177)*BJ$4:BJ176))+Headway))</f>
        <v/>
      </c>
      <c r="BK177">
        <f>IF(BD177="","",BJ177+BI177)</f>
        <v/>
      </c>
      <c r="BL177">
        <f>IF(BD177="","",BK177+BE177*WalkSec)</f>
        <v/>
      </c>
      <c r="BM177" t="n">
        <v>174</v>
      </c>
      <c r="BN177">
        <f>IF(174&gt;Passengers,"",MATCH(174,AD$4:AD$183,0))</f>
        <v/>
      </c>
      <c r="BO177">
        <f>IF(BN177="","",INDEX($B$4:$B$183,BN177))</f>
        <v/>
      </c>
      <c r="BP177">
        <f>IF(BN177="","",INDEX($C$4:$C$183,BN177))</f>
        <v/>
      </c>
      <c r="BQ177">
        <f>IF(BN177="","",INDEX($D$4:$D$183,BN177))</f>
        <v/>
      </c>
      <c r="BR177">
        <f>IF(BN177="","",COUNTIFS($B$4:$B$183,BO177,$C$4:$C$183,BP177,$D$4:$D$183,"&gt;"&amp;BQ177,AD$4:AD$183,"&lt;"&amp;174,$G$4:$G$183,1))</f>
        <v/>
      </c>
      <c r="BS177">
        <f>IF(BN177="","",INDEX($M$4:$M$183,BN177)+IF(BR177=1,Shuffle1,IF(BR177&gt;=2,Shuffle2,0)))</f>
        <v/>
      </c>
      <c r="BT177">
        <f>IF(BN177="","",MAX(DoorGap*173,SUMPRODUCT(MAX((BO$4:BO176&lt;=BO177)*BU$4:BU176)),SUMPRODUCT(MAX((BO$4:BO176&gt;BO177)*BT$4:BT176))+Headway))</f>
        <v/>
      </c>
      <c r="BU177">
        <f>IF(BN177="","",BT177+BS177)</f>
        <v/>
      </c>
      <c r="BV177">
        <f>IF(BN177="","",BU177+BO177*WalkSec)</f>
        <v/>
      </c>
      <c r="BW177">
        <f>IF($G177=0,"",INDEX(AR$4:AR$183,R177))</f>
        <v/>
      </c>
      <c r="BX177">
        <f>IF($G177=0,"",INDEX(BB$4:BB$183,V177))</f>
        <v/>
      </c>
      <c r="BY177">
        <f>IF($G177=0,"",INDEX(BL$4:BL$183,Z177))</f>
        <v/>
      </c>
      <c r="BZ177">
        <f>IF($G177=0,"",INDEX(BV$4:BV$183,AD177))</f>
        <v/>
      </c>
    </row>
    <row r="178">
      <c r="A178" t="n">
        <v>175</v>
      </c>
      <c r="B178" t="n">
        <v>30</v>
      </c>
      <c r="C178" t="n">
        <v>1</v>
      </c>
      <c r="D178" t="n">
        <v>1</v>
      </c>
      <c r="E178" t="n">
        <v>59</v>
      </c>
      <c r="F178">
        <f>RAND()</f>
        <v/>
      </c>
      <c r="G178">
        <f>IF(SUMPRODUCT(($F$4:$F$183&lt;F178)*1)+SUMPRODUCT(($F$4:$F$183=F178)*($A$4:$A$183&lt;A178))&lt;Passengers,1,0)</f>
        <v/>
      </c>
      <c r="H178">
        <f>RAND()</f>
        <v/>
      </c>
      <c r="I178">
        <f>RAND()</f>
        <v/>
      </c>
      <c r="J178">
        <f>RAND()</f>
        <v/>
      </c>
      <c r="K178">
        <f>RAND()</f>
        <v/>
      </c>
      <c r="L178">
        <f>RAND()</f>
        <v/>
      </c>
      <c r="M178">
        <f>IF(K178&lt;BagShare,EXP(NORMSINV(L178)*StowSigma+StowMu),StowNoBag)</f>
        <v/>
      </c>
      <c r="N178">
        <f>IF(INDEX($AG$4:$AG$63,E178)&lt;GroupShare,1,0)</f>
        <v/>
      </c>
      <c r="P178">
        <f>IF(G178=1,IF(I178&gt;Compliance,J178,$H178),2)</f>
        <v/>
      </c>
      <c r="Q178">
        <f>IF(G178=0,2,IF(N178=0,P178,1-SUMPRODUCT(MAX(($E$4:$E$183=E178)*($G$4:$G$183=1)*(1-P$4:P$183)))+0.000000001*D178))</f>
        <v/>
      </c>
      <c r="R178">
        <f>IF(G178=0,999,SUMPRODUCT((Q$4:Q$183&lt;Q178)*($G$4:$G$183=1))+SUMPRODUCT((Q$4:Q$183=Q178)*($G$4:$G$183=1)*($A$4:$A$183&lt;A178))+1)</f>
        <v/>
      </c>
      <c r="T178">
        <f>IF(G178=1,IF(I178&gt;Compliance,J178,(INT((30-$B178)/(30/Zones))+$H178)/Zones),2)</f>
        <v/>
      </c>
      <c r="U178">
        <f>IF(G178=0,2,IF(N178=0,T178,1-SUMPRODUCT(MAX(($E$4:$E$183=E178)*($G$4:$G$183=1)*(1-T$4:T$183)))+0.000000001*D178))</f>
        <v/>
      </c>
      <c r="V178">
        <f>IF(G178=0,999,SUMPRODUCT((U$4:U$183&lt;U178)*($G$4:$G$183=1))+SUMPRODUCT((U$4:U$183=U178)*($G$4:$G$183=1)*($A$4:$A$183&lt;A178))+1)</f>
        <v/>
      </c>
      <c r="X178">
        <f>IF(G178=1,IF(I178&gt;Compliance,J178,(($D178-1)+$H178)/3),2)</f>
        <v/>
      </c>
      <c r="Y178">
        <f>IF(G178=0,2,IF(N178=0,X178,1-SUMPRODUCT(MAX(($E$4:$E$183=E178)*($G$4:$G$183=1)*(1-X$4:X$183)))+0.000000001*D178))</f>
        <v/>
      </c>
      <c r="Z178">
        <f>IF(G178=0,999,SUMPRODUCT((Y$4:Y$183&lt;Y178)*($G$4:$G$183=1))+SUMPRODUCT((Y$4:Y$183=Y178)*($G$4:$G$183=1)*($A$4:$A$183&lt;A178))+1)</f>
        <v/>
      </c>
      <c r="AB178">
        <f>IF(G178=1,IF(I178&gt;Compliance,J178,((($D178-1)*4+($C178-1)*2+MOD($B178,2))+(30-$B178)/30)/12),2)</f>
        <v/>
      </c>
      <c r="AC178">
        <f>IF(G178=0,2,IF(N178=0,AB178,1-SUMPRODUCT(MAX(($E$4:$E$183=E178)*($G$4:$G$183=1)*(1-AB$4:AB$183)))+0.000000001*D178))</f>
        <v/>
      </c>
      <c r="AD178">
        <f>IF(G178=0,999,SUMPRODUCT((AC$4:AC$183&lt;AC178)*($G$4:$G$183=1))+SUMPRODUCT((AC$4:AC$183=AC178)*($G$4:$G$183=1)*($A$4:$A$183&lt;A178))+1)</f>
        <v/>
      </c>
      <c r="AI178" t="n">
        <v>175</v>
      </c>
      <c r="AJ178">
        <f>IF(175&gt;Passengers,"",MATCH(175,R$4:R$183,0))</f>
        <v/>
      </c>
      <c r="AK178">
        <f>IF(AJ178="","",INDEX($B$4:$B$183,AJ178))</f>
        <v/>
      </c>
      <c r="AL178">
        <f>IF(AJ178="","",INDEX($C$4:$C$183,AJ178))</f>
        <v/>
      </c>
      <c r="AM178">
        <f>IF(AJ178="","",INDEX($D$4:$D$183,AJ178))</f>
        <v/>
      </c>
      <c r="AN178">
        <f>IF(AJ178="","",COUNTIFS($B$4:$B$183,AK178,$C$4:$C$183,AL178,$D$4:$D$183,"&gt;"&amp;AM178,R$4:R$183,"&lt;"&amp;175,$G$4:$G$183,1))</f>
        <v/>
      </c>
      <c r="AO178">
        <f>IF(AJ178="","",INDEX($M$4:$M$183,AJ178)+IF(AN178=1,Shuffle1,IF(AN178&gt;=2,Shuffle2,0)))</f>
        <v/>
      </c>
      <c r="AP178">
        <f>IF(AJ178="","",MAX(DoorGap*174,SUMPRODUCT(MAX((AK$4:AK177&lt;=AK178)*AQ$4:AQ177)),SUMPRODUCT(MAX((AK$4:AK177&gt;AK178)*AP$4:AP177))+Headway))</f>
        <v/>
      </c>
      <c r="AQ178">
        <f>IF(AJ178="","",AP178+AO178)</f>
        <v/>
      </c>
      <c r="AR178">
        <f>IF(AJ178="","",AQ178+AK178*WalkSec)</f>
        <v/>
      </c>
      <c r="AS178" t="n">
        <v>175</v>
      </c>
      <c r="AT178">
        <f>IF(175&gt;Passengers,"",MATCH(175,V$4:V$183,0))</f>
        <v/>
      </c>
      <c r="AU178">
        <f>IF(AT178="","",INDEX($B$4:$B$183,AT178))</f>
        <v/>
      </c>
      <c r="AV178">
        <f>IF(AT178="","",INDEX($C$4:$C$183,AT178))</f>
        <v/>
      </c>
      <c r="AW178">
        <f>IF(AT178="","",INDEX($D$4:$D$183,AT178))</f>
        <v/>
      </c>
      <c r="AX178">
        <f>IF(AT178="","",COUNTIFS($B$4:$B$183,AU178,$C$4:$C$183,AV178,$D$4:$D$183,"&gt;"&amp;AW178,V$4:V$183,"&lt;"&amp;175,$G$4:$G$183,1))</f>
        <v/>
      </c>
      <c r="AY178">
        <f>IF(AT178="","",INDEX($M$4:$M$183,AT178)+IF(AX178=1,Shuffle1,IF(AX178&gt;=2,Shuffle2,0)))</f>
        <v/>
      </c>
      <c r="AZ178">
        <f>IF(AT178="","",MAX(DoorGap*174,SUMPRODUCT(MAX((AU$4:AU177&lt;=AU178)*BA$4:BA177)),SUMPRODUCT(MAX((AU$4:AU177&gt;AU178)*AZ$4:AZ177))+Headway))</f>
        <v/>
      </c>
      <c r="BA178">
        <f>IF(AT178="","",AZ178+AY178)</f>
        <v/>
      </c>
      <c r="BB178">
        <f>IF(AT178="","",BA178+AU178*WalkSec)</f>
        <v/>
      </c>
      <c r="BC178" t="n">
        <v>175</v>
      </c>
      <c r="BD178">
        <f>IF(175&gt;Passengers,"",MATCH(175,Z$4:Z$183,0))</f>
        <v/>
      </c>
      <c r="BE178">
        <f>IF(BD178="","",INDEX($B$4:$B$183,BD178))</f>
        <v/>
      </c>
      <c r="BF178">
        <f>IF(BD178="","",INDEX($C$4:$C$183,BD178))</f>
        <v/>
      </c>
      <c r="BG178">
        <f>IF(BD178="","",INDEX($D$4:$D$183,BD178))</f>
        <v/>
      </c>
      <c r="BH178">
        <f>IF(BD178="","",COUNTIFS($B$4:$B$183,BE178,$C$4:$C$183,BF178,$D$4:$D$183,"&gt;"&amp;BG178,Z$4:Z$183,"&lt;"&amp;175,$G$4:$G$183,1))</f>
        <v/>
      </c>
      <c r="BI178">
        <f>IF(BD178="","",INDEX($M$4:$M$183,BD178)+IF(BH178=1,Shuffle1,IF(BH178&gt;=2,Shuffle2,0)))</f>
        <v/>
      </c>
      <c r="BJ178">
        <f>IF(BD178="","",MAX(DoorGap*174,SUMPRODUCT(MAX((BE$4:BE177&lt;=BE178)*BK$4:BK177)),SUMPRODUCT(MAX((BE$4:BE177&gt;BE178)*BJ$4:BJ177))+Headway))</f>
        <v/>
      </c>
      <c r="BK178">
        <f>IF(BD178="","",BJ178+BI178)</f>
        <v/>
      </c>
      <c r="BL178">
        <f>IF(BD178="","",BK178+BE178*WalkSec)</f>
        <v/>
      </c>
      <c r="BM178" t="n">
        <v>175</v>
      </c>
      <c r="BN178">
        <f>IF(175&gt;Passengers,"",MATCH(175,AD$4:AD$183,0))</f>
        <v/>
      </c>
      <c r="BO178">
        <f>IF(BN178="","",INDEX($B$4:$B$183,BN178))</f>
        <v/>
      </c>
      <c r="BP178">
        <f>IF(BN178="","",INDEX($C$4:$C$183,BN178))</f>
        <v/>
      </c>
      <c r="BQ178">
        <f>IF(BN178="","",INDEX($D$4:$D$183,BN178))</f>
        <v/>
      </c>
      <c r="BR178">
        <f>IF(BN178="","",COUNTIFS($B$4:$B$183,BO178,$C$4:$C$183,BP178,$D$4:$D$183,"&gt;"&amp;BQ178,AD$4:AD$183,"&lt;"&amp;175,$G$4:$G$183,1))</f>
        <v/>
      </c>
      <c r="BS178">
        <f>IF(BN178="","",INDEX($M$4:$M$183,BN178)+IF(BR178=1,Shuffle1,IF(BR178&gt;=2,Shuffle2,0)))</f>
        <v/>
      </c>
      <c r="BT178">
        <f>IF(BN178="","",MAX(DoorGap*174,SUMPRODUCT(MAX((BO$4:BO177&lt;=BO178)*BU$4:BU177)),SUMPRODUCT(MAX((BO$4:BO177&gt;BO178)*BT$4:BT177))+Headway))</f>
        <v/>
      </c>
      <c r="BU178">
        <f>IF(BN178="","",BT178+BS178)</f>
        <v/>
      </c>
      <c r="BV178">
        <f>IF(BN178="","",BU178+BO178*WalkSec)</f>
        <v/>
      </c>
      <c r="BW178">
        <f>IF($G178=0,"",INDEX(AR$4:AR$183,R178))</f>
        <v/>
      </c>
      <c r="BX178">
        <f>IF($G178=0,"",INDEX(BB$4:BB$183,V178))</f>
        <v/>
      </c>
      <c r="BY178">
        <f>IF($G178=0,"",INDEX(BL$4:BL$183,Z178))</f>
        <v/>
      </c>
      <c r="BZ178">
        <f>IF($G178=0,"",INDEX(BV$4:BV$183,AD178))</f>
        <v/>
      </c>
    </row>
    <row r="179">
      <c r="A179" t="n">
        <v>176</v>
      </c>
      <c r="B179" t="n">
        <v>30</v>
      </c>
      <c r="C179" t="n">
        <v>1</v>
      </c>
      <c r="D179" t="n">
        <v>2</v>
      </c>
      <c r="E179" t="n">
        <v>59</v>
      </c>
      <c r="F179">
        <f>RAND()</f>
        <v/>
      </c>
      <c r="G179">
        <f>IF(SUMPRODUCT(($F$4:$F$183&lt;F179)*1)+SUMPRODUCT(($F$4:$F$183=F179)*($A$4:$A$183&lt;A179))&lt;Passengers,1,0)</f>
        <v/>
      </c>
      <c r="H179">
        <f>RAND()</f>
        <v/>
      </c>
      <c r="I179">
        <f>RAND()</f>
        <v/>
      </c>
      <c r="J179">
        <f>RAND()</f>
        <v/>
      </c>
      <c r="K179">
        <f>RAND()</f>
        <v/>
      </c>
      <c r="L179">
        <f>RAND()</f>
        <v/>
      </c>
      <c r="M179">
        <f>IF(K179&lt;BagShare,EXP(NORMSINV(L179)*StowSigma+StowMu),StowNoBag)</f>
        <v/>
      </c>
      <c r="N179">
        <f>IF(INDEX($AG$4:$AG$63,E179)&lt;GroupShare,1,0)</f>
        <v/>
      </c>
      <c r="P179">
        <f>IF(G179=1,IF(I179&gt;Compliance,J179,$H179),2)</f>
        <v/>
      </c>
      <c r="Q179">
        <f>IF(G179=0,2,IF(N179=0,P179,1-SUMPRODUCT(MAX(($E$4:$E$183=E179)*($G$4:$G$183=1)*(1-P$4:P$183)))+0.000000001*D179))</f>
        <v/>
      </c>
      <c r="R179">
        <f>IF(G179=0,999,SUMPRODUCT((Q$4:Q$183&lt;Q179)*($G$4:$G$183=1))+SUMPRODUCT((Q$4:Q$183=Q179)*($G$4:$G$183=1)*($A$4:$A$183&lt;A179))+1)</f>
        <v/>
      </c>
      <c r="T179">
        <f>IF(G179=1,IF(I179&gt;Compliance,J179,(INT((30-$B179)/(30/Zones))+$H179)/Zones),2)</f>
        <v/>
      </c>
      <c r="U179">
        <f>IF(G179=0,2,IF(N179=0,T179,1-SUMPRODUCT(MAX(($E$4:$E$183=E179)*($G$4:$G$183=1)*(1-T$4:T$183)))+0.000000001*D179))</f>
        <v/>
      </c>
      <c r="V179">
        <f>IF(G179=0,999,SUMPRODUCT((U$4:U$183&lt;U179)*($G$4:$G$183=1))+SUMPRODUCT((U$4:U$183=U179)*($G$4:$G$183=1)*($A$4:$A$183&lt;A179))+1)</f>
        <v/>
      </c>
      <c r="X179">
        <f>IF(G179=1,IF(I179&gt;Compliance,J179,(($D179-1)+$H179)/3),2)</f>
        <v/>
      </c>
      <c r="Y179">
        <f>IF(G179=0,2,IF(N179=0,X179,1-SUMPRODUCT(MAX(($E$4:$E$183=E179)*($G$4:$G$183=1)*(1-X$4:X$183)))+0.000000001*D179))</f>
        <v/>
      </c>
      <c r="Z179">
        <f>IF(G179=0,999,SUMPRODUCT((Y$4:Y$183&lt;Y179)*($G$4:$G$183=1))+SUMPRODUCT((Y$4:Y$183=Y179)*($G$4:$G$183=1)*($A$4:$A$183&lt;A179))+1)</f>
        <v/>
      </c>
      <c r="AB179">
        <f>IF(G179=1,IF(I179&gt;Compliance,J179,((($D179-1)*4+($C179-1)*2+MOD($B179,2))+(30-$B179)/30)/12),2)</f>
        <v/>
      </c>
      <c r="AC179">
        <f>IF(G179=0,2,IF(N179=0,AB179,1-SUMPRODUCT(MAX(($E$4:$E$183=E179)*($G$4:$G$183=1)*(1-AB$4:AB$183)))+0.000000001*D179))</f>
        <v/>
      </c>
      <c r="AD179">
        <f>IF(G179=0,999,SUMPRODUCT((AC$4:AC$183&lt;AC179)*($G$4:$G$183=1))+SUMPRODUCT((AC$4:AC$183=AC179)*($G$4:$G$183=1)*($A$4:$A$183&lt;A179))+1)</f>
        <v/>
      </c>
      <c r="AI179" t="n">
        <v>176</v>
      </c>
      <c r="AJ179">
        <f>IF(176&gt;Passengers,"",MATCH(176,R$4:R$183,0))</f>
        <v/>
      </c>
      <c r="AK179">
        <f>IF(AJ179="","",INDEX($B$4:$B$183,AJ179))</f>
        <v/>
      </c>
      <c r="AL179">
        <f>IF(AJ179="","",INDEX($C$4:$C$183,AJ179))</f>
        <v/>
      </c>
      <c r="AM179">
        <f>IF(AJ179="","",INDEX($D$4:$D$183,AJ179))</f>
        <v/>
      </c>
      <c r="AN179">
        <f>IF(AJ179="","",COUNTIFS($B$4:$B$183,AK179,$C$4:$C$183,AL179,$D$4:$D$183,"&gt;"&amp;AM179,R$4:R$183,"&lt;"&amp;176,$G$4:$G$183,1))</f>
        <v/>
      </c>
      <c r="AO179">
        <f>IF(AJ179="","",INDEX($M$4:$M$183,AJ179)+IF(AN179=1,Shuffle1,IF(AN179&gt;=2,Shuffle2,0)))</f>
        <v/>
      </c>
      <c r="AP179">
        <f>IF(AJ179="","",MAX(DoorGap*175,SUMPRODUCT(MAX((AK$4:AK178&lt;=AK179)*AQ$4:AQ178)),SUMPRODUCT(MAX((AK$4:AK178&gt;AK179)*AP$4:AP178))+Headway))</f>
        <v/>
      </c>
      <c r="AQ179">
        <f>IF(AJ179="","",AP179+AO179)</f>
        <v/>
      </c>
      <c r="AR179">
        <f>IF(AJ179="","",AQ179+AK179*WalkSec)</f>
        <v/>
      </c>
      <c r="AS179" t="n">
        <v>176</v>
      </c>
      <c r="AT179">
        <f>IF(176&gt;Passengers,"",MATCH(176,V$4:V$183,0))</f>
        <v/>
      </c>
      <c r="AU179">
        <f>IF(AT179="","",INDEX($B$4:$B$183,AT179))</f>
        <v/>
      </c>
      <c r="AV179">
        <f>IF(AT179="","",INDEX($C$4:$C$183,AT179))</f>
        <v/>
      </c>
      <c r="AW179">
        <f>IF(AT179="","",INDEX($D$4:$D$183,AT179))</f>
        <v/>
      </c>
      <c r="AX179">
        <f>IF(AT179="","",COUNTIFS($B$4:$B$183,AU179,$C$4:$C$183,AV179,$D$4:$D$183,"&gt;"&amp;AW179,V$4:V$183,"&lt;"&amp;176,$G$4:$G$183,1))</f>
        <v/>
      </c>
      <c r="AY179">
        <f>IF(AT179="","",INDEX($M$4:$M$183,AT179)+IF(AX179=1,Shuffle1,IF(AX179&gt;=2,Shuffle2,0)))</f>
        <v/>
      </c>
      <c r="AZ179">
        <f>IF(AT179="","",MAX(DoorGap*175,SUMPRODUCT(MAX((AU$4:AU178&lt;=AU179)*BA$4:BA178)),SUMPRODUCT(MAX((AU$4:AU178&gt;AU179)*AZ$4:AZ178))+Headway))</f>
        <v/>
      </c>
      <c r="BA179">
        <f>IF(AT179="","",AZ179+AY179)</f>
        <v/>
      </c>
      <c r="BB179">
        <f>IF(AT179="","",BA179+AU179*WalkSec)</f>
        <v/>
      </c>
      <c r="BC179" t="n">
        <v>176</v>
      </c>
      <c r="BD179">
        <f>IF(176&gt;Passengers,"",MATCH(176,Z$4:Z$183,0))</f>
        <v/>
      </c>
      <c r="BE179">
        <f>IF(BD179="","",INDEX($B$4:$B$183,BD179))</f>
        <v/>
      </c>
      <c r="BF179">
        <f>IF(BD179="","",INDEX($C$4:$C$183,BD179))</f>
        <v/>
      </c>
      <c r="BG179">
        <f>IF(BD179="","",INDEX($D$4:$D$183,BD179))</f>
        <v/>
      </c>
      <c r="BH179">
        <f>IF(BD179="","",COUNTIFS($B$4:$B$183,BE179,$C$4:$C$183,BF179,$D$4:$D$183,"&gt;"&amp;BG179,Z$4:Z$183,"&lt;"&amp;176,$G$4:$G$183,1))</f>
        <v/>
      </c>
      <c r="BI179">
        <f>IF(BD179="","",INDEX($M$4:$M$183,BD179)+IF(BH179=1,Shuffle1,IF(BH179&gt;=2,Shuffle2,0)))</f>
        <v/>
      </c>
      <c r="BJ179">
        <f>IF(BD179="","",MAX(DoorGap*175,SUMPRODUCT(MAX((BE$4:BE178&lt;=BE179)*BK$4:BK178)),SUMPRODUCT(MAX((BE$4:BE178&gt;BE179)*BJ$4:BJ178))+Headway))</f>
        <v/>
      </c>
      <c r="BK179">
        <f>IF(BD179="","",BJ179+BI179)</f>
        <v/>
      </c>
      <c r="BL179">
        <f>IF(BD179="","",BK179+BE179*WalkSec)</f>
        <v/>
      </c>
      <c r="BM179" t="n">
        <v>176</v>
      </c>
      <c r="BN179">
        <f>IF(176&gt;Passengers,"",MATCH(176,AD$4:AD$183,0))</f>
        <v/>
      </c>
      <c r="BO179">
        <f>IF(BN179="","",INDEX($B$4:$B$183,BN179))</f>
        <v/>
      </c>
      <c r="BP179">
        <f>IF(BN179="","",INDEX($C$4:$C$183,BN179))</f>
        <v/>
      </c>
      <c r="BQ179">
        <f>IF(BN179="","",INDEX($D$4:$D$183,BN179))</f>
        <v/>
      </c>
      <c r="BR179">
        <f>IF(BN179="","",COUNTIFS($B$4:$B$183,BO179,$C$4:$C$183,BP179,$D$4:$D$183,"&gt;"&amp;BQ179,AD$4:AD$183,"&lt;"&amp;176,$G$4:$G$183,1))</f>
        <v/>
      </c>
      <c r="BS179">
        <f>IF(BN179="","",INDEX($M$4:$M$183,BN179)+IF(BR179=1,Shuffle1,IF(BR179&gt;=2,Shuffle2,0)))</f>
        <v/>
      </c>
      <c r="BT179">
        <f>IF(BN179="","",MAX(DoorGap*175,SUMPRODUCT(MAX((BO$4:BO178&lt;=BO179)*BU$4:BU178)),SUMPRODUCT(MAX((BO$4:BO178&gt;BO179)*BT$4:BT178))+Headway))</f>
        <v/>
      </c>
      <c r="BU179">
        <f>IF(BN179="","",BT179+BS179)</f>
        <v/>
      </c>
      <c r="BV179">
        <f>IF(BN179="","",BU179+BO179*WalkSec)</f>
        <v/>
      </c>
      <c r="BW179">
        <f>IF($G179=0,"",INDEX(AR$4:AR$183,R179))</f>
        <v/>
      </c>
      <c r="BX179">
        <f>IF($G179=0,"",INDEX(BB$4:BB$183,V179))</f>
        <v/>
      </c>
      <c r="BY179">
        <f>IF($G179=0,"",INDEX(BL$4:BL$183,Z179))</f>
        <v/>
      </c>
      <c r="BZ179">
        <f>IF($G179=0,"",INDEX(BV$4:BV$183,AD179))</f>
        <v/>
      </c>
    </row>
    <row r="180">
      <c r="A180" t="n">
        <v>177</v>
      </c>
      <c r="B180" t="n">
        <v>30</v>
      </c>
      <c r="C180" t="n">
        <v>1</v>
      </c>
      <c r="D180" t="n">
        <v>3</v>
      </c>
      <c r="E180" t="n">
        <v>59</v>
      </c>
      <c r="F180">
        <f>RAND()</f>
        <v/>
      </c>
      <c r="G180">
        <f>IF(SUMPRODUCT(($F$4:$F$183&lt;F180)*1)+SUMPRODUCT(($F$4:$F$183=F180)*($A$4:$A$183&lt;A180))&lt;Passengers,1,0)</f>
        <v/>
      </c>
      <c r="H180">
        <f>RAND()</f>
        <v/>
      </c>
      <c r="I180">
        <f>RAND()</f>
        <v/>
      </c>
      <c r="J180">
        <f>RAND()</f>
        <v/>
      </c>
      <c r="K180">
        <f>RAND()</f>
        <v/>
      </c>
      <c r="L180">
        <f>RAND()</f>
        <v/>
      </c>
      <c r="M180">
        <f>IF(K180&lt;BagShare,EXP(NORMSINV(L180)*StowSigma+StowMu),StowNoBag)</f>
        <v/>
      </c>
      <c r="N180">
        <f>IF(INDEX($AG$4:$AG$63,E180)&lt;GroupShare,1,0)</f>
        <v/>
      </c>
      <c r="P180">
        <f>IF(G180=1,IF(I180&gt;Compliance,J180,$H180),2)</f>
        <v/>
      </c>
      <c r="Q180">
        <f>IF(G180=0,2,IF(N180=0,P180,1-SUMPRODUCT(MAX(($E$4:$E$183=E180)*($G$4:$G$183=1)*(1-P$4:P$183)))+0.000000001*D180))</f>
        <v/>
      </c>
      <c r="R180">
        <f>IF(G180=0,999,SUMPRODUCT((Q$4:Q$183&lt;Q180)*($G$4:$G$183=1))+SUMPRODUCT((Q$4:Q$183=Q180)*($G$4:$G$183=1)*($A$4:$A$183&lt;A180))+1)</f>
        <v/>
      </c>
      <c r="T180">
        <f>IF(G180=1,IF(I180&gt;Compliance,J180,(INT((30-$B180)/(30/Zones))+$H180)/Zones),2)</f>
        <v/>
      </c>
      <c r="U180">
        <f>IF(G180=0,2,IF(N180=0,T180,1-SUMPRODUCT(MAX(($E$4:$E$183=E180)*($G$4:$G$183=1)*(1-T$4:T$183)))+0.000000001*D180))</f>
        <v/>
      </c>
      <c r="V180">
        <f>IF(G180=0,999,SUMPRODUCT((U$4:U$183&lt;U180)*($G$4:$G$183=1))+SUMPRODUCT((U$4:U$183=U180)*($G$4:$G$183=1)*($A$4:$A$183&lt;A180))+1)</f>
        <v/>
      </c>
      <c r="X180">
        <f>IF(G180=1,IF(I180&gt;Compliance,J180,(($D180-1)+$H180)/3),2)</f>
        <v/>
      </c>
      <c r="Y180">
        <f>IF(G180=0,2,IF(N180=0,X180,1-SUMPRODUCT(MAX(($E$4:$E$183=E180)*($G$4:$G$183=1)*(1-X$4:X$183)))+0.000000001*D180))</f>
        <v/>
      </c>
      <c r="Z180">
        <f>IF(G180=0,999,SUMPRODUCT((Y$4:Y$183&lt;Y180)*($G$4:$G$183=1))+SUMPRODUCT((Y$4:Y$183=Y180)*($G$4:$G$183=1)*($A$4:$A$183&lt;A180))+1)</f>
        <v/>
      </c>
      <c r="AB180">
        <f>IF(G180=1,IF(I180&gt;Compliance,J180,((($D180-1)*4+($C180-1)*2+MOD($B180,2))+(30-$B180)/30)/12),2)</f>
        <v/>
      </c>
      <c r="AC180">
        <f>IF(G180=0,2,IF(N180=0,AB180,1-SUMPRODUCT(MAX(($E$4:$E$183=E180)*($G$4:$G$183=1)*(1-AB$4:AB$183)))+0.000000001*D180))</f>
        <v/>
      </c>
      <c r="AD180">
        <f>IF(G180=0,999,SUMPRODUCT((AC$4:AC$183&lt;AC180)*($G$4:$G$183=1))+SUMPRODUCT((AC$4:AC$183=AC180)*($G$4:$G$183=1)*($A$4:$A$183&lt;A180))+1)</f>
        <v/>
      </c>
      <c r="AI180" t="n">
        <v>177</v>
      </c>
      <c r="AJ180">
        <f>IF(177&gt;Passengers,"",MATCH(177,R$4:R$183,0))</f>
        <v/>
      </c>
      <c r="AK180">
        <f>IF(AJ180="","",INDEX($B$4:$B$183,AJ180))</f>
        <v/>
      </c>
      <c r="AL180">
        <f>IF(AJ180="","",INDEX($C$4:$C$183,AJ180))</f>
        <v/>
      </c>
      <c r="AM180">
        <f>IF(AJ180="","",INDEX($D$4:$D$183,AJ180))</f>
        <v/>
      </c>
      <c r="AN180">
        <f>IF(AJ180="","",COUNTIFS($B$4:$B$183,AK180,$C$4:$C$183,AL180,$D$4:$D$183,"&gt;"&amp;AM180,R$4:R$183,"&lt;"&amp;177,$G$4:$G$183,1))</f>
        <v/>
      </c>
      <c r="AO180">
        <f>IF(AJ180="","",INDEX($M$4:$M$183,AJ180)+IF(AN180=1,Shuffle1,IF(AN180&gt;=2,Shuffle2,0)))</f>
        <v/>
      </c>
      <c r="AP180">
        <f>IF(AJ180="","",MAX(DoorGap*176,SUMPRODUCT(MAX((AK$4:AK179&lt;=AK180)*AQ$4:AQ179)),SUMPRODUCT(MAX((AK$4:AK179&gt;AK180)*AP$4:AP179))+Headway))</f>
        <v/>
      </c>
      <c r="AQ180">
        <f>IF(AJ180="","",AP180+AO180)</f>
        <v/>
      </c>
      <c r="AR180">
        <f>IF(AJ180="","",AQ180+AK180*WalkSec)</f>
        <v/>
      </c>
      <c r="AS180" t="n">
        <v>177</v>
      </c>
      <c r="AT180">
        <f>IF(177&gt;Passengers,"",MATCH(177,V$4:V$183,0))</f>
        <v/>
      </c>
      <c r="AU180">
        <f>IF(AT180="","",INDEX($B$4:$B$183,AT180))</f>
        <v/>
      </c>
      <c r="AV180">
        <f>IF(AT180="","",INDEX($C$4:$C$183,AT180))</f>
        <v/>
      </c>
      <c r="AW180">
        <f>IF(AT180="","",INDEX($D$4:$D$183,AT180))</f>
        <v/>
      </c>
      <c r="AX180">
        <f>IF(AT180="","",COUNTIFS($B$4:$B$183,AU180,$C$4:$C$183,AV180,$D$4:$D$183,"&gt;"&amp;AW180,V$4:V$183,"&lt;"&amp;177,$G$4:$G$183,1))</f>
        <v/>
      </c>
      <c r="AY180">
        <f>IF(AT180="","",INDEX($M$4:$M$183,AT180)+IF(AX180=1,Shuffle1,IF(AX180&gt;=2,Shuffle2,0)))</f>
        <v/>
      </c>
      <c r="AZ180">
        <f>IF(AT180="","",MAX(DoorGap*176,SUMPRODUCT(MAX((AU$4:AU179&lt;=AU180)*BA$4:BA179)),SUMPRODUCT(MAX((AU$4:AU179&gt;AU180)*AZ$4:AZ179))+Headway))</f>
        <v/>
      </c>
      <c r="BA180">
        <f>IF(AT180="","",AZ180+AY180)</f>
        <v/>
      </c>
      <c r="BB180">
        <f>IF(AT180="","",BA180+AU180*WalkSec)</f>
        <v/>
      </c>
      <c r="BC180" t="n">
        <v>177</v>
      </c>
      <c r="BD180">
        <f>IF(177&gt;Passengers,"",MATCH(177,Z$4:Z$183,0))</f>
        <v/>
      </c>
      <c r="BE180">
        <f>IF(BD180="","",INDEX($B$4:$B$183,BD180))</f>
        <v/>
      </c>
      <c r="BF180">
        <f>IF(BD180="","",INDEX($C$4:$C$183,BD180))</f>
        <v/>
      </c>
      <c r="BG180">
        <f>IF(BD180="","",INDEX($D$4:$D$183,BD180))</f>
        <v/>
      </c>
      <c r="BH180">
        <f>IF(BD180="","",COUNTIFS($B$4:$B$183,BE180,$C$4:$C$183,BF180,$D$4:$D$183,"&gt;"&amp;BG180,Z$4:Z$183,"&lt;"&amp;177,$G$4:$G$183,1))</f>
        <v/>
      </c>
      <c r="BI180">
        <f>IF(BD180="","",INDEX($M$4:$M$183,BD180)+IF(BH180=1,Shuffle1,IF(BH180&gt;=2,Shuffle2,0)))</f>
        <v/>
      </c>
      <c r="BJ180">
        <f>IF(BD180="","",MAX(DoorGap*176,SUMPRODUCT(MAX((BE$4:BE179&lt;=BE180)*BK$4:BK179)),SUMPRODUCT(MAX((BE$4:BE179&gt;BE180)*BJ$4:BJ179))+Headway))</f>
        <v/>
      </c>
      <c r="BK180">
        <f>IF(BD180="","",BJ180+BI180)</f>
        <v/>
      </c>
      <c r="BL180">
        <f>IF(BD180="","",BK180+BE180*WalkSec)</f>
        <v/>
      </c>
      <c r="BM180" t="n">
        <v>177</v>
      </c>
      <c r="BN180">
        <f>IF(177&gt;Passengers,"",MATCH(177,AD$4:AD$183,0))</f>
        <v/>
      </c>
      <c r="BO180">
        <f>IF(BN180="","",INDEX($B$4:$B$183,BN180))</f>
        <v/>
      </c>
      <c r="BP180">
        <f>IF(BN180="","",INDEX($C$4:$C$183,BN180))</f>
        <v/>
      </c>
      <c r="BQ180">
        <f>IF(BN180="","",INDEX($D$4:$D$183,BN180))</f>
        <v/>
      </c>
      <c r="BR180">
        <f>IF(BN180="","",COUNTIFS($B$4:$B$183,BO180,$C$4:$C$183,BP180,$D$4:$D$183,"&gt;"&amp;BQ180,AD$4:AD$183,"&lt;"&amp;177,$G$4:$G$183,1))</f>
        <v/>
      </c>
      <c r="BS180">
        <f>IF(BN180="","",INDEX($M$4:$M$183,BN180)+IF(BR180=1,Shuffle1,IF(BR180&gt;=2,Shuffle2,0)))</f>
        <v/>
      </c>
      <c r="BT180">
        <f>IF(BN180="","",MAX(DoorGap*176,SUMPRODUCT(MAX((BO$4:BO179&lt;=BO180)*BU$4:BU179)),SUMPRODUCT(MAX((BO$4:BO179&gt;BO180)*BT$4:BT179))+Headway))</f>
        <v/>
      </c>
      <c r="BU180">
        <f>IF(BN180="","",BT180+BS180)</f>
        <v/>
      </c>
      <c r="BV180">
        <f>IF(BN180="","",BU180+BO180*WalkSec)</f>
        <v/>
      </c>
      <c r="BW180">
        <f>IF($G180=0,"",INDEX(AR$4:AR$183,R180))</f>
        <v/>
      </c>
      <c r="BX180">
        <f>IF($G180=0,"",INDEX(BB$4:BB$183,V180))</f>
        <v/>
      </c>
      <c r="BY180">
        <f>IF($G180=0,"",INDEX(BL$4:BL$183,Z180))</f>
        <v/>
      </c>
      <c r="BZ180">
        <f>IF($G180=0,"",INDEX(BV$4:BV$183,AD180))</f>
        <v/>
      </c>
    </row>
    <row r="181">
      <c r="A181" t="n">
        <v>178</v>
      </c>
      <c r="B181" t="n">
        <v>30</v>
      </c>
      <c r="C181" t="n">
        <v>2</v>
      </c>
      <c r="D181" t="n">
        <v>1</v>
      </c>
      <c r="E181" t="n">
        <v>60</v>
      </c>
      <c r="F181">
        <f>RAND()</f>
        <v/>
      </c>
      <c r="G181">
        <f>IF(SUMPRODUCT(($F$4:$F$183&lt;F181)*1)+SUMPRODUCT(($F$4:$F$183=F181)*($A$4:$A$183&lt;A181))&lt;Passengers,1,0)</f>
        <v/>
      </c>
      <c r="H181">
        <f>RAND()</f>
        <v/>
      </c>
      <c r="I181">
        <f>RAND()</f>
        <v/>
      </c>
      <c r="J181">
        <f>RAND()</f>
        <v/>
      </c>
      <c r="K181">
        <f>RAND()</f>
        <v/>
      </c>
      <c r="L181">
        <f>RAND()</f>
        <v/>
      </c>
      <c r="M181">
        <f>IF(K181&lt;BagShare,EXP(NORMSINV(L181)*StowSigma+StowMu),StowNoBag)</f>
        <v/>
      </c>
      <c r="N181">
        <f>IF(INDEX($AG$4:$AG$63,E181)&lt;GroupShare,1,0)</f>
        <v/>
      </c>
      <c r="P181">
        <f>IF(G181=1,IF(I181&gt;Compliance,J181,$H181),2)</f>
        <v/>
      </c>
      <c r="Q181">
        <f>IF(G181=0,2,IF(N181=0,P181,1-SUMPRODUCT(MAX(($E$4:$E$183=E181)*($G$4:$G$183=1)*(1-P$4:P$183)))+0.000000001*D181))</f>
        <v/>
      </c>
      <c r="R181">
        <f>IF(G181=0,999,SUMPRODUCT((Q$4:Q$183&lt;Q181)*($G$4:$G$183=1))+SUMPRODUCT((Q$4:Q$183=Q181)*($G$4:$G$183=1)*($A$4:$A$183&lt;A181))+1)</f>
        <v/>
      </c>
      <c r="T181">
        <f>IF(G181=1,IF(I181&gt;Compliance,J181,(INT((30-$B181)/(30/Zones))+$H181)/Zones),2)</f>
        <v/>
      </c>
      <c r="U181">
        <f>IF(G181=0,2,IF(N181=0,T181,1-SUMPRODUCT(MAX(($E$4:$E$183=E181)*($G$4:$G$183=1)*(1-T$4:T$183)))+0.000000001*D181))</f>
        <v/>
      </c>
      <c r="V181">
        <f>IF(G181=0,999,SUMPRODUCT((U$4:U$183&lt;U181)*($G$4:$G$183=1))+SUMPRODUCT((U$4:U$183=U181)*($G$4:$G$183=1)*($A$4:$A$183&lt;A181))+1)</f>
        <v/>
      </c>
      <c r="X181">
        <f>IF(G181=1,IF(I181&gt;Compliance,J181,(($D181-1)+$H181)/3),2)</f>
        <v/>
      </c>
      <c r="Y181">
        <f>IF(G181=0,2,IF(N181=0,X181,1-SUMPRODUCT(MAX(($E$4:$E$183=E181)*($G$4:$G$183=1)*(1-X$4:X$183)))+0.000000001*D181))</f>
        <v/>
      </c>
      <c r="Z181">
        <f>IF(G181=0,999,SUMPRODUCT((Y$4:Y$183&lt;Y181)*($G$4:$G$183=1))+SUMPRODUCT((Y$4:Y$183=Y181)*($G$4:$G$183=1)*($A$4:$A$183&lt;A181))+1)</f>
        <v/>
      </c>
      <c r="AB181">
        <f>IF(G181=1,IF(I181&gt;Compliance,J181,((($D181-1)*4+($C181-1)*2+MOD($B181,2))+(30-$B181)/30)/12),2)</f>
        <v/>
      </c>
      <c r="AC181">
        <f>IF(G181=0,2,IF(N181=0,AB181,1-SUMPRODUCT(MAX(($E$4:$E$183=E181)*($G$4:$G$183=1)*(1-AB$4:AB$183)))+0.000000001*D181))</f>
        <v/>
      </c>
      <c r="AD181">
        <f>IF(G181=0,999,SUMPRODUCT((AC$4:AC$183&lt;AC181)*($G$4:$G$183=1))+SUMPRODUCT((AC$4:AC$183=AC181)*($G$4:$G$183=1)*($A$4:$A$183&lt;A181))+1)</f>
        <v/>
      </c>
      <c r="AI181" t="n">
        <v>178</v>
      </c>
      <c r="AJ181">
        <f>IF(178&gt;Passengers,"",MATCH(178,R$4:R$183,0))</f>
        <v/>
      </c>
      <c r="AK181">
        <f>IF(AJ181="","",INDEX($B$4:$B$183,AJ181))</f>
        <v/>
      </c>
      <c r="AL181">
        <f>IF(AJ181="","",INDEX($C$4:$C$183,AJ181))</f>
        <v/>
      </c>
      <c r="AM181">
        <f>IF(AJ181="","",INDEX($D$4:$D$183,AJ181))</f>
        <v/>
      </c>
      <c r="AN181">
        <f>IF(AJ181="","",COUNTIFS($B$4:$B$183,AK181,$C$4:$C$183,AL181,$D$4:$D$183,"&gt;"&amp;AM181,R$4:R$183,"&lt;"&amp;178,$G$4:$G$183,1))</f>
        <v/>
      </c>
      <c r="AO181">
        <f>IF(AJ181="","",INDEX($M$4:$M$183,AJ181)+IF(AN181=1,Shuffle1,IF(AN181&gt;=2,Shuffle2,0)))</f>
        <v/>
      </c>
      <c r="AP181">
        <f>IF(AJ181="","",MAX(DoorGap*177,SUMPRODUCT(MAX((AK$4:AK180&lt;=AK181)*AQ$4:AQ180)),SUMPRODUCT(MAX((AK$4:AK180&gt;AK181)*AP$4:AP180))+Headway))</f>
        <v/>
      </c>
      <c r="AQ181">
        <f>IF(AJ181="","",AP181+AO181)</f>
        <v/>
      </c>
      <c r="AR181">
        <f>IF(AJ181="","",AQ181+AK181*WalkSec)</f>
        <v/>
      </c>
      <c r="AS181" t="n">
        <v>178</v>
      </c>
      <c r="AT181">
        <f>IF(178&gt;Passengers,"",MATCH(178,V$4:V$183,0))</f>
        <v/>
      </c>
      <c r="AU181">
        <f>IF(AT181="","",INDEX($B$4:$B$183,AT181))</f>
        <v/>
      </c>
      <c r="AV181">
        <f>IF(AT181="","",INDEX($C$4:$C$183,AT181))</f>
        <v/>
      </c>
      <c r="AW181">
        <f>IF(AT181="","",INDEX($D$4:$D$183,AT181))</f>
        <v/>
      </c>
      <c r="AX181">
        <f>IF(AT181="","",COUNTIFS($B$4:$B$183,AU181,$C$4:$C$183,AV181,$D$4:$D$183,"&gt;"&amp;AW181,V$4:V$183,"&lt;"&amp;178,$G$4:$G$183,1))</f>
        <v/>
      </c>
      <c r="AY181">
        <f>IF(AT181="","",INDEX($M$4:$M$183,AT181)+IF(AX181=1,Shuffle1,IF(AX181&gt;=2,Shuffle2,0)))</f>
        <v/>
      </c>
      <c r="AZ181">
        <f>IF(AT181="","",MAX(DoorGap*177,SUMPRODUCT(MAX((AU$4:AU180&lt;=AU181)*BA$4:BA180)),SUMPRODUCT(MAX((AU$4:AU180&gt;AU181)*AZ$4:AZ180))+Headway))</f>
        <v/>
      </c>
      <c r="BA181">
        <f>IF(AT181="","",AZ181+AY181)</f>
        <v/>
      </c>
      <c r="BB181">
        <f>IF(AT181="","",BA181+AU181*WalkSec)</f>
        <v/>
      </c>
      <c r="BC181" t="n">
        <v>178</v>
      </c>
      <c r="BD181">
        <f>IF(178&gt;Passengers,"",MATCH(178,Z$4:Z$183,0))</f>
        <v/>
      </c>
      <c r="BE181">
        <f>IF(BD181="","",INDEX($B$4:$B$183,BD181))</f>
        <v/>
      </c>
      <c r="BF181">
        <f>IF(BD181="","",INDEX($C$4:$C$183,BD181))</f>
        <v/>
      </c>
      <c r="BG181">
        <f>IF(BD181="","",INDEX($D$4:$D$183,BD181))</f>
        <v/>
      </c>
      <c r="BH181">
        <f>IF(BD181="","",COUNTIFS($B$4:$B$183,BE181,$C$4:$C$183,BF181,$D$4:$D$183,"&gt;"&amp;BG181,Z$4:Z$183,"&lt;"&amp;178,$G$4:$G$183,1))</f>
        <v/>
      </c>
      <c r="BI181">
        <f>IF(BD181="","",INDEX($M$4:$M$183,BD181)+IF(BH181=1,Shuffle1,IF(BH181&gt;=2,Shuffle2,0)))</f>
        <v/>
      </c>
      <c r="BJ181">
        <f>IF(BD181="","",MAX(DoorGap*177,SUMPRODUCT(MAX((BE$4:BE180&lt;=BE181)*BK$4:BK180)),SUMPRODUCT(MAX((BE$4:BE180&gt;BE181)*BJ$4:BJ180))+Headway))</f>
        <v/>
      </c>
      <c r="BK181">
        <f>IF(BD181="","",BJ181+BI181)</f>
        <v/>
      </c>
      <c r="BL181">
        <f>IF(BD181="","",BK181+BE181*WalkSec)</f>
        <v/>
      </c>
      <c r="BM181" t="n">
        <v>178</v>
      </c>
      <c r="BN181">
        <f>IF(178&gt;Passengers,"",MATCH(178,AD$4:AD$183,0))</f>
        <v/>
      </c>
      <c r="BO181">
        <f>IF(BN181="","",INDEX($B$4:$B$183,BN181))</f>
        <v/>
      </c>
      <c r="BP181">
        <f>IF(BN181="","",INDEX($C$4:$C$183,BN181))</f>
        <v/>
      </c>
      <c r="BQ181">
        <f>IF(BN181="","",INDEX($D$4:$D$183,BN181))</f>
        <v/>
      </c>
      <c r="BR181">
        <f>IF(BN181="","",COUNTIFS($B$4:$B$183,BO181,$C$4:$C$183,BP181,$D$4:$D$183,"&gt;"&amp;BQ181,AD$4:AD$183,"&lt;"&amp;178,$G$4:$G$183,1))</f>
        <v/>
      </c>
      <c r="BS181">
        <f>IF(BN181="","",INDEX($M$4:$M$183,BN181)+IF(BR181=1,Shuffle1,IF(BR181&gt;=2,Shuffle2,0)))</f>
        <v/>
      </c>
      <c r="BT181">
        <f>IF(BN181="","",MAX(DoorGap*177,SUMPRODUCT(MAX((BO$4:BO180&lt;=BO181)*BU$4:BU180)),SUMPRODUCT(MAX((BO$4:BO180&gt;BO181)*BT$4:BT180))+Headway))</f>
        <v/>
      </c>
      <c r="BU181">
        <f>IF(BN181="","",BT181+BS181)</f>
        <v/>
      </c>
      <c r="BV181">
        <f>IF(BN181="","",BU181+BO181*WalkSec)</f>
        <v/>
      </c>
      <c r="BW181">
        <f>IF($G181=0,"",INDEX(AR$4:AR$183,R181))</f>
        <v/>
      </c>
      <c r="BX181">
        <f>IF($G181=0,"",INDEX(BB$4:BB$183,V181))</f>
        <v/>
      </c>
      <c r="BY181">
        <f>IF($G181=0,"",INDEX(BL$4:BL$183,Z181))</f>
        <v/>
      </c>
      <c r="BZ181">
        <f>IF($G181=0,"",INDEX(BV$4:BV$183,AD181))</f>
        <v/>
      </c>
    </row>
    <row r="182">
      <c r="A182" t="n">
        <v>179</v>
      </c>
      <c r="B182" t="n">
        <v>30</v>
      </c>
      <c r="C182" t="n">
        <v>2</v>
      </c>
      <c r="D182" t="n">
        <v>2</v>
      </c>
      <c r="E182" t="n">
        <v>60</v>
      </c>
      <c r="F182">
        <f>RAND()</f>
        <v/>
      </c>
      <c r="G182">
        <f>IF(SUMPRODUCT(($F$4:$F$183&lt;F182)*1)+SUMPRODUCT(($F$4:$F$183=F182)*($A$4:$A$183&lt;A182))&lt;Passengers,1,0)</f>
        <v/>
      </c>
      <c r="H182">
        <f>RAND()</f>
        <v/>
      </c>
      <c r="I182">
        <f>RAND()</f>
        <v/>
      </c>
      <c r="J182">
        <f>RAND()</f>
        <v/>
      </c>
      <c r="K182">
        <f>RAND()</f>
        <v/>
      </c>
      <c r="L182">
        <f>RAND()</f>
        <v/>
      </c>
      <c r="M182">
        <f>IF(K182&lt;BagShare,EXP(NORMSINV(L182)*StowSigma+StowMu),StowNoBag)</f>
        <v/>
      </c>
      <c r="N182">
        <f>IF(INDEX($AG$4:$AG$63,E182)&lt;GroupShare,1,0)</f>
        <v/>
      </c>
      <c r="P182">
        <f>IF(G182=1,IF(I182&gt;Compliance,J182,$H182),2)</f>
        <v/>
      </c>
      <c r="Q182">
        <f>IF(G182=0,2,IF(N182=0,P182,1-SUMPRODUCT(MAX(($E$4:$E$183=E182)*($G$4:$G$183=1)*(1-P$4:P$183)))+0.000000001*D182))</f>
        <v/>
      </c>
      <c r="R182">
        <f>IF(G182=0,999,SUMPRODUCT((Q$4:Q$183&lt;Q182)*($G$4:$G$183=1))+SUMPRODUCT((Q$4:Q$183=Q182)*($G$4:$G$183=1)*($A$4:$A$183&lt;A182))+1)</f>
        <v/>
      </c>
      <c r="T182">
        <f>IF(G182=1,IF(I182&gt;Compliance,J182,(INT((30-$B182)/(30/Zones))+$H182)/Zones),2)</f>
        <v/>
      </c>
      <c r="U182">
        <f>IF(G182=0,2,IF(N182=0,T182,1-SUMPRODUCT(MAX(($E$4:$E$183=E182)*($G$4:$G$183=1)*(1-T$4:T$183)))+0.000000001*D182))</f>
        <v/>
      </c>
      <c r="V182">
        <f>IF(G182=0,999,SUMPRODUCT((U$4:U$183&lt;U182)*($G$4:$G$183=1))+SUMPRODUCT((U$4:U$183=U182)*($G$4:$G$183=1)*($A$4:$A$183&lt;A182))+1)</f>
        <v/>
      </c>
      <c r="X182">
        <f>IF(G182=1,IF(I182&gt;Compliance,J182,(($D182-1)+$H182)/3),2)</f>
        <v/>
      </c>
      <c r="Y182">
        <f>IF(G182=0,2,IF(N182=0,X182,1-SUMPRODUCT(MAX(($E$4:$E$183=E182)*($G$4:$G$183=1)*(1-X$4:X$183)))+0.000000001*D182))</f>
        <v/>
      </c>
      <c r="Z182">
        <f>IF(G182=0,999,SUMPRODUCT((Y$4:Y$183&lt;Y182)*($G$4:$G$183=1))+SUMPRODUCT((Y$4:Y$183=Y182)*($G$4:$G$183=1)*($A$4:$A$183&lt;A182))+1)</f>
        <v/>
      </c>
      <c r="AB182">
        <f>IF(G182=1,IF(I182&gt;Compliance,J182,((($D182-1)*4+($C182-1)*2+MOD($B182,2))+(30-$B182)/30)/12),2)</f>
        <v/>
      </c>
      <c r="AC182">
        <f>IF(G182=0,2,IF(N182=0,AB182,1-SUMPRODUCT(MAX(($E$4:$E$183=E182)*($G$4:$G$183=1)*(1-AB$4:AB$183)))+0.000000001*D182))</f>
        <v/>
      </c>
      <c r="AD182">
        <f>IF(G182=0,999,SUMPRODUCT((AC$4:AC$183&lt;AC182)*($G$4:$G$183=1))+SUMPRODUCT((AC$4:AC$183=AC182)*($G$4:$G$183=1)*($A$4:$A$183&lt;A182))+1)</f>
        <v/>
      </c>
      <c r="AI182" t="n">
        <v>179</v>
      </c>
      <c r="AJ182">
        <f>IF(179&gt;Passengers,"",MATCH(179,R$4:R$183,0))</f>
        <v/>
      </c>
      <c r="AK182">
        <f>IF(AJ182="","",INDEX($B$4:$B$183,AJ182))</f>
        <v/>
      </c>
      <c r="AL182">
        <f>IF(AJ182="","",INDEX($C$4:$C$183,AJ182))</f>
        <v/>
      </c>
      <c r="AM182">
        <f>IF(AJ182="","",INDEX($D$4:$D$183,AJ182))</f>
        <v/>
      </c>
      <c r="AN182">
        <f>IF(AJ182="","",COUNTIFS($B$4:$B$183,AK182,$C$4:$C$183,AL182,$D$4:$D$183,"&gt;"&amp;AM182,R$4:R$183,"&lt;"&amp;179,$G$4:$G$183,1))</f>
        <v/>
      </c>
      <c r="AO182">
        <f>IF(AJ182="","",INDEX($M$4:$M$183,AJ182)+IF(AN182=1,Shuffle1,IF(AN182&gt;=2,Shuffle2,0)))</f>
        <v/>
      </c>
      <c r="AP182">
        <f>IF(AJ182="","",MAX(DoorGap*178,SUMPRODUCT(MAX((AK$4:AK181&lt;=AK182)*AQ$4:AQ181)),SUMPRODUCT(MAX((AK$4:AK181&gt;AK182)*AP$4:AP181))+Headway))</f>
        <v/>
      </c>
      <c r="AQ182">
        <f>IF(AJ182="","",AP182+AO182)</f>
        <v/>
      </c>
      <c r="AR182">
        <f>IF(AJ182="","",AQ182+AK182*WalkSec)</f>
        <v/>
      </c>
      <c r="AS182" t="n">
        <v>179</v>
      </c>
      <c r="AT182">
        <f>IF(179&gt;Passengers,"",MATCH(179,V$4:V$183,0))</f>
        <v/>
      </c>
      <c r="AU182">
        <f>IF(AT182="","",INDEX($B$4:$B$183,AT182))</f>
        <v/>
      </c>
      <c r="AV182">
        <f>IF(AT182="","",INDEX($C$4:$C$183,AT182))</f>
        <v/>
      </c>
      <c r="AW182">
        <f>IF(AT182="","",INDEX($D$4:$D$183,AT182))</f>
        <v/>
      </c>
      <c r="AX182">
        <f>IF(AT182="","",COUNTIFS($B$4:$B$183,AU182,$C$4:$C$183,AV182,$D$4:$D$183,"&gt;"&amp;AW182,V$4:V$183,"&lt;"&amp;179,$G$4:$G$183,1))</f>
        <v/>
      </c>
      <c r="AY182">
        <f>IF(AT182="","",INDEX($M$4:$M$183,AT182)+IF(AX182=1,Shuffle1,IF(AX182&gt;=2,Shuffle2,0)))</f>
        <v/>
      </c>
      <c r="AZ182">
        <f>IF(AT182="","",MAX(DoorGap*178,SUMPRODUCT(MAX((AU$4:AU181&lt;=AU182)*BA$4:BA181)),SUMPRODUCT(MAX((AU$4:AU181&gt;AU182)*AZ$4:AZ181))+Headway))</f>
        <v/>
      </c>
      <c r="BA182">
        <f>IF(AT182="","",AZ182+AY182)</f>
        <v/>
      </c>
      <c r="BB182">
        <f>IF(AT182="","",BA182+AU182*WalkSec)</f>
        <v/>
      </c>
      <c r="BC182" t="n">
        <v>179</v>
      </c>
      <c r="BD182">
        <f>IF(179&gt;Passengers,"",MATCH(179,Z$4:Z$183,0))</f>
        <v/>
      </c>
      <c r="BE182">
        <f>IF(BD182="","",INDEX($B$4:$B$183,BD182))</f>
        <v/>
      </c>
      <c r="BF182">
        <f>IF(BD182="","",INDEX($C$4:$C$183,BD182))</f>
        <v/>
      </c>
      <c r="BG182">
        <f>IF(BD182="","",INDEX($D$4:$D$183,BD182))</f>
        <v/>
      </c>
      <c r="BH182">
        <f>IF(BD182="","",COUNTIFS($B$4:$B$183,BE182,$C$4:$C$183,BF182,$D$4:$D$183,"&gt;"&amp;BG182,Z$4:Z$183,"&lt;"&amp;179,$G$4:$G$183,1))</f>
        <v/>
      </c>
      <c r="BI182">
        <f>IF(BD182="","",INDEX($M$4:$M$183,BD182)+IF(BH182=1,Shuffle1,IF(BH182&gt;=2,Shuffle2,0)))</f>
        <v/>
      </c>
      <c r="BJ182">
        <f>IF(BD182="","",MAX(DoorGap*178,SUMPRODUCT(MAX((BE$4:BE181&lt;=BE182)*BK$4:BK181)),SUMPRODUCT(MAX((BE$4:BE181&gt;BE182)*BJ$4:BJ181))+Headway))</f>
        <v/>
      </c>
      <c r="BK182">
        <f>IF(BD182="","",BJ182+BI182)</f>
        <v/>
      </c>
      <c r="BL182">
        <f>IF(BD182="","",BK182+BE182*WalkSec)</f>
        <v/>
      </c>
      <c r="BM182" t="n">
        <v>179</v>
      </c>
      <c r="BN182">
        <f>IF(179&gt;Passengers,"",MATCH(179,AD$4:AD$183,0))</f>
        <v/>
      </c>
      <c r="BO182">
        <f>IF(BN182="","",INDEX($B$4:$B$183,BN182))</f>
        <v/>
      </c>
      <c r="BP182">
        <f>IF(BN182="","",INDEX($C$4:$C$183,BN182))</f>
        <v/>
      </c>
      <c r="BQ182">
        <f>IF(BN182="","",INDEX($D$4:$D$183,BN182))</f>
        <v/>
      </c>
      <c r="BR182">
        <f>IF(BN182="","",COUNTIFS($B$4:$B$183,BO182,$C$4:$C$183,BP182,$D$4:$D$183,"&gt;"&amp;BQ182,AD$4:AD$183,"&lt;"&amp;179,$G$4:$G$183,1))</f>
        <v/>
      </c>
      <c r="BS182">
        <f>IF(BN182="","",INDEX($M$4:$M$183,BN182)+IF(BR182=1,Shuffle1,IF(BR182&gt;=2,Shuffle2,0)))</f>
        <v/>
      </c>
      <c r="BT182">
        <f>IF(BN182="","",MAX(DoorGap*178,SUMPRODUCT(MAX((BO$4:BO181&lt;=BO182)*BU$4:BU181)),SUMPRODUCT(MAX((BO$4:BO181&gt;BO182)*BT$4:BT181))+Headway))</f>
        <v/>
      </c>
      <c r="BU182">
        <f>IF(BN182="","",BT182+BS182)</f>
        <v/>
      </c>
      <c r="BV182">
        <f>IF(BN182="","",BU182+BO182*WalkSec)</f>
        <v/>
      </c>
      <c r="BW182">
        <f>IF($G182=0,"",INDEX(AR$4:AR$183,R182))</f>
        <v/>
      </c>
      <c r="BX182">
        <f>IF($G182=0,"",INDEX(BB$4:BB$183,V182))</f>
        <v/>
      </c>
      <c r="BY182">
        <f>IF($G182=0,"",INDEX(BL$4:BL$183,Z182))</f>
        <v/>
      </c>
      <c r="BZ182">
        <f>IF($G182=0,"",INDEX(BV$4:BV$183,AD182))</f>
        <v/>
      </c>
    </row>
    <row r="183">
      <c r="A183" t="n">
        <v>180</v>
      </c>
      <c r="B183" t="n">
        <v>30</v>
      </c>
      <c r="C183" t="n">
        <v>2</v>
      </c>
      <c r="D183" t="n">
        <v>3</v>
      </c>
      <c r="E183" t="n">
        <v>60</v>
      </c>
      <c r="F183">
        <f>RAND()</f>
        <v/>
      </c>
      <c r="G183">
        <f>IF(SUMPRODUCT(($F$4:$F$183&lt;F183)*1)+SUMPRODUCT(($F$4:$F$183=F183)*($A$4:$A$183&lt;A183))&lt;Passengers,1,0)</f>
        <v/>
      </c>
      <c r="H183">
        <f>RAND()</f>
        <v/>
      </c>
      <c r="I183">
        <f>RAND()</f>
        <v/>
      </c>
      <c r="J183">
        <f>RAND()</f>
        <v/>
      </c>
      <c r="K183">
        <f>RAND()</f>
        <v/>
      </c>
      <c r="L183">
        <f>RAND()</f>
        <v/>
      </c>
      <c r="M183">
        <f>IF(K183&lt;BagShare,EXP(NORMSINV(L183)*StowSigma+StowMu),StowNoBag)</f>
        <v/>
      </c>
      <c r="N183">
        <f>IF(INDEX($AG$4:$AG$63,E183)&lt;GroupShare,1,0)</f>
        <v/>
      </c>
      <c r="P183">
        <f>IF(G183=1,IF(I183&gt;Compliance,J183,$H183),2)</f>
        <v/>
      </c>
      <c r="Q183">
        <f>IF(G183=0,2,IF(N183=0,P183,1-SUMPRODUCT(MAX(($E$4:$E$183=E183)*($G$4:$G$183=1)*(1-P$4:P$183)))+0.000000001*D183))</f>
        <v/>
      </c>
      <c r="R183">
        <f>IF(G183=0,999,SUMPRODUCT((Q$4:Q$183&lt;Q183)*($G$4:$G$183=1))+SUMPRODUCT((Q$4:Q$183=Q183)*($G$4:$G$183=1)*($A$4:$A$183&lt;A183))+1)</f>
        <v/>
      </c>
      <c r="T183">
        <f>IF(G183=1,IF(I183&gt;Compliance,J183,(INT((30-$B183)/(30/Zones))+$H183)/Zones),2)</f>
        <v/>
      </c>
      <c r="U183">
        <f>IF(G183=0,2,IF(N183=0,T183,1-SUMPRODUCT(MAX(($E$4:$E$183=E183)*($G$4:$G$183=1)*(1-T$4:T$183)))+0.000000001*D183))</f>
        <v/>
      </c>
      <c r="V183">
        <f>IF(G183=0,999,SUMPRODUCT((U$4:U$183&lt;U183)*($G$4:$G$183=1))+SUMPRODUCT((U$4:U$183=U183)*($G$4:$G$183=1)*($A$4:$A$183&lt;A183))+1)</f>
        <v/>
      </c>
      <c r="X183">
        <f>IF(G183=1,IF(I183&gt;Compliance,J183,(($D183-1)+$H183)/3),2)</f>
        <v/>
      </c>
      <c r="Y183">
        <f>IF(G183=0,2,IF(N183=0,X183,1-SUMPRODUCT(MAX(($E$4:$E$183=E183)*($G$4:$G$183=1)*(1-X$4:X$183)))+0.000000001*D183))</f>
        <v/>
      </c>
      <c r="Z183">
        <f>IF(G183=0,999,SUMPRODUCT((Y$4:Y$183&lt;Y183)*($G$4:$G$183=1))+SUMPRODUCT((Y$4:Y$183=Y183)*($G$4:$G$183=1)*($A$4:$A$183&lt;A183))+1)</f>
        <v/>
      </c>
      <c r="AB183">
        <f>IF(G183=1,IF(I183&gt;Compliance,J183,((($D183-1)*4+($C183-1)*2+MOD($B183,2))+(30-$B183)/30)/12),2)</f>
        <v/>
      </c>
      <c r="AC183">
        <f>IF(G183=0,2,IF(N183=0,AB183,1-SUMPRODUCT(MAX(($E$4:$E$183=E183)*($G$4:$G$183=1)*(1-AB$4:AB$183)))+0.000000001*D183))</f>
        <v/>
      </c>
      <c r="AD183">
        <f>IF(G183=0,999,SUMPRODUCT((AC$4:AC$183&lt;AC183)*($G$4:$G$183=1))+SUMPRODUCT((AC$4:AC$183=AC183)*($G$4:$G$183=1)*($A$4:$A$183&lt;A183))+1)</f>
        <v/>
      </c>
      <c r="AI183" t="n">
        <v>180</v>
      </c>
      <c r="AJ183">
        <f>IF(180&gt;Passengers,"",MATCH(180,R$4:R$183,0))</f>
        <v/>
      </c>
      <c r="AK183">
        <f>IF(AJ183="","",INDEX($B$4:$B$183,AJ183))</f>
        <v/>
      </c>
      <c r="AL183">
        <f>IF(AJ183="","",INDEX($C$4:$C$183,AJ183))</f>
        <v/>
      </c>
      <c r="AM183">
        <f>IF(AJ183="","",INDEX($D$4:$D$183,AJ183))</f>
        <v/>
      </c>
      <c r="AN183">
        <f>IF(AJ183="","",COUNTIFS($B$4:$B$183,AK183,$C$4:$C$183,AL183,$D$4:$D$183,"&gt;"&amp;AM183,R$4:R$183,"&lt;"&amp;180,$G$4:$G$183,1))</f>
        <v/>
      </c>
      <c r="AO183">
        <f>IF(AJ183="","",INDEX($M$4:$M$183,AJ183)+IF(AN183=1,Shuffle1,IF(AN183&gt;=2,Shuffle2,0)))</f>
        <v/>
      </c>
      <c r="AP183">
        <f>IF(AJ183="","",MAX(DoorGap*179,SUMPRODUCT(MAX((AK$4:AK182&lt;=AK183)*AQ$4:AQ182)),SUMPRODUCT(MAX((AK$4:AK182&gt;AK183)*AP$4:AP182))+Headway))</f>
        <v/>
      </c>
      <c r="AQ183">
        <f>IF(AJ183="","",AP183+AO183)</f>
        <v/>
      </c>
      <c r="AR183">
        <f>IF(AJ183="","",AQ183+AK183*WalkSec)</f>
        <v/>
      </c>
      <c r="AS183" t="n">
        <v>180</v>
      </c>
      <c r="AT183">
        <f>IF(180&gt;Passengers,"",MATCH(180,V$4:V$183,0))</f>
        <v/>
      </c>
      <c r="AU183">
        <f>IF(AT183="","",INDEX($B$4:$B$183,AT183))</f>
        <v/>
      </c>
      <c r="AV183">
        <f>IF(AT183="","",INDEX($C$4:$C$183,AT183))</f>
        <v/>
      </c>
      <c r="AW183">
        <f>IF(AT183="","",INDEX($D$4:$D$183,AT183))</f>
        <v/>
      </c>
      <c r="AX183">
        <f>IF(AT183="","",COUNTIFS($B$4:$B$183,AU183,$C$4:$C$183,AV183,$D$4:$D$183,"&gt;"&amp;AW183,V$4:V$183,"&lt;"&amp;180,$G$4:$G$183,1))</f>
        <v/>
      </c>
      <c r="AY183">
        <f>IF(AT183="","",INDEX($M$4:$M$183,AT183)+IF(AX183=1,Shuffle1,IF(AX183&gt;=2,Shuffle2,0)))</f>
        <v/>
      </c>
      <c r="AZ183">
        <f>IF(AT183="","",MAX(DoorGap*179,SUMPRODUCT(MAX((AU$4:AU182&lt;=AU183)*BA$4:BA182)),SUMPRODUCT(MAX((AU$4:AU182&gt;AU183)*AZ$4:AZ182))+Headway))</f>
        <v/>
      </c>
      <c r="BA183">
        <f>IF(AT183="","",AZ183+AY183)</f>
        <v/>
      </c>
      <c r="BB183">
        <f>IF(AT183="","",BA183+AU183*WalkSec)</f>
        <v/>
      </c>
      <c r="BC183" t="n">
        <v>180</v>
      </c>
      <c r="BD183">
        <f>IF(180&gt;Passengers,"",MATCH(180,Z$4:Z$183,0))</f>
        <v/>
      </c>
      <c r="BE183">
        <f>IF(BD183="","",INDEX($B$4:$B$183,BD183))</f>
        <v/>
      </c>
      <c r="BF183">
        <f>IF(BD183="","",INDEX($C$4:$C$183,BD183))</f>
        <v/>
      </c>
      <c r="BG183">
        <f>IF(BD183="","",INDEX($D$4:$D$183,BD183))</f>
        <v/>
      </c>
      <c r="BH183">
        <f>IF(BD183="","",COUNTIFS($B$4:$B$183,BE183,$C$4:$C$183,BF183,$D$4:$D$183,"&gt;"&amp;BG183,Z$4:Z$183,"&lt;"&amp;180,$G$4:$G$183,1))</f>
        <v/>
      </c>
      <c r="BI183">
        <f>IF(BD183="","",INDEX($M$4:$M$183,BD183)+IF(BH183=1,Shuffle1,IF(BH183&gt;=2,Shuffle2,0)))</f>
        <v/>
      </c>
      <c r="BJ183">
        <f>IF(BD183="","",MAX(DoorGap*179,SUMPRODUCT(MAX((BE$4:BE182&lt;=BE183)*BK$4:BK182)),SUMPRODUCT(MAX((BE$4:BE182&gt;BE183)*BJ$4:BJ182))+Headway))</f>
        <v/>
      </c>
      <c r="BK183">
        <f>IF(BD183="","",BJ183+BI183)</f>
        <v/>
      </c>
      <c r="BL183">
        <f>IF(BD183="","",BK183+BE183*WalkSec)</f>
        <v/>
      </c>
      <c r="BM183" t="n">
        <v>180</v>
      </c>
      <c r="BN183">
        <f>IF(180&gt;Passengers,"",MATCH(180,AD$4:AD$183,0))</f>
        <v/>
      </c>
      <c r="BO183">
        <f>IF(BN183="","",INDEX($B$4:$B$183,BN183))</f>
        <v/>
      </c>
      <c r="BP183">
        <f>IF(BN183="","",INDEX($C$4:$C$183,BN183))</f>
        <v/>
      </c>
      <c r="BQ183">
        <f>IF(BN183="","",INDEX($D$4:$D$183,BN183))</f>
        <v/>
      </c>
      <c r="BR183">
        <f>IF(BN183="","",COUNTIFS($B$4:$B$183,BO183,$C$4:$C$183,BP183,$D$4:$D$183,"&gt;"&amp;BQ183,AD$4:AD$183,"&lt;"&amp;180,$G$4:$G$183,1))</f>
        <v/>
      </c>
      <c r="BS183">
        <f>IF(BN183="","",INDEX($M$4:$M$183,BN183)+IF(BR183=1,Shuffle1,IF(BR183&gt;=2,Shuffle2,0)))</f>
        <v/>
      </c>
      <c r="BT183">
        <f>IF(BN183="","",MAX(DoorGap*179,SUMPRODUCT(MAX((BO$4:BO182&lt;=BO183)*BU$4:BU182)),SUMPRODUCT(MAX((BO$4:BO182&gt;BO183)*BT$4:BT182))+Headway))</f>
        <v/>
      </c>
      <c r="BU183">
        <f>IF(BN183="","",BT183+BS183)</f>
        <v/>
      </c>
      <c r="BV183">
        <f>IF(BN183="","",BU183+BO183*WalkSec)</f>
        <v/>
      </c>
      <c r="BW183">
        <f>IF($G183=0,"",INDEX(AR$4:AR$183,R183))</f>
        <v/>
      </c>
      <c r="BX183">
        <f>IF($G183=0,"",INDEX(BB$4:BB$183,V183))</f>
        <v/>
      </c>
      <c r="BY183">
        <f>IF($G183=0,"",INDEX(BL$4:BL$183,Z183))</f>
        <v/>
      </c>
      <c r="BZ183">
        <f>IF($G183=0,"",INDEX(BV$4:BV$183,AD183))</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B2:C14"/>
  <sheetViews>
    <sheetView showGridLines="0" workbookViewId="0">
      <selection activeCell="A1" sqref="A1"/>
    </sheetView>
  </sheetViews>
  <sheetFormatPr baseColWidth="8" defaultRowHeight="15"/>
  <cols>
    <col width="3" customWidth="1" min="1" max="1"/>
    <col width="30" customWidth="1" min="2" max="2"/>
    <col width="74" customWidth="1" min="3" max="3"/>
  </cols>
  <sheetData>
    <row r="2">
      <c r="B2" s="36" t="inlineStr">
        <is>
          <t>The same model, with ModelRisk</t>
        </is>
      </c>
    </row>
    <row r="3" ht="46" customHeight="1">
      <c r="B3" s="2" t="inlineStr">
        <is>
          <t>This workbook is deliberately add-in free, so anyone can open it. That is also why it is slow, why the percentiles are approximate, and why it cannot tell you which input is driving the answer. Here is exactly what changes when the model is run properly.</t>
        </is>
      </c>
    </row>
    <row r="5">
      <c r="B5" s="8" t="inlineStr">
        <is>
          <t>WHAT CHANGES</t>
        </is>
      </c>
    </row>
    <row r="6" ht="60" customHeight="1">
      <c r="B6" s="37" t="inlineStr">
        <is>
          <t>Sampling</t>
        </is>
      </c>
      <c r="C6" s="4" t="inlineStr">
        <is>
          <t>Engine!L4:L183 draws a stow time through NORMSINV(RAND()). Replace with =VoseLognormal(StowMean, StowSD) and the distribution is an object the simulation understands, not a formula you rebuilt by hand.</t>
        </is>
      </c>
    </row>
    <row r="7" ht="60" customHeight="1">
      <c r="B7" s="37" t="inlineStr">
        <is>
          <t>Fitting it to data</t>
        </is>
      </c>
      <c r="C7" s="4" t="inlineStr">
        <is>
          <t>Nobody knows the true stow-time distribution. VoseFitDistributions takes real turnaround timings and picks the family and parameters for you, then ranks the candidates — so the single most important input on the sheet stops being a guess.</t>
        </is>
      </c>
    </row>
    <row r="8" ht="60" customHeight="1">
      <c r="B8" s="37" t="inlineStr">
        <is>
          <t>Running it</t>
        </is>
      </c>
      <c r="C8" s="4" t="inlineStr">
        <is>
          <t>Wrap Engine!AI2 and its three neighbours in =VoseOutput(). One click runs 10,000 boardings in seconds instead of 10,000 keypresses, and the Simulate sheet's circular accumulators disappear entirely.</t>
        </is>
      </c>
    </row>
    <row r="9" ht="60" customHeight="1">
      <c r="B9" s="37" t="inlineStr">
        <is>
          <t>Percentiles</t>
        </is>
      </c>
      <c r="C9" s="4" t="inlineStr">
        <is>
          <t>The histogram here is approximate. VosePercentile gives exact P50, P80 and P95 from the stored samples — the numbers you would actually schedule a turnaround against.</t>
        </is>
      </c>
    </row>
    <row r="10" ht="60" customHeight="1">
      <c r="B10" s="37" t="inlineStr">
        <is>
          <t>What is driving it</t>
        </is>
      </c>
      <c r="C10" s="4" t="inlineStr">
        <is>
          <t>The finding that stow time matters more than boarding policy took a hand-built scenario sweep. A tornado chart ranks every input by its influence on the answer automatically, and would have found it in one run.</t>
        </is>
      </c>
    </row>
    <row r="11" ht="45" customHeight="1">
      <c r="B11" s="37" t="inlineStr">
        <is>
          <t>Correlation</t>
        </is>
      </c>
      <c r="C11" s="4" t="inlineStr">
        <is>
          <t>Group travel is modelled crudely here. Copulas let you correlate stow times within a travelling party — people with one slow bag usually have several.</t>
        </is>
      </c>
    </row>
    <row r="12" ht="75" customHeight="1">
      <c r="B12" s="37" t="inlineStr">
        <is>
          <t>The decision</t>
        </is>
      </c>
      <c r="C12" s="4" t="inlineStr">
        <is>
          <t>Boarding policy is a choice under uncertainty with a cost attached: gate staff, passenger goodwill, minutes of aircraft time. ModelChoice puts a decision tree and a utility function on top of these outputs and tells you what the right choice is, not just what the distribution looks like.</t>
        </is>
      </c>
    </row>
    <row r="14" ht="32" customHeight="1">
      <c r="B14" s="3" t="inlineStr">
        <is>
          <t>Try it</t>
        </is>
      </c>
      <c r="C14" s="4" t="inlineStr">
        <is>
          <t>ModelRisk is a 15-day fully functional free trial at vosesoftware.com. The converter will also bring across models built in @RISK or Crystal Ball.</t>
        </is>
      </c>
    </row>
  </sheetData>
  <mergeCells count="1">
    <mergeCell ref="B3:C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2026-08-11T20:35:40Z</dcterms:created>
  <dcterms:modified xmlns:dcterms="http://purl.org/dc/terms/" xmlns:xsi="http://www.w3.org/2001/XMLSchema-instance" xsi:type="dcterms:W3CDTF">2026-08-11T20:35:40Z</dcterms:modified>
</cp:coreProperties>
</file>