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654BAA27-9ED3-442F-BD37-17B01C940DB5}" xr6:coauthVersionLast="47" xr6:coauthVersionMax="47" xr10:uidLastSave="{00000000-0000-0000-0000-000000000000}"/>
  <bookViews>
    <workbookView xWindow="-98" yWindow="-98" windowWidth="21795" windowHeight="12975" firstSheet="2" activeTab="2" xr2:uid="{E87E509F-1B0D-4C3D-B8F1-E522BBFE3D52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MC_Calc_1">_MC_Calc!$A$1:$AK$1</definedName>
    <definedName name="AcresRequired">MC_Tree_1!$C$17</definedName>
    <definedName name="AnnualDemand">MC_Tree_1!$C$13</definedName>
    <definedName name="ChemCostPer1000Gal">MC_Tree_1!$C$12</definedName>
    <definedName name="CostPerMGD">MC_Tree_1!$C$6</definedName>
    <definedName name="EnergyCostKWh">MC_Tree_1!$C$11</definedName>
    <definedName name="LandCostPerAcre">MC_Tree_1!$C$10</definedName>
    <definedName name="MC_BD_D_root_C_decentral" localSheetId="3">MC_Tree_1!$C$40</definedName>
    <definedName name="MC_BD_D_root_C_demand_new" localSheetId="3">MC_Tree_1!$C$22</definedName>
    <definedName name="MC_BD_D_root_C_partner" localSheetId="3">MC_Tree_1!$C$46</definedName>
    <definedName name="MC_BD_D_root_C_upgrade" localSheetId="3">MC_Tree_1!$C$32</definedName>
    <definedName name="MC_BP_C_decentral_T_decentral_good" localSheetId="3">MC_Tree_1!$D$38</definedName>
    <definedName name="MC_BP_C_decentral_T_decentral_poor" localSheetId="3">MC_Tree_1!$D$42</definedName>
    <definedName name="MC_BP_C_demand_new_T_new_expected" localSheetId="3">MC_Tree_1!$D$24</definedName>
    <definedName name="MC_BP_C_demand_new_T_new_high" localSheetId="3">MC_Tree_1!$D$20</definedName>
    <definedName name="MC_BP_C_demand_new_T_new_low" localSheetId="3">MC_Tree_1!$D$26</definedName>
    <definedName name="MC_BP_C_partner_T_partner_dispute" localSheetId="3">MC_Tree_1!$D$48</definedName>
    <definedName name="MC_BP_C_partner_T_partner_fail" localSheetId="3">MC_Tree_1!$D$50</definedName>
    <definedName name="MC_BP_C_partner_T_partner_good" localSheetId="3">MC_Tree_1!$D$44</definedName>
    <definedName name="MC_BP_C_upgrade_T_upgrade_fail" localSheetId="3">MC_Tree_1!$D$36</definedName>
    <definedName name="MC_BP_C_upgrade_T_upgrade_good" localSheetId="3">MC_Tree_1!$D$30</definedName>
    <definedName name="MC_BP_C_upgrade_T_upgrade_partial" localSheetId="3">MC_Tree_1!$D$34</definedName>
    <definedName name="MC_BV_C_decentral_T_decentral_good" localSheetId="3">MC_Tree_1!$D$39</definedName>
    <definedName name="MC_BV_C_decentral_T_decentral_poor" localSheetId="3">MC_Tree_1!$D$43</definedName>
    <definedName name="MC_BV_C_demand_new_T_new_expected" localSheetId="3">MC_Tree_1!$D$25</definedName>
    <definedName name="MC_BV_C_demand_new_T_new_high" localSheetId="3">MC_Tree_1!$D$21</definedName>
    <definedName name="MC_BV_C_demand_new_T_new_low" localSheetId="3">MC_Tree_1!$D$27</definedName>
    <definedName name="MC_BV_C_partner_T_partner_dispute" localSheetId="3">MC_Tree_1!$D$49</definedName>
    <definedName name="MC_BV_C_partner_T_partner_fail" localSheetId="3">MC_Tree_1!$D$51</definedName>
    <definedName name="MC_BV_C_partner_T_partner_good" localSheetId="3">MC_Tree_1!$D$45</definedName>
    <definedName name="MC_BV_C_upgrade_T_upgrade_fail" localSheetId="3">MC_Tree_1!$D$37</definedName>
    <definedName name="MC_BV_C_upgrade_T_upgrade_good" localSheetId="3">MC_Tree_1!$D$31</definedName>
    <definedName name="MC_BV_C_upgrade_T_upgrade_partial" localSheetId="3">MC_Tree_1!$D$35</definedName>
    <definedName name="MC_BV_D_root_C_decentral" localSheetId="3">MC_Tree_1!$C$41</definedName>
    <definedName name="MC_BV_D_root_C_demand_new" localSheetId="3">MC_Tree_1!$C$23</definedName>
    <definedName name="MC_BV_D_root_C_partner" localSheetId="3">MC_Tree_1!$C$47</definedName>
    <definedName name="MC_BV_D_root_C_upgrade" localSheetId="3">MC_Tree_1!$C$33</definedName>
    <definedName name="MC_N_C_decentral" localSheetId="3">MC_Tree_1!$D$40</definedName>
    <definedName name="MC_N_C_demand_new" localSheetId="3">MC_Tree_1!$D$22</definedName>
    <definedName name="MC_N_C_partner" localSheetId="3">MC_Tree_1!$D$46</definedName>
    <definedName name="MC_N_C_upgrade" localSheetId="3">MC_Tree_1!$D$32</definedName>
    <definedName name="MC_N_D_root" localSheetId="3">MC_Tree_1!$C$28</definedName>
    <definedName name="MC_NP_T_decentral_good" localSheetId="3">MC_Tree_1!$E$38</definedName>
    <definedName name="MC_NP_T_decentral_poor" localSheetId="3">MC_Tree_1!$E$42</definedName>
    <definedName name="MC_NP_T_new_expected" localSheetId="3">MC_Tree_1!$E$24</definedName>
    <definedName name="MC_NP_T_new_high" localSheetId="3">MC_Tree_1!$E$20</definedName>
    <definedName name="MC_NP_T_new_low" localSheetId="3">MC_Tree_1!$E$26</definedName>
    <definedName name="MC_NP_T_partner_dispute" localSheetId="3">MC_Tree_1!$E$48</definedName>
    <definedName name="MC_NP_T_partner_fail" localSheetId="3">MC_Tree_1!$E$50</definedName>
    <definedName name="MC_NP_T_partner_good" localSheetId="3">MC_Tree_1!$E$44</definedName>
    <definedName name="MC_NP_T_upgrade_fail" localSheetId="3">MC_Tree_1!$E$36</definedName>
    <definedName name="MC_NP_T_upgrade_good" localSheetId="3">MC_Tree_1!$E$30</definedName>
    <definedName name="MC_NP_T_upgrade_partial" localSheetId="3">MC_Tree_1!$E$34</definedName>
    <definedName name="MC_V_C_decentral" localSheetId="3">MC_Tree_1!$D$41</definedName>
    <definedName name="MC_V_C_demand_new" localSheetId="3">MC_Tree_1!$D$23</definedName>
    <definedName name="MC_V_C_partner" localSheetId="3">MC_Tree_1!$D$47</definedName>
    <definedName name="MC_V_C_upgrade" localSheetId="3">MC_Tree_1!$D$33</definedName>
    <definedName name="MC_V_D_root" localSheetId="3">MC_Tree_1!$C$29</definedName>
    <definedName name="MC_V_T_decentral_good" localSheetId="3">MC_Tree_1!$E$39</definedName>
    <definedName name="MC_V_T_decentral_poor" localSheetId="3">MC_Tree_1!$E$43</definedName>
    <definedName name="MC_V_T_new_expected" localSheetId="3">MC_Tree_1!$E$25</definedName>
    <definedName name="MC_V_T_new_high" localSheetId="3">MC_Tree_1!$E$21</definedName>
    <definedName name="MC_V_T_new_low" localSheetId="3">MC_Tree_1!$E$27</definedName>
    <definedName name="MC_V_T_partner_dispute" localSheetId="3">MC_Tree_1!$E$49</definedName>
    <definedName name="MC_V_T_partner_fail" localSheetId="3">MC_Tree_1!$E$51</definedName>
    <definedName name="MC_V_T_partner_good" localSheetId="3">MC_Tree_1!$E$45</definedName>
    <definedName name="MC_V_T_upgrade_fail" localSheetId="3">MC_Tree_1!$E$37</definedName>
    <definedName name="MC_V_T_upgrade_good" localSheetId="3">MC_Tree_1!$E$31</definedName>
    <definedName name="MC_V_T_upgrade_partial" localSheetId="3">MC_Tree_1!$E$35</definedName>
    <definedName name="NPVPeriod">MC_Tree_1!$C$15</definedName>
    <definedName name="OpCostPer1000Gal">MC_Tree_1!$C$7</definedName>
    <definedName name="PartnerShare">MC_Tree_1!$C$16</definedName>
    <definedName name="PlantCapacity">MC_Tree_1!$C$8</definedName>
    <definedName name="RegComplianceCost">MC_Tree_1!$C$9</definedName>
    <definedName name="WaterRevenue">MC_Tree_1!$C$14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3" l="1"/>
  <c r="D37" i="3"/>
  <c r="D51" i="3"/>
  <c r="C23" i="3"/>
  <c r="W1" i="4" s="1"/>
  <c r="C47" i="3"/>
  <c r="D27" i="3"/>
  <c r="C33" i="3"/>
  <c r="X1" i="4" s="1"/>
  <c r="D25" i="3"/>
  <c r="H1" i="4" s="1"/>
  <c r="D35" i="3"/>
  <c r="D43" i="3"/>
  <c r="D31" i="3"/>
  <c r="D45" i="3"/>
  <c r="D21" i="3"/>
  <c r="F1" i="4" s="1"/>
  <c r="D39" i="3"/>
  <c r="C41" i="3"/>
  <c r="Y1" i="4" s="1"/>
  <c r="Z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G1" i="4"/>
  <c r="E1" i="4"/>
  <c r="D1" i="4"/>
  <c r="C1" i="4"/>
  <c r="B1" i="4"/>
  <c r="A1" i="4"/>
  <c r="E51" i="3"/>
  <c r="E42" i="3"/>
  <c r="D33" i="3"/>
  <c r="D23" i="3"/>
  <c r="C22" i="3"/>
  <c r="E27" i="3"/>
  <c r="C46" i="3"/>
  <c r="E44" i="3"/>
  <c r="E35" i="3"/>
  <c r="C40" i="3"/>
  <c r="E34" i="3"/>
  <c r="E50" i="3"/>
  <c r="D41" i="3"/>
  <c r="E31" i="3"/>
  <c r="E21" i="3"/>
  <c r="E48" i="3"/>
  <c r="C29" i="3"/>
  <c r="D47" i="3"/>
  <c r="E45" i="3"/>
  <c r="E26" i="3"/>
  <c r="E24" i="3"/>
  <c r="C32" i="3"/>
  <c r="E49" i="3"/>
  <c r="E39" i="3"/>
  <c r="E30" i="3"/>
  <c r="E20" i="3"/>
  <c r="E38" i="3"/>
  <c r="E37" i="3"/>
  <c r="E36" i="3"/>
  <c r="E25" i="3"/>
  <c r="E43" i="3"/>
</calcChain>
</file>

<file path=xl/sharedStrings.xml><?xml version="1.0" encoding="utf-8"?>
<sst xmlns="http://schemas.openxmlformats.org/spreadsheetml/2006/main" count="74" uniqueCount="68">
  <si>
    <t>{"_v":2,"trees":{"MC_Tree_1":"{\n  \"RootId\": \"D_root\",\n  \"Nodes\": {\n    \"D_root\": {\n      \"type\": \"decision\",\n      \"id\": \"D_root\",\n      \"name\": \"Water Treatment Strategy\",\n      \"options\": [\n        {\n          \"name\": \"New Membrane Plant\",\n          \"childId\": \"C_demand_new\",\n          \"value\": -128750000\n        },\n        {\n          \"name\": \"Upgrade Existing Plant\",\n          \"childId\": \"C_upgrade\",\n          \"value\": -53000000\n        },\n        {\n          \"name\": \"Decentralized Systems\",\n          \"childId\": \"C_decentral\",\n          \"value\": -72000000\n        },\n        {\n          \"name\": \"Regional Partnership\",\n          \"childId\": \"C_partner\",\n          \"value\": -75000000\n        }\n      ]\n    },\n    \"C_demand_new\": {\n      \"type\": \"chance\",\n      \"id\": \"C_demand_new\",\n      \"name\": \"Demand Growth (New Plant)\",\n      \"branches\": [\n        {\n          \"name\": \"High Demand Growth\",\n          \"probability\": 0.35,\n          \"childId\": \"T_new_high\",\n          \"value\": 220000000\n        },\n        {\n          \"name\": \"Expected Demand\",\n          \"probability\": 0.45,\n          \"childId\": \"T_new_expected\",\n          \"value\": 160000000\n        },\n        {\n          \"name\": \"Low Demand\",\n          \"probability\": 0.2,\n          \"childId\": \"T_new_low\",\n          \"value\": 85000000\n        }\n      ]\n    },\n    \"T_new_high\": {\n      \"type\": \"terminal\",\n      \"id\": \"T_new_high\",\n      \"name\": \"New Plant + High Demand\",\n      \"value\": 0\n    },\n    \"T_new_expected\": {\n      \"type\": \"terminal\",\n      \"id\": \"T_new_expected\",\n      \"name\": \"New Plant + Expected Demand\",\n      \"value\": 0\n    },\n    \"T_new_low\": {\n      \"type\": \"terminal\",\n      \"id\": \"T_new_low\",\n      \"name\": \"New Plant + Low Demand\",\n      \"value\": 0\n    },\n    \"C_upgrade\": {\n      \"type\": \"chance\",\n      \"id\": \"C_upgrade\",\n      \"name\": \"Upgrade Outcome\",\n      \"branches\": [\n        {\n          \"name\": \"Meets All Standards\",\n          \"probability\": 0.65,\n          \"childId\": \"T_upgrade_good\",\n          \"value\": 140000000\n        },\n        {\n          \"name\": \"Partial Compliance\",\n          \"probability\": 0.25,\n          \"childId\": \"T_upgrade_partial\",\n          \"value\": 80000000\n        },\n        {\n          \"name\": \"Fails Standards\",\n          \"probability\": 0.1,\n          \"childId\": \"T_upgrade_fail\",\n          \"value\": -60000000\n        }\n      ]\n    },\n    \"T_upgrade_good\": {\n      \"type\": \"terminal\",\n      \"id\": \"T_upgrade_good\",\n      \"name\": \"Upgrade Meets Standards\",\n      \"value\": 0\n    },\n    \"T_upgrade_partial\": {\n      \"type\": \"terminal\",\n      \"id\": \"T_upgrade_partial\",\n      \"name\": \"Upgrade Partial Compliance\",\n      \"value\": 0\n    },\n    \"T_upgrade_fail\": {\n      \"type\": \"terminal\",\n      \"id\": \"T_upgrade_fail\",\n      \"name\": \"Upgrade Fails - Must Rebuild\",\n      \"value\": 0\n    },\n    \"C_decentral\": {\n      \"type\": \"chance\",\n      \"id\": \"C_decentral\",\n      \"name\": \"Decentralized Performance\",\n      \"branches\": [\n        {\n          \"name\": \"Systems Effective\",\n          \"probability\": 0.5,\n          \"childId\": \"T_decentral_good\",\n          \"value\": 130000000\n        },\n        {\n          \"name\": \"Systems Ineffective\",\n          \"probability\": 0.5,\n          \"childId\": \"T_decentral_poor\",\n          \"value\": 40000000\n        }\n      ]\n    },\n    \"T_decentral_good\": {\n      \"type\": \"terminal\",\n      \"id\": \"T_decentral_good\",\n      \"name\": \"Decentralized - Effective\",\n      \"value\": 0\n    },\n    \"T_decentral_poor\": {\n      \"type\": \"terminal\",\n      \"id\": \"T_decentral_poor\",\n      \"name\": \"Decentralized - Ineffective\",\n      \"value\": 0\n    },\n    \"C_partner\": {\n      \"type\": \"chance\",\n      \"id\": \"C_partner\",\n      \"name\": \"Partnership Outcome\",\n      \"branches\": [\n        {\n          \"name\": \"Strong Partnership\",\n          \"probability\": 0.55,\n          \"childId\": \"T_partner_good\",\n          \"value\": 175000000\n        },\n        {\n          \"name\": \"Partner Disputes\",\n          \"probability\": 0.3,\n          \"childId\": \"T_partner_dispute\",\n          \"value\": 95000000\n        },\n        {\n          \"name\": \"Partnership Fails\",\n          \"probability\": 0.15,\n          \"childId\": \"T_partner_fail\",\n          \"value\": -20000000\n        }\n      ]\n    },\n    \"T_partner_good\": {\n      \"type\": \"terminal\",\n      \"id\": \"T_partner_good\",\n      \"name\": \"Partnership - Strong\",\n      \"value\": 0\n    },\n    \"T_partner_dispute\": {\n      \"type\": \"terminal\",\n      \"id\": \"T_partner_dispute\",\n      \"name\": \"Partnership - Disputes\",\n      \"value\": 0\n    },\n    \"T_partner_fail\": {\n      \"type\": \"terminal\",\n      \"id\": \"T_partner_fail\",\n      \"name\": \"Partnership Fails\",\n      \"value\": 0\n    }\n  },\n  \"Settings\": {\n    \"ModelName\": \"Water Treatment Plant\",\n    \"CalculationMethod\": 0,\n    \"Maximize\": true,\n    \"UtilityConfig\": null,\n    \"Display\": {\n      \"DecimalPlaces\": 0,\n      \"ShowExpectedValues\": true,\n      \"ShowOptimalLabels\": true,\n      \"ShowRollbackValues\": true,\n      \"CalculatedValueFormat\": \"\\\"$\\\"#,##0\",\n      \"CalculatedProbabilityFormat\": \"0.0%\",\n      \"InputValueFormat\": \"\\\"$\\\"#,##0\",\n      \"InputProbabilityFormat\": \"0.0%\",\n      \"CalculatedValuesLabel\": \"\",\n      \"TreeStartRow\": 20\n    },\n    \"ChanceProbabilities\": 1,\n    \"ProbabilityTolerance\": 0.001,\n    \"Simulation\": {\n      \"CalculationMode\": 0,\n      \"DecisionMode\": 0\n    }\n  },\n  \"NodeMetadata\": {},\n  \"UserFormulas\": {\n    \"MC_BV_D_root_C_demand_new\": \"=-CostPerMGD*PlantCapacity-LandCostPerAcre*AcresRequired-RegComplianceCost\",\n    \"MC_BV_D_root_C_upgrade\": \"=-CostPerMGD*PlantCapacity*0.4-RegComplianceCost\",\n    \"MC_BV_D_root_C_decentral\": \"=-CostPerMGD*PlantCapacity*0.6\",\n    \"MC_BV_D_root_C_partner\": \"=-CostPerMGD*PlantCapacity*(1-PartnerShare)-RegComplianceCost*(1-PartnerShare)\",\n    \"MC_BV_C_demand_new_T_new_high\": \"=(WaterRevenue-OpCostPer1000Gal-ChemCostPer1000Gal)*AnnualDemand*1000*NPVPeriod/1000-EnergyCostKWh*AnnualDemand*1200*NPVPeriod\",\n    \"MC_BV_C_demand_new_T_new_expected\": \"=(WaterRevenue-OpCostPer1000Gal-ChemCostPer1000Gal)*AnnualDemand*1000*NPVPeriod*0.85/1000-EnergyCostKWh*AnnualDemand*1200*NPVPeriod\",\n    \"MC_BV_C_demand_new_T_new_low\": \"=(WaterRevenue-OpCostPer1000Gal-ChemCostPer1000Gal)*AnnualDemand*1000*NPVPeriod*0.6/1000-EnergyCostKWh*AnnualDemand*1200*NPVPeriod\",\n    \"MC_BV_C_upgrade_T_upgrade_good\": \"=(WaterRevenue-OpCostPer1000Gal-ChemCostPer1000Gal)*AnnualDemand*1000*NPVPeriod*0.8/1000-EnergyCostKWh*AnnualDemand*1500*NPVPeriod\",\n    \"MC_BV_C_upgrade_T_upgrade_partial\": \"=(WaterRevenue-OpCostPer1000Gal-ChemCostPer1000Gal)*AnnualDemand*1000*NPVPeriod*0.5/1000-EnergyCostKWh*AnnualDemand*1500*NPVPeriod\",\n    \"MC_BV_C_upgrade_T_upgrade_fail\": \"=-CostPerMGD*PlantCapacity-LandCostPerAcre*AcresRequired\",\n    \"MC_BV_C_decentral_T_decentral_good\": \"=(WaterRevenue-OpCostPer1000Gal-ChemCostPer1000Gal)*AnnualDemand*1000*NPVPeriod*0.75/1000-EnergyCostKWh*AnnualDemand*1000*NPVPeriod\",\n    \"MC_BV_C_decentral_T_decentral_poor\": \"=(WaterRevenue-OpCostPer1000Gal-ChemCostPer1000Gal)*AnnualDemand*1000*NPVPeriod*0.35/1000-EnergyCostKWh*AnnualDemand*1800*NPVPeriod\",\n    \"MC_BV_C_partner_T_partner_good\": \"=(WaterRevenue-OpCostPer1000Gal-ChemCostPer1000Gal)*AnnualDemand*1000*NPVPeriod*0.9/1000*(1-PartnerShare)-EnergyCostKWh*AnnualDemand*1200*NPVPeriod*(1-PartnerShare)\",\n    \"MC_BV_C_partner_T_partner_dispute\": \"=(WaterRevenue-OpCostPer1000Gal-ChemCostPer1000Gal)*AnnualDemand*1000*NPVPeriod*0.6/1000*(1-PartnerShare)-EnergyCostKWh*AnnualDemand*1200*NPVPeriod*(1-PartnerShare)\",\n    \"MC_BV_C_partner_T_partner_fail\": \"=-CostPerMGD*PlantCapacity*(1-PartnerShare)\"\n  }\n}"}}</t>
  </si>
  <si>
    <t>Demand Growth (New Plant)</t>
  </si>
  <si>
    <t>Water Treatment Strategy</t>
  </si>
  <si>
    <t>Upgrade Outcome</t>
  </si>
  <si>
    <t>Decentralized Performance</t>
  </si>
  <si>
    <t>Partnership Outcome</t>
  </si>
  <si>
    <t>Water Treatment Plant — Control Panel</t>
  </si>
  <si>
    <t>Adjust parameters below to update the decision tree instantly</t>
  </si>
  <si>
    <t>Parameter</t>
  </si>
  <si>
    <t>Value</t>
  </si>
  <si>
    <t>Units</t>
  </si>
  <si>
    <t>Notes</t>
  </si>
  <si>
    <t>Construction Cost per MGD</t>
  </si>
  <si>
    <t>$</t>
  </si>
  <si>
    <t>Capital cost per million gallons/day capacity</t>
  </si>
  <si>
    <t>Operating Cost per 1000 Gallons</t>
  </si>
  <si>
    <t>Variable O&amp;M cost per 1000 gallons treated</t>
  </si>
  <si>
    <t>Plant Capacity (MGD)</t>
  </si>
  <si>
    <t>MGD</t>
  </si>
  <si>
    <t>Design capacity in million gallons per day</t>
  </si>
  <si>
    <t>Regulatory Compliance Cost</t>
  </si>
  <si>
    <t>One-time cost for regulatory permits/upgrades</t>
  </si>
  <si>
    <t>Land Cost per Acre</t>
  </si>
  <si>
    <t>Land acquisition cost per acre</t>
  </si>
  <si>
    <t>Energy Cost per kWh</t>
  </si>
  <si>
    <t>Electricity rate for pumping and treatment</t>
  </si>
  <si>
    <t>Chemical Treatment Cost/1000 Gal</t>
  </si>
  <si>
    <t>Chemical costs per 1000 gallons treated</t>
  </si>
  <si>
    <t>Annual Water Demand (MG)</t>
  </si>
  <si>
    <t>MG</t>
  </si>
  <si>
    <t>Annual volume in million gallons</t>
  </si>
  <si>
    <t>Water Revenue per 1000 Gallons</t>
  </si>
  <si>
    <t>Rate charged to customers</t>
  </si>
  <si>
    <t>NPV Period (Years)</t>
  </si>
  <si>
    <t>years</t>
  </si>
  <si>
    <t>Analysis period for NPV calculation</t>
  </si>
  <si>
    <t>Partner Cost Share (%)</t>
  </si>
  <si>
    <t>%</t>
  </si>
  <si>
    <t>Regional partner's share of costs</t>
  </si>
  <si>
    <t>Acres Required (New Plant)</t>
  </si>
  <si>
    <t>acres</t>
  </si>
  <si>
    <t>Land needed for new membrane plant</t>
  </si>
  <si>
    <t>Water Treatment Plant</t>
  </si>
  <si>
    <t>ModelChoice Example Model — Control Panel Demo</t>
  </si>
  <si>
    <t>Background</t>
  </si>
  <si>
    <t>A municipal water utility must expand treatment capacity to meet growing demand</t>
  </si>
  <si>
    <t>and comply with stricter EPA water quality standards. The current plant is aging</t>
  </si>
  <si>
    <t>and approaching capacity limits. The utility board must choose between:</t>
  </si>
  <si>
    <t xml:space="preserve">  1. New membrane filtration plant — state-of-the-art but high capital cost</t>
  </si>
  <si>
    <t xml:space="preserve">  2. Upgrade existing plant — lower cost but risk of not meeting standards</t>
  </si>
  <si>
    <t xml:space="preserve">  3. Decentralized treatment systems — distributed approach, newer concept</t>
  </si>
  <si>
    <t xml:space="preserve">  4. Regional partnership — share costs with neighboring municipality</t>
  </si>
  <si>
    <t>Control Panel Feature</t>
  </si>
  <si>
    <t>This example demonstrates the Control Panel feature. The tree sheet has a</t>
  </si>
  <si>
    <t>parameter table above the decision tree. Construction cost per MGD, operating</t>
  </si>
  <si>
    <t>costs, and plant capacity are defined ONCE and referenced by MULTIPLE branches.</t>
  </si>
  <si>
    <t>Changing a single parameter instantly updates all linked values.</t>
  </si>
  <si>
    <t>Key reused parameters:</t>
  </si>
  <si>
    <t xml:space="preserve">  • Cost per MGD — scales construction cost in all build options</t>
  </si>
  <si>
    <t xml:space="preserve">  • Plant Capacity — multiplied across all capital cost calculations</t>
  </si>
  <si>
    <t xml:space="preserve">  • Operating Cost per 1000 Gal — drives O&amp;M in every terminal value</t>
  </si>
  <si>
    <t xml:space="preserve">  • Energy Cost per kWh — energy component in all treatment paths</t>
  </si>
  <si>
    <t xml:space="preserve">  • Water Revenue — income calculation in all operating terminals</t>
  </si>
  <si>
    <t>Try This</t>
  </si>
  <si>
    <t xml:space="preserve">  ▶ Increase Energy Cost per kWh — see how energy prices shift the decision</t>
  </si>
  <si>
    <t xml:space="preserve">  ▶ Change Plant Capacity — observe scale effects across all options</t>
  </si>
  <si>
    <t xml:space="preserve">  ▶ Adjust Partner Cost Share — see when regional partnership becomes optimal</t>
  </si>
  <si>
    <t xml:space="preserve">  ▶ Run Sensitivity Analysis — tornado chart shows which parameters matter most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</si>
</sst>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6" formatCode="&quot;$&quot;#,##0"/>
    <numFmt numFmtId="167" formatCode="\$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3" fontId="1" fillId="3" borderId="1" xfId="0" applyNumberFormat="1" applyFont="1" applyFill="1" applyBorder="1"/>
    <xf numFmtId="164" fontId="1" fillId="3" borderId="1" xfId="0" applyNumberFormat="1" applyFont="1" applyFill="1" applyBorder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28</xdr:row>
      <xdr:rowOff>0</xdr:rowOff>
    </xdr:from>
    <xdr:to>
      <xdr:col>2</xdr:col>
      <xdr:colOff>9525</xdr:colOff>
      <xdr:row>28</xdr:row>
      <xdr:rowOff>0</xdr:rowOff>
    </xdr:to>
    <xdr:cxnSp macro="">
      <xdr:nvCxnSpPr>
        <xdr:cNvPr id="17" name="MC_Entry">
          <a:extLst>
            <a:ext uri="{FF2B5EF4-FFF2-40B4-BE49-F238E27FC236}">
              <a16:creationId xmlns:a16="http://schemas.microsoft.com/office/drawing/2014/main" id="{8291B6DA-ECA2-B6E3-6131-0F7392ED3855}"/>
            </a:ext>
          </a:extLst>
        </xdr:cNvPr>
        <xdr:cNvCxnSpPr/>
      </xdr:nvCxnSpPr>
      <xdr:spPr>
        <a:xfrm>
          <a:off x="665163" y="5276850"/>
          <a:ext cx="1663700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27</xdr:row>
      <xdr:rowOff>99251</xdr:rowOff>
    </xdr:from>
    <xdr:ext cx="1109150" cy="182550"/>
    <xdr:sp macro="_xll.MC_OnTreeNameClick" textlink="">
      <xdr:nvSpPr>
        <xdr:cNvPr id="18" name="MC_TreeName">
          <a:extLst>
            <a:ext uri="{FF2B5EF4-FFF2-40B4-BE49-F238E27FC236}">
              <a16:creationId xmlns:a16="http://schemas.microsoft.com/office/drawing/2014/main" id="{8C4557F4-B654-5089-7279-3F1735CE9A92}"/>
            </a:ext>
          </a:extLst>
        </xdr:cNvPr>
        <xdr:cNvSpPr txBox="1"/>
      </xdr:nvSpPr>
      <xdr:spPr>
        <a:xfrm>
          <a:off x="665163" y="5185601"/>
          <a:ext cx="11091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Water Treatment Plant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84267</xdr:colOff>
      <xdr:row>21</xdr:row>
      <xdr:rowOff>184150</xdr:rowOff>
    </xdr:from>
    <xdr:to>
      <xdr:col>3</xdr:col>
      <xdr:colOff>47626</xdr:colOff>
      <xdr:row>28</xdr:row>
      <xdr:rowOff>917</xdr:rowOff>
    </xdr:to>
    <xdr:sp macro="" textlink="">
      <xdr:nvSpPr>
        <xdr:cNvPr id="19" name="MC_BR_D_root_C_demand_new">
          <a:extLst>
            <a:ext uri="{FF2B5EF4-FFF2-40B4-BE49-F238E27FC236}">
              <a16:creationId xmlns:a16="http://schemas.microsoft.com/office/drawing/2014/main" id="{D11D77F3-81A4-3CCC-0691-ECE0A67B50E2}"/>
            </a:ext>
          </a:extLst>
        </xdr:cNvPr>
        <xdr:cNvSpPr/>
      </xdr:nvSpPr>
      <xdr:spPr>
        <a:xfrm>
          <a:off x="2403605" y="4127500"/>
          <a:ext cx="2349371" cy="1150267"/>
        </a:xfrm>
        <a:custGeom>
          <a:avLst/>
          <a:gdLst/>
          <a:ahLst/>
          <a:cxnLst/>
          <a:rect l="0" t="0" r="0" b="0"/>
          <a:pathLst>
            <a:path w="2349371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349370" y="0"/>
              </a:lnTo>
              <a:lnTo>
                <a:pt x="2349370" y="12700"/>
              </a:lnTo>
              <a:lnTo>
                <a:pt x="172908" y="12700"/>
              </a:lnTo>
              <a:lnTo>
                <a:pt x="179191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21</xdr:row>
      <xdr:rowOff>99251</xdr:rowOff>
    </xdr:from>
    <xdr:ext cx="1041952" cy="182550"/>
    <xdr:sp macro="_xll.MC_OnBranchLabelClick" textlink="">
      <xdr:nvSpPr>
        <xdr:cNvPr id="20" name="MC_BN_D_root_C_demand_new">
          <a:extLst>
            <a:ext uri="{FF2B5EF4-FFF2-40B4-BE49-F238E27FC236}">
              <a16:creationId xmlns:a16="http://schemas.microsoft.com/office/drawing/2014/main" id="{8C99F16B-13BD-6740-F63F-C7B0D97DAEA9}"/>
            </a:ext>
          </a:extLst>
        </xdr:cNvPr>
        <xdr:cNvSpPr txBox="1"/>
      </xdr:nvSpPr>
      <xdr:spPr>
        <a:xfrm>
          <a:off x="2605723" y="4042601"/>
          <a:ext cx="10419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New Membrane Plant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75042</xdr:colOff>
      <xdr:row>27</xdr:row>
      <xdr:rowOff>187109</xdr:rowOff>
    </xdr:from>
    <xdr:to>
      <xdr:col>3</xdr:col>
      <xdr:colOff>47626</xdr:colOff>
      <xdr:row>32</xdr:row>
      <xdr:rowOff>15876</xdr:rowOff>
    </xdr:to>
    <xdr:sp macro="" textlink="">
      <xdr:nvSpPr>
        <xdr:cNvPr id="21" name="MC_BR_D_root_C_upgrade">
          <a:extLst>
            <a:ext uri="{FF2B5EF4-FFF2-40B4-BE49-F238E27FC236}">
              <a16:creationId xmlns:a16="http://schemas.microsoft.com/office/drawing/2014/main" id="{DD5FA253-EA19-6890-541E-79F7BE926A24}"/>
            </a:ext>
          </a:extLst>
        </xdr:cNvPr>
        <xdr:cNvSpPr/>
      </xdr:nvSpPr>
      <xdr:spPr>
        <a:xfrm>
          <a:off x="2394380" y="5273459"/>
          <a:ext cx="2358596" cy="781267"/>
        </a:xfrm>
        <a:custGeom>
          <a:avLst/>
          <a:gdLst/>
          <a:ahLst/>
          <a:cxnLst/>
          <a:rect l="0" t="0" r="0" b="0"/>
          <a:pathLst>
            <a:path w="2358596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358595" y="749516"/>
              </a:lnTo>
              <a:lnTo>
                <a:pt x="2358595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31</xdr:row>
      <xdr:rowOff>99251</xdr:rowOff>
    </xdr:from>
    <xdr:ext cx="1099083" cy="182550"/>
    <xdr:sp macro="_xll.MC_OnBranchLabelClick" textlink="">
      <xdr:nvSpPr>
        <xdr:cNvPr id="22" name="MC_BN_D_root_C_upgrade">
          <a:extLst>
            <a:ext uri="{FF2B5EF4-FFF2-40B4-BE49-F238E27FC236}">
              <a16:creationId xmlns:a16="http://schemas.microsoft.com/office/drawing/2014/main" id="{82F67503-E9B9-2EA0-158B-8426B4AC7829}"/>
            </a:ext>
          </a:extLst>
        </xdr:cNvPr>
        <xdr:cNvSpPr txBox="1"/>
      </xdr:nvSpPr>
      <xdr:spPr>
        <a:xfrm>
          <a:off x="2605723" y="5947601"/>
          <a:ext cx="10990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Upgrade Existing Plant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84217</xdr:colOff>
      <xdr:row>27</xdr:row>
      <xdr:rowOff>190038</xdr:rowOff>
    </xdr:from>
    <xdr:to>
      <xdr:col>3</xdr:col>
      <xdr:colOff>47626</xdr:colOff>
      <xdr:row>40</xdr:row>
      <xdr:rowOff>6351</xdr:rowOff>
    </xdr:to>
    <xdr:sp macro="" textlink="">
      <xdr:nvSpPr>
        <xdr:cNvPr id="23" name="MC_BR_D_root_C_decentral">
          <a:extLst>
            <a:ext uri="{FF2B5EF4-FFF2-40B4-BE49-F238E27FC236}">
              <a16:creationId xmlns:a16="http://schemas.microsoft.com/office/drawing/2014/main" id="{A5EF1FA7-76A3-C1CB-D01E-658A846692F3}"/>
            </a:ext>
          </a:extLst>
        </xdr:cNvPr>
        <xdr:cNvSpPr/>
      </xdr:nvSpPr>
      <xdr:spPr>
        <a:xfrm>
          <a:off x="2403555" y="5276388"/>
          <a:ext cx="2349421" cy="2292813"/>
        </a:xfrm>
        <a:custGeom>
          <a:avLst/>
          <a:gdLst/>
          <a:ahLst/>
          <a:cxnLst/>
          <a:rect l="0" t="0" r="0" b="0"/>
          <a:pathLst>
            <a:path w="2349421" h="2292813">
              <a:moveTo>
                <a:pt x="12667" y="0"/>
              </a:moveTo>
              <a:lnTo>
                <a:pt x="179291" y="2286000"/>
              </a:lnTo>
              <a:lnTo>
                <a:pt x="172958" y="2280112"/>
              </a:lnTo>
              <a:lnTo>
                <a:pt x="2349420" y="2280112"/>
              </a:lnTo>
              <a:lnTo>
                <a:pt x="2349420" y="2292812"/>
              </a:lnTo>
              <a:lnTo>
                <a:pt x="172958" y="2292812"/>
              </a:lnTo>
              <a:lnTo>
                <a:pt x="166624" y="2286924"/>
              </a:lnTo>
              <a:lnTo>
                <a:pt x="0" y="92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39</xdr:row>
      <xdr:rowOff>99251</xdr:rowOff>
    </xdr:from>
    <xdr:ext cx="1104598" cy="182550"/>
    <xdr:sp macro="_xll.MC_OnBranchLabelClick" textlink="">
      <xdr:nvSpPr>
        <xdr:cNvPr id="24" name="MC_BN_D_root_C_decentral">
          <a:extLst>
            <a:ext uri="{FF2B5EF4-FFF2-40B4-BE49-F238E27FC236}">
              <a16:creationId xmlns:a16="http://schemas.microsoft.com/office/drawing/2014/main" id="{FA303BCC-6F2A-2431-F683-BA77DE7A13FA}"/>
            </a:ext>
          </a:extLst>
        </xdr:cNvPr>
        <xdr:cNvSpPr txBox="1"/>
      </xdr:nvSpPr>
      <xdr:spPr>
        <a:xfrm>
          <a:off x="2605723" y="7471601"/>
          <a:ext cx="110459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Decentralized Systems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84208</xdr:colOff>
      <xdr:row>27</xdr:row>
      <xdr:rowOff>190192</xdr:rowOff>
    </xdr:from>
    <xdr:to>
      <xdr:col>3</xdr:col>
      <xdr:colOff>47626</xdr:colOff>
      <xdr:row>46</xdr:row>
      <xdr:rowOff>6351</xdr:rowOff>
    </xdr:to>
    <xdr:sp macro="" textlink="">
      <xdr:nvSpPr>
        <xdr:cNvPr id="25" name="MC_BR_D_root_C_partner">
          <a:extLst>
            <a:ext uri="{FF2B5EF4-FFF2-40B4-BE49-F238E27FC236}">
              <a16:creationId xmlns:a16="http://schemas.microsoft.com/office/drawing/2014/main" id="{7D520C5B-D853-8572-518D-5AB800097CDC}"/>
            </a:ext>
          </a:extLst>
        </xdr:cNvPr>
        <xdr:cNvSpPr/>
      </xdr:nvSpPr>
      <xdr:spPr>
        <a:xfrm>
          <a:off x="2403546" y="5276542"/>
          <a:ext cx="2349430" cy="3435659"/>
        </a:xfrm>
        <a:custGeom>
          <a:avLst/>
          <a:gdLst/>
          <a:ahLst/>
          <a:cxnLst/>
          <a:rect l="0" t="0" r="0" b="0"/>
          <a:pathLst>
            <a:path w="2349430" h="3435659">
              <a:moveTo>
                <a:pt x="12685" y="0"/>
              </a:moveTo>
              <a:lnTo>
                <a:pt x="179309" y="3428999"/>
              </a:lnTo>
              <a:lnTo>
                <a:pt x="172967" y="3422958"/>
              </a:lnTo>
              <a:lnTo>
                <a:pt x="2349429" y="3422958"/>
              </a:lnTo>
              <a:lnTo>
                <a:pt x="2349429" y="3435658"/>
              </a:lnTo>
              <a:lnTo>
                <a:pt x="172967" y="3435658"/>
              </a:lnTo>
              <a:lnTo>
                <a:pt x="166624" y="3429617"/>
              </a:lnTo>
              <a:lnTo>
                <a:pt x="0" y="61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45</xdr:row>
      <xdr:rowOff>99251</xdr:rowOff>
    </xdr:from>
    <xdr:ext cx="1013547" cy="182550"/>
    <xdr:sp macro="_xll.MC_OnBranchLabelClick" textlink="">
      <xdr:nvSpPr>
        <xdr:cNvPr id="26" name="MC_BN_D_root_C_partner">
          <a:extLst>
            <a:ext uri="{FF2B5EF4-FFF2-40B4-BE49-F238E27FC236}">
              <a16:creationId xmlns:a16="http://schemas.microsoft.com/office/drawing/2014/main" id="{061A9D99-5028-3C9C-7EBE-5C1424E80634}"/>
            </a:ext>
          </a:extLst>
        </xdr:cNvPr>
        <xdr:cNvSpPr txBox="1"/>
      </xdr:nvSpPr>
      <xdr:spPr>
        <a:xfrm>
          <a:off x="2605723" y="8614601"/>
          <a:ext cx="101354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Regional Partnership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19</xdr:row>
      <xdr:rowOff>184150</xdr:rowOff>
    </xdr:from>
    <xdr:to>
      <xdr:col>4</xdr:col>
      <xdr:colOff>47626</xdr:colOff>
      <xdr:row>22</xdr:row>
      <xdr:rowOff>2545</xdr:rowOff>
    </xdr:to>
    <xdr:sp macro="" textlink="">
      <xdr:nvSpPr>
        <xdr:cNvPr id="27" name="MC_BR_C_demand_new_T_new_high">
          <a:extLst>
            <a:ext uri="{FF2B5EF4-FFF2-40B4-BE49-F238E27FC236}">
              <a16:creationId xmlns:a16="http://schemas.microsoft.com/office/drawing/2014/main" id="{BA86C050-D54B-8C90-221B-7D9730F1DC83}"/>
            </a:ext>
          </a:extLst>
        </xdr:cNvPr>
        <xdr:cNvSpPr/>
      </xdr:nvSpPr>
      <xdr:spPr>
        <a:xfrm>
          <a:off x="4790083" y="3746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434630" y="0"/>
              </a:lnTo>
              <a:lnTo>
                <a:pt x="24346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19</xdr:row>
      <xdr:rowOff>99251</xdr:rowOff>
    </xdr:from>
    <xdr:ext cx="1041952" cy="182550"/>
    <xdr:sp macro="_xll.MC_OnBranchLabelClick" textlink="">
      <xdr:nvSpPr>
        <xdr:cNvPr id="28" name="MC_BN_C_demand_new_T_new_high">
          <a:extLst>
            <a:ext uri="{FF2B5EF4-FFF2-40B4-BE49-F238E27FC236}">
              <a16:creationId xmlns:a16="http://schemas.microsoft.com/office/drawing/2014/main" id="{050624EF-6163-41A9-21C8-EFD8A1112EE9}"/>
            </a:ext>
          </a:extLst>
        </xdr:cNvPr>
        <xdr:cNvSpPr txBox="1"/>
      </xdr:nvSpPr>
      <xdr:spPr>
        <a:xfrm>
          <a:off x="4991735" y="3661601"/>
          <a:ext cx="10419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Demand Growth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21</xdr:row>
      <xdr:rowOff>187956</xdr:rowOff>
    </xdr:from>
    <xdr:to>
      <xdr:col>4</xdr:col>
      <xdr:colOff>47626</xdr:colOff>
      <xdr:row>24</xdr:row>
      <xdr:rowOff>6351</xdr:rowOff>
    </xdr:to>
    <xdr:sp macro="" textlink="">
      <xdr:nvSpPr>
        <xdr:cNvPr id="29" name="MC_BR_C_demand_new_T_new_expected">
          <a:extLst>
            <a:ext uri="{FF2B5EF4-FFF2-40B4-BE49-F238E27FC236}">
              <a16:creationId xmlns:a16="http://schemas.microsoft.com/office/drawing/2014/main" id="{A6B6C0BA-361F-2EFB-518C-EC7A018699CC}"/>
            </a:ext>
          </a:extLst>
        </xdr:cNvPr>
        <xdr:cNvSpPr/>
      </xdr:nvSpPr>
      <xdr:spPr>
        <a:xfrm>
          <a:off x="4790083" y="4131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23</xdr:row>
      <xdr:rowOff>99251</xdr:rowOff>
    </xdr:from>
    <xdr:ext cx="899542" cy="182550"/>
    <xdr:sp macro="_xll.MC_OnBranchLabelClick" textlink="">
      <xdr:nvSpPr>
        <xdr:cNvPr id="30" name="MC_BN_C_demand_new_T_new_expected">
          <a:extLst>
            <a:ext uri="{FF2B5EF4-FFF2-40B4-BE49-F238E27FC236}">
              <a16:creationId xmlns:a16="http://schemas.microsoft.com/office/drawing/2014/main" id="{BF134BDC-B147-2401-68F5-F3A51894435C}"/>
            </a:ext>
          </a:extLst>
        </xdr:cNvPr>
        <xdr:cNvSpPr txBox="1"/>
      </xdr:nvSpPr>
      <xdr:spPr>
        <a:xfrm>
          <a:off x="4991735" y="4423601"/>
          <a:ext cx="89954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Expected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21</xdr:row>
      <xdr:rowOff>189143</xdr:rowOff>
    </xdr:from>
    <xdr:to>
      <xdr:col>4</xdr:col>
      <xdr:colOff>47626</xdr:colOff>
      <xdr:row>26</xdr:row>
      <xdr:rowOff>6351</xdr:rowOff>
    </xdr:to>
    <xdr:sp macro="" textlink="">
      <xdr:nvSpPr>
        <xdr:cNvPr id="31" name="MC_BR_C_demand_new_T_new_low">
          <a:extLst>
            <a:ext uri="{FF2B5EF4-FFF2-40B4-BE49-F238E27FC236}">
              <a16:creationId xmlns:a16="http://schemas.microsoft.com/office/drawing/2014/main" id="{CDF5FA9F-ED67-1786-3E50-0DEF54884F0F}"/>
            </a:ext>
          </a:extLst>
        </xdr:cNvPr>
        <xdr:cNvSpPr/>
      </xdr:nvSpPr>
      <xdr:spPr>
        <a:xfrm>
          <a:off x="4789698" y="4132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25</xdr:row>
      <xdr:rowOff>99251</xdr:rowOff>
    </xdr:from>
    <xdr:ext cx="659924" cy="182550"/>
    <xdr:sp macro="_xll.MC_OnBranchLabelClick" textlink="">
      <xdr:nvSpPr>
        <xdr:cNvPr id="32" name="MC_BN_C_demand_new_T_new_low">
          <a:extLst>
            <a:ext uri="{FF2B5EF4-FFF2-40B4-BE49-F238E27FC236}">
              <a16:creationId xmlns:a16="http://schemas.microsoft.com/office/drawing/2014/main" id="{6BE78A61-CF23-360F-93D2-DF4B079D0556}"/>
            </a:ext>
          </a:extLst>
        </xdr:cNvPr>
        <xdr:cNvSpPr txBox="1"/>
      </xdr:nvSpPr>
      <xdr:spPr>
        <a:xfrm>
          <a:off x="4991735" y="4804601"/>
          <a:ext cx="6599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29</xdr:row>
      <xdr:rowOff>174625</xdr:rowOff>
    </xdr:from>
    <xdr:to>
      <xdr:col>4</xdr:col>
      <xdr:colOff>47626</xdr:colOff>
      <xdr:row>32</xdr:row>
      <xdr:rowOff>6362</xdr:rowOff>
    </xdr:to>
    <xdr:sp macro="" textlink="">
      <xdr:nvSpPr>
        <xdr:cNvPr id="33" name="MC_BR_C_upgrade_T_upgrade_good">
          <a:extLst>
            <a:ext uri="{FF2B5EF4-FFF2-40B4-BE49-F238E27FC236}">
              <a16:creationId xmlns:a16="http://schemas.microsoft.com/office/drawing/2014/main" id="{F8DF1DF6-3C69-67E5-13A6-71A0039A2C9B}"/>
            </a:ext>
          </a:extLst>
        </xdr:cNvPr>
        <xdr:cNvSpPr/>
      </xdr:nvSpPr>
      <xdr:spPr>
        <a:xfrm>
          <a:off x="4781356" y="5641975"/>
          <a:ext cx="2443358" cy="403237"/>
        </a:xfrm>
        <a:custGeom>
          <a:avLst/>
          <a:gdLst/>
          <a:ahLst/>
          <a:cxnLst/>
          <a:rect l="0" t="0" r="0" b="0"/>
          <a:pathLst>
            <a:path w="2443358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443357" y="0"/>
              </a:lnTo>
              <a:lnTo>
                <a:pt x="2443357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29</xdr:row>
      <xdr:rowOff>99251</xdr:rowOff>
    </xdr:from>
    <xdr:ext cx="973600" cy="182550"/>
    <xdr:sp macro="_xll.MC_OnBranchLabelClick" textlink="">
      <xdr:nvSpPr>
        <xdr:cNvPr id="34" name="MC_BN_C_upgrade_T_upgrade_good">
          <a:extLst>
            <a:ext uri="{FF2B5EF4-FFF2-40B4-BE49-F238E27FC236}">
              <a16:creationId xmlns:a16="http://schemas.microsoft.com/office/drawing/2014/main" id="{B2BD3CD9-D009-BA1F-8F5A-DAE21494965A}"/>
            </a:ext>
          </a:extLst>
        </xdr:cNvPr>
        <xdr:cNvSpPr txBox="1"/>
      </xdr:nvSpPr>
      <xdr:spPr>
        <a:xfrm>
          <a:off x="4991735" y="5566601"/>
          <a:ext cx="97360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Meets All Standards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31</xdr:row>
      <xdr:rowOff>184139</xdr:rowOff>
    </xdr:from>
    <xdr:to>
      <xdr:col>4</xdr:col>
      <xdr:colOff>47626</xdr:colOff>
      <xdr:row>34</xdr:row>
      <xdr:rowOff>15876</xdr:rowOff>
    </xdr:to>
    <xdr:sp macro="" textlink="">
      <xdr:nvSpPr>
        <xdr:cNvPr id="35" name="MC_BR_C_upgrade_T_upgrade_partial">
          <a:extLst>
            <a:ext uri="{FF2B5EF4-FFF2-40B4-BE49-F238E27FC236}">
              <a16:creationId xmlns:a16="http://schemas.microsoft.com/office/drawing/2014/main" id="{8BE79B33-DE02-6CD1-8AAD-18B73E5595D9}"/>
            </a:ext>
          </a:extLst>
        </xdr:cNvPr>
        <xdr:cNvSpPr/>
      </xdr:nvSpPr>
      <xdr:spPr>
        <a:xfrm>
          <a:off x="4781356" y="6032489"/>
          <a:ext cx="2443358" cy="403237"/>
        </a:xfrm>
        <a:custGeom>
          <a:avLst/>
          <a:gdLst/>
          <a:ahLst/>
          <a:cxnLst/>
          <a:rect l="0" t="0" r="0" b="0"/>
          <a:pathLst>
            <a:path w="2443358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443357" y="371486"/>
              </a:lnTo>
              <a:lnTo>
                <a:pt x="2443357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33</xdr:row>
      <xdr:rowOff>99251</xdr:rowOff>
    </xdr:from>
    <xdr:ext cx="916405" cy="182550"/>
    <xdr:sp macro="_xll.MC_OnBranchLabelClick" textlink="">
      <xdr:nvSpPr>
        <xdr:cNvPr id="36" name="MC_BN_C_upgrade_T_upgrade_partial">
          <a:extLst>
            <a:ext uri="{FF2B5EF4-FFF2-40B4-BE49-F238E27FC236}">
              <a16:creationId xmlns:a16="http://schemas.microsoft.com/office/drawing/2014/main" id="{DC7A4531-A6BC-E05F-193A-B599CF10B18B}"/>
            </a:ext>
          </a:extLst>
        </xdr:cNvPr>
        <xdr:cNvSpPr txBox="1"/>
      </xdr:nvSpPr>
      <xdr:spPr>
        <a:xfrm>
          <a:off x="4991735" y="6328601"/>
          <a:ext cx="91640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Partial Compliance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31</xdr:row>
      <xdr:rowOff>187109</xdr:rowOff>
    </xdr:from>
    <xdr:to>
      <xdr:col>4</xdr:col>
      <xdr:colOff>47626</xdr:colOff>
      <xdr:row>36</xdr:row>
      <xdr:rowOff>15876</xdr:rowOff>
    </xdr:to>
    <xdr:sp macro="" textlink="">
      <xdr:nvSpPr>
        <xdr:cNvPr id="37" name="MC_BR_C_upgrade_T_upgrade_fail">
          <a:extLst>
            <a:ext uri="{FF2B5EF4-FFF2-40B4-BE49-F238E27FC236}">
              <a16:creationId xmlns:a16="http://schemas.microsoft.com/office/drawing/2014/main" id="{F641999F-EA2C-09B4-A801-168793A5DFA4}"/>
            </a:ext>
          </a:extLst>
        </xdr:cNvPr>
        <xdr:cNvSpPr/>
      </xdr:nvSpPr>
      <xdr:spPr>
        <a:xfrm>
          <a:off x="4780392" y="6035459"/>
          <a:ext cx="2444322" cy="781267"/>
        </a:xfrm>
        <a:custGeom>
          <a:avLst/>
          <a:gdLst/>
          <a:ahLst/>
          <a:cxnLst/>
          <a:rect l="0" t="0" r="0" b="0"/>
          <a:pathLst>
            <a:path w="2444322" h="781267">
              <a:moveTo>
                <a:pt x="31017" y="0"/>
              </a:moveTo>
              <a:lnTo>
                <a:pt x="197642" y="762000"/>
              </a:lnTo>
              <a:lnTo>
                <a:pt x="182133" y="749516"/>
              </a:lnTo>
              <a:lnTo>
                <a:pt x="2444321" y="749516"/>
              </a:lnTo>
              <a:lnTo>
                <a:pt x="2444321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35</xdr:row>
      <xdr:rowOff>99251</xdr:rowOff>
    </xdr:from>
    <xdr:ext cx="768224" cy="182550"/>
    <xdr:sp macro="_xll.MC_OnBranchLabelClick" textlink="">
      <xdr:nvSpPr>
        <xdr:cNvPr id="38" name="MC_BN_C_upgrade_T_upgrade_fail">
          <a:extLst>
            <a:ext uri="{FF2B5EF4-FFF2-40B4-BE49-F238E27FC236}">
              <a16:creationId xmlns:a16="http://schemas.microsoft.com/office/drawing/2014/main" id="{63DF1684-7140-4D22-47D8-6786CD54913B}"/>
            </a:ext>
          </a:extLst>
        </xdr:cNvPr>
        <xdr:cNvSpPr txBox="1"/>
      </xdr:nvSpPr>
      <xdr:spPr>
        <a:xfrm>
          <a:off x="4991735" y="6709601"/>
          <a:ext cx="7682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Fails Standards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37</xdr:row>
      <xdr:rowOff>184150</xdr:rowOff>
    </xdr:from>
    <xdr:to>
      <xdr:col>4</xdr:col>
      <xdr:colOff>47626</xdr:colOff>
      <xdr:row>40</xdr:row>
      <xdr:rowOff>2545</xdr:rowOff>
    </xdr:to>
    <xdr:sp macro="" textlink="">
      <xdr:nvSpPr>
        <xdr:cNvPr id="39" name="MC_BR_C_decentral_T_decentral_good">
          <a:extLst>
            <a:ext uri="{FF2B5EF4-FFF2-40B4-BE49-F238E27FC236}">
              <a16:creationId xmlns:a16="http://schemas.microsoft.com/office/drawing/2014/main" id="{AEE0CE25-B14E-6059-F081-C3CB003FBE73}"/>
            </a:ext>
          </a:extLst>
        </xdr:cNvPr>
        <xdr:cNvSpPr/>
      </xdr:nvSpPr>
      <xdr:spPr>
        <a:xfrm>
          <a:off x="4790083" y="7175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434630" y="0"/>
              </a:lnTo>
              <a:lnTo>
                <a:pt x="24346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37</xdr:row>
      <xdr:rowOff>99251</xdr:rowOff>
    </xdr:from>
    <xdr:ext cx="870816" cy="182550"/>
    <xdr:sp macro="_xll.MC_OnBranchLabelClick" textlink="">
      <xdr:nvSpPr>
        <xdr:cNvPr id="40" name="MC_BN_C_decentral_T_decentral_good">
          <a:extLst>
            <a:ext uri="{FF2B5EF4-FFF2-40B4-BE49-F238E27FC236}">
              <a16:creationId xmlns:a16="http://schemas.microsoft.com/office/drawing/2014/main" id="{38B5ED8F-D2E1-2F54-AF60-BB235402C853}"/>
            </a:ext>
          </a:extLst>
        </xdr:cNvPr>
        <xdr:cNvSpPr txBox="1"/>
      </xdr:nvSpPr>
      <xdr:spPr>
        <a:xfrm>
          <a:off x="4991735" y="7090601"/>
          <a:ext cx="87081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Systems Effective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39</xdr:row>
      <xdr:rowOff>187956</xdr:rowOff>
    </xdr:from>
    <xdr:to>
      <xdr:col>4</xdr:col>
      <xdr:colOff>47626</xdr:colOff>
      <xdr:row>42</xdr:row>
      <xdr:rowOff>6351</xdr:rowOff>
    </xdr:to>
    <xdr:sp macro="" textlink="">
      <xdr:nvSpPr>
        <xdr:cNvPr id="41" name="MC_BR_C_decentral_T_decentral_poor">
          <a:extLst>
            <a:ext uri="{FF2B5EF4-FFF2-40B4-BE49-F238E27FC236}">
              <a16:creationId xmlns:a16="http://schemas.microsoft.com/office/drawing/2014/main" id="{93C7CEBC-0B54-7085-9FB2-7415BD692027}"/>
            </a:ext>
          </a:extLst>
        </xdr:cNvPr>
        <xdr:cNvSpPr/>
      </xdr:nvSpPr>
      <xdr:spPr>
        <a:xfrm>
          <a:off x="4790083" y="7560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41</xdr:row>
      <xdr:rowOff>99251</xdr:rowOff>
    </xdr:from>
    <xdr:ext cx="945067" cy="182550"/>
    <xdr:sp macro="_xll.MC_OnBranchLabelClick" textlink="">
      <xdr:nvSpPr>
        <xdr:cNvPr id="42" name="MC_BN_C_decentral_T_decentral_poor">
          <a:extLst>
            <a:ext uri="{FF2B5EF4-FFF2-40B4-BE49-F238E27FC236}">
              <a16:creationId xmlns:a16="http://schemas.microsoft.com/office/drawing/2014/main" id="{FDD90790-E84E-82E7-2BFD-AA0002D2C6B8}"/>
            </a:ext>
          </a:extLst>
        </xdr:cNvPr>
        <xdr:cNvSpPr txBox="1"/>
      </xdr:nvSpPr>
      <xdr:spPr>
        <a:xfrm>
          <a:off x="4991735" y="7852601"/>
          <a:ext cx="94506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Systems Ineffective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43</xdr:row>
      <xdr:rowOff>184150</xdr:rowOff>
    </xdr:from>
    <xdr:to>
      <xdr:col>4</xdr:col>
      <xdr:colOff>47626</xdr:colOff>
      <xdr:row>46</xdr:row>
      <xdr:rowOff>2545</xdr:rowOff>
    </xdr:to>
    <xdr:sp macro="" textlink="">
      <xdr:nvSpPr>
        <xdr:cNvPr id="43" name="MC_BR_C_partner_T_partner_good">
          <a:extLst>
            <a:ext uri="{FF2B5EF4-FFF2-40B4-BE49-F238E27FC236}">
              <a16:creationId xmlns:a16="http://schemas.microsoft.com/office/drawing/2014/main" id="{EF412E03-852A-D3C2-8DCD-D4DCE06F7A3C}"/>
            </a:ext>
          </a:extLst>
        </xdr:cNvPr>
        <xdr:cNvSpPr/>
      </xdr:nvSpPr>
      <xdr:spPr>
        <a:xfrm>
          <a:off x="4790083" y="8318500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434630" y="0"/>
              </a:lnTo>
              <a:lnTo>
                <a:pt x="2434630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43</xdr:row>
      <xdr:rowOff>99251</xdr:rowOff>
    </xdr:from>
    <xdr:ext cx="910955" cy="182550"/>
    <xdr:sp macro="_xll.MC_OnBranchLabelClick" textlink="">
      <xdr:nvSpPr>
        <xdr:cNvPr id="44" name="MC_BN_C_partner_T_partner_good">
          <a:extLst>
            <a:ext uri="{FF2B5EF4-FFF2-40B4-BE49-F238E27FC236}">
              <a16:creationId xmlns:a16="http://schemas.microsoft.com/office/drawing/2014/main" id="{D8FDCA33-043B-F063-C57F-CAAEC65E57AE}"/>
            </a:ext>
          </a:extLst>
        </xdr:cNvPr>
        <xdr:cNvSpPr txBox="1"/>
      </xdr:nvSpPr>
      <xdr:spPr>
        <a:xfrm>
          <a:off x="4991735" y="8233601"/>
          <a:ext cx="91095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Partnership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45</xdr:row>
      <xdr:rowOff>187956</xdr:rowOff>
    </xdr:from>
    <xdr:to>
      <xdr:col>4</xdr:col>
      <xdr:colOff>47626</xdr:colOff>
      <xdr:row>48</xdr:row>
      <xdr:rowOff>6351</xdr:rowOff>
    </xdr:to>
    <xdr:sp macro="" textlink="">
      <xdr:nvSpPr>
        <xdr:cNvPr id="45" name="MC_BR_C_partner_T_partner_dispute">
          <a:extLst>
            <a:ext uri="{FF2B5EF4-FFF2-40B4-BE49-F238E27FC236}">
              <a16:creationId xmlns:a16="http://schemas.microsoft.com/office/drawing/2014/main" id="{2B82DDE3-406B-8687-96A3-432B3C02E18B}"/>
            </a:ext>
          </a:extLst>
        </xdr:cNvPr>
        <xdr:cNvSpPr/>
      </xdr:nvSpPr>
      <xdr:spPr>
        <a:xfrm>
          <a:off x="4790083" y="8703306"/>
          <a:ext cx="2434631" cy="389895"/>
        </a:xfrm>
        <a:custGeom>
          <a:avLst/>
          <a:gdLst/>
          <a:ahLst/>
          <a:cxnLst/>
          <a:rect l="0" t="0" r="0" b="0"/>
          <a:pathLst>
            <a:path w="2434631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434630" y="377194"/>
              </a:lnTo>
              <a:lnTo>
                <a:pt x="2434630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47</xdr:row>
      <xdr:rowOff>99251</xdr:rowOff>
    </xdr:from>
    <xdr:ext cx="819583" cy="182550"/>
    <xdr:sp macro="_xll.MC_OnBranchLabelClick" textlink="">
      <xdr:nvSpPr>
        <xdr:cNvPr id="46" name="MC_BN_C_partner_T_partner_dispute">
          <a:extLst>
            <a:ext uri="{FF2B5EF4-FFF2-40B4-BE49-F238E27FC236}">
              <a16:creationId xmlns:a16="http://schemas.microsoft.com/office/drawing/2014/main" id="{C3BD49B8-2B1F-E4F2-931B-0B7130CE2228}"/>
            </a:ext>
          </a:extLst>
        </xdr:cNvPr>
        <xdr:cNvSpPr txBox="1"/>
      </xdr:nvSpPr>
      <xdr:spPr>
        <a:xfrm>
          <a:off x="4991735" y="8995601"/>
          <a:ext cx="8195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Partner Disputes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45</xdr:row>
      <xdr:rowOff>189143</xdr:rowOff>
    </xdr:from>
    <xdr:to>
      <xdr:col>4</xdr:col>
      <xdr:colOff>47626</xdr:colOff>
      <xdr:row>50</xdr:row>
      <xdr:rowOff>6351</xdr:rowOff>
    </xdr:to>
    <xdr:sp macro="" textlink="">
      <xdr:nvSpPr>
        <xdr:cNvPr id="47" name="MC_BR_C_partner_T_partner_fail">
          <a:extLst>
            <a:ext uri="{FF2B5EF4-FFF2-40B4-BE49-F238E27FC236}">
              <a16:creationId xmlns:a16="http://schemas.microsoft.com/office/drawing/2014/main" id="{EC75A1DB-01C7-A8C6-908E-D08FE3140FFF}"/>
            </a:ext>
          </a:extLst>
        </xdr:cNvPr>
        <xdr:cNvSpPr/>
      </xdr:nvSpPr>
      <xdr:spPr>
        <a:xfrm>
          <a:off x="4789698" y="8704493"/>
          <a:ext cx="2435016" cy="769708"/>
        </a:xfrm>
        <a:custGeom>
          <a:avLst/>
          <a:gdLst/>
          <a:ahLst/>
          <a:cxnLst/>
          <a:rect l="0" t="0" r="0" b="0"/>
          <a:pathLst>
            <a:path w="2435016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435015" y="757007"/>
              </a:lnTo>
              <a:lnTo>
                <a:pt x="2435015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49</xdr:row>
      <xdr:rowOff>99251</xdr:rowOff>
    </xdr:from>
    <xdr:ext cx="825162" cy="182550"/>
    <xdr:sp macro="_xll.MC_OnBranchLabelClick" textlink="">
      <xdr:nvSpPr>
        <xdr:cNvPr id="48" name="MC_BN_C_partner_T_partner_fail">
          <a:extLst>
            <a:ext uri="{FF2B5EF4-FFF2-40B4-BE49-F238E27FC236}">
              <a16:creationId xmlns:a16="http://schemas.microsoft.com/office/drawing/2014/main" id="{5A6B079B-7AFC-6140-FF24-5BE50A9FB1FF}"/>
            </a:ext>
          </a:extLst>
        </xdr:cNvPr>
        <xdr:cNvSpPr txBox="1"/>
      </xdr:nvSpPr>
      <xdr:spPr>
        <a:xfrm>
          <a:off x="4991735" y="9376601"/>
          <a:ext cx="82516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Partnership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4</xdr:col>
      <xdr:colOff>4763</xdr:colOff>
      <xdr:row>19</xdr:row>
      <xdr:rowOff>109537</xdr:rowOff>
    </xdr:from>
    <xdr:to>
      <xdr:col>4</xdr:col>
      <xdr:colOff>176213</xdr:colOff>
      <xdr:row>20</xdr:row>
      <xdr:rowOff>80962</xdr:rowOff>
    </xdr:to>
    <xdr:sp macro="_xll.MC_OnNodeClick" textlink="">
      <xdr:nvSpPr>
        <xdr:cNvPr id="49" name="MC_T_new_high">
          <a:extLst>
            <a:ext uri="{FF2B5EF4-FFF2-40B4-BE49-F238E27FC236}">
              <a16:creationId xmlns:a16="http://schemas.microsoft.com/office/drawing/2014/main" id="{86AEB34D-C4E2-F9C6-2D86-36D55D8FA727}"/>
            </a:ext>
          </a:extLst>
        </xdr:cNvPr>
        <xdr:cNvSpPr/>
      </xdr:nvSpPr>
      <xdr:spPr>
        <a:xfrm rot="16200000">
          <a:off x="7186613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21</xdr:row>
      <xdr:rowOff>109538</xdr:rowOff>
    </xdr:from>
    <xdr:to>
      <xdr:col>3</xdr:col>
      <xdr:colOff>180975</xdr:colOff>
      <xdr:row>22</xdr:row>
      <xdr:rowOff>80963</xdr:rowOff>
    </xdr:to>
    <xdr:sp macro="_xll.MC_OnNodeClick" textlink="">
      <xdr:nvSpPr>
        <xdr:cNvPr id="50" name="MC_C_demand_new">
          <a:extLst>
            <a:ext uri="{FF2B5EF4-FFF2-40B4-BE49-F238E27FC236}">
              <a16:creationId xmlns:a16="http://schemas.microsoft.com/office/drawing/2014/main" id="{E20BA431-DDB6-184A-7D11-34D050128445}"/>
            </a:ext>
          </a:extLst>
        </xdr:cNvPr>
        <xdr:cNvSpPr/>
      </xdr:nvSpPr>
      <xdr:spPr>
        <a:xfrm>
          <a:off x="4714875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23</xdr:row>
      <xdr:rowOff>109537</xdr:rowOff>
    </xdr:from>
    <xdr:to>
      <xdr:col>4</xdr:col>
      <xdr:colOff>176213</xdr:colOff>
      <xdr:row>24</xdr:row>
      <xdr:rowOff>80962</xdr:rowOff>
    </xdr:to>
    <xdr:sp macro="_xll.MC_OnNodeClick" textlink="">
      <xdr:nvSpPr>
        <xdr:cNvPr id="51" name="MC_T_new_expected">
          <a:extLst>
            <a:ext uri="{FF2B5EF4-FFF2-40B4-BE49-F238E27FC236}">
              <a16:creationId xmlns:a16="http://schemas.microsoft.com/office/drawing/2014/main" id="{8AB2B71E-65BD-C1EE-283F-D7278A93EC07}"/>
            </a:ext>
          </a:extLst>
        </xdr:cNvPr>
        <xdr:cNvSpPr/>
      </xdr:nvSpPr>
      <xdr:spPr>
        <a:xfrm rot="16200000">
          <a:off x="7186613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25</xdr:row>
      <xdr:rowOff>109537</xdr:rowOff>
    </xdr:from>
    <xdr:to>
      <xdr:col>4</xdr:col>
      <xdr:colOff>176213</xdr:colOff>
      <xdr:row>26</xdr:row>
      <xdr:rowOff>80962</xdr:rowOff>
    </xdr:to>
    <xdr:sp macro="_xll.MC_OnNodeClick" textlink="">
      <xdr:nvSpPr>
        <xdr:cNvPr id="52" name="MC_T_new_low">
          <a:extLst>
            <a:ext uri="{FF2B5EF4-FFF2-40B4-BE49-F238E27FC236}">
              <a16:creationId xmlns:a16="http://schemas.microsoft.com/office/drawing/2014/main" id="{DB3583C4-E1B3-BAA0-9C14-555EBB36179C}"/>
            </a:ext>
          </a:extLst>
        </xdr:cNvPr>
        <xdr:cNvSpPr/>
      </xdr:nvSpPr>
      <xdr:spPr>
        <a:xfrm rot="16200000">
          <a:off x="7186613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27</xdr:row>
      <xdr:rowOff>109538</xdr:rowOff>
    </xdr:from>
    <xdr:to>
      <xdr:col>2</xdr:col>
      <xdr:colOff>180975</xdr:colOff>
      <xdr:row>28</xdr:row>
      <xdr:rowOff>80963</xdr:rowOff>
    </xdr:to>
    <xdr:sp macro="_xll.MC_OnNodeClick" textlink="">
      <xdr:nvSpPr>
        <xdr:cNvPr id="53" name="MC_D_root">
          <a:extLst>
            <a:ext uri="{FF2B5EF4-FFF2-40B4-BE49-F238E27FC236}">
              <a16:creationId xmlns:a16="http://schemas.microsoft.com/office/drawing/2014/main" id="{CF4D7C06-3F8C-B56A-2227-B058E7B35C67}"/>
            </a:ext>
          </a:extLst>
        </xdr:cNvPr>
        <xdr:cNvSpPr/>
      </xdr:nvSpPr>
      <xdr:spPr>
        <a:xfrm>
          <a:off x="2328863" y="5195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29</xdr:row>
      <xdr:rowOff>109537</xdr:rowOff>
    </xdr:from>
    <xdr:to>
      <xdr:col>4</xdr:col>
      <xdr:colOff>176213</xdr:colOff>
      <xdr:row>30</xdr:row>
      <xdr:rowOff>80962</xdr:rowOff>
    </xdr:to>
    <xdr:sp macro="_xll.MC_OnNodeClick" textlink="">
      <xdr:nvSpPr>
        <xdr:cNvPr id="54" name="MC_T_upgrade_good">
          <a:extLst>
            <a:ext uri="{FF2B5EF4-FFF2-40B4-BE49-F238E27FC236}">
              <a16:creationId xmlns:a16="http://schemas.microsoft.com/office/drawing/2014/main" id="{1DF90A23-5C26-6B75-44BC-7A6DBF8A1746}"/>
            </a:ext>
          </a:extLst>
        </xdr:cNvPr>
        <xdr:cNvSpPr/>
      </xdr:nvSpPr>
      <xdr:spPr>
        <a:xfrm rot="16200000">
          <a:off x="7186613" y="5572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31</xdr:row>
      <xdr:rowOff>109538</xdr:rowOff>
    </xdr:from>
    <xdr:to>
      <xdr:col>3</xdr:col>
      <xdr:colOff>180975</xdr:colOff>
      <xdr:row>32</xdr:row>
      <xdr:rowOff>80963</xdr:rowOff>
    </xdr:to>
    <xdr:sp macro="_xll.MC_OnNodeClick" textlink="">
      <xdr:nvSpPr>
        <xdr:cNvPr id="55" name="MC_C_upgrade">
          <a:extLst>
            <a:ext uri="{FF2B5EF4-FFF2-40B4-BE49-F238E27FC236}">
              <a16:creationId xmlns:a16="http://schemas.microsoft.com/office/drawing/2014/main" id="{D2AD2B24-99C0-F8C5-3DA8-53FA614A265C}"/>
            </a:ext>
          </a:extLst>
        </xdr:cNvPr>
        <xdr:cNvSpPr/>
      </xdr:nvSpPr>
      <xdr:spPr>
        <a:xfrm>
          <a:off x="4714875" y="5957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33</xdr:row>
      <xdr:rowOff>109537</xdr:rowOff>
    </xdr:from>
    <xdr:to>
      <xdr:col>4</xdr:col>
      <xdr:colOff>176213</xdr:colOff>
      <xdr:row>34</xdr:row>
      <xdr:rowOff>80962</xdr:rowOff>
    </xdr:to>
    <xdr:sp macro="_xll.MC_OnNodeClick" textlink="">
      <xdr:nvSpPr>
        <xdr:cNvPr id="56" name="MC_T_upgrade_partial">
          <a:extLst>
            <a:ext uri="{FF2B5EF4-FFF2-40B4-BE49-F238E27FC236}">
              <a16:creationId xmlns:a16="http://schemas.microsoft.com/office/drawing/2014/main" id="{702F61CF-4F53-4A3E-FC96-A316DF827568}"/>
            </a:ext>
          </a:extLst>
        </xdr:cNvPr>
        <xdr:cNvSpPr/>
      </xdr:nvSpPr>
      <xdr:spPr>
        <a:xfrm rot="16200000">
          <a:off x="7186613" y="6334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35</xdr:row>
      <xdr:rowOff>109537</xdr:rowOff>
    </xdr:from>
    <xdr:to>
      <xdr:col>4</xdr:col>
      <xdr:colOff>176213</xdr:colOff>
      <xdr:row>36</xdr:row>
      <xdr:rowOff>80962</xdr:rowOff>
    </xdr:to>
    <xdr:sp macro="_xll.MC_OnNodeClick" textlink="">
      <xdr:nvSpPr>
        <xdr:cNvPr id="57" name="MC_T_upgrade_fail">
          <a:extLst>
            <a:ext uri="{FF2B5EF4-FFF2-40B4-BE49-F238E27FC236}">
              <a16:creationId xmlns:a16="http://schemas.microsoft.com/office/drawing/2014/main" id="{83CCE41B-48AA-49B6-81A5-7683E58CD1E4}"/>
            </a:ext>
          </a:extLst>
        </xdr:cNvPr>
        <xdr:cNvSpPr/>
      </xdr:nvSpPr>
      <xdr:spPr>
        <a:xfrm rot="16200000">
          <a:off x="7186613" y="6715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37</xdr:row>
      <xdr:rowOff>109537</xdr:rowOff>
    </xdr:from>
    <xdr:to>
      <xdr:col>4</xdr:col>
      <xdr:colOff>176213</xdr:colOff>
      <xdr:row>38</xdr:row>
      <xdr:rowOff>80962</xdr:rowOff>
    </xdr:to>
    <xdr:sp macro="_xll.MC_OnNodeClick" textlink="">
      <xdr:nvSpPr>
        <xdr:cNvPr id="58" name="MC_T_decentral_good">
          <a:extLst>
            <a:ext uri="{FF2B5EF4-FFF2-40B4-BE49-F238E27FC236}">
              <a16:creationId xmlns:a16="http://schemas.microsoft.com/office/drawing/2014/main" id="{9E09FD0E-181E-7824-DCD1-5630286B8543}"/>
            </a:ext>
          </a:extLst>
        </xdr:cNvPr>
        <xdr:cNvSpPr/>
      </xdr:nvSpPr>
      <xdr:spPr>
        <a:xfrm rot="16200000">
          <a:off x="7186613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39</xdr:row>
      <xdr:rowOff>109538</xdr:rowOff>
    </xdr:from>
    <xdr:to>
      <xdr:col>3</xdr:col>
      <xdr:colOff>180975</xdr:colOff>
      <xdr:row>40</xdr:row>
      <xdr:rowOff>80963</xdr:rowOff>
    </xdr:to>
    <xdr:sp macro="_xll.MC_OnNodeClick" textlink="">
      <xdr:nvSpPr>
        <xdr:cNvPr id="59" name="MC_C_decentral">
          <a:extLst>
            <a:ext uri="{FF2B5EF4-FFF2-40B4-BE49-F238E27FC236}">
              <a16:creationId xmlns:a16="http://schemas.microsoft.com/office/drawing/2014/main" id="{82B71F39-BCDB-7E19-9A04-69DF3B35BD5F}"/>
            </a:ext>
          </a:extLst>
        </xdr:cNvPr>
        <xdr:cNvSpPr/>
      </xdr:nvSpPr>
      <xdr:spPr>
        <a:xfrm>
          <a:off x="4714875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41</xdr:row>
      <xdr:rowOff>109537</xdr:rowOff>
    </xdr:from>
    <xdr:to>
      <xdr:col>4</xdr:col>
      <xdr:colOff>176213</xdr:colOff>
      <xdr:row>42</xdr:row>
      <xdr:rowOff>80962</xdr:rowOff>
    </xdr:to>
    <xdr:sp macro="_xll.MC_OnNodeClick" textlink="">
      <xdr:nvSpPr>
        <xdr:cNvPr id="60" name="MC_T_decentral_poor">
          <a:extLst>
            <a:ext uri="{FF2B5EF4-FFF2-40B4-BE49-F238E27FC236}">
              <a16:creationId xmlns:a16="http://schemas.microsoft.com/office/drawing/2014/main" id="{4ABE85B4-54AD-B470-4FE8-C58B16AA387E}"/>
            </a:ext>
          </a:extLst>
        </xdr:cNvPr>
        <xdr:cNvSpPr/>
      </xdr:nvSpPr>
      <xdr:spPr>
        <a:xfrm rot="16200000">
          <a:off x="7186613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43</xdr:row>
      <xdr:rowOff>109537</xdr:rowOff>
    </xdr:from>
    <xdr:to>
      <xdr:col>4</xdr:col>
      <xdr:colOff>176213</xdr:colOff>
      <xdr:row>44</xdr:row>
      <xdr:rowOff>80962</xdr:rowOff>
    </xdr:to>
    <xdr:sp macro="_xll.MC_OnNodeClick" textlink="">
      <xdr:nvSpPr>
        <xdr:cNvPr id="61" name="MC_T_partner_good">
          <a:extLst>
            <a:ext uri="{FF2B5EF4-FFF2-40B4-BE49-F238E27FC236}">
              <a16:creationId xmlns:a16="http://schemas.microsoft.com/office/drawing/2014/main" id="{BBC34593-2E56-DCAE-34C6-8D564F6CA0AD}"/>
            </a:ext>
          </a:extLst>
        </xdr:cNvPr>
        <xdr:cNvSpPr/>
      </xdr:nvSpPr>
      <xdr:spPr>
        <a:xfrm rot="16200000">
          <a:off x="7186613" y="823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45</xdr:row>
      <xdr:rowOff>109538</xdr:rowOff>
    </xdr:from>
    <xdr:to>
      <xdr:col>3</xdr:col>
      <xdr:colOff>180975</xdr:colOff>
      <xdr:row>46</xdr:row>
      <xdr:rowOff>80963</xdr:rowOff>
    </xdr:to>
    <xdr:sp macro="_xll.MC_OnNodeClick" textlink="">
      <xdr:nvSpPr>
        <xdr:cNvPr id="62" name="MC_C_partner">
          <a:extLst>
            <a:ext uri="{FF2B5EF4-FFF2-40B4-BE49-F238E27FC236}">
              <a16:creationId xmlns:a16="http://schemas.microsoft.com/office/drawing/2014/main" id="{D0923C5B-7138-C34D-F67F-636A1F4C81A0}"/>
            </a:ext>
          </a:extLst>
        </xdr:cNvPr>
        <xdr:cNvSpPr/>
      </xdr:nvSpPr>
      <xdr:spPr>
        <a:xfrm>
          <a:off x="4714875" y="8624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47</xdr:row>
      <xdr:rowOff>109537</xdr:rowOff>
    </xdr:from>
    <xdr:to>
      <xdr:col>4</xdr:col>
      <xdr:colOff>176213</xdr:colOff>
      <xdr:row>48</xdr:row>
      <xdr:rowOff>80962</xdr:rowOff>
    </xdr:to>
    <xdr:sp macro="_xll.MC_OnNodeClick" textlink="">
      <xdr:nvSpPr>
        <xdr:cNvPr id="63" name="MC_T_partner_dispute">
          <a:extLst>
            <a:ext uri="{FF2B5EF4-FFF2-40B4-BE49-F238E27FC236}">
              <a16:creationId xmlns:a16="http://schemas.microsoft.com/office/drawing/2014/main" id="{3092D942-8E9D-64AE-1B02-3325858F8C9E}"/>
            </a:ext>
          </a:extLst>
        </xdr:cNvPr>
        <xdr:cNvSpPr/>
      </xdr:nvSpPr>
      <xdr:spPr>
        <a:xfrm rot="16200000">
          <a:off x="7186613" y="900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49</xdr:row>
      <xdr:rowOff>109537</xdr:rowOff>
    </xdr:from>
    <xdr:to>
      <xdr:col>4</xdr:col>
      <xdr:colOff>176213</xdr:colOff>
      <xdr:row>50</xdr:row>
      <xdr:rowOff>80962</xdr:rowOff>
    </xdr:to>
    <xdr:sp macro="_xll.MC_OnNodeClick" textlink="">
      <xdr:nvSpPr>
        <xdr:cNvPr id="64" name="MC_T_partner_fail">
          <a:extLst>
            <a:ext uri="{FF2B5EF4-FFF2-40B4-BE49-F238E27FC236}">
              <a16:creationId xmlns:a16="http://schemas.microsoft.com/office/drawing/2014/main" id="{F422CD57-55BF-35DF-BDC2-C231D1D5D546}"/>
            </a:ext>
          </a:extLst>
        </xdr:cNvPr>
        <xdr:cNvSpPr/>
      </xdr:nvSpPr>
      <xdr:spPr>
        <a:xfrm rot="16200000">
          <a:off x="7186613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886AB-DF0F-4FF3-AEA2-E04399B409CF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93001-6BF5-4992-A23F-E7E99FF0E46C}">
  <dimension ref="A1:AK1"/>
  <sheetViews>
    <sheetView workbookViewId="0"/>
  </sheetViews>
  <sheetFormatPr defaultRowHeight="14.25" x14ac:dyDescent="0.45"/>
  <sheetData>
    <row r="1" spans="1:37" x14ac:dyDescent="0.45">
      <c r="A1">
        <f>MC_Tree_1!MC_BP_C_decentral_T_decentral_good</f>
        <v>0.5</v>
      </c>
      <c r="B1">
        <f>MC_Tree_1!MC_BV_C_decentral_T_decentral_good</f>
        <v>-4629000</v>
      </c>
      <c r="C1">
        <f>MC_Tree_1!MC_BP_C_decentral_T_decentral_poor</f>
        <v>0.5</v>
      </c>
      <c r="D1">
        <f>MC_Tree_1!MC_BV_C_decentral_T_decentral_poor</f>
        <v>-8560200</v>
      </c>
      <c r="E1">
        <f>MC_Tree_1!MC_BP_C_demand_new_T_new_high</f>
        <v>0.35</v>
      </c>
      <c r="F1">
        <f>MC_Tree_1!MC_BV_C_demand_new_T_new_high</f>
        <v>-5532000</v>
      </c>
      <c r="G1">
        <f>MC_Tree_1!MC_BP_C_demand_new_T_new_expected</f>
        <v>0.45</v>
      </c>
      <c r="H1">
        <f>MC_Tree_1!MC_BV_C_demand_new_T_new_expected</f>
        <v>-5566200</v>
      </c>
      <c r="I1">
        <f>MC_Tree_1!MC_BP_C_demand_new_T_new_low</f>
        <v>0.2</v>
      </c>
      <c r="J1">
        <f>MC_Tree_1!MC_BV_C_demand_new_T_new_low</f>
        <v>-5623200</v>
      </c>
      <c r="K1">
        <f>MC_Tree_1!MC_BP_C_partner_T_partner_good</f>
        <v>0.55000000000000004</v>
      </c>
      <c r="L1">
        <f>MC_Tree_1!MC_BV_C_partner_T_partner_good</f>
        <v>-3332880</v>
      </c>
      <c r="M1">
        <f>MC_Tree_1!MC_BP_C_partner_T_partner_dispute</f>
        <v>0.3</v>
      </c>
      <c r="N1">
        <f>MC_Tree_1!MC_BV_C_partner_T_partner_dispute</f>
        <v>-3373920</v>
      </c>
      <c r="O1">
        <f>MC_Tree_1!MC_BP_C_partner_T_partner_fail</f>
        <v>0.15</v>
      </c>
      <c r="P1">
        <f>MC_Tree_1!MC_BV_C_partner_T_partner_fail</f>
        <v>-72000000</v>
      </c>
      <c r="Q1">
        <f>MC_Tree_1!MC_BP_C_upgrade_T_upgrade_good</f>
        <v>0.65</v>
      </c>
      <c r="R1">
        <f>MC_Tree_1!MC_BV_C_upgrade_T_upgrade_good</f>
        <v>-7017600</v>
      </c>
      <c r="S1">
        <f>MC_Tree_1!MC_BP_C_upgrade_T_upgrade_partial</f>
        <v>0.25</v>
      </c>
      <c r="T1">
        <f>MC_Tree_1!MC_BV_C_upgrade_T_upgrade_partial</f>
        <v>-7086000</v>
      </c>
      <c r="U1">
        <f>MC_Tree_1!MC_BP_C_upgrade_T_upgrade_fail</f>
        <v>0.1</v>
      </c>
      <c r="V1">
        <f>MC_Tree_1!MC_BV_C_upgrade_T_upgrade_fail</f>
        <v>-123750000</v>
      </c>
      <c r="W1">
        <f>MC_Tree_1!MC_BV_D_root_C_demand_new</f>
        <v>-128750000</v>
      </c>
      <c r="X1">
        <f>MC_Tree_1!MC_BV_D_root_C_upgrade</f>
        <v>-53000000</v>
      </c>
      <c r="Y1">
        <f>MC_Tree_1!MC_BV_D_root_C_decentral</f>
        <v>-72000000</v>
      </c>
      <c r="Z1">
        <f>MC_Tree_1!MC_BV_D_root_C_partner</f>
        <v>-75000000</v>
      </c>
      <c r="AA1">
        <v>0</v>
      </c>
      <c r="AB1">
        <v>0</v>
      </c>
      <c r="AC1">
        <v>0</v>
      </c>
      <c r="AD1">
        <v>0</v>
      </c>
      <c r="AE1">
        <v>0</v>
      </c>
      <c r="AF1">
        <v>0</v>
      </c>
      <c r="AG1">
        <v>0</v>
      </c>
      <c r="AH1">
        <v>0</v>
      </c>
      <c r="AI1">
        <v>0</v>
      </c>
      <c r="AJ1">
        <v>0</v>
      </c>
      <c r="AK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8D2E5-650C-417A-A72C-91F7C5FE3A5E}">
  <dimension ref="B2:B35"/>
  <sheetViews>
    <sheetView tabSelected="1" workbookViewId="0"/>
  </sheetViews>
  <sheetFormatPr defaultRowHeight="14.25" x14ac:dyDescent="0.45"/>
  <cols>
    <col min="1" max="1" width="3.59765625" customWidth="1"/>
    <col min="2" max="2" width="75.59765625" customWidth="1"/>
    <col min="3" max="3" width="16.59765625" customWidth="1"/>
    <col min="4" max="4" width="45.59765625" customWidth="1"/>
  </cols>
  <sheetData>
    <row r="2" spans="2:2" ht="21" x14ac:dyDescent="0.65">
      <c r="B2" s="17" t="s">
        <v>42</v>
      </c>
    </row>
    <row r="3" spans="2:2" x14ac:dyDescent="0.45">
      <c r="B3" s="11" t="s">
        <v>43</v>
      </c>
    </row>
    <row r="5" spans="2:2" ht="15.75" x14ac:dyDescent="0.5">
      <c r="B5" s="18" t="s">
        <v>44</v>
      </c>
    </row>
    <row r="7" spans="2:2" x14ac:dyDescent="0.45">
      <c r="B7" t="s">
        <v>45</v>
      </c>
    </row>
    <row r="8" spans="2:2" x14ac:dyDescent="0.45">
      <c r="B8" t="s">
        <v>46</v>
      </c>
    </row>
    <row r="9" spans="2:2" x14ac:dyDescent="0.45">
      <c r="B9" t="s">
        <v>47</v>
      </c>
    </row>
    <row r="11" spans="2:2" x14ac:dyDescent="0.45">
      <c r="B11" s="10" t="s">
        <v>48</v>
      </c>
    </row>
    <row r="12" spans="2:2" x14ac:dyDescent="0.45">
      <c r="B12" s="10" t="s">
        <v>49</v>
      </c>
    </row>
    <row r="13" spans="2:2" x14ac:dyDescent="0.45">
      <c r="B13" s="10" t="s">
        <v>50</v>
      </c>
    </row>
    <row r="14" spans="2:2" x14ac:dyDescent="0.45">
      <c r="B14" s="10" t="s">
        <v>51</v>
      </c>
    </row>
    <row r="16" spans="2:2" ht="15.75" x14ac:dyDescent="0.5">
      <c r="B16" s="18" t="s">
        <v>52</v>
      </c>
    </row>
    <row r="18" spans="2:2" x14ac:dyDescent="0.45">
      <c r="B18" t="s">
        <v>53</v>
      </c>
    </row>
    <row r="19" spans="2:2" x14ac:dyDescent="0.45">
      <c r="B19" t="s">
        <v>54</v>
      </c>
    </row>
    <row r="20" spans="2:2" x14ac:dyDescent="0.45">
      <c r="B20" t="s">
        <v>55</v>
      </c>
    </row>
    <row r="21" spans="2:2" x14ac:dyDescent="0.45">
      <c r="B21" t="s">
        <v>56</v>
      </c>
    </row>
    <row r="23" spans="2:2" x14ac:dyDescent="0.45">
      <c r="B23" s="8" t="s">
        <v>57</v>
      </c>
    </row>
    <row r="24" spans="2:2" x14ac:dyDescent="0.45">
      <c r="B24" s="10" t="s">
        <v>58</v>
      </c>
    </row>
    <row r="25" spans="2:2" x14ac:dyDescent="0.45">
      <c r="B25" s="10" t="s">
        <v>59</v>
      </c>
    </row>
    <row r="26" spans="2:2" x14ac:dyDescent="0.45">
      <c r="B26" s="10" t="s">
        <v>60</v>
      </c>
    </row>
    <row r="27" spans="2:2" x14ac:dyDescent="0.45">
      <c r="B27" s="10" t="s">
        <v>61</v>
      </c>
    </row>
    <row r="28" spans="2:2" x14ac:dyDescent="0.45">
      <c r="B28" s="10" t="s">
        <v>62</v>
      </c>
    </row>
    <row r="30" spans="2:2" ht="15.75" x14ac:dyDescent="0.5">
      <c r="B30" s="18" t="s">
        <v>63</v>
      </c>
    </row>
    <row r="32" spans="2:2" x14ac:dyDescent="0.45">
      <c r="B32" t="s">
        <v>64</v>
      </c>
    </row>
    <row r="33" spans="2:2" x14ac:dyDescent="0.45">
      <c r="B33" t="s">
        <v>65</v>
      </c>
    </row>
    <row r="34" spans="2:2" x14ac:dyDescent="0.45">
      <c r="B34" t="s">
        <v>66</v>
      </c>
    </row>
    <row r="35" spans="2:2" x14ac:dyDescent="0.45">
      <c r="B3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117DB-6377-4D90-9829-39ABC0083D6C}">
  <dimension ref="B2:E54"/>
  <sheetViews>
    <sheetView showGridLines="0" workbookViewId="0"/>
  </sheetViews>
  <sheetFormatPr defaultRowHeight="14.25" x14ac:dyDescent="0.45"/>
  <cols>
    <col min="1" max="1" width="8.59765625" customWidth="1"/>
    <col min="2" max="2" width="23.86328125" customWidth="1"/>
    <col min="3" max="3" width="33.3984375" customWidth="1"/>
    <col min="4" max="4" width="34.59765625" customWidth="1"/>
    <col min="5" max="5" width="38.19921875" customWidth="1"/>
  </cols>
  <sheetData>
    <row r="2" spans="2:5" ht="15" customHeight="1" x14ac:dyDescent="0.55000000000000004">
      <c r="B2" s="9" t="s">
        <v>6</v>
      </c>
    </row>
    <row r="3" spans="2:5" ht="15" customHeight="1" x14ac:dyDescent="0.45">
      <c r="B3" s="11" t="s">
        <v>7</v>
      </c>
    </row>
    <row r="4" spans="2:5" ht="15" customHeight="1" x14ac:dyDescent="0.45"/>
    <row r="5" spans="2:5" ht="15" customHeight="1" x14ac:dyDescent="0.45">
      <c r="B5" s="12" t="s">
        <v>8</v>
      </c>
      <c r="C5" s="12" t="s">
        <v>9</v>
      </c>
      <c r="D5" s="12" t="s">
        <v>10</v>
      </c>
      <c r="E5" s="12" t="s">
        <v>11</v>
      </c>
    </row>
    <row r="6" spans="2:5" ht="15" customHeight="1" x14ac:dyDescent="0.45">
      <c r="B6" s="13" t="s">
        <v>12</v>
      </c>
      <c r="C6" s="14">
        <v>12000000</v>
      </c>
      <c r="D6" s="13" t="s">
        <v>13</v>
      </c>
      <c r="E6" s="13" t="s">
        <v>14</v>
      </c>
    </row>
    <row r="7" spans="2:5" ht="15" customHeight="1" x14ac:dyDescent="0.45">
      <c r="B7" s="13" t="s">
        <v>15</v>
      </c>
      <c r="C7" s="14">
        <v>3.5</v>
      </c>
      <c r="D7" s="13" t="s">
        <v>13</v>
      </c>
      <c r="E7" s="13" t="s">
        <v>16</v>
      </c>
    </row>
    <row r="8" spans="2:5" ht="15" customHeight="1" x14ac:dyDescent="0.45">
      <c r="B8" s="13" t="s">
        <v>17</v>
      </c>
      <c r="C8" s="15">
        <v>10</v>
      </c>
      <c r="D8" s="13" t="s">
        <v>18</v>
      </c>
      <c r="E8" s="13" t="s">
        <v>19</v>
      </c>
    </row>
    <row r="9" spans="2:5" ht="15" customHeight="1" x14ac:dyDescent="0.45">
      <c r="B9" s="13" t="s">
        <v>20</v>
      </c>
      <c r="C9" s="14">
        <v>5000000</v>
      </c>
      <c r="D9" s="13" t="s">
        <v>13</v>
      </c>
      <c r="E9" s="13" t="s">
        <v>21</v>
      </c>
    </row>
    <row r="10" spans="2:5" ht="15" customHeight="1" x14ac:dyDescent="0.45">
      <c r="B10" s="13" t="s">
        <v>22</v>
      </c>
      <c r="C10" s="14">
        <v>250000</v>
      </c>
      <c r="D10" s="13" t="s">
        <v>13</v>
      </c>
      <c r="E10" s="13" t="s">
        <v>23</v>
      </c>
    </row>
    <row r="11" spans="2:5" ht="15" customHeight="1" x14ac:dyDescent="0.45">
      <c r="B11" s="13" t="s">
        <v>24</v>
      </c>
      <c r="C11" s="14">
        <v>0.08</v>
      </c>
      <c r="D11" s="13" t="s">
        <v>13</v>
      </c>
      <c r="E11" s="13" t="s">
        <v>25</v>
      </c>
    </row>
    <row r="12" spans="2:5" ht="15" customHeight="1" x14ac:dyDescent="0.45">
      <c r="B12" s="13" t="s">
        <v>26</v>
      </c>
      <c r="C12" s="14">
        <v>1.2</v>
      </c>
      <c r="D12" s="13" t="s">
        <v>13</v>
      </c>
      <c r="E12" s="13" t="s">
        <v>27</v>
      </c>
    </row>
    <row r="13" spans="2:5" ht="15" customHeight="1" x14ac:dyDescent="0.45">
      <c r="B13" s="13" t="s">
        <v>28</v>
      </c>
      <c r="C13" s="15">
        <v>3000</v>
      </c>
      <c r="D13" s="13" t="s">
        <v>29</v>
      </c>
      <c r="E13" s="13" t="s">
        <v>30</v>
      </c>
    </row>
    <row r="14" spans="2:5" ht="15" customHeight="1" x14ac:dyDescent="0.45">
      <c r="B14" s="13" t="s">
        <v>31</v>
      </c>
      <c r="C14" s="14">
        <v>8.5</v>
      </c>
      <c r="D14" s="13" t="s">
        <v>13</v>
      </c>
      <c r="E14" s="13" t="s">
        <v>32</v>
      </c>
    </row>
    <row r="15" spans="2:5" x14ac:dyDescent="0.45">
      <c r="B15" s="13" t="s">
        <v>33</v>
      </c>
      <c r="C15" s="15">
        <v>20</v>
      </c>
      <c r="D15" s="13" t="s">
        <v>34</v>
      </c>
      <c r="E15" s="13" t="s">
        <v>35</v>
      </c>
    </row>
    <row r="16" spans="2:5" x14ac:dyDescent="0.45">
      <c r="B16" s="13" t="s">
        <v>36</v>
      </c>
      <c r="C16" s="16">
        <v>0.4</v>
      </c>
      <c r="D16" s="13" t="s">
        <v>37</v>
      </c>
      <c r="E16" s="13" t="s">
        <v>38</v>
      </c>
    </row>
    <row r="17" spans="2:5" x14ac:dyDescent="0.45">
      <c r="B17" s="13" t="s">
        <v>39</v>
      </c>
      <c r="C17" s="15">
        <v>15</v>
      </c>
      <c r="D17" s="13" t="s">
        <v>40</v>
      </c>
      <c r="E17" s="13" t="s">
        <v>41</v>
      </c>
    </row>
    <row r="20" spans="2:5" ht="15" customHeight="1" x14ac:dyDescent="0.45">
      <c r="D20" s="5">
        <v>0.35</v>
      </c>
      <c r="E20" s="1">
        <f>_xll.MC_NodeProbability(_MC_Calc_1,"T_new_high")</f>
        <v>0.35</v>
      </c>
    </row>
    <row r="21" spans="2:5" ht="15" customHeight="1" x14ac:dyDescent="0.45">
      <c r="D21" s="7">
        <f>(WaterRevenue-OpCostPer1000Gal-ChemCostPer1000Gal)*AnnualDemand*1000*NPVPeriod/1000-EnergyCostKWh*AnnualDemand*1200*NPVPeriod</f>
        <v>-5532000</v>
      </c>
      <c r="E21" s="6">
        <f>_xll.MC_NodeValue(_MC_Calc_1,"T_new_high")</f>
        <v>-134282000</v>
      </c>
    </row>
    <row r="22" spans="2:5" ht="15" customHeight="1" x14ac:dyDescent="0.45">
      <c r="C22" s="4" t="str">
        <f>_xll.MC_NodeDecision(_MC_Calc_1,"C_demand_new")</f>
        <v/>
      </c>
      <c r="D22" s="2" t="s">
        <v>1</v>
      </c>
    </row>
    <row r="23" spans="2:5" ht="15" customHeight="1" x14ac:dyDescent="0.45">
      <c r="C23" s="7">
        <f>-CostPerMGD*PlantCapacity-LandCostPerAcre*AcresRequired-RegComplianceCost</f>
        <v>-128750000</v>
      </c>
      <c r="D23" s="6">
        <f>_xll.MC_NodeValue(_MC_Calc_1,"C_demand_new")</f>
        <v>-134315630</v>
      </c>
    </row>
    <row r="24" spans="2:5" ht="15" customHeight="1" x14ac:dyDescent="0.45">
      <c r="D24" s="5">
        <v>0.45</v>
      </c>
      <c r="E24" s="1">
        <f>_xll.MC_NodeProbability(_MC_Calc_1,"T_new_expected")</f>
        <v>0.45</v>
      </c>
    </row>
    <row r="25" spans="2:5" ht="15" customHeight="1" x14ac:dyDescent="0.45">
      <c r="D25" s="7">
        <f>(WaterRevenue-OpCostPer1000Gal-ChemCostPer1000Gal)*AnnualDemand*1000*NPVPeriod*0.85/1000-EnergyCostKWh*AnnualDemand*1200*NPVPeriod</f>
        <v>-5566200</v>
      </c>
      <c r="E25" s="6">
        <f>_xll.MC_NodeValue(_MC_Calc_1,"T_new_expected")</f>
        <v>-134316200</v>
      </c>
    </row>
    <row r="26" spans="2:5" ht="15" customHeight="1" x14ac:dyDescent="0.45">
      <c r="D26" s="5">
        <v>0.2</v>
      </c>
      <c r="E26" s="1">
        <f>_xll.MC_NodeProbability(_MC_Calc_1,"T_new_low")</f>
        <v>0.2</v>
      </c>
    </row>
    <row r="27" spans="2:5" ht="15" customHeight="1" x14ac:dyDescent="0.45">
      <c r="D27" s="7">
        <f>(WaterRevenue-OpCostPer1000Gal-ChemCostPer1000Gal)*AnnualDemand*1000*NPVPeriod*0.6/1000-EnergyCostKWh*AnnualDemand*1200*NPVPeriod</f>
        <v>-5623200</v>
      </c>
      <c r="E27" s="6">
        <f>_xll.MC_NodeValue(_MC_Calc_1,"T_new_low")</f>
        <v>-134373200</v>
      </c>
    </row>
    <row r="28" spans="2:5" ht="15" customHeight="1" x14ac:dyDescent="0.45">
      <c r="C28" s="3" t="s">
        <v>2</v>
      </c>
    </row>
    <row r="29" spans="2:5" ht="15" customHeight="1" x14ac:dyDescent="0.45">
      <c r="C29" s="6">
        <f>_xll.MC_NodeValue(_MC_Calc_1,"D_root")</f>
        <v>-71707940</v>
      </c>
    </row>
    <row r="30" spans="2:5" ht="15" customHeight="1" x14ac:dyDescent="0.45">
      <c r="D30" s="5">
        <v>0.65</v>
      </c>
      <c r="E30" s="1">
        <f>_xll.MC_NodeProbability(_MC_Calc_1,"T_upgrade_good")</f>
        <v>0.65</v>
      </c>
    </row>
    <row r="31" spans="2:5" ht="15" customHeight="1" x14ac:dyDescent="0.45">
      <c r="D31" s="7">
        <f>(WaterRevenue-OpCostPer1000Gal-ChemCostPer1000Gal)*AnnualDemand*1000*NPVPeriod*0.8/1000-EnergyCostKWh*AnnualDemand*1500*NPVPeriod</f>
        <v>-7017600</v>
      </c>
      <c r="E31" s="6">
        <f>_xll.MC_NodeValue(_MC_Calc_1,"T_upgrade_good")</f>
        <v>-60017600</v>
      </c>
    </row>
    <row r="32" spans="2:5" ht="15" customHeight="1" x14ac:dyDescent="0.45">
      <c r="C32" s="4" t="str">
        <f>_xll.MC_NodeDecision(_MC_Calc_1,"C_upgrade")</f>
        <v>optimal</v>
      </c>
      <c r="D32" s="2" t="s">
        <v>3</v>
      </c>
    </row>
    <row r="33" spans="3:5" ht="15" customHeight="1" x14ac:dyDescent="0.45">
      <c r="C33" s="7">
        <f>-CostPerMGD*PlantCapacity*0.4-RegComplianceCost</f>
        <v>-53000000</v>
      </c>
      <c r="D33" s="6">
        <f>_xll.MC_NodeValue(_MC_Calc_1,"C_upgrade")</f>
        <v>-71707940</v>
      </c>
    </row>
    <row r="34" spans="3:5" ht="15" customHeight="1" x14ac:dyDescent="0.45">
      <c r="D34" s="5">
        <v>0.25</v>
      </c>
      <c r="E34" s="1">
        <f>_xll.MC_NodeProbability(_MC_Calc_1,"T_upgrade_partial")</f>
        <v>0.25</v>
      </c>
    </row>
    <row r="35" spans="3:5" ht="15" customHeight="1" x14ac:dyDescent="0.45">
      <c r="D35" s="7">
        <f>(WaterRevenue-OpCostPer1000Gal-ChemCostPer1000Gal)*AnnualDemand*1000*NPVPeriod*0.5/1000-EnergyCostKWh*AnnualDemand*1500*NPVPeriod</f>
        <v>-7086000</v>
      </c>
      <c r="E35" s="6">
        <f>_xll.MC_NodeValue(_MC_Calc_1,"T_upgrade_partial")</f>
        <v>-60086000</v>
      </c>
    </row>
    <row r="36" spans="3:5" ht="15" customHeight="1" x14ac:dyDescent="0.45">
      <c r="D36" s="5">
        <v>0.1</v>
      </c>
      <c r="E36" s="1">
        <f>_xll.MC_NodeProbability(_MC_Calc_1,"T_upgrade_fail")</f>
        <v>0.1</v>
      </c>
    </row>
    <row r="37" spans="3:5" ht="15" customHeight="1" x14ac:dyDescent="0.45">
      <c r="D37" s="7">
        <f>-CostPerMGD*PlantCapacity-LandCostPerAcre*AcresRequired</f>
        <v>-123750000</v>
      </c>
      <c r="E37" s="6">
        <f>_xll.MC_NodeValue(_MC_Calc_1,"T_upgrade_fail")</f>
        <v>-176750000</v>
      </c>
    </row>
    <row r="38" spans="3:5" ht="15" customHeight="1" x14ac:dyDescent="0.45">
      <c r="D38" s="5">
        <v>0.5</v>
      </c>
      <c r="E38" s="1">
        <f>_xll.MC_NodeProbability(_MC_Calc_1,"T_decentral_good")</f>
        <v>0.5</v>
      </c>
    </row>
    <row r="39" spans="3:5" ht="15" customHeight="1" x14ac:dyDescent="0.45">
      <c r="D39" s="7">
        <f>(WaterRevenue-OpCostPer1000Gal-ChemCostPer1000Gal)*AnnualDemand*1000*NPVPeriod*0.75/1000-EnergyCostKWh*AnnualDemand*1000*NPVPeriod</f>
        <v>-4629000</v>
      </c>
      <c r="E39" s="6">
        <f>_xll.MC_NodeValue(_MC_Calc_1,"T_decentral_good")</f>
        <v>-76629000</v>
      </c>
    </row>
    <row r="40" spans="3:5" ht="15" customHeight="1" x14ac:dyDescent="0.45">
      <c r="C40" s="4" t="str">
        <f>_xll.MC_NodeDecision(_MC_Calc_1,"C_decentral")</f>
        <v/>
      </c>
      <c r="D40" s="2" t="s">
        <v>4</v>
      </c>
    </row>
    <row r="41" spans="3:5" ht="15" customHeight="1" x14ac:dyDescent="0.45">
      <c r="C41" s="7">
        <f>-CostPerMGD*PlantCapacity*0.6</f>
        <v>-72000000</v>
      </c>
      <c r="D41" s="6">
        <f>_xll.MC_NodeValue(_MC_Calc_1,"C_decentral")</f>
        <v>-78594600</v>
      </c>
    </row>
    <row r="42" spans="3:5" ht="15" customHeight="1" x14ac:dyDescent="0.45">
      <c r="D42" s="5">
        <v>0.5</v>
      </c>
      <c r="E42" s="1">
        <f>_xll.MC_NodeProbability(_MC_Calc_1,"T_decentral_poor")</f>
        <v>0.5</v>
      </c>
    </row>
    <row r="43" spans="3:5" ht="15" customHeight="1" x14ac:dyDescent="0.45">
      <c r="D43" s="7">
        <f>(WaterRevenue-OpCostPer1000Gal-ChemCostPer1000Gal)*AnnualDemand*1000*NPVPeriod*0.35/1000-EnergyCostKWh*AnnualDemand*1800*NPVPeriod</f>
        <v>-8560200</v>
      </c>
      <c r="E43" s="6">
        <f>_xll.MC_NodeValue(_MC_Calc_1,"T_decentral_poor")</f>
        <v>-80560200</v>
      </c>
    </row>
    <row r="44" spans="3:5" ht="15" customHeight="1" x14ac:dyDescent="0.45">
      <c r="D44" s="5">
        <v>0.55000000000000004</v>
      </c>
      <c r="E44" s="1">
        <f>_xll.MC_NodeProbability(_MC_Calc_1,"T_partner_good")</f>
        <v>0.55000000000000004</v>
      </c>
    </row>
    <row r="45" spans="3:5" ht="15" customHeight="1" x14ac:dyDescent="0.45">
      <c r="D45" s="7">
        <f>(WaterRevenue-OpCostPer1000Gal-ChemCostPer1000Gal)*AnnualDemand*1000*NPVPeriod*0.9/1000*(1-PartnerShare)-EnergyCostKWh*AnnualDemand*1200*NPVPeriod*(1-PartnerShare)</f>
        <v>-3332880</v>
      </c>
      <c r="E45" s="6">
        <f>_xll.MC_NodeValue(_MC_Calc_1,"T_partner_good")</f>
        <v>-78332880</v>
      </c>
    </row>
    <row r="46" spans="3:5" ht="15" customHeight="1" x14ac:dyDescent="0.45">
      <c r="C46" s="4" t="str">
        <f>_xll.MC_NodeDecision(_MC_Calc_1,"C_partner")</f>
        <v/>
      </c>
      <c r="D46" s="2" t="s">
        <v>5</v>
      </c>
    </row>
    <row r="47" spans="3:5" ht="15" customHeight="1" x14ac:dyDescent="0.45">
      <c r="C47" s="7">
        <f>-CostPerMGD*PlantCapacity*(1-PartnerShare)-RegComplianceCost*(1-PartnerShare)</f>
        <v>-75000000</v>
      </c>
      <c r="D47" s="6">
        <f>_xll.MC_NodeValue(_MC_Calc_1,"C_partner")</f>
        <v>-88645260</v>
      </c>
    </row>
    <row r="48" spans="3:5" ht="15" customHeight="1" x14ac:dyDescent="0.45">
      <c r="D48" s="5">
        <v>0.3</v>
      </c>
      <c r="E48" s="1">
        <f>_xll.MC_NodeProbability(_MC_Calc_1,"T_partner_dispute")</f>
        <v>0.3</v>
      </c>
    </row>
    <row r="49" spans="4:5" ht="15" customHeight="1" x14ac:dyDescent="0.45">
      <c r="D49" s="7">
        <f>(WaterRevenue-OpCostPer1000Gal-ChemCostPer1000Gal)*AnnualDemand*1000*NPVPeriod*0.6/1000*(1-PartnerShare)-EnergyCostKWh*AnnualDemand*1200*NPVPeriod*(1-PartnerShare)</f>
        <v>-3373920</v>
      </c>
      <c r="E49" s="6">
        <f>_xll.MC_NodeValue(_MC_Calc_1,"T_partner_dispute")</f>
        <v>-78373920</v>
      </c>
    </row>
    <row r="50" spans="4:5" ht="15" customHeight="1" x14ac:dyDescent="0.45">
      <c r="D50" s="5">
        <v>0.15</v>
      </c>
      <c r="E50" s="1">
        <f>_xll.MC_NodeProbability(_MC_Calc_1,"T_partner_fail")</f>
        <v>0.15</v>
      </c>
    </row>
    <row r="51" spans="4:5" ht="15" customHeight="1" x14ac:dyDescent="0.45">
      <c r="D51" s="7">
        <f>-CostPerMGD*PlantCapacity*(1-PartnerShare)</f>
        <v>-72000000</v>
      </c>
      <c r="E51" s="6">
        <f>_xll.MC_NodeValue(_MC_Calc_1,"T_partner_fail")</f>
        <v>-147000000</v>
      </c>
    </row>
    <row r="52" spans="4:5" ht="15" customHeight="1" x14ac:dyDescent="0.45"/>
    <row r="53" spans="4:5" ht="15" customHeight="1" x14ac:dyDescent="0.45"/>
    <row r="54" spans="4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75</vt:i4>
      </vt:variant>
    </vt:vector>
  </HeadingPairs>
  <TitlesOfParts>
    <vt:vector size="77" baseType="lpstr">
      <vt:lpstr>Problem</vt:lpstr>
      <vt:lpstr>MC_Tree_1</vt:lpstr>
      <vt:lpstr>_MC_Calc_1</vt:lpstr>
      <vt:lpstr>AcresRequired</vt:lpstr>
      <vt:lpstr>AnnualDemand</vt:lpstr>
      <vt:lpstr>ChemCostPer1000Gal</vt:lpstr>
      <vt:lpstr>CostPerMGD</vt:lpstr>
      <vt:lpstr>EnergyCostKWh</vt:lpstr>
      <vt:lpstr>LandCostPerAcre</vt:lpstr>
      <vt:lpstr>MC_Tree_1!MC_BD_D_root_C_decentral</vt:lpstr>
      <vt:lpstr>MC_Tree_1!MC_BD_D_root_C_demand_new</vt:lpstr>
      <vt:lpstr>MC_Tree_1!MC_BD_D_root_C_partner</vt:lpstr>
      <vt:lpstr>MC_Tree_1!MC_BD_D_root_C_upgrade</vt:lpstr>
      <vt:lpstr>MC_Tree_1!MC_BP_C_decentral_T_decentral_good</vt:lpstr>
      <vt:lpstr>MC_Tree_1!MC_BP_C_decentral_T_decentral_poor</vt:lpstr>
      <vt:lpstr>MC_Tree_1!MC_BP_C_demand_new_T_new_expected</vt:lpstr>
      <vt:lpstr>MC_Tree_1!MC_BP_C_demand_new_T_new_high</vt:lpstr>
      <vt:lpstr>MC_Tree_1!MC_BP_C_demand_new_T_new_low</vt:lpstr>
      <vt:lpstr>MC_Tree_1!MC_BP_C_partner_T_partner_dispute</vt:lpstr>
      <vt:lpstr>MC_Tree_1!MC_BP_C_partner_T_partner_fail</vt:lpstr>
      <vt:lpstr>MC_Tree_1!MC_BP_C_partner_T_partner_good</vt:lpstr>
      <vt:lpstr>MC_Tree_1!MC_BP_C_upgrade_T_upgrade_fail</vt:lpstr>
      <vt:lpstr>MC_Tree_1!MC_BP_C_upgrade_T_upgrade_good</vt:lpstr>
      <vt:lpstr>MC_Tree_1!MC_BP_C_upgrade_T_upgrade_partial</vt:lpstr>
      <vt:lpstr>MC_Tree_1!MC_BV_C_decentral_T_decentral_good</vt:lpstr>
      <vt:lpstr>MC_Tree_1!MC_BV_C_decentral_T_decentral_poor</vt:lpstr>
      <vt:lpstr>MC_Tree_1!MC_BV_C_demand_new_T_new_expected</vt:lpstr>
      <vt:lpstr>MC_Tree_1!MC_BV_C_demand_new_T_new_high</vt:lpstr>
      <vt:lpstr>MC_Tree_1!MC_BV_C_demand_new_T_new_low</vt:lpstr>
      <vt:lpstr>MC_Tree_1!MC_BV_C_partner_T_partner_dispute</vt:lpstr>
      <vt:lpstr>MC_Tree_1!MC_BV_C_partner_T_partner_fail</vt:lpstr>
      <vt:lpstr>MC_Tree_1!MC_BV_C_partner_T_partner_good</vt:lpstr>
      <vt:lpstr>MC_Tree_1!MC_BV_C_upgrade_T_upgrade_fail</vt:lpstr>
      <vt:lpstr>MC_Tree_1!MC_BV_C_upgrade_T_upgrade_good</vt:lpstr>
      <vt:lpstr>MC_Tree_1!MC_BV_C_upgrade_T_upgrade_partial</vt:lpstr>
      <vt:lpstr>MC_Tree_1!MC_BV_D_root_C_decentral</vt:lpstr>
      <vt:lpstr>MC_Tree_1!MC_BV_D_root_C_demand_new</vt:lpstr>
      <vt:lpstr>MC_Tree_1!MC_BV_D_root_C_partner</vt:lpstr>
      <vt:lpstr>MC_Tree_1!MC_BV_D_root_C_upgrade</vt:lpstr>
      <vt:lpstr>MC_Tree_1!MC_N_C_decentral</vt:lpstr>
      <vt:lpstr>MC_Tree_1!MC_N_C_demand_new</vt:lpstr>
      <vt:lpstr>MC_Tree_1!MC_N_C_partner</vt:lpstr>
      <vt:lpstr>MC_Tree_1!MC_N_C_upgrade</vt:lpstr>
      <vt:lpstr>MC_Tree_1!MC_N_D_root</vt:lpstr>
      <vt:lpstr>MC_Tree_1!MC_NP_T_decentral_good</vt:lpstr>
      <vt:lpstr>MC_Tree_1!MC_NP_T_decentral_poor</vt:lpstr>
      <vt:lpstr>MC_Tree_1!MC_NP_T_new_expected</vt:lpstr>
      <vt:lpstr>MC_Tree_1!MC_NP_T_new_high</vt:lpstr>
      <vt:lpstr>MC_Tree_1!MC_NP_T_new_low</vt:lpstr>
      <vt:lpstr>MC_Tree_1!MC_NP_T_partner_dispute</vt:lpstr>
      <vt:lpstr>MC_Tree_1!MC_NP_T_partner_fail</vt:lpstr>
      <vt:lpstr>MC_Tree_1!MC_NP_T_partner_good</vt:lpstr>
      <vt:lpstr>MC_Tree_1!MC_NP_T_upgrade_fail</vt:lpstr>
      <vt:lpstr>MC_Tree_1!MC_NP_T_upgrade_good</vt:lpstr>
      <vt:lpstr>MC_Tree_1!MC_NP_T_upgrade_partial</vt:lpstr>
      <vt:lpstr>MC_Tree_1!MC_V_C_decentral</vt:lpstr>
      <vt:lpstr>MC_Tree_1!MC_V_C_demand_new</vt:lpstr>
      <vt:lpstr>MC_Tree_1!MC_V_C_partner</vt:lpstr>
      <vt:lpstr>MC_Tree_1!MC_V_C_upgrade</vt:lpstr>
      <vt:lpstr>MC_Tree_1!MC_V_D_root</vt:lpstr>
      <vt:lpstr>MC_Tree_1!MC_V_T_decentral_good</vt:lpstr>
      <vt:lpstr>MC_Tree_1!MC_V_T_decentral_poor</vt:lpstr>
      <vt:lpstr>MC_Tree_1!MC_V_T_new_expected</vt:lpstr>
      <vt:lpstr>MC_Tree_1!MC_V_T_new_high</vt:lpstr>
      <vt:lpstr>MC_Tree_1!MC_V_T_new_low</vt:lpstr>
      <vt:lpstr>MC_Tree_1!MC_V_T_partner_dispute</vt:lpstr>
      <vt:lpstr>MC_Tree_1!MC_V_T_partner_fail</vt:lpstr>
      <vt:lpstr>MC_Tree_1!MC_V_T_partner_good</vt:lpstr>
      <vt:lpstr>MC_Tree_1!MC_V_T_upgrade_fail</vt:lpstr>
      <vt:lpstr>MC_Tree_1!MC_V_T_upgrade_good</vt:lpstr>
      <vt:lpstr>MC_Tree_1!MC_V_T_upgrade_partial</vt:lpstr>
      <vt:lpstr>NPVPeriod</vt:lpstr>
      <vt:lpstr>OpCostPer1000Gal</vt:lpstr>
      <vt:lpstr>PartnerShare</vt:lpstr>
      <vt:lpstr>PlantCapacity</vt:lpstr>
      <vt:lpstr>RegComplianceCost</vt:lpstr>
      <vt:lpstr>WaterRevenue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2026-03-27T15:00:58Z</dcterms:created>
  <dcterms:modified xsi:type="dcterms:W3CDTF">2026-03-27T15:01:08Z</dcterms:modified>
</cp:coreProperties>
</file>