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mou\source\repos\ModelChoice\models\"/>
    </mc:Choice>
  </mc:AlternateContent>
  <xr:revisionPtr revIDLastSave="0" documentId="8_{76672572-4794-480D-92E5-E812BE564579}" xr6:coauthVersionLast="47" xr6:coauthVersionMax="47" xr10:uidLastSave="{00000000-0000-0000-0000-000000000000}"/>
  <bookViews>
    <workbookView xWindow="-98" yWindow="-98" windowWidth="21795" windowHeight="12975" firstSheet="2" activeTab="2" xr2:uid="{DEA84AB1-912B-48E1-8603-329EC4EA9595}"/>
  </bookViews>
  <sheets>
    <sheet name="_MC_Store" sheetId="2" state="veryHidden" r:id="rId1"/>
    <sheet name="_MC_Calc" sheetId="4" state="veryHidden" r:id="rId2"/>
    <sheet name="Problem" sheetId="5" r:id="rId3"/>
    <sheet name="MC_Tree_1" sheetId="3" r:id="rId4"/>
  </sheets>
  <definedNames>
    <definedName name="_MC_Calc_1">_MC_Calc!$A$1:$GT$1</definedName>
    <definedName name="DoubleDownOnInfraCost">MC_Tree_1!$C$10</definedName>
    <definedName name="InfrastructureheavyCost">MC_Tree_1!$C$6</definedName>
    <definedName name="MC_BD_D_infra_recession_C_geo_infra_double" localSheetId="3">MC_Tree_1!$E$168</definedName>
    <definedName name="MC_BD_D_infra_recession_C_geo_infra_hold" localSheetId="3">MC_Tree_1!$E$156</definedName>
    <definedName name="MC_BD_D_infra_recession_T_infra_fire_sale" localSheetId="3">MC_Tree_1!$E$164</definedName>
    <definedName name="MC_BD_D_recession_response_C_geo_opportunistic" localSheetId="3">MC_Tree_1!$E$58</definedName>
    <definedName name="MC_BD_D_recession_response_C_geo_rebal_def" localSheetId="3">MC_Tree_1!$E$40</definedName>
    <definedName name="MC_BD_D_recession_response_C_geo_stay_course" localSheetId="3">MC_Tree_1!$E$50</definedName>
    <definedName name="MC_BD_D_root_C_econ_balanced" localSheetId="3">MC_Tree_1!$C$80</definedName>
    <definedName name="MC_BD_D_root_C_econ_defensive" localSheetId="3">MC_Tree_1!$C$112</definedName>
    <definedName name="MC_BD_D_root_C_econ_growth" localSheetId="3">MC_Tree_1!$C$28</definedName>
    <definedName name="MC_BD_D_root_C_econ_infra" localSheetId="3">MC_Tree_1!$C$144</definedName>
    <definedName name="MC_BP_C_econ_balanced_C_geo_bal_crisis" localSheetId="3">MC_Tree_1!$D$100</definedName>
    <definedName name="MC_BP_C_econ_balanced_C_rates_bal_boom" localSheetId="3">MC_Tree_1!$D$74</definedName>
    <definedName name="MC_BP_C_econ_balanced_C_rates_bal_normal" localSheetId="3">MC_Tree_1!$D$84</definedName>
    <definedName name="MC_BP_C_econ_balanced_C_rates_bal_recession" localSheetId="3">MC_Tree_1!$D$92</definedName>
    <definedName name="MC_BP_C_econ_defensive_C_geo_def_crisis" localSheetId="3">MC_Tree_1!$D$132</definedName>
    <definedName name="MC_BP_C_econ_defensive_C_rates_def_boom" localSheetId="3">MC_Tree_1!$D$106</definedName>
    <definedName name="MC_BP_C_econ_defensive_C_rates_def_normal" localSheetId="3">MC_Tree_1!$D$116</definedName>
    <definedName name="MC_BP_C_econ_defensive_C_rates_def_recession" localSheetId="3">MC_Tree_1!$D$124</definedName>
    <definedName name="MC_BP_C_econ_growth_C_geo_growth_crisis" localSheetId="3">MC_Tree_1!$D$66</definedName>
    <definedName name="MC_BP_C_econ_growth_C_rates_growth_boom" localSheetId="3">MC_Tree_1!$D$22</definedName>
    <definedName name="MC_BP_C_econ_growth_C_rates_growth_normal" localSheetId="3">MC_Tree_1!$D$32</definedName>
    <definedName name="MC_BP_C_econ_growth_D_recession_response" localSheetId="3">MC_Tree_1!$D$46</definedName>
    <definedName name="MC_BP_C_econ_infra_C_geo_infra_crisis" localSheetId="3">MC_Tree_1!$D$176</definedName>
    <definedName name="MC_BP_C_econ_infra_C_rates_infra_boom" localSheetId="3">MC_Tree_1!$D$138</definedName>
    <definedName name="MC_BP_C_econ_infra_C_rates_infra_normal" localSheetId="3">MC_Tree_1!$D$148</definedName>
    <definedName name="MC_BP_C_econ_infra_D_infra_recession" localSheetId="3">MC_Tree_1!$D$162</definedName>
    <definedName name="MC_BP_C_geo_bal_crisis_T_bal_crisis_stable" localSheetId="3">MC_Tree_1!$E$98</definedName>
    <definedName name="MC_BP_C_geo_bal_crisis_T_bal_crisis_unstable" localSheetId="3">MC_Tree_1!$E$102</definedName>
    <definedName name="MC_BP_C_geo_def_crisis_T_def_crisis_stable" localSheetId="3">MC_Tree_1!$E$130</definedName>
    <definedName name="MC_BP_C_geo_def_crisis_T_def_crisis_unstable" localSheetId="3">MC_Tree_1!$E$134</definedName>
    <definedName name="MC_BP_C_geo_growth_crisis_T_growth_crisis_stable" localSheetId="3">MC_Tree_1!$E$64</definedName>
    <definedName name="MC_BP_C_geo_growth_crisis_T_growth_crisis_unstable" localSheetId="3">MC_Tree_1!$E$68</definedName>
    <definedName name="MC_BP_C_geo_infra_crisis_T_infra_crisis_stable" localSheetId="3">MC_Tree_1!$E$174</definedName>
    <definedName name="MC_BP_C_geo_infra_crisis_T_infra_crisis_unstable" localSheetId="3">MC_Tree_1!$E$178</definedName>
    <definedName name="MC_BP_C_geo_infra_double_T_infra_double_disruption" localSheetId="3">MC_Tree_1!$F$172</definedName>
    <definedName name="MC_BP_C_geo_infra_double_T_infra_double_stable" localSheetId="3">MC_Tree_1!$F$166</definedName>
    <definedName name="MC_BP_C_geo_infra_double_T_infra_double_tension" localSheetId="3">MC_Tree_1!$F$170</definedName>
    <definedName name="MC_BP_C_geo_infra_hold_T_infra_hold_disruption" localSheetId="3">MC_Tree_1!$F$160</definedName>
    <definedName name="MC_BP_C_geo_infra_hold_T_infra_hold_stable" localSheetId="3">MC_Tree_1!$F$154</definedName>
    <definedName name="MC_BP_C_geo_infra_hold_T_infra_hold_tension" localSheetId="3">MC_Tree_1!$F$158</definedName>
    <definedName name="MC_BP_C_geo_opportunistic_T_opp_disruption" localSheetId="3">MC_Tree_1!$F$62</definedName>
    <definedName name="MC_BP_C_geo_opportunistic_T_opp_stable" localSheetId="3">MC_Tree_1!$F$56</definedName>
    <definedName name="MC_BP_C_geo_opportunistic_T_opp_tension" localSheetId="3">MC_Tree_1!$F$60</definedName>
    <definedName name="MC_BP_C_geo_rebal_def_T_rebal_disruption" localSheetId="3">MC_Tree_1!$F$44</definedName>
    <definedName name="MC_BP_C_geo_rebal_def_T_rebal_stable" localSheetId="3">MC_Tree_1!$F$38</definedName>
    <definedName name="MC_BP_C_geo_rebal_def_T_rebal_tension" localSheetId="3">MC_Tree_1!$F$42</definedName>
    <definedName name="MC_BP_C_geo_stay_course_T_stay_disruption" localSheetId="3">MC_Tree_1!$F$54</definedName>
    <definedName name="MC_BP_C_geo_stay_course_T_stay_stable" localSheetId="3">MC_Tree_1!$F$48</definedName>
    <definedName name="MC_BP_C_geo_stay_course_T_stay_tension" localSheetId="3">MC_Tree_1!$F$52</definedName>
    <definedName name="MC_BP_C_rates_bal_boom_T_bal_boom_falling" localSheetId="3">MC_Tree_1!$E$78</definedName>
    <definedName name="MC_BP_C_rates_bal_boom_T_bal_boom_rising" localSheetId="3">MC_Tree_1!$E$72</definedName>
    <definedName name="MC_BP_C_rates_bal_boom_T_bal_boom_stable" localSheetId="3">MC_Tree_1!$E$76</definedName>
    <definedName name="MC_BP_C_rates_bal_normal_T_bal_norm_falling" localSheetId="3">MC_Tree_1!$E$88</definedName>
    <definedName name="MC_BP_C_rates_bal_normal_T_bal_norm_rising" localSheetId="3">MC_Tree_1!$E$82</definedName>
    <definedName name="MC_BP_C_rates_bal_normal_T_bal_norm_stable" localSheetId="3">MC_Tree_1!$E$86</definedName>
    <definedName name="MC_BP_C_rates_bal_recession_T_bal_rec_falling" localSheetId="3">MC_Tree_1!$E$96</definedName>
    <definedName name="MC_BP_C_rates_bal_recession_T_bal_rec_rising" localSheetId="3">MC_Tree_1!$E$90</definedName>
    <definedName name="MC_BP_C_rates_bal_recession_T_bal_rec_stable" localSheetId="3">MC_Tree_1!$E$94</definedName>
    <definedName name="MC_BP_C_rates_def_boom_T_def_boom_falling" localSheetId="3">MC_Tree_1!$E$110</definedName>
    <definedName name="MC_BP_C_rates_def_boom_T_def_boom_rising" localSheetId="3">MC_Tree_1!$E$104</definedName>
    <definedName name="MC_BP_C_rates_def_boom_T_def_boom_stable" localSheetId="3">MC_Tree_1!$E$108</definedName>
    <definedName name="MC_BP_C_rates_def_normal_T_def_norm_falling" localSheetId="3">MC_Tree_1!$E$120</definedName>
    <definedName name="MC_BP_C_rates_def_normal_T_def_norm_rising" localSheetId="3">MC_Tree_1!$E$114</definedName>
    <definedName name="MC_BP_C_rates_def_normal_T_def_norm_stable" localSheetId="3">MC_Tree_1!$E$118</definedName>
    <definedName name="MC_BP_C_rates_def_recession_T_def_rec_falling" localSheetId="3">MC_Tree_1!$E$128</definedName>
    <definedName name="MC_BP_C_rates_def_recession_T_def_rec_rising" localSheetId="3">MC_Tree_1!$E$122</definedName>
    <definedName name="MC_BP_C_rates_def_recession_T_def_rec_stable" localSheetId="3">MC_Tree_1!$E$126</definedName>
    <definedName name="MC_BP_C_rates_growth_boom_T_growth_boom_falling" localSheetId="3">MC_Tree_1!$E$26</definedName>
    <definedName name="MC_BP_C_rates_growth_boom_T_growth_boom_rising" localSheetId="3">MC_Tree_1!$E$20</definedName>
    <definedName name="MC_BP_C_rates_growth_boom_T_growth_boom_stable" localSheetId="3">MC_Tree_1!$E$24</definedName>
    <definedName name="MC_BP_C_rates_growth_normal_T_growth_norm_falling" localSheetId="3">MC_Tree_1!$E$36</definedName>
    <definedName name="MC_BP_C_rates_growth_normal_T_growth_norm_rising" localSheetId="3">MC_Tree_1!$E$30</definedName>
    <definedName name="MC_BP_C_rates_growth_normal_T_growth_norm_stable" localSheetId="3">MC_Tree_1!$E$34</definedName>
    <definedName name="MC_BP_C_rates_infra_boom_T_infra_boom_falling" localSheetId="3">MC_Tree_1!$E$142</definedName>
    <definedName name="MC_BP_C_rates_infra_boom_T_infra_boom_rising" localSheetId="3">MC_Tree_1!$E$136</definedName>
    <definedName name="MC_BP_C_rates_infra_boom_T_infra_boom_stable" localSheetId="3">MC_Tree_1!$E$140</definedName>
    <definedName name="MC_BP_C_rates_infra_normal_T_infra_norm_falling" localSheetId="3">MC_Tree_1!$E$152</definedName>
    <definedName name="MC_BP_C_rates_infra_normal_T_infra_norm_rising" localSheetId="3">MC_Tree_1!$E$146</definedName>
    <definedName name="MC_BP_C_rates_infra_normal_T_infra_norm_stable" localSheetId="3">MC_Tree_1!$E$150</definedName>
    <definedName name="MC_BV_C_econ_balanced_C_geo_bal_crisis" localSheetId="3">MC_Tree_1!$D$101</definedName>
    <definedName name="MC_BV_C_econ_balanced_C_rates_bal_boom" localSheetId="3">MC_Tree_1!$D$75</definedName>
    <definedName name="MC_BV_C_econ_balanced_C_rates_bal_normal" localSheetId="3">MC_Tree_1!$D$85</definedName>
    <definedName name="MC_BV_C_econ_balanced_C_rates_bal_recession" localSheetId="3">MC_Tree_1!$D$93</definedName>
    <definedName name="MC_BV_C_econ_defensive_C_geo_def_crisis" localSheetId="3">MC_Tree_1!$D$133</definedName>
    <definedName name="MC_BV_C_econ_defensive_C_rates_def_boom" localSheetId="3">MC_Tree_1!$D$107</definedName>
    <definedName name="MC_BV_C_econ_defensive_C_rates_def_normal" localSheetId="3">MC_Tree_1!$D$117</definedName>
    <definedName name="MC_BV_C_econ_defensive_C_rates_def_recession" localSheetId="3">MC_Tree_1!$D$125</definedName>
    <definedName name="MC_BV_C_econ_growth_C_geo_growth_crisis" localSheetId="3">MC_Tree_1!$D$67</definedName>
    <definedName name="MC_BV_C_econ_growth_C_rates_growth_boom" localSheetId="3">MC_Tree_1!$D$23</definedName>
    <definedName name="MC_BV_C_econ_growth_C_rates_growth_normal" localSheetId="3">MC_Tree_1!$D$33</definedName>
    <definedName name="MC_BV_C_econ_growth_D_recession_response" localSheetId="3">MC_Tree_1!$D$47</definedName>
    <definedName name="MC_BV_C_econ_infra_C_geo_infra_crisis" localSheetId="3">MC_Tree_1!$D$177</definedName>
    <definedName name="MC_BV_C_econ_infra_C_rates_infra_boom" localSheetId="3">MC_Tree_1!$D$139</definedName>
    <definedName name="MC_BV_C_econ_infra_C_rates_infra_normal" localSheetId="3">MC_Tree_1!$D$149</definedName>
    <definedName name="MC_BV_C_econ_infra_D_infra_recession" localSheetId="3">MC_Tree_1!$D$163</definedName>
    <definedName name="MC_BV_C_geo_bal_crisis_T_bal_crisis_stable" localSheetId="3">MC_Tree_1!$E$99</definedName>
    <definedName name="MC_BV_C_geo_bal_crisis_T_bal_crisis_unstable" localSheetId="3">MC_Tree_1!$E$103</definedName>
    <definedName name="MC_BV_C_geo_def_crisis_T_def_crisis_stable" localSheetId="3">MC_Tree_1!$E$131</definedName>
    <definedName name="MC_BV_C_geo_def_crisis_T_def_crisis_unstable" localSheetId="3">MC_Tree_1!$E$135</definedName>
    <definedName name="MC_BV_C_geo_growth_crisis_T_growth_crisis_stable" localSheetId="3">MC_Tree_1!$E$65</definedName>
    <definedName name="MC_BV_C_geo_growth_crisis_T_growth_crisis_unstable" localSheetId="3">MC_Tree_1!$E$69</definedName>
    <definedName name="MC_BV_C_geo_infra_crisis_T_infra_crisis_stable" localSheetId="3">MC_Tree_1!$E$175</definedName>
    <definedName name="MC_BV_C_geo_infra_crisis_T_infra_crisis_unstable" localSheetId="3">MC_Tree_1!$E$179</definedName>
    <definedName name="MC_BV_C_geo_infra_double_T_infra_double_disruption" localSheetId="3">MC_Tree_1!$F$173</definedName>
    <definedName name="MC_BV_C_geo_infra_double_T_infra_double_stable" localSheetId="3">MC_Tree_1!$F$167</definedName>
    <definedName name="MC_BV_C_geo_infra_double_T_infra_double_tension" localSheetId="3">MC_Tree_1!$F$171</definedName>
    <definedName name="MC_BV_C_geo_infra_hold_T_infra_hold_disruption" localSheetId="3">MC_Tree_1!$F$161</definedName>
    <definedName name="MC_BV_C_geo_infra_hold_T_infra_hold_stable" localSheetId="3">MC_Tree_1!$F$155</definedName>
    <definedName name="MC_BV_C_geo_infra_hold_T_infra_hold_tension" localSheetId="3">MC_Tree_1!$F$159</definedName>
    <definedName name="MC_BV_C_geo_opportunistic_T_opp_disruption" localSheetId="3">MC_Tree_1!$F$63</definedName>
    <definedName name="MC_BV_C_geo_opportunistic_T_opp_stable" localSheetId="3">MC_Tree_1!$F$57</definedName>
    <definedName name="MC_BV_C_geo_opportunistic_T_opp_tension" localSheetId="3">MC_Tree_1!$F$61</definedName>
    <definedName name="MC_BV_C_geo_rebal_def_T_rebal_disruption" localSheetId="3">MC_Tree_1!$F$45</definedName>
    <definedName name="MC_BV_C_geo_rebal_def_T_rebal_stable" localSheetId="3">MC_Tree_1!$F$39</definedName>
    <definedName name="MC_BV_C_geo_rebal_def_T_rebal_tension" localSheetId="3">MC_Tree_1!$F$43</definedName>
    <definedName name="MC_BV_C_geo_stay_course_T_stay_disruption" localSheetId="3">MC_Tree_1!$F$55</definedName>
    <definedName name="MC_BV_C_geo_stay_course_T_stay_stable" localSheetId="3">MC_Tree_1!$F$49</definedName>
    <definedName name="MC_BV_C_geo_stay_course_T_stay_tension" localSheetId="3">MC_Tree_1!$F$53</definedName>
    <definedName name="MC_BV_C_rates_bal_boom_T_bal_boom_falling" localSheetId="3">MC_Tree_1!$E$79</definedName>
    <definedName name="MC_BV_C_rates_bal_boom_T_bal_boom_rising" localSheetId="3">MC_Tree_1!$E$73</definedName>
    <definedName name="MC_BV_C_rates_bal_boom_T_bal_boom_stable" localSheetId="3">MC_Tree_1!$E$77</definedName>
    <definedName name="MC_BV_C_rates_bal_normal_T_bal_norm_falling" localSheetId="3">MC_Tree_1!$E$89</definedName>
    <definedName name="MC_BV_C_rates_bal_normal_T_bal_norm_rising" localSheetId="3">MC_Tree_1!$E$83</definedName>
    <definedName name="MC_BV_C_rates_bal_normal_T_bal_norm_stable" localSheetId="3">MC_Tree_1!$E$87</definedName>
    <definedName name="MC_BV_C_rates_bal_recession_T_bal_rec_falling" localSheetId="3">MC_Tree_1!$E$97</definedName>
    <definedName name="MC_BV_C_rates_bal_recession_T_bal_rec_rising" localSheetId="3">MC_Tree_1!$E$91</definedName>
    <definedName name="MC_BV_C_rates_bal_recession_T_bal_rec_stable" localSheetId="3">MC_Tree_1!$E$95</definedName>
    <definedName name="MC_BV_C_rates_def_boom_T_def_boom_falling" localSheetId="3">MC_Tree_1!$E$111</definedName>
    <definedName name="MC_BV_C_rates_def_boom_T_def_boom_rising" localSheetId="3">MC_Tree_1!$E$105</definedName>
    <definedName name="MC_BV_C_rates_def_boom_T_def_boom_stable" localSheetId="3">MC_Tree_1!$E$109</definedName>
    <definedName name="MC_BV_C_rates_def_normal_T_def_norm_falling" localSheetId="3">MC_Tree_1!$E$121</definedName>
    <definedName name="MC_BV_C_rates_def_normal_T_def_norm_rising" localSheetId="3">MC_Tree_1!$E$115</definedName>
    <definedName name="MC_BV_C_rates_def_normal_T_def_norm_stable" localSheetId="3">MC_Tree_1!$E$119</definedName>
    <definedName name="MC_BV_C_rates_def_recession_T_def_rec_falling" localSheetId="3">MC_Tree_1!$E$129</definedName>
    <definedName name="MC_BV_C_rates_def_recession_T_def_rec_rising" localSheetId="3">MC_Tree_1!$E$123</definedName>
    <definedName name="MC_BV_C_rates_def_recession_T_def_rec_stable" localSheetId="3">MC_Tree_1!$E$127</definedName>
    <definedName name="MC_BV_C_rates_growth_boom_T_growth_boom_falling" localSheetId="3">MC_Tree_1!$E$27</definedName>
    <definedName name="MC_BV_C_rates_growth_boom_T_growth_boom_rising" localSheetId="3">MC_Tree_1!$E$21</definedName>
    <definedName name="MC_BV_C_rates_growth_boom_T_growth_boom_stable" localSheetId="3">MC_Tree_1!$E$25</definedName>
    <definedName name="MC_BV_C_rates_growth_normal_T_growth_norm_falling" localSheetId="3">MC_Tree_1!$E$37</definedName>
    <definedName name="MC_BV_C_rates_growth_normal_T_growth_norm_rising" localSheetId="3">MC_Tree_1!$E$31</definedName>
    <definedName name="MC_BV_C_rates_growth_normal_T_growth_norm_stable" localSheetId="3">MC_Tree_1!$E$35</definedName>
    <definedName name="MC_BV_C_rates_infra_boom_T_infra_boom_falling" localSheetId="3">MC_Tree_1!$E$143</definedName>
    <definedName name="MC_BV_C_rates_infra_boom_T_infra_boom_rising" localSheetId="3">MC_Tree_1!$E$137</definedName>
    <definedName name="MC_BV_C_rates_infra_boom_T_infra_boom_stable" localSheetId="3">MC_Tree_1!$E$141</definedName>
    <definedName name="MC_BV_C_rates_infra_normal_T_infra_norm_falling" localSheetId="3">MC_Tree_1!$E$153</definedName>
    <definedName name="MC_BV_C_rates_infra_normal_T_infra_norm_rising" localSheetId="3">MC_Tree_1!$E$147</definedName>
    <definedName name="MC_BV_C_rates_infra_normal_T_infra_norm_stable" localSheetId="3">MC_Tree_1!$E$151</definedName>
    <definedName name="MC_BV_D_infra_recession_C_geo_infra_double" localSheetId="3">MC_Tree_1!$E$169</definedName>
    <definedName name="MC_BV_D_infra_recession_C_geo_infra_hold" localSheetId="3">MC_Tree_1!$E$157</definedName>
    <definedName name="MC_BV_D_infra_recession_T_infra_fire_sale" localSheetId="3">MC_Tree_1!$E$165</definedName>
    <definedName name="MC_BV_D_recession_response_C_geo_opportunistic" localSheetId="3">MC_Tree_1!$E$59</definedName>
    <definedName name="MC_BV_D_recession_response_C_geo_rebal_def" localSheetId="3">MC_Tree_1!$E$41</definedName>
    <definedName name="MC_BV_D_recession_response_C_geo_stay_course" localSheetId="3">MC_Tree_1!$E$51</definedName>
    <definedName name="MC_BV_D_root_C_econ_balanced" localSheetId="3">MC_Tree_1!$C$81</definedName>
    <definedName name="MC_BV_D_root_C_econ_defensive" localSheetId="3">MC_Tree_1!$C$113</definedName>
    <definedName name="MC_BV_D_root_C_econ_growth" localSheetId="3">MC_Tree_1!$C$29</definedName>
    <definedName name="MC_BV_D_root_C_econ_infra" localSheetId="3">MC_Tree_1!$C$145</definedName>
    <definedName name="MC_N_C_econ_balanced" localSheetId="3">MC_Tree_1!$D$80</definedName>
    <definedName name="MC_N_C_econ_defensive" localSheetId="3">MC_Tree_1!$D$112</definedName>
    <definedName name="MC_N_C_econ_growth" localSheetId="3">MC_Tree_1!$D$28</definedName>
    <definedName name="MC_N_C_econ_infra" localSheetId="3">MC_Tree_1!$D$144</definedName>
    <definedName name="MC_N_C_geo_bal_crisis" localSheetId="3">MC_Tree_1!$E$100</definedName>
    <definedName name="MC_N_C_geo_def_crisis" localSheetId="3">MC_Tree_1!$E$132</definedName>
    <definedName name="MC_N_C_geo_growth_crisis" localSheetId="3">MC_Tree_1!$E$66</definedName>
    <definedName name="MC_N_C_geo_infra_crisis" localSheetId="3">MC_Tree_1!$E$176</definedName>
    <definedName name="MC_N_C_geo_infra_double" localSheetId="3">MC_Tree_1!$F$168</definedName>
    <definedName name="MC_N_C_geo_infra_hold" localSheetId="3">MC_Tree_1!$F$156</definedName>
    <definedName name="MC_N_C_geo_opportunistic" localSheetId="3">MC_Tree_1!$F$58</definedName>
    <definedName name="MC_N_C_geo_rebal_def" localSheetId="3">MC_Tree_1!$F$40</definedName>
    <definedName name="MC_N_C_geo_stay_course" localSheetId="3">MC_Tree_1!$F$50</definedName>
    <definedName name="MC_N_C_rates_bal_boom" localSheetId="3">MC_Tree_1!$E$74</definedName>
    <definedName name="MC_N_C_rates_bal_normal" localSheetId="3">MC_Tree_1!$E$84</definedName>
    <definedName name="MC_N_C_rates_bal_recession" localSheetId="3">MC_Tree_1!$E$92</definedName>
    <definedName name="MC_N_C_rates_def_boom" localSheetId="3">MC_Tree_1!$E$106</definedName>
    <definedName name="MC_N_C_rates_def_normal" localSheetId="3">MC_Tree_1!$E$116</definedName>
    <definedName name="MC_N_C_rates_def_recession" localSheetId="3">MC_Tree_1!$E$124</definedName>
    <definedName name="MC_N_C_rates_growth_boom" localSheetId="3">MC_Tree_1!$E$22</definedName>
    <definedName name="MC_N_C_rates_growth_normal" localSheetId="3">MC_Tree_1!$E$32</definedName>
    <definedName name="MC_N_C_rates_infra_boom" localSheetId="3">MC_Tree_1!$E$138</definedName>
    <definedName name="MC_N_C_rates_infra_normal" localSheetId="3">MC_Tree_1!$E$148</definedName>
    <definedName name="MC_N_D_infra_recession" localSheetId="3">MC_Tree_1!$E$162</definedName>
    <definedName name="MC_N_D_recession_response" localSheetId="3">MC_Tree_1!$E$46</definedName>
    <definedName name="MC_N_D_root" localSheetId="3">MC_Tree_1!$C$70</definedName>
    <definedName name="MC_NP_T_bal_boom_falling" localSheetId="3">MC_Tree_1!$F$78</definedName>
    <definedName name="MC_NP_T_bal_boom_rising" localSheetId="3">MC_Tree_1!$F$72</definedName>
    <definedName name="MC_NP_T_bal_boom_stable" localSheetId="3">MC_Tree_1!$F$76</definedName>
    <definedName name="MC_NP_T_bal_crisis_stable" localSheetId="3">MC_Tree_1!$F$98</definedName>
    <definedName name="MC_NP_T_bal_crisis_unstable" localSheetId="3">MC_Tree_1!$F$102</definedName>
    <definedName name="MC_NP_T_bal_norm_falling" localSheetId="3">MC_Tree_1!$F$88</definedName>
    <definedName name="MC_NP_T_bal_norm_rising" localSheetId="3">MC_Tree_1!$F$82</definedName>
    <definedName name="MC_NP_T_bal_norm_stable" localSheetId="3">MC_Tree_1!$F$86</definedName>
    <definedName name="MC_NP_T_bal_rec_falling" localSheetId="3">MC_Tree_1!$F$96</definedName>
    <definedName name="MC_NP_T_bal_rec_rising" localSheetId="3">MC_Tree_1!$F$90</definedName>
    <definedName name="MC_NP_T_bal_rec_stable" localSheetId="3">MC_Tree_1!$F$94</definedName>
    <definedName name="MC_NP_T_def_boom_falling" localSheetId="3">MC_Tree_1!$F$110</definedName>
    <definedName name="MC_NP_T_def_boom_rising" localSheetId="3">MC_Tree_1!$F$104</definedName>
    <definedName name="MC_NP_T_def_boom_stable" localSheetId="3">MC_Tree_1!$F$108</definedName>
    <definedName name="MC_NP_T_def_crisis_stable" localSheetId="3">MC_Tree_1!$F$130</definedName>
    <definedName name="MC_NP_T_def_crisis_unstable" localSheetId="3">MC_Tree_1!$F$134</definedName>
    <definedName name="MC_NP_T_def_norm_falling" localSheetId="3">MC_Tree_1!$F$120</definedName>
    <definedName name="MC_NP_T_def_norm_rising" localSheetId="3">MC_Tree_1!$F$114</definedName>
    <definedName name="MC_NP_T_def_norm_stable" localSheetId="3">MC_Tree_1!$F$118</definedName>
    <definedName name="MC_NP_T_def_rec_falling" localSheetId="3">MC_Tree_1!$F$128</definedName>
    <definedName name="MC_NP_T_def_rec_rising" localSheetId="3">MC_Tree_1!$F$122</definedName>
    <definedName name="MC_NP_T_def_rec_stable" localSheetId="3">MC_Tree_1!$F$126</definedName>
    <definedName name="MC_NP_T_growth_boom_falling" localSheetId="3">MC_Tree_1!$F$26</definedName>
    <definedName name="MC_NP_T_growth_boom_rising" localSheetId="3">MC_Tree_1!$F$20</definedName>
    <definedName name="MC_NP_T_growth_boom_stable" localSheetId="3">MC_Tree_1!$F$24</definedName>
    <definedName name="MC_NP_T_growth_crisis_stable" localSheetId="3">MC_Tree_1!$F$64</definedName>
    <definedName name="MC_NP_T_growth_crisis_unstable" localSheetId="3">MC_Tree_1!$F$68</definedName>
    <definedName name="MC_NP_T_growth_norm_falling" localSheetId="3">MC_Tree_1!$F$36</definedName>
    <definedName name="MC_NP_T_growth_norm_rising" localSheetId="3">MC_Tree_1!$F$30</definedName>
    <definedName name="MC_NP_T_growth_norm_stable" localSheetId="3">MC_Tree_1!$F$34</definedName>
    <definedName name="MC_NP_T_infra_boom_falling" localSheetId="3">MC_Tree_1!$F$142</definedName>
    <definedName name="MC_NP_T_infra_boom_rising" localSheetId="3">MC_Tree_1!$F$136</definedName>
    <definedName name="MC_NP_T_infra_boom_stable" localSheetId="3">MC_Tree_1!$F$140</definedName>
    <definedName name="MC_NP_T_infra_crisis_stable" localSheetId="3">MC_Tree_1!$F$174</definedName>
    <definedName name="MC_NP_T_infra_crisis_unstable" localSheetId="3">MC_Tree_1!$F$178</definedName>
    <definedName name="MC_NP_T_infra_double_disruption" localSheetId="3">MC_Tree_1!$G$172</definedName>
    <definedName name="MC_NP_T_infra_double_stable" localSheetId="3">MC_Tree_1!$G$166</definedName>
    <definedName name="MC_NP_T_infra_double_tension" localSheetId="3">MC_Tree_1!$G$170</definedName>
    <definedName name="MC_NP_T_infra_fire_sale" localSheetId="3">MC_Tree_1!$F$164</definedName>
    <definedName name="MC_NP_T_infra_hold_disruption" localSheetId="3">MC_Tree_1!$G$160</definedName>
    <definedName name="MC_NP_T_infra_hold_stable" localSheetId="3">MC_Tree_1!$G$154</definedName>
    <definedName name="MC_NP_T_infra_hold_tension" localSheetId="3">MC_Tree_1!$G$158</definedName>
    <definedName name="MC_NP_T_infra_norm_falling" localSheetId="3">MC_Tree_1!$F$152</definedName>
    <definedName name="MC_NP_T_infra_norm_rising" localSheetId="3">MC_Tree_1!$F$146</definedName>
    <definedName name="MC_NP_T_infra_norm_stable" localSheetId="3">MC_Tree_1!$F$150</definedName>
    <definedName name="MC_NP_T_opp_disruption" localSheetId="3">MC_Tree_1!$G$62</definedName>
    <definedName name="MC_NP_T_opp_stable" localSheetId="3">MC_Tree_1!$G$56</definedName>
    <definedName name="MC_NP_T_opp_tension" localSheetId="3">MC_Tree_1!$G$60</definedName>
    <definedName name="MC_NP_T_rebal_disruption" localSheetId="3">MC_Tree_1!$G$44</definedName>
    <definedName name="MC_NP_T_rebal_stable" localSheetId="3">MC_Tree_1!$G$38</definedName>
    <definedName name="MC_NP_T_rebal_tension" localSheetId="3">MC_Tree_1!$G$42</definedName>
    <definedName name="MC_NP_T_stay_disruption" localSheetId="3">MC_Tree_1!$G$54</definedName>
    <definedName name="MC_NP_T_stay_stable" localSheetId="3">MC_Tree_1!$G$48</definedName>
    <definedName name="MC_NP_T_stay_tension" localSheetId="3">MC_Tree_1!$G$52</definedName>
    <definedName name="MC_V_C_econ_balanced" localSheetId="3">MC_Tree_1!$D$81</definedName>
    <definedName name="MC_V_C_econ_defensive" localSheetId="3">MC_Tree_1!$D$113</definedName>
    <definedName name="MC_V_C_econ_growth" localSheetId="3">MC_Tree_1!$D$29</definedName>
    <definedName name="MC_V_C_econ_infra" localSheetId="3">MC_Tree_1!$D$145</definedName>
    <definedName name="MC_V_C_geo_bal_crisis" localSheetId="3">MC_Tree_1!$E$101</definedName>
    <definedName name="MC_V_C_geo_def_crisis" localSheetId="3">MC_Tree_1!$E$133</definedName>
    <definedName name="MC_V_C_geo_growth_crisis" localSheetId="3">MC_Tree_1!$E$67</definedName>
    <definedName name="MC_V_C_geo_infra_crisis" localSheetId="3">MC_Tree_1!$E$177</definedName>
    <definedName name="MC_V_C_geo_infra_double" localSheetId="3">MC_Tree_1!$F$169</definedName>
    <definedName name="MC_V_C_geo_infra_hold" localSheetId="3">MC_Tree_1!$F$157</definedName>
    <definedName name="MC_V_C_geo_opportunistic" localSheetId="3">MC_Tree_1!$F$59</definedName>
    <definedName name="MC_V_C_geo_rebal_def" localSheetId="3">MC_Tree_1!$F$41</definedName>
    <definedName name="MC_V_C_geo_stay_course" localSheetId="3">MC_Tree_1!$F$51</definedName>
    <definedName name="MC_V_C_rates_bal_boom" localSheetId="3">MC_Tree_1!$E$75</definedName>
    <definedName name="MC_V_C_rates_bal_normal" localSheetId="3">MC_Tree_1!$E$85</definedName>
    <definedName name="MC_V_C_rates_bal_recession" localSheetId="3">MC_Tree_1!$E$93</definedName>
    <definedName name="MC_V_C_rates_def_boom" localSheetId="3">MC_Tree_1!$E$107</definedName>
    <definedName name="MC_V_C_rates_def_normal" localSheetId="3">MC_Tree_1!$E$117</definedName>
    <definedName name="MC_V_C_rates_def_recession" localSheetId="3">MC_Tree_1!$E$125</definedName>
    <definedName name="MC_V_C_rates_growth_boom" localSheetId="3">MC_Tree_1!$E$23</definedName>
    <definedName name="MC_V_C_rates_growth_normal" localSheetId="3">MC_Tree_1!$E$33</definedName>
    <definedName name="MC_V_C_rates_infra_boom" localSheetId="3">MC_Tree_1!$E$139</definedName>
    <definedName name="MC_V_C_rates_infra_normal" localSheetId="3">MC_Tree_1!$E$149</definedName>
    <definedName name="MC_V_D_infra_recession" localSheetId="3">MC_Tree_1!$E$163</definedName>
    <definedName name="MC_V_D_recession_response" localSheetId="3">MC_Tree_1!$E$47</definedName>
    <definedName name="MC_V_D_root" localSheetId="3">MC_Tree_1!$C$71</definedName>
    <definedName name="MC_V_T_bal_boom_falling" localSheetId="3">MC_Tree_1!$F$79</definedName>
    <definedName name="MC_V_T_bal_boom_rising" localSheetId="3">MC_Tree_1!$F$73</definedName>
    <definedName name="MC_V_T_bal_boom_stable" localSheetId="3">MC_Tree_1!$F$77</definedName>
    <definedName name="MC_V_T_bal_crisis_stable" localSheetId="3">MC_Tree_1!$F$99</definedName>
    <definedName name="MC_V_T_bal_crisis_unstable" localSheetId="3">MC_Tree_1!$F$103</definedName>
    <definedName name="MC_V_T_bal_norm_falling" localSheetId="3">MC_Tree_1!$F$89</definedName>
    <definedName name="MC_V_T_bal_norm_rising" localSheetId="3">MC_Tree_1!$F$83</definedName>
    <definedName name="MC_V_T_bal_norm_stable" localSheetId="3">MC_Tree_1!$F$87</definedName>
    <definedName name="MC_V_T_bal_rec_falling" localSheetId="3">MC_Tree_1!$F$97</definedName>
    <definedName name="MC_V_T_bal_rec_rising" localSheetId="3">MC_Tree_1!$F$91</definedName>
    <definedName name="MC_V_T_bal_rec_stable" localSheetId="3">MC_Tree_1!$F$95</definedName>
    <definedName name="MC_V_T_def_boom_falling" localSheetId="3">MC_Tree_1!$F$111</definedName>
    <definedName name="MC_V_T_def_boom_rising" localSheetId="3">MC_Tree_1!$F$105</definedName>
    <definedName name="MC_V_T_def_boom_stable" localSheetId="3">MC_Tree_1!$F$109</definedName>
    <definedName name="MC_V_T_def_crisis_stable" localSheetId="3">MC_Tree_1!$F$131</definedName>
    <definedName name="MC_V_T_def_crisis_unstable" localSheetId="3">MC_Tree_1!$F$135</definedName>
    <definedName name="MC_V_T_def_norm_falling" localSheetId="3">MC_Tree_1!$F$121</definedName>
    <definedName name="MC_V_T_def_norm_rising" localSheetId="3">MC_Tree_1!$F$115</definedName>
    <definedName name="MC_V_T_def_norm_stable" localSheetId="3">MC_Tree_1!$F$119</definedName>
    <definedName name="MC_V_T_def_rec_falling" localSheetId="3">MC_Tree_1!$F$129</definedName>
    <definedName name="MC_V_T_def_rec_rising" localSheetId="3">MC_Tree_1!$F$123</definedName>
    <definedName name="MC_V_T_def_rec_stable" localSheetId="3">MC_Tree_1!$F$127</definedName>
    <definedName name="MC_V_T_growth_boom_falling" localSheetId="3">MC_Tree_1!$F$27</definedName>
    <definedName name="MC_V_T_growth_boom_rising" localSheetId="3">MC_Tree_1!$F$21</definedName>
    <definedName name="MC_V_T_growth_boom_stable" localSheetId="3">MC_Tree_1!$F$25</definedName>
    <definedName name="MC_V_T_growth_crisis_stable" localSheetId="3">MC_Tree_1!$F$65</definedName>
    <definedName name="MC_V_T_growth_crisis_unstable" localSheetId="3">MC_Tree_1!$F$69</definedName>
    <definedName name="MC_V_T_growth_norm_falling" localSheetId="3">MC_Tree_1!$F$37</definedName>
    <definedName name="MC_V_T_growth_norm_rising" localSheetId="3">MC_Tree_1!$F$31</definedName>
    <definedName name="MC_V_T_growth_norm_stable" localSheetId="3">MC_Tree_1!$F$35</definedName>
    <definedName name="MC_V_T_infra_boom_falling" localSheetId="3">MC_Tree_1!$F$143</definedName>
    <definedName name="MC_V_T_infra_boom_rising" localSheetId="3">MC_Tree_1!$F$137</definedName>
    <definedName name="MC_V_T_infra_boom_stable" localSheetId="3">MC_Tree_1!$F$141</definedName>
    <definedName name="MC_V_T_infra_crisis_stable" localSheetId="3">MC_Tree_1!$F$175</definedName>
    <definedName name="MC_V_T_infra_crisis_unstable" localSheetId="3">MC_Tree_1!$F$179</definedName>
    <definedName name="MC_V_T_infra_double_disruption" localSheetId="3">MC_Tree_1!$G$173</definedName>
    <definedName name="MC_V_T_infra_double_stable" localSheetId="3">MC_Tree_1!$G$167</definedName>
    <definedName name="MC_V_T_infra_double_tension" localSheetId="3">MC_Tree_1!$G$171</definedName>
    <definedName name="MC_V_T_infra_fire_sale" localSheetId="3">MC_Tree_1!$F$165</definedName>
    <definedName name="MC_V_T_infra_hold_disruption" localSheetId="3">MC_Tree_1!$G$161</definedName>
    <definedName name="MC_V_T_infra_hold_stable" localSheetId="3">MC_Tree_1!$G$155</definedName>
    <definedName name="MC_V_T_infra_hold_tension" localSheetId="3">MC_Tree_1!$G$159</definedName>
    <definedName name="MC_V_T_infra_norm_falling" localSheetId="3">MC_Tree_1!$F$153</definedName>
    <definedName name="MC_V_T_infra_norm_rising" localSheetId="3">MC_Tree_1!$F$147</definedName>
    <definedName name="MC_V_T_infra_norm_stable" localSheetId="3">MC_Tree_1!$F$151</definedName>
    <definedName name="MC_V_T_opp_disruption" localSheetId="3">MC_Tree_1!$G$63</definedName>
    <definedName name="MC_V_T_opp_stable" localSheetId="3">MC_Tree_1!$G$57</definedName>
    <definedName name="MC_V_T_opp_tension" localSheetId="3">MC_Tree_1!$G$61</definedName>
    <definedName name="MC_V_T_rebal_disruption" localSheetId="3">MC_Tree_1!$G$45</definedName>
    <definedName name="MC_V_T_rebal_stable" localSheetId="3">MC_Tree_1!$G$39</definedName>
    <definedName name="MC_V_T_rebal_tension" localSheetId="3">MC_Tree_1!$G$43</definedName>
    <definedName name="MC_V_T_stay_disruption" localSheetId="3">MC_Tree_1!$G$55</definedName>
    <definedName name="MC_V_T_stay_stable" localSheetId="3">MC_Tree_1!$G$49</definedName>
    <definedName name="MC_V_T_stay_tension" localSheetId="3">MC_Tree_1!$G$53</definedName>
    <definedName name="OpportunisticBuyingCost">MC_Tree_1!$C$8</definedName>
    <definedName name="RebalanceToDefensiveCost">MC_Tree_1!$C$7</definedName>
    <definedName name="SellAtDiscountValue">MC_Tree_1!$C$9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5" i="3" l="1"/>
  <c r="E41" i="3"/>
  <c r="E59" i="3"/>
  <c r="E165" i="3"/>
  <c r="E169" i="3"/>
  <c r="ER1" i="4"/>
  <c r="EQ1" i="4"/>
  <c r="EP1" i="4"/>
  <c r="EO1" i="4"/>
  <c r="EN1" i="4"/>
  <c r="EM1" i="4"/>
  <c r="EL1" i="4"/>
  <c r="EK1" i="4"/>
  <c r="EJ1" i="4"/>
  <c r="EI1" i="4"/>
  <c r="EH1" i="4"/>
  <c r="EG1" i="4"/>
  <c r="EF1" i="4"/>
  <c r="EE1" i="4"/>
  <c r="ED1" i="4"/>
  <c r="EC1" i="4"/>
  <c r="EB1" i="4"/>
  <c r="EA1" i="4"/>
  <c r="DZ1" i="4"/>
  <c r="DY1" i="4"/>
  <c r="DX1" i="4"/>
  <c r="DW1" i="4"/>
  <c r="DV1" i="4"/>
  <c r="DU1" i="4"/>
  <c r="DT1" i="4"/>
  <c r="DS1" i="4"/>
  <c r="DR1" i="4"/>
  <c r="DQ1" i="4"/>
  <c r="DP1" i="4"/>
  <c r="DO1" i="4"/>
  <c r="DN1" i="4"/>
  <c r="DM1" i="4"/>
  <c r="DL1" i="4"/>
  <c r="DK1" i="4"/>
  <c r="DJ1" i="4"/>
  <c r="DI1" i="4"/>
  <c r="DH1" i="4"/>
  <c r="DG1" i="4"/>
  <c r="DF1" i="4"/>
  <c r="DE1" i="4"/>
  <c r="DD1" i="4"/>
  <c r="DC1" i="4"/>
  <c r="DB1" i="4"/>
  <c r="DA1" i="4"/>
  <c r="CZ1" i="4"/>
  <c r="CY1" i="4"/>
  <c r="CX1" i="4"/>
  <c r="CW1" i="4"/>
  <c r="CV1" i="4"/>
  <c r="CU1" i="4"/>
  <c r="CT1" i="4"/>
  <c r="CS1" i="4"/>
  <c r="CR1" i="4"/>
  <c r="CQ1" i="4"/>
  <c r="CP1" i="4"/>
  <c r="CO1" i="4"/>
  <c r="CN1" i="4"/>
  <c r="CM1" i="4"/>
  <c r="CL1" i="4"/>
  <c r="CK1" i="4"/>
  <c r="CJ1" i="4"/>
  <c r="CI1" i="4"/>
  <c r="CH1" i="4"/>
  <c r="CG1" i="4"/>
  <c r="CF1" i="4"/>
  <c r="CE1" i="4"/>
  <c r="CD1" i="4"/>
  <c r="CC1" i="4"/>
  <c r="CB1" i="4"/>
  <c r="CA1" i="4"/>
  <c r="BZ1" i="4"/>
  <c r="BY1" i="4"/>
  <c r="BX1" i="4"/>
  <c r="BW1" i="4"/>
  <c r="BV1" i="4"/>
  <c r="BU1" i="4"/>
  <c r="BT1" i="4"/>
  <c r="BS1" i="4"/>
  <c r="BR1" i="4"/>
  <c r="BQ1" i="4"/>
  <c r="BP1" i="4"/>
  <c r="BO1" i="4"/>
  <c r="BN1" i="4"/>
  <c r="BM1" i="4"/>
  <c r="BL1" i="4"/>
  <c r="BK1" i="4"/>
  <c r="BJ1" i="4"/>
  <c r="BI1" i="4"/>
  <c r="BH1" i="4"/>
  <c r="BG1" i="4"/>
  <c r="BF1" i="4"/>
  <c r="BE1" i="4"/>
  <c r="BD1" i="4"/>
  <c r="BC1" i="4"/>
  <c r="BB1" i="4"/>
  <c r="BA1" i="4"/>
  <c r="AZ1" i="4"/>
  <c r="AY1" i="4"/>
  <c r="AX1" i="4"/>
  <c r="AW1" i="4"/>
  <c r="AV1" i="4"/>
  <c r="AU1" i="4"/>
  <c r="AT1" i="4"/>
  <c r="AS1" i="4"/>
  <c r="AR1" i="4"/>
  <c r="AQ1" i="4"/>
  <c r="AP1" i="4"/>
  <c r="AO1" i="4"/>
  <c r="AN1" i="4"/>
  <c r="AM1" i="4"/>
  <c r="AL1" i="4"/>
  <c r="AK1" i="4"/>
  <c r="AJ1" i="4"/>
  <c r="AI1" i="4"/>
  <c r="AH1" i="4"/>
  <c r="AG1" i="4"/>
  <c r="AF1" i="4"/>
  <c r="AE1" i="4"/>
  <c r="AD1" i="4"/>
  <c r="AC1" i="4"/>
  <c r="AB1" i="4"/>
  <c r="AA1" i="4"/>
  <c r="Z1" i="4"/>
  <c r="Y1" i="4"/>
  <c r="X1" i="4"/>
  <c r="W1" i="4"/>
  <c r="V1" i="4"/>
  <c r="U1" i="4"/>
  <c r="T1" i="4"/>
  <c r="S1" i="4"/>
  <c r="R1" i="4"/>
  <c r="Q1" i="4"/>
  <c r="P1" i="4"/>
  <c r="O1" i="4"/>
  <c r="N1" i="4"/>
  <c r="M1" i="4"/>
  <c r="L1" i="4"/>
  <c r="K1" i="4"/>
  <c r="J1" i="4"/>
  <c r="I1" i="4"/>
  <c r="H1" i="4"/>
  <c r="G1" i="4"/>
  <c r="F1" i="4"/>
  <c r="E1" i="4"/>
  <c r="D1" i="4"/>
  <c r="C1" i="4"/>
  <c r="B1" i="4"/>
  <c r="A1" i="4"/>
  <c r="F175" i="3"/>
  <c r="G166" i="3"/>
  <c r="F157" i="3"/>
  <c r="F147" i="3"/>
  <c r="F137" i="3"/>
  <c r="F128" i="3"/>
  <c r="F119" i="3"/>
  <c r="F109" i="3"/>
  <c r="F99" i="3"/>
  <c r="F90" i="3"/>
  <c r="D81" i="3"/>
  <c r="C71" i="3"/>
  <c r="G61" i="3"/>
  <c r="G52" i="3"/>
  <c r="G42" i="3"/>
  <c r="E33" i="3"/>
  <c r="E23" i="3"/>
  <c r="F174" i="3"/>
  <c r="F165" i="3"/>
  <c r="G155" i="3"/>
  <c r="F146" i="3"/>
  <c r="F136" i="3"/>
  <c r="F127" i="3"/>
  <c r="F118" i="3"/>
  <c r="F108" i="3"/>
  <c r="F98" i="3"/>
  <c r="F89" i="3"/>
  <c r="F79" i="3"/>
  <c r="F69" i="3"/>
  <c r="G60" i="3"/>
  <c r="F51" i="3"/>
  <c r="F41" i="3"/>
  <c r="F31" i="3"/>
  <c r="F21" i="3"/>
  <c r="E156" i="3"/>
  <c r="E58" i="3"/>
  <c r="E40" i="3"/>
  <c r="G173" i="3"/>
  <c r="F164" i="3"/>
  <c r="G154" i="3"/>
  <c r="D145" i="3"/>
  <c r="F135" i="3"/>
  <c r="F126" i="3"/>
  <c r="E117" i="3"/>
  <c r="E107" i="3"/>
  <c r="F97" i="3"/>
  <c r="F88" i="3"/>
  <c r="F78" i="3"/>
  <c r="F68" i="3"/>
  <c r="F59" i="3"/>
  <c r="G49" i="3"/>
  <c r="G39" i="3"/>
  <c r="F30" i="3"/>
  <c r="F20" i="3"/>
  <c r="E50" i="3"/>
  <c r="E164" i="3"/>
  <c r="G172" i="3"/>
  <c r="E163" i="3"/>
  <c r="F153" i="3"/>
  <c r="F143" i="3"/>
  <c r="F134" i="3"/>
  <c r="E125" i="3"/>
  <c r="F115" i="3"/>
  <c r="F105" i="3"/>
  <c r="F96" i="3"/>
  <c r="F87" i="3"/>
  <c r="F77" i="3"/>
  <c r="E67" i="3"/>
  <c r="G57" i="3"/>
  <c r="G48" i="3"/>
  <c r="G38" i="3"/>
  <c r="D29" i="3"/>
  <c r="G171" i="3"/>
  <c r="G161" i="3"/>
  <c r="F152" i="3"/>
  <c r="F142" i="3"/>
  <c r="E133" i="3"/>
  <c r="F123" i="3"/>
  <c r="F114" i="3"/>
  <c r="F104" i="3"/>
  <c r="F95" i="3"/>
  <c r="F86" i="3"/>
  <c r="F76" i="3"/>
  <c r="F65" i="3"/>
  <c r="G56" i="3"/>
  <c r="E47" i="3"/>
  <c r="F37" i="3"/>
  <c r="F27" i="3"/>
  <c r="F179" i="3"/>
  <c r="G170" i="3"/>
  <c r="G160" i="3"/>
  <c r="F151" i="3"/>
  <c r="F141" i="3"/>
  <c r="F131" i="3"/>
  <c r="F122" i="3"/>
  <c r="D113" i="3"/>
  <c r="F103" i="3"/>
  <c r="F94" i="3"/>
  <c r="E85" i="3"/>
  <c r="E75" i="3"/>
  <c r="F64" i="3"/>
  <c r="G55" i="3"/>
  <c r="G45" i="3"/>
  <c r="F36" i="3"/>
  <c r="F26" i="3"/>
  <c r="C144" i="3"/>
  <c r="C28" i="3"/>
  <c r="F178" i="3"/>
  <c r="F169" i="3"/>
  <c r="G159" i="3"/>
  <c r="F150" i="3"/>
  <c r="F140" i="3"/>
  <c r="F130" i="3"/>
  <c r="F121" i="3"/>
  <c r="F111" i="3"/>
  <c r="F102" i="3"/>
  <c r="E93" i="3"/>
  <c r="F83" i="3"/>
  <c r="F73" i="3"/>
  <c r="G63" i="3"/>
  <c r="G54" i="3"/>
  <c r="G44" i="3"/>
  <c r="F35" i="3"/>
  <c r="F25" i="3"/>
  <c r="C112" i="3"/>
  <c r="C80" i="3"/>
  <c r="E177" i="3"/>
  <c r="G167" i="3"/>
  <c r="G158" i="3"/>
  <c r="E149" i="3"/>
  <c r="E139" i="3"/>
  <c r="F129" i="3"/>
  <c r="F120" i="3"/>
  <c r="F110" i="3"/>
  <c r="E101" i="3"/>
  <c r="F91" i="3"/>
  <c r="F82" i="3"/>
  <c r="F72" i="3"/>
  <c r="G62" i="3"/>
  <c r="G53" i="3"/>
  <c r="G43" i="3"/>
  <c r="F34" i="3"/>
  <c r="F24" i="3"/>
  <c r="E168" i="3"/>
</calcChain>
</file>

<file path=xl/sharedStrings.xml><?xml version="1.0" encoding="utf-8"?>
<sst xmlns="http://schemas.openxmlformats.org/spreadsheetml/2006/main" count="111" uniqueCount="84">
  <si>
    <t>{"_v":2,"trees":{"MC_Tree_1":"{\r\n  \"RootId\": \"D_root\",\r\n  \"Nodes\": {\r\n    \"D_root\": {\r\n      \"type\": \"decision\",\r\n      \"id\": \"D_root\",\r\n      \"name\": \"SWF 10-Year Allocation\",\r\n      \"options\": [\r\n        {\r\n          \"name\": \"Growth Portfolio\",\r\n          \"childId\": \"C_econ_growth\",\r\n          \"value\": 0\r\n        },\r\n        {\r\n          \"name\": \"Balanced Portfolio\",\r\n          \"childId\": \"C_econ_balanced\",\r\n          \"value\": 0\r\n        },\r\n        {\r\n          \"name\": \"Defensive Portfolio\",\r\n          \"childId\": \"C_econ_defensive\",\r\n          \"value\": 0\r\n        },\r\n        {\r\n          \"name\": \"Infrastructure-Heavy\",\r\n          \"childId\": \"C_econ_infra\",\r\n          \"value\": -50000000\r\n        }\r\n      ]\r\n    },\r\n    \"C_econ_growth\": {\r\n      \"type\": \"chance\",\r\n      \"id\": \"C_econ_growth\",\r\n      \"name\": \"Global Economic Regime\",\r\n      \"branches\": [\r\n        {\r\n          \"name\": \"Boom\",\r\n          \"probability\": 0.2,\r\n          \"childId\": \"C_rates_growth_boom\"\r\n        },\r\n        {\r\n          \"name\": \"Normal Growth\",\r\n          \"probability\": 0.4,\r\n          \"childId\": \"C_rates_growth_normal\"\r\n        },\r\n        {\r\n          \"name\": \"Recession\",\r\n          \"probability\": 0.25,\r\n          \"childId\": \"D_recession_response\"\r\n        },\r\n        {\r\n          \"name\": \"Crisis\",\r\n          \"probability\": 0.15,\r\n          \"childId\": \"C_geo_growth_crisis\"\r\n        }\r\n      ]\r\n    },\r\n    \"C_rates_growth_boom\": {\r\n      \"type\": \"chance\",\r\n      \"id\": \"C_rates_growth_boom\",\r\n      \"name\": \"Interest Rate Env (Boom)\",\r\n      \"branches\": [\r\n        {\r\n          \"name\": \"Rising Rates\",\r\n          \"probability\": 0.5,\r\n          \"childId\": \"T_growth_boom_rising\",\r\n          \"value\": 10500000000\r\n        },\r\n        {\r\n          \"name\": \"Stable Rates\",\r\n          \"probability\": 0.35,\r\n          \"childId\": \"T_growth_boom_stable\",\r\n          \"value\": 11500000000\r\n        },\r\n        {\r\n          \"name\": \"Falling Rates\",\r\n          \"probability\": 0.15,\r\n          \"childId\": \"T_growth_boom_falling\",\r\n          \"value\": 12000000000\r\n        }\r\n      ]\r\n    },\r\n    \"T_growth_boom_rising\": {\r\n      \"type\": \"terminal\",\r\n      \"id\": \"T_growth_boom_rising\",\r\n      \"name\": \"Growth: Boom+Rising\",\r\n      \"value\": 0\r\n    },\r\n    \"T_growth_boom_stable\": {\r\n      \"type\": \"terminal\",\r\n      \"id\": \"T_growth_boom_stable\",\r\n      \"name\": \"Growth: Boom+Stable\",\r\n      \"value\": 0\r\n    },\r\n    \"T_growth_boom_falling\": {\r\n      \"type\": \"terminal\",\r\n      \"id\": \"T_growth_boom_falling\",\r\n      \"name\": \"Growth: Boom+Falling\",\r\n      \"value\": 0\r\n    },\r\n    \"C_rates_growth_normal\": {\r\n      \"type\": \"chance\",\r\n      \"id\": \"C_rates_growth_normal\",\r\n      \"name\": \"Interest Rate Env (Normal)\",\r\n      \"branches\": [\r\n        {\r\n          \"name\": \"Rising Rates\",\r\n          \"probability\": 0.35,\r\n          \"childId\": \"T_growth_norm_rising\",\r\n          \"value\": 7200000000\r\n        },\r\n        {\r\n          \"name\": \"Stable Rates\",\r\n          \"probability\": 0.4,\r\n          \"childId\": \"T_growth_norm_stable\",\r\n          \"value\": 8000000000\r\n        },\r\n        {\r\n          \"name\": \"Falling Rates\",\r\n          \"probability\": 0.25,\r\n          \"childId\": \"T_growth_norm_falling\",\r\n          \"value\": 8800000000\r\n        }\r\n      ]\r\n    },\r\n    \"T_growth_norm_rising\": {\r\n      \"type\": \"terminal\",\r\n      \"id\": \"T_growth_norm_rising\",\r\n      \"name\": \"Growth: Normal+Rising\",\r\n      \"value\": 0\r\n    },\r\n    \"T_growth_norm_stable\": {\r\n      \"type\": \"terminal\",\r\n      \"id\": \"T_growth_norm_stable\",\r\n      \"name\": \"Growth: Normal+Stable\",\r\n      \"value\": 0\r\n    },\r\n    \"T_growth_norm_falling\": {\r\n      \"type\": \"terminal\",\r\n      \"id\": \"T_growth_norm_falling\",\r\n      \"name\": \"Growth: Normal+Falling\",\r\n      \"value\": 0\r\n    },\r\n    \"D_recession_response\": {\r\n      \"type\": \"decision\",\r\n      \"id\": \"D_recession_response\",\r\n      \"name\": \"Recession Response (Growth)\",\r\n      \"options\": [\r\n        {\r\n          \"name\": \"Rebalance to Defensive\",\r\n          \"childId\": \"C_geo_rebal_def\",\r\n          \"value\": -75000000\r\n        },\r\n        {\r\n          \"name\": \"Stay the Course\",\r\n          \"childId\": \"C_geo_stay_course\",\r\n          \"value\": 0\r\n        },\r\n        {\r\n          \"name\": \"Opportunistic Buying\",\r\n          \"childId\": \"C_geo_opportunistic\",\r\n          \"value\": -100000000\r\n        }\r\n      ]\r\n    },\r\n    \"C_geo_rebal_def\": {\r\n      \"type\": \"chance\",\r\n      \"id\": \"C_geo_rebal_def\",\r\n      \"name\": \"Geopolitical Stability\",\r\n      \"branches\": [\r\n        {\r\n          \"name\": \"Stable\",\r\n          \"probability\": 0.5,\r\n          \"childId\": \"T_rebal_stable\",\r\n          \"value\": 5800000000\r\n        },\r\n        {\r\n          \"name\": \"Moderate Tension\",\r\n          \"probability\": 0.35,\r\n          \"childId\": \"T_rebal_tension\",\r\n          \"value\": 5200000000\r\n        },\r\n        {\r\n          \"name\": \"Major Disruption\",\r\n          \"probability\": 0.15,\r\n          \"childId\": \"T_rebal_disruption\",\r\n          \"value\": 4500000000\r\n        }\r\n      ]\r\n    },\r\n    \"T_rebal_stable\": {\r\n      \"type\": \"terminal\",\r\n      \"id\": \"T_rebal_stable\",\r\n      \"name\": \"Rebalance: Stable Geo\",\r\n      \"value\": 0\r\n    },\r\n    \"T_rebal_tension\": {\r\n      \"type\": \"terminal\",\r\n      \"id\": \"T_rebal_tension\",\r\n      \"name\": \"Rebalance: Tension\",\r\n      \"value\": 0\r\n    },\r\n    \"T_rebal_disruption\": {\r\n      \"type\": \"terminal\",\r\n      \"id\": \"T_rebal_disruption\",\r\n      \"name\": \"Rebalance: Disruption\",\r\n      \"value\": 0\r\n    },\r\n    \"C_geo_stay_course\": {\r\n      \"type\": \"chance\",\r\n      \"id\": \"C_geo_stay_course\",\r\n      \"name\": \"Geopolitical Stability\",\r\n      \"branches\": [\r\n        {\r\n          \"name\": \"Stable\",\r\n          \"probability\": 0.5,\r\n          \"childId\": \"T_stay_stable\",\r\n          \"value\": 5500000000\r\n        },\r\n        {\r\n          \"name\": \"Moderate Tension\",\r\n          \"probability\": 0.35,\r\n          \"childId\": \"T_stay_tension\",\r\n          \"value\": 4200000000\r\n        },\r\n        {\r\n          \"name\": \"Major Disruption\",\r\n          \"probability\": 0.15,\r\n          \"childId\": \"T_stay_disruption\",\r\n          \"value\": 3200000000\r\n        }\r\n      ]\r\n    },\r\n    \"T_stay_stable\": {\r\n      \"type\": \"terminal\",\r\n      \"id\": \"T_stay_stable\",\r\n      \"name\": \"Stay Course: Stable\",\r\n      \"value\": 0\r\n    },\r\n    \"T_stay_tension\": {\r\n      \"type\": \"terminal\",\r\n      \"id\": \"T_stay_tension\",\r\n      \"name\": \"Stay Course: Tension\",\r\n      \"value\": 0\r\n    },\r\n    \"T_stay_disruption\": {\r\n      \"type\": \"terminal\",\r\n      \"id\": \"T_stay_disruption\",\r\n      \"name\": \"Stay Course: Disruption\",\r\n      \"value\": 0\r\n    },\r\n    \"C_geo_opportunistic\": {\r\n      \"type\": \"chance\",\r\n      \"id\": \"C_geo_opportunistic\",\r\n      \"name\": \"Geopolitical Stability\",\r\n      \"branches\": [\r\n        {\r\n          \"name\": \"Stable\",\r\n          \"probability\": 0.5,\r\n          \"childId\": \"T_opp_stable\",\r\n          \"value\": 7500000000\r\n        },\r\n        {\r\n          \"name\": \"Moderate Tension\",\r\n          \"probability\": 0.35,\r\n          \"childId\": \"T_opp_tension\",\r\n          \"value\": 5000000000\r\n        },\r\n        {\r\n          \"name\": \"Major Disruption\",\r\n          \"probability\": 0.15,\r\n          \"childId\": \"T_opp_disruption\",\r\n          \"value\": 3000000000\r\n        }\r\n      ]\r\n    },\r\n    \"T_opp_stable\": {\r\n      \"type\": \"terminal\",\r\n      \"id\": \"T_opp_stable\",\r\n      \"name\": \"Opportunistic: Stable\",\r\n      \"value\": 0\r\n    },\r\n    \"T_opp_tension\": {\r\n      \"type\": \"terminal\",\r\n      \"id\": \"T_opp_tension\",\r\n      \"name\": \"Opportunistic: Tension\",\r\n      \"value\": 0\r\n    },\r\n    \"T_opp_disruption\": {\r\n      \"type\": \"terminal\",\r\n      \"id\": \"T_opp_disruption\",\r\n      \"name\": \"Opportunistic: Disruption\",\r\n      \"value\": 0\r\n    },\r\n    \"C_geo_growth_crisis\": {\r\n      \"type\": \"chance\",\r\n      \"id\": \"C_geo_growth_crisis\",\r\n      \"name\": \"Geopolitical (Crisis)\",\r\n      \"branches\": [\r\n        {\r\n          \"name\": \"Stable Geopolitics\",\r\n          \"probability\": 0.4,\r\n          \"childId\": \"T_growth_crisis_stable\",\r\n          \"value\": 3500000000\r\n        },\r\n        {\r\n          \"name\": \"Compounding Instability\",\r\n          \"probability\": 0.6,\r\n          \"childId\": \"T_growth_crisis_unstable\",\r\n          \"value\": 3000000000\r\n        }\r\n      ]\r\n    },\r\n    \"T_growth_crisis_stable\": {\r\n      \"type\": \"terminal\",\r\n      \"id\": \"T_growth_crisis_stable\",\r\n      \"name\": \"Growth Crisis: Stable Geo\",\r\n      \"value\": 0\r\n    },\r\n    \"T_growth_crisis_unstable\": {\r\n      \"type\": \"terminal\",\r\n      \"id\": \"T_growth_crisis_unstable\",\r\n      \"name\": \"Growth Crisis: Unstable\",\r\n      \"value\": 0\r\n    },\r\n    \"C_econ_balanced\": {\r\n      \"type\": \"chance\",\r\n      \"id\": \"C_econ_balanced\",\r\n      \"name\": \"Global Economic Regime\",\r\n      \"branches\": [\r\n        {\r\n          \"name\": \"Boom\",\r\n          \"probability\": 0.2,\r\n          \"childId\": \"C_rates_bal_boom\"\r\n        },\r\n        {\r\n          \"name\": \"Normal Growth\",\r\n          \"probability\": 0.4,\r\n          \"childId\": \"C_rates_bal_normal\"\r\n        },\r\n        {\r\n          \"name\": \"Recession\",\r\n          \"probability\": 0.25,\r\n          \"childId\": \"C_rates_bal_recession\"\r\n        },\r\n        {\r\n          \"name\": \"Crisis\",\r\n          \"probability\": 0.15,\r\n          \"childId\": \"C_geo_bal_crisis\"\r\n        }\r\n      ]\r\n    },\r\n    \"C_rates_bal_boom\": {\r\n      \"type\": \"chance\",\r\n      \"id\": \"C_rates_bal_boom\",\r\n      \"name\": \"Interest Rate Env (Boom)\",\r\n      \"branches\": [\r\n        {\r\n          \"name\": \"Rising Rates\",\r\n          \"probability\": 0.5,\r\n          \"childId\": \"T_bal_boom_rising\",\r\n          \"value\": 8200000000\r\n        },\r\n        {\r\n          \"name\": \"Stable Rates\",\r\n          \"probability\": 0.35,\r\n          \"childId\": \"T_bal_boom_stable\",\r\n          \"value\": 8800000000\r\n        },\r\n        {\r\n          \"name\": \"Falling Rates\",\r\n          \"probability\": 0.15,\r\n          \"childId\": \"T_bal_boom_falling\",\r\n          \"value\": 9200000000\r\n        }\r\n      ]\r\n    },\r\n    \"T_bal_boom_rising\": {\r\n      \"type\": \"terminal\",\r\n      \"id\": \"T_bal_boom_rising\",\r\n      \"name\": \"Balanced: Boom+Rising\",\r\n      \"value\": 0\r\n    },\r\n    \"T_bal_boom_stable\": {\r\n      \"type\": \"terminal\",\r\n      \"id\": \"T_bal_boom_stable\",\r\n      \"name\": \"Balanced: Boom+Stable\",\r\n      \"value\": 0\r\n    },\r\n    \"T_bal_boom_falling\": {\r\n      \"type\": \"terminal\",\r\n      \"id\": \"T_bal_boom_falling\",\r\n      \"name\": \"Balanced: Boom+Falling\",\r\n      \"value\": 0\r\n    },\r\n    \"C_rates_bal_normal\": {\r\n      \"type\": \"chance\",\r\n      \"id\": \"C_rates_bal_normal\",\r\n      \"name\": \"Interest Rate Env (Normal)\",\r\n      \"branches\": [\r\n        {\r\n          \"name\": \"Rising Rates\",\r\n          \"probability\": 0.35,\r\n          \"childId\": \"T_bal_norm_rising\",\r\n          \"value\": 6800000000\r\n        },\r\n        {\r\n          \"name\": \"Stable Rates\",\r\n          \"probability\": 0.4,\r\n          \"childId\": \"T_bal_norm_stable\",\r\n          \"value\": 7200000000\r\n        },\r\n        {\r\n          \"name\": \"Falling Rates\",\r\n          \"probability\": 0.25,\r\n          \"childId\": \"T_bal_norm_falling\",\r\n          \"value\": 7800000000\r\n        }\r\n      ]\r\n    },\r\n    \"T_bal_norm_rising\": {\r\n      \"type\": \"terminal\",\r\n      \"id\": \"T_bal_norm_rising\",\r\n      \"name\": \"Balanced: Normal+Rising\",\r\n      \"value\": 0\r\n    },\r\n    \"T_bal_norm_stable\": {\r\n      \"type\": \"terminal\",\r\n      \"id\": \"T_bal_norm_stable\",\r\n      \"name\": \"Balanced: Normal+Stable\",\r\n      \"value\": 0\r\n    },\r\n    \"T_bal_norm_falling\": {\r\n      \"type\": \"terminal\",\r\n      \"id\": \"T_bal_norm_falling\",\r\n      \"name\": \"Balanced: Normal+Falling\",\r\n      \"value\": 0\r\n    },\r\n    \"C_rates_bal_recession\": {\r\n      \"type\": \"chance\",\r\n      \"id\": \"C_rates_bal_recession\",\r\n      \"name\": \"Interest Rate Env (Recession)\",\r\n      \"branches\": [\r\n        {\r\n          \"name\": \"Rising Rates\",\r\n          \"probability\": 0.15,\r\n          \"childId\": \"T_bal_rec_rising\",\r\n          \"value\": 4800000000\r\n        },\r\n        {\r\n          \"name\": \"Stable Rates\",\r\n          \"probability\": 0.35,\r\n          \"childId\": \"T_bal_rec_stable\",\r\n          \"value\": 5200000000\r\n        },\r\n        {\r\n          \"name\": \"Falling Rates\",\r\n          \"probability\": 0.5,\r\n          \"childId\": \"T_bal_rec_falling\",\r\n          \"value\": 5800000000\r\n        }\r\n      ]\r\n    },\r\n    \"T_bal_rec_rising\": {\r\n      \"type\": \"terminal\",\r\n      \"id\": \"T_bal_rec_rising\",\r\n      \"name\": \"Balanced: Recession+Rising\",\r\n      \"value\": 0\r\n    },\r\n    \"T_bal_rec_stable\": {\r\n      \"type\": \"terminal\",\r\n      \"id\": \"T_bal_rec_stable\",\r\n      \"name\": \"Balanced: Recession+Stable\",\r\n      \"value\": 0\r\n    },\r\n    \"T_bal_rec_falling\": {\r\n      \"type\": \"terminal\",\r\n      \"id\": \"T_bal_rec_falling\",\r\n      \"name\": \"Balanced: Recession+Falling\",\r\n      \"value\": 0\r\n    },\r\n    \"C_geo_bal_crisis\": {\r\n      \"type\": \"chance\",\r\n      \"id\": \"C_geo_bal_crisis\",\r\n      \"name\": \"Geopolitical (Crisis)\",\r\n      \"branches\": [\r\n        {\r\n          \"name\": \"Stable Geopolitics\",\r\n          \"probability\": 0.4,\r\n          \"childId\": \"T_bal_crisis_stable\",\r\n          \"value\": 4200000000\r\n        },\r\n        {\r\n          \"name\": \"Compounding Instability\",\r\n          \"probability\": 0.6,\r\n          \"childId\": \"T_bal_crisis_unstable\",\r\n          \"value\": 3800000000\r\n        }\r\n      ]\r\n    },\r\n    \"T_bal_crisis_stable\": {\r\n      \"type\": \"terminal\",\r\n      \"id\": \"T_bal_crisis_stable\",\r\n      \"name\": \"Balanced Crisis: Stable\",\r\n      \"value\": 0\r\n    },\r\n    \"T_bal_crisis_unstable\": {\r\n      \"type\": \"terminal\",\r\n      \"id\": \"T_bal_crisis_unstable\",\r\n      \"name\": \"Balanced Crisis: Unstable\",\r\n      \"value\": 0\r\n    },\r\n    \"C_econ_defensive\": {\r\n      \"type\": \"chance\",\r\n      \"id\": \"C_econ_defensive\",\r\n      \"name\": \"Global Economic Regime\",\r\n      \"branches\": [\r\n        {\r\n          \"name\": \"Boom\",\r\n          \"probability\": 0.2,\r\n          \"childId\": \"C_rates_def_boom\"\r\n        },\r\n        {\r\n          \"name\": \"Normal Growth\",\r\n          \"probability\": 0.4,\r\n          \"childId\": \"C_rates_def_normal\"\r\n        },\r\n        {\r\n          \"name\": \"Recession\",\r\n          \"probability\": 0.25,\r\n          \"childId\": \"C_rates_def_recession\"\r\n        },\r\n        {\r\n          \"name\": \"Crisis\",\r\n          \"probability\": 0.15,\r\n          \"childId\": \"C_geo_def_crisis\"\r\n        }\r\n      ]\r\n    },\r\n    \"C_rates_def_boom\": {\r\n      \"type\": \"chance\",\r\n      \"id\": \"C_rates_def_boom\",\r\n      \"name\": \"Interest Rate Env (Boom)\",\r\n      \"branches\": [\r\n        {\r\n          \"name\": \"Rising Rates\",\r\n          \"probability\": 0.5,\r\n          \"childId\": \"T_def_boom_rising\",\r\n          \"value\": 6200000000\r\n        },\r\n        {\r\n          \"name\": \"Stable Rates\",\r\n          \"probability\": 0.35,\r\n          \"childId\": \"T_def_boom_stable\",\r\n          \"value\": 6000000000\r\n        },\r\n        {\r\n          \"name\": \"Falling Rates\",\r\n          \"probability\": 0.15,\r\n          \"childId\": \"T_def_boom_falling\",\r\n          \"value\": 6500000000\r\n        }\r\n      ]\r\n    },\r\n    \"T_def_boom_rising\": {\r\n      \"type\": \"terminal\",\r\n      \"id\": \"T_def_boom_rising\",\r\n      \"name\": \"Defensive: Boom+Rising\",\r\n      \"value\": 0\r\n    },\r\n    \"T_def_boom_stable\": {\r\n      \"type\": \"terminal\",\r\n      \"id\": \"T_def_boom_stable\",\r\n      \"name\": \"Defensive: Boom+Stable\",\r\n      \"value\": 0\r\n    },\r\n    \"T_def_boom_falling\": {\r\n      \"type\": \"terminal\",\r\n      \"id\": \"T_def_boom_falling\",\r\n      \"name\": \"Defensive: Boom+Falling\",\r\n      \"value\": 0\r\n    },\r\n    \"C_rates_def_normal\": {\r\n      \"type\": \"chance\",\r\n      \"id\": \"C_rates_def_normal\",\r\n      \"name\": \"Interest Rate Env (Normal)\",\r\n      \"branches\": [\r\n        {\r\n          \"name\": \"Rising Rates\",\r\n          \"probability\": 0.35,\r\n          \"childId\": \"T_def_norm_rising\",\r\n          \"value\": 5800000000\r\n        },\r\n        {\r\n          \"name\": \"Stable Rates\",\r\n          \"probability\": 0.4,\r\n          \"childId\": \"T_def_norm_stable\",\r\n          \"value\": 5600000000\r\n        },\r\n        {\r\n          \"name\": \"Falling Rates\",\r\n          \"probability\": 0.25,\r\n          \"childId\": \"T_def_norm_falling\",\r\n          \"value\": 6000000000\r\n        }\r\n      ]\r\n    },\r\n    \"T_def_norm_rising\": {\r\n      \"type\": \"terminal\",\r\n      \"id\": \"T_def_norm_rising\",\r\n      \"name\": \"Defensive: Normal+Rising\",\r\n      \"value\": 0\r\n    },\r\n    \"T_def_norm_stable\": {\r\n      \"type\": \"terminal\",\r\n      \"id\": \"T_def_norm_stable\",\r\n      \"name\": \"Defensive: Normal+Stable\",\r\n      \"value\": 0\r\n    },\r\n    \"T_def_norm_falling\": {\r\n      \"type\": \"terminal\",\r\n      \"id\": \"T_def_norm_falling\",\r\n      \"name\": \"Defensive: Normal+Falling\",\r\n      \"value\": 0\r\n    },\r\n    \"C_rates_def_recession\": {\r\n      \"type\": \"chance\",\r\n      \"id\": \"C_rates_def_recession\",\r\n      \"name\": \"Interest Rate Env (Recession)\",\r\n      \"branches\": [\r\n        {\r\n          \"name\": \"Rising Rates\",\r\n          \"probability\": 0.15,\r\n          \"childId\": \"T_def_rec_rising\",\r\n          \"value\": 5000000000\r\n        },\r\n        {\r\n          \"name\": \"Stable Rates\",\r\n          \"probability\": 0.35,\r\n          \"childId\": \"T_def_rec_stable\",\r\n          \"value\": 5400000000\r\n        },\r\n        {\r\n          \"name\": \"Falling Rates\",\r\n          \"probability\": 0.5,\r\n          \"childId\": \"T_def_rec_falling\",\r\n          \"value\": 5800000000\r\n        }\r\n      ]\r\n    },\r\n    \"T_def_rec_rising\": {\r\n      \"type\": \"terminal\",\r\n      \"id\": \"T_def_rec_rising\",\r\n      \"name\": \"Defensive: Recession+Rising\",\r\n      \"value\": 0\r\n    },\r\n    \"T_def_rec_stable\": {\r\n      \"type\": \"terminal\",\r\n      \"id\": \"T_def_rec_stable\",\r\n      \"name\": \"Defensive: Recession+Stable\",\r\n      \"value\": 0\r\n    },\r\n    \"T_def_rec_falling\": {\r\n      \"type\": \"terminal\",\r\n      \"id\": \"T_def_rec_falling\",\r\n      \"name\": \"Defensive: Recession+Falling\",\r\n      \"value\": 0\r\n    },\r\n    \"C_geo_def_crisis\": {\r\n      \"type\": \"chance\",\r\n      \"id\": \"C_geo_def_crisis\",\r\n      \"name\": \"Geopolitical (Crisis)\",\r\n      \"branches\": [\r\n        {\r\n          \"name\": \"Stable Geopolitics\",\r\n          \"probability\": 0.4,\r\n          \"childId\": \"T_def_crisis_stable\",\r\n          \"value\": 5000000000\r\n        },\r\n        {\r\n          \"name\": \"Compounding Instability\",\r\n          \"probability\": 0.6,\r\n          \"childId\": \"T_def_crisis_unstable\",\r\n          \"value\": 4500000000\r\n        }\r\n      ]\r\n    },\r\n    \"T_def_crisis_stable\": {\r\n      \"type\": \"terminal\",\r\n      \"id\": \"T_def_crisis_stable\",\r\n      \"name\": \"Defensive Crisis: Stable\",\r\n      \"value\": 0\r\n    },\r\n    \"T_def_crisis_unstable\": {\r\n      \"type\": \"terminal\",\r\n      \"id\": \"T_def_crisis_unstable\",\r\n      \"name\": \"Defensive Crisis: Unstable\",\r\n      \"value\": 0\r\n    },\r\n    \"C_econ_infra\": {\r\n      \"type\": \"chance\",\r\n      \"id\": \"C_econ_infra\",\r\n      \"name\": \"Global Economic Regime\",\r\n      \"branches\": [\r\n        {\r\n          \"name\": \"Boom\",\r\n          \"probability\": 0.2,\r\n          \"childId\": \"C_rates_infra_boom\"\r\n        },\r\n        {\r\n          \"name\": \"Normal Growth\",\r\n          \"probability\": 0.4,\r\n          \"childId\": \"C_rates_infra_normal\"\r\n        },\r\n        {\r\n          \"name\": \"Recession\",\r\n          \"probability\": 0.25,\r\n          \"childId\": \"D_infra_recession\"\r\n        },\r\n        {\r\n          \"name\": \"Crisis\",\r\n          \"probability\": 0.15,\r\n          \"childId\": \"C_geo_infra_crisis\"\r\n        }\r\n      ]\r\n    },\r\n    \"C_rates_infra_boom\": {\r\n      \"type\": \"chance\",\r\n      \"id\": \"C_rates_infra_boom\",\r\n      \"name\": \"Interest Rate Env (Boom)\",\r\n      \"branches\": [\r\n        {\r\n          \"name\": \"Rising Rates\",\r\n          \"probability\": 0.5,\r\n          \"childId\": \"T_infra_boom_rising\",\r\n          \"value\": 8500000000\r\n        },\r\n        {\r\n          \"name\": \"Stable Rates\",\r\n          \"probability\": 0.35,\r\n          \"childId\": \"T_infra_boom_stable\",\r\n          \"value\": 9200000000\r\n        },\r\n        {\r\n          \"name\": \"Falling Rates\",\r\n          \"probability\": 0.15,\r\n          \"childId\": \"T_infra_boom_falling\",\r\n          \"value\": 9800000000\r\n        }\r\n      ]\r\n    },\r\n    \"T_infra_boom_rising\": {\r\n      \"type\": \"terminal\",\r\n      \"id\": \"T_infra_boom_rising\",\r\n      \"name\": \"Infra: Boom+Rising\",\r\n      \"value\": 0\r\n    },\r\n    \"T_infra_boom_stable\": {\r\n      \"type\": \"terminal\",\r\n      \"id\": \"T_infra_boom_stable\",\r\n      \"name\": \"Infra: Boom+Stable\",\r\n      \"value\": 0\r\n    },\r\n    \"T_infra_boom_falling\": {\r\n      \"type\": \"terminal\",\r\n      \"id\": \"T_infra_boom_falling\",\r\n      \"name\": \"Infra: Boom+Falling\",\r\n      \"value\": 0\r\n    },\r\n    \"C_rates_infra_normal\": {\r\n      \"type\": \"chance\",\r\n      \"id\": \"C_rates_infra_normal\",\r\n      \"name\": \"Interest Rate Env (Normal)\",\r\n      \"branches\": [\r\n        {\r\n          \"name\": \"Rising Rates\",\r\n          \"probability\": 0.35,\r\n          \"childId\": \"T_infra_norm_rising\",\r\n          \"value\": 7000000000\r\n        },\r\n        {\r\n          \"name\": \"Stable Rates\",\r\n          \"probability\": 0.4,\r\n          \"childId\": \"T_infra_norm_stable\",\r\n          \"value\": 7500000000\r\n        },\r\n        {\r\n          \"name\": \"Falling Rates\",\r\n          \"probability\": 0.25,\r\n          \"childId\": \"T_infra_norm_falling\",\r\n          \"value\": 8200000000\r\n        }\r\n      ]\r\n    },\r\n    \"T_infra_norm_rising\": {\r\n      \"type\": \"terminal\",\r\n      \"id\": \"T_infra_norm_rising\",\r\n      \"name\": \"Infra: Normal+Rising\",\r\n      \"value\": 0\r\n    },\r\n    \"T_infra_norm_stable\": {\r\n      \"type\": \"terminal\",\r\n      \"id\": \"T_infra_norm_stable\",\r\n      \"name\": \"Infra: Normal+Stable\",\r\n      \"value\": 0\r\n    },\r\n    \"T_infra_norm_falling\": {\r\n      \"type\": \"terminal\",\r\n      \"id\": \"T_infra_norm_falling\",\r\n      \"name\": \"Infra: Normal+Falling\",\r\n      \"value\": 0\r\n    },\r\n    \"D_infra_recession\": {\r\n      \"type\": \"decision\",\r\n      \"id\": \"D_infra_recession\",\r\n      \"name\": \"Recession Response (Infra)\",\r\n      \"options\": [\r\n        {\r\n          \"name\": \"Hold Illiquid Assets\",\r\n          \"childId\": \"C_geo_infra_hold\",\r\n          \"value\": 0\r\n        },\r\n        {\r\n          \"name\": \"Sell at Discount\",\r\n          \"childId\": \"T_infra_fire_sale\",\r\n          \"value\": 4000000000\r\n        },\r\n        {\r\n          \"name\": \"Double Down on Infra\",\r\n          \"childId\": \"C_geo_infra_double\",\r\n          \"value\": -150000000\r\n        }\r\n      ]\r\n    },\r\n    \"C_geo_infra_hold\": {\r\n      \"type\": \"chance\",\r\n      \"id\": \"C_geo_infra_hold\",\r\n      \"name\": \"Geopolitical Stability\",\r\n      \"branches\": [\r\n        {\r\n          \"name\": \"Stable\",\r\n          \"probability\": 0.5,\r\n          \"childId\": \"T_infra_hold_stable\",\r\n          \"value\": 6000000000\r\n        },\r\n        {\r\n          \"name\": \"Moderate Tension\",\r\n          \"probability\": 0.35,\r\n          \"childId\": \"T_infra_hold_tension\",\r\n          \"value\": 5200000000\r\n        },\r\n        {\r\n          \"name\": \"Major Disruption\",\r\n          \"probability\": 0.15,\r\n          \"childId\": \"T_infra_hold_disruption\",\r\n          \"value\": 4000000000\r\n        }\r\n      ]\r\n    },\r\n    \"T_infra_hold_stable\": {\r\n      \"type\": \"terminal\",\r\n      \"id\": \"T_infra_hold_stable\",\r\n      \"name\": \"Infra Hold: Stable\",\r\n      \"value\": 0\r\n    },\r\n    \"T_infra_hold_tension\": {\r\n      \"type\": \"terminal\",\r\n      \"id\": \"T_infra_hold_tension\",\r\n      \"name\": \"Infra Hold: Tension\",\r\n      \"value\": 0\r\n    },\r\n    \"T_infra_hold_disruption\": {\r\n      \"type\": \"terminal\",\r\n      \"id\": \"T_infra_hold_disruption\",\r\n      \"name\": \"Infra Hold: Disruption\",\r\n      \"value\": 0\r\n    },\r\n    \"T_infra_fire_sale\": {\r\n      \"type\": \"terminal\",\r\n      \"id\": \"T_infra_fire_sale\",\r\n      \"name\": \"Infra: Fire Sale\",\r\n      \"value\": 0\r\n    },\r\n    \"C_geo_infra_double\": {\r\n      \"type\": \"chance\",\r\n      \"id\": \"C_geo_infra_double\",\r\n      \"name\": \"Geopolitical Stability\",\r\n      \"branches\": [\r\n        {\r\n          \"name\": \"Stable\",\r\n          \"probability\": 0.5,\r\n          \"childId\": \"T_infra_double_stable\",\r\n          \"value\": 8000000000\r\n        },\r\n        {\r\n          \"name\": \"Moderate Tension\",\r\n          \"probability\": 0.35,\r\n          \"childId\": \"T_infra_double_tension\",\r\n          \"value\": 5500000000\r\n        },\r\n        {\r\n          \"name\": \"Major Disruption\",\r\n          \"probability\": 0.15,\r\n          \"childId\": \"T_infra_double_disruption\",\r\n          \"value\": 3200000000\r\n        }\r\n      ]\r\n    },\r\n    \"T_infra_double_stable\": {\r\n      \"type\": \"terminal\",\r\n      \"id\": \"T_infra_double_stable\",\r\n      \"name\": \"Infra Double: Stable\",\r\n      \"value\": 0\r\n    },\r\n    \"T_infra_double_tension\": {\r\n      \"type\": \"terminal\",\r\n      \"id\": \"T_infra_double_tension\",\r\n      \"name\": \"Infra Double: Tension\",\r\n      \"value\": 0\r\n    },\r\n    \"T_infra_double_disruption\": {\r\n      \"type\": \"terminal\",\r\n      \"id\": \"T_infra_double_disruption\",\r\n      \"name\": \"Infra Double: Disruption\",\r\n      \"value\": 0\r\n    },\r\n    \"C_geo_infra_crisis\": {\r\n      \"type\": \"chance\",\r\n      \"id\": \"C_geo_infra_crisis\",\r\n      \"name\": \"Geopolitical (Crisis)\",\r\n      \"branches\": [\r\n        {\r\n          \"name\": \"Stable Geopolitics\",\r\n          \"probability\": 0.4,\r\n          \"childId\": \"T_infra_crisis_stable\",\r\n          \"value\": 4500000000\r\n        },\r\n        {\r\n          \"name\": \"Compounding Instability\",\r\n          \"probability\": 0.6,\r\n          \"childId\": \"T_infra_crisis_unstable\",\r\n          \"value\": 3500000000\r\n        }\r\n      ]\r\n    },\r\n    \"T_infra_crisis_stable\": {\r\n      \"type\": \"terminal\",\r\n      \"id\": \"T_infra_crisis_stable\",\r\n      \"name\": \"Infra Crisis: Stable\",\r\n      \"value\": 0\r\n    },\r\n    \"T_infra_crisis_unstable\": {\r\n      \"type\": \"terminal\",\r\n      \"id\": \"T_infra_crisis_unstable\",\r\n      \"name\": \"Infra Crisis: Unstable\",\r\n      \"value\": 0\r\n    }\r\n  },\r\n  \"Settings\": {\r\n    \"ModelName\": \"Sovereign Wealth Fund Allocation\",\r\n    \"CalculationMethod\": 0,\r\n    \"Maximize\": true,\r\n    \"UtilityConfig\": null,\r\n    \"Display\": {\r\n      \"DecimalPlaces\": 0,\r\n      \"ShowExpectedValues\": true,\r\n      \"ShowOptimalLabels\": true,\r\n      \"ShowRollbackValues\": true,\r\n      \"CalculatedValueFormat\": \"\\\"$\\\"#,##0\",\r\n      \"CalculatedProbabilityFormat\": \"0.0%\",\r\n      \"InputValueFormat\": \"\\\"$\\\"#,##0\",\r\n      \"InputProbabilityFormat\": \"0.0%\",\r\n      \"CalculatedValuesLabel\": \"\",\r\n      \"TreeStartRow\": 20\r\n    },\r\n    \"ChanceProbabilities\": 1,\r\n    \"ProbabilityTolerance\": 0.001,\r\n    \"Simulation\": {\r\n      \"CalculationMode\": 0,\r\n      \"DecisionMode\": 0\r\n    }\r\n  },\r\n  \"NodeMetadata\": {},\r\n  \"UserFormulas\": {\r\n      \"MC_BV_D_root_C_econ_infra\": \"=-InfrastructureheavyCost\",\r\n      \"MC_BV_D_recession_response_C_geo_rebal_def\": \"=-RebalanceToDefensiveCost\",\r\n      \"MC_BV_D_recession_response_C_geo_opportunistic\": \"=-OpportunisticBuyingCost\",\r\n      \"MC_BV_D_infra_recession_T_infra_fire_sale\": \"=SellAtDiscountValue\",\r\n      \"MC_BV_D_infra_recession_C_geo_infra_double\": \"=-DoubleDownOnInfraCost\"\r\n  }\r\n}"}}</t>
  </si>
  <si>
    <t>Interest Rate Env (Boom)</t>
  </si>
  <si>
    <t>Global Economic Regime</t>
  </si>
  <si>
    <t>Interest Rate Env (Normal)</t>
  </si>
  <si>
    <t>Geopolitical Stability</t>
  </si>
  <si>
    <t>Recession Response (Growth)</t>
  </si>
  <si>
    <t>Geopolitical (Crisis)</t>
  </si>
  <si>
    <t>SWF 10-Year Allocation</t>
  </si>
  <si>
    <t>Interest Rate Env (Recession)</t>
  </si>
  <si>
    <t>Recession Response (Infra)</t>
  </si>
  <si>
    <t>Sovereign Wealth Fund Allocation — Control Panel</t>
  </si>
  <si>
    <t>Adjust parameters below to update the decision tree instantly</t>
  </si>
  <si>
    <t>Parameter</t>
  </si>
  <si>
    <t>Value</t>
  </si>
  <si>
    <t>Units</t>
  </si>
  <si>
    <t>Notes</t>
  </si>
  <si>
    <t>Infrastructure-Heavy</t>
  </si>
  <si>
    <t>$</t>
  </si>
  <si>
    <t>Investment for Global Economic Regime path</t>
  </si>
  <si>
    <t>Rebalance to Defensive</t>
  </si>
  <si>
    <t>Investment for Geopolitical Stability path</t>
  </si>
  <si>
    <t>Opportunistic Buying</t>
  </si>
  <si>
    <t>Sell at Discount</t>
  </si>
  <si>
    <t>Infra: Fire Sale</t>
  </si>
  <si>
    <t>Double Down on Infra</t>
  </si>
  <si>
    <t>Sovereign Wealth Fund Allocation</t>
  </si>
  <si>
    <t>ModelChoice Example Model</t>
  </si>
  <si>
    <t>Background</t>
  </si>
  <si>
    <t>A sovereign wealth fund must allocate $5 billion across asset classes for a</t>
  </si>
  <si>
    <t>10-year investment horizon. The fund's mandate requires preserving capital while</t>
  </si>
  <si>
    <t>maximizing long-term real returns to support future government obligations.</t>
  </si>
  <si>
    <t>The allocation decision must account for global economic uncertainty, interest</t>
  </si>
  <si>
    <t>rate regimes, and geopolitical risk over the decade.</t>
  </si>
  <si>
    <t>Option 1: Growth Portfolio (70% Equities, 20% PE, 10% Alternatives)</t>
  </si>
  <si>
    <t>Aggressive allocation targeting maximum returns. High equity exposure amplifies</t>
  </si>
  <si>
    <t>gains in boom periods but creates significant drawdown risk in recessions.</t>
  </si>
  <si>
    <t>If recession hits, the fund must decide: rebalance defensively ($75M cost),</t>
  </si>
  <si>
    <t>stay the course, or pursue opportunistic buying ($100M deployment).</t>
  </si>
  <si>
    <t>Option 2: Balanced Portfolio (40% Equities, 40% Fixed Income, 20% Real Assets)</t>
  </si>
  <si>
    <t>Traditional institutional allocation balancing growth and income. Fixed income</t>
  </si>
  <si>
    <t>provides downside protection while equities and real assets drive returns.</t>
  </si>
  <si>
    <t>Option 3: Defensive Portfolio (20% Equities, 60% Fixed Income, 20% Gold/Commodities)</t>
  </si>
  <si>
    <t>Capital preservation focus. Heavy fixed income weighting with commodity hedge.</t>
  </si>
  <si>
    <t>Sacrifices upside for stability and inflation protection.</t>
  </si>
  <si>
    <t>Option 4: Infrastructure-Heavy (50% Infra, 30% RE, 20% Equities) - $50M Cost</t>
  </si>
  <si>
    <t>Illiquid real asset strategy with $50M additional management/setup cost.</t>
  </si>
  <si>
    <t>Infrastructure assets provide inflation-linked cash flows but create liquidity</t>
  </si>
  <si>
    <t>risk. If recession occurs, the fund faces a difficult choice: hold illiquid</t>
  </si>
  <si>
    <t>assets, sell at a discount ($200M haircut), or double down ($150M).</t>
  </si>
  <si>
    <t>Decision Objective</t>
  </si>
  <si>
    <t>Maximize expected 10-year terminal portfolio value. Values represent total</t>
  </si>
  <si>
    <t>portfolio value at the end of the 10-year horizon, ranging from $3B in worst</t>
  </si>
  <si>
    <t>case scenarios to $12B in the best outcomes.</t>
  </si>
  <si>
    <t>Key Assumptions</t>
  </si>
  <si>
    <t>Initial Allocation</t>
  </si>
  <si>
    <t>Total fund capital to be deployed</t>
  </si>
  <si>
    <t>Investment Horizon</t>
  </si>
  <si>
    <t>10 years</t>
  </si>
  <si>
    <t>Strategic allocation review cycle</t>
  </si>
  <si>
    <t>Boom Probability</t>
  </si>
  <si>
    <t>Strong global growth, rising asset prices</t>
  </si>
  <si>
    <t>Normal Growth Probability</t>
  </si>
  <si>
    <t>Moderate GDP growth, stable markets</t>
  </si>
  <si>
    <t>Recession Probability</t>
  </si>
  <si>
    <t>Economic contraction, market stress</t>
  </si>
  <si>
    <t>Crisis Probability</t>
  </si>
  <si>
    <t>Severe downturn with systemic risk</t>
  </si>
  <si>
    <t>Infrastructure Mgmt Cost</t>
  </si>
  <si>
    <t>Illiquidity premium and setup costs</t>
  </si>
  <si>
    <t>Rebalancing Cost (Growth)</t>
  </si>
  <si>
    <t>Transaction costs to shift defensive</t>
  </si>
  <si>
    <t>Additional capital for distressed assets</t>
  </si>
  <si>
    <t>Terminal Value Range</t>
  </si>
  <si>
    <t>$3B - $12B</t>
  </si>
  <si>
    <t>10-year portfolio outcomes</t>
  </si>
  <si>
    <t>Growth Best Case</t>
  </si>
  <si>
    <t>Boom + falling rates scenario</t>
  </si>
  <si>
    <t>Defensive Worst Case</t>
  </si>
  <si>
    <t>Crisis + compounding instability</t>
  </si>
  <si>
    <t>Suggested Analyses</t>
  </si>
  <si>
    <t>▶ Strategy Table - Compare growth vs balanced vs defensive vs infrastructure</t>
  </si>
  <si>
    <t>▶ Sensitivity Analysis - Impact of recession probability on optimal allocation</t>
  </si>
  <si>
    <t>▶ Risk Profile - Downside exposure across economic regimes</t>
  </si>
  <si>
    <t>▶ Two-Way Sensitivity - Recession probability vs crisis probability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</si>
</sst>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€&quot;#,##0;[Red]\-&quot;€&quot;#,##0"/>
    <numFmt numFmtId="164" formatCode="0.0%"/>
    <numFmt numFmtId="166" formatCode="&quot;$&quot;#,##0"/>
    <numFmt numFmtId="167" formatCode="\$#,##0"/>
  </numFmts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rgb="FF5F5E5A"/>
      <name val="Arial"/>
      <family val="2"/>
    </font>
    <font>
      <sz val="8"/>
      <color rgb="FF993C1D"/>
      <name val="Arial"/>
      <family val="2"/>
    </font>
    <font>
      <sz val="8"/>
      <color rgb="FF085041"/>
      <name val="Arial"/>
      <family val="2"/>
    </font>
    <font>
      <sz val="8"/>
      <color rgb="FF0F6E56"/>
      <name val="Arial"/>
      <family val="2"/>
    </font>
    <font>
      <b/>
      <sz val="14"/>
      <color rgb="FF1A3A6E"/>
      <name val="Aptos Narrow"/>
      <family val="2"/>
      <scheme val="minor"/>
    </font>
    <font>
      <i/>
      <sz val="11"/>
      <color rgb="FF808080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6"/>
      <color rgb="FF1A3A6E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3458B"/>
        <bgColor indexed="64"/>
      </patternFill>
    </fill>
    <fill>
      <patternFill patternType="solid">
        <fgColor rgb="FFFFFFE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6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indent="2"/>
    </xf>
    <xf numFmtId="0" fontId="4" fillId="0" borderId="0" xfId="0" applyFont="1" applyAlignment="1">
      <alignment horizontal="left" indent="2"/>
    </xf>
    <xf numFmtId="0" fontId="5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right"/>
    </xf>
    <xf numFmtId="0" fontId="1" fillId="0" borderId="0" xfId="0" applyFont="1"/>
    <xf numFmtId="0" fontId="6" fillId="0" borderId="0" xfId="0" applyFont="1"/>
    <xf numFmtId="0" fontId="7" fillId="0" borderId="0" xfId="0" applyFont="1"/>
    <xf numFmtId="0" fontId="8" fillId="2" borderId="1" xfId="0" applyFont="1" applyFill="1" applyBorder="1"/>
    <xf numFmtId="0" fontId="0" fillId="0" borderId="1" xfId="0" applyBorder="1"/>
    <xf numFmtId="167" fontId="1" fillId="3" borderId="1" xfId="0" applyNumberFormat="1" applyFont="1" applyFill="1" applyBorder="1"/>
    <xf numFmtId="0" fontId="9" fillId="0" borderId="0" xfId="0" applyFont="1"/>
    <xf numFmtId="0" fontId="10" fillId="0" borderId="0" xfId="0" applyFont="1"/>
    <xf numFmtId="6" fontId="0" fillId="0" borderId="1" xfId="0" applyNumberFormat="1" applyBorder="1"/>
    <xf numFmtId="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50800</xdr:colOff>
      <xdr:row>70</xdr:row>
      <xdr:rowOff>0</xdr:rowOff>
    </xdr:from>
    <xdr:to>
      <xdr:col>2</xdr:col>
      <xdr:colOff>9525</xdr:colOff>
      <xdr:row>70</xdr:row>
      <xdr:rowOff>0</xdr:rowOff>
    </xdr:to>
    <xdr:cxnSp macro="">
      <xdr:nvCxnSpPr>
        <xdr:cNvPr id="257" name="MC_Entry">
          <a:extLst>
            <a:ext uri="{FF2B5EF4-FFF2-40B4-BE49-F238E27FC236}">
              <a16:creationId xmlns:a16="http://schemas.microsoft.com/office/drawing/2014/main" id="{5CAE5E2F-57B5-601E-1DB6-29C9521C71F1}"/>
            </a:ext>
          </a:extLst>
        </xdr:cNvPr>
        <xdr:cNvCxnSpPr/>
      </xdr:nvCxnSpPr>
      <xdr:spPr>
        <a:xfrm>
          <a:off x="665163" y="13277850"/>
          <a:ext cx="2406650" cy="0"/>
        </a:xfrm>
        <a:prstGeom prst="line">
          <a:avLst/>
        </a:prstGeom>
        <a:ln w="12700">
          <a:solidFill>
            <a:srgbClr val="B4B2A9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50800</xdr:colOff>
      <xdr:row>69</xdr:row>
      <xdr:rowOff>99250</xdr:rowOff>
    </xdr:from>
    <xdr:ext cx="1622495" cy="182550"/>
    <xdr:sp macro="_xll.MC_OnTreeNameClick" textlink="">
      <xdr:nvSpPr>
        <xdr:cNvPr id="258" name="MC_TreeName">
          <a:extLst>
            <a:ext uri="{FF2B5EF4-FFF2-40B4-BE49-F238E27FC236}">
              <a16:creationId xmlns:a16="http://schemas.microsoft.com/office/drawing/2014/main" id="{E0F418FD-F7CC-9182-F351-88A45977152D}"/>
            </a:ext>
          </a:extLst>
        </xdr:cNvPr>
        <xdr:cNvSpPr txBox="1"/>
      </xdr:nvSpPr>
      <xdr:spPr>
        <a:xfrm>
          <a:off x="665163" y="13186600"/>
          <a:ext cx="1622495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38100" tIns="32004" rIns="38100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Sovereign Wealth Fund Allocation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74679</xdr:colOff>
      <xdr:row>27</xdr:row>
      <xdr:rowOff>174625</xdr:rowOff>
    </xdr:from>
    <xdr:to>
      <xdr:col>3</xdr:col>
      <xdr:colOff>47626</xdr:colOff>
      <xdr:row>70</xdr:row>
      <xdr:rowOff>331</xdr:rowOff>
    </xdr:to>
    <xdr:sp macro="" textlink="">
      <xdr:nvSpPr>
        <xdr:cNvPr id="259" name="MC_BR_D_root_C_econ_growth">
          <a:extLst>
            <a:ext uri="{FF2B5EF4-FFF2-40B4-BE49-F238E27FC236}">
              <a16:creationId xmlns:a16="http://schemas.microsoft.com/office/drawing/2014/main" id="{814DC34C-709F-ADED-4432-F10C759E4D34}"/>
            </a:ext>
          </a:extLst>
        </xdr:cNvPr>
        <xdr:cNvSpPr/>
      </xdr:nvSpPr>
      <xdr:spPr>
        <a:xfrm>
          <a:off x="3136967" y="5260975"/>
          <a:ext cx="2187509" cy="8017206"/>
        </a:xfrm>
        <a:custGeom>
          <a:avLst/>
          <a:gdLst/>
          <a:ahLst/>
          <a:cxnLst/>
          <a:rect l="0" t="0" r="0" b="0"/>
          <a:pathLst>
            <a:path w="2187509" h="8017206">
              <a:moveTo>
                <a:pt x="0" y="8016545"/>
              </a:moveTo>
              <a:lnTo>
                <a:pt x="166624" y="15544"/>
              </a:lnTo>
              <a:lnTo>
                <a:pt x="182496" y="0"/>
              </a:lnTo>
              <a:lnTo>
                <a:pt x="2187508" y="0"/>
              </a:lnTo>
              <a:lnTo>
                <a:pt x="2187508" y="31750"/>
              </a:lnTo>
              <a:lnTo>
                <a:pt x="182496" y="31750"/>
              </a:lnTo>
              <a:lnTo>
                <a:pt x="198367" y="16206"/>
              </a:lnTo>
              <a:lnTo>
                <a:pt x="31743" y="8017205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286384</xdr:colOff>
      <xdr:row>27</xdr:row>
      <xdr:rowOff>99251</xdr:rowOff>
    </xdr:from>
    <xdr:ext cx="791050" cy="182550"/>
    <xdr:sp macro="_xll.MC_OnBranchLabelClick" textlink="">
      <xdr:nvSpPr>
        <xdr:cNvPr id="260" name="MC_BN_D_root_C_econ_growth">
          <a:extLst>
            <a:ext uri="{FF2B5EF4-FFF2-40B4-BE49-F238E27FC236}">
              <a16:creationId xmlns:a16="http://schemas.microsoft.com/office/drawing/2014/main" id="{40158349-96D8-7F3A-B454-30FB192E3EBF}"/>
            </a:ext>
          </a:extLst>
        </xdr:cNvPr>
        <xdr:cNvSpPr txBox="1"/>
      </xdr:nvSpPr>
      <xdr:spPr>
        <a:xfrm>
          <a:off x="3348672" y="5185601"/>
          <a:ext cx="791050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Growth Portfolio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84225</xdr:colOff>
      <xdr:row>69</xdr:row>
      <xdr:rowOff>189947</xdr:rowOff>
    </xdr:from>
    <xdr:to>
      <xdr:col>3</xdr:col>
      <xdr:colOff>47626</xdr:colOff>
      <xdr:row>80</xdr:row>
      <xdr:rowOff>6351</xdr:rowOff>
    </xdr:to>
    <xdr:sp macro="" textlink="">
      <xdr:nvSpPr>
        <xdr:cNvPr id="261" name="MC_BR_D_root_C_econ_balanced">
          <a:extLst>
            <a:ext uri="{FF2B5EF4-FFF2-40B4-BE49-F238E27FC236}">
              <a16:creationId xmlns:a16="http://schemas.microsoft.com/office/drawing/2014/main" id="{DC0E0875-6D73-3FC6-1FBB-62C9A1F5DF96}"/>
            </a:ext>
          </a:extLst>
        </xdr:cNvPr>
        <xdr:cNvSpPr/>
      </xdr:nvSpPr>
      <xdr:spPr>
        <a:xfrm>
          <a:off x="3146513" y="13277297"/>
          <a:ext cx="2177963" cy="1911904"/>
        </a:xfrm>
        <a:custGeom>
          <a:avLst/>
          <a:gdLst/>
          <a:ahLst/>
          <a:cxnLst/>
          <a:rect l="0" t="0" r="0" b="0"/>
          <a:pathLst>
            <a:path w="2177963" h="1911904">
              <a:moveTo>
                <a:pt x="12651" y="0"/>
              </a:moveTo>
              <a:lnTo>
                <a:pt x="179275" y="1905000"/>
              </a:lnTo>
              <a:lnTo>
                <a:pt x="172950" y="1899203"/>
              </a:lnTo>
              <a:lnTo>
                <a:pt x="2177962" y="1899203"/>
              </a:lnTo>
              <a:lnTo>
                <a:pt x="2177962" y="1911903"/>
              </a:lnTo>
              <a:lnTo>
                <a:pt x="172950" y="1911903"/>
              </a:lnTo>
              <a:lnTo>
                <a:pt x="166624" y="1906106"/>
              </a:lnTo>
              <a:lnTo>
                <a:pt x="0" y="110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286384</xdr:colOff>
      <xdr:row>79</xdr:row>
      <xdr:rowOff>99250</xdr:rowOff>
    </xdr:from>
    <xdr:ext cx="888128" cy="182550"/>
    <xdr:sp macro="_xll.MC_OnBranchLabelClick" textlink="">
      <xdr:nvSpPr>
        <xdr:cNvPr id="262" name="MC_BN_D_root_C_econ_balanced">
          <a:extLst>
            <a:ext uri="{FF2B5EF4-FFF2-40B4-BE49-F238E27FC236}">
              <a16:creationId xmlns:a16="http://schemas.microsoft.com/office/drawing/2014/main" id="{3B99A47C-4D0B-8E3B-F63A-CDA21F3278FF}"/>
            </a:ext>
          </a:extLst>
        </xdr:cNvPr>
        <xdr:cNvSpPr txBox="1"/>
      </xdr:nvSpPr>
      <xdr:spPr>
        <a:xfrm>
          <a:off x="3348672" y="15091600"/>
          <a:ext cx="88812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Balanced Portfolio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84202</xdr:colOff>
      <xdr:row>69</xdr:row>
      <xdr:rowOff>190368</xdr:rowOff>
    </xdr:from>
    <xdr:to>
      <xdr:col>3</xdr:col>
      <xdr:colOff>47626</xdr:colOff>
      <xdr:row>112</xdr:row>
      <xdr:rowOff>6351</xdr:rowOff>
    </xdr:to>
    <xdr:sp macro="" textlink="">
      <xdr:nvSpPr>
        <xdr:cNvPr id="263" name="MC_BR_D_root_C_econ_defensive">
          <a:extLst>
            <a:ext uri="{FF2B5EF4-FFF2-40B4-BE49-F238E27FC236}">
              <a16:creationId xmlns:a16="http://schemas.microsoft.com/office/drawing/2014/main" id="{2072ED8E-025C-33A1-86A1-87CEE2D13FC9}"/>
            </a:ext>
          </a:extLst>
        </xdr:cNvPr>
        <xdr:cNvSpPr/>
      </xdr:nvSpPr>
      <xdr:spPr>
        <a:xfrm>
          <a:off x="3146490" y="13277718"/>
          <a:ext cx="2177986" cy="8007483"/>
        </a:xfrm>
        <a:custGeom>
          <a:avLst/>
          <a:gdLst/>
          <a:ahLst/>
          <a:cxnLst/>
          <a:rect l="0" t="0" r="0" b="0"/>
          <a:pathLst>
            <a:path w="2177986" h="8007483">
              <a:moveTo>
                <a:pt x="12697" y="0"/>
              </a:moveTo>
              <a:lnTo>
                <a:pt x="179321" y="8001000"/>
              </a:lnTo>
              <a:lnTo>
                <a:pt x="172973" y="7994782"/>
              </a:lnTo>
              <a:lnTo>
                <a:pt x="2177985" y="7994782"/>
              </a:lnTo>
              <a:lnTo>
                <a:pt x="2177985" y="8007482"/>
              </a:lnTo>
              <a:lnTo>
                <a:pt x="172973" y="8007482"/>
              </a:lnTo>
              <a:lnTo>
                <a:pt x="166624" y="8001264"/>
              </a:lnTo>
              <a:lnTo>
                <a:pt x="0" y="26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286384</xdr:colOff>
      <xdr:row>111</xdr:row>
      <xdr:rowOff>99250</xdr:rowOff>
    </xdr:from>
    <xdr:ext cx="916533" cy="182550"/>
    <xdr:sp macro="_xll.MC_OnBranchLabelClick" textlink="">
      <xdr:nvSpPr>
        <xdr:cNvPr id="264" name="MC_BN_D_root_C_econ_defensive">
          <a:extLst>
            <a:ext uri="{FF2B5EF4-FFF2-40B4-BE49-F238E27FC236}">
              <a16:creationId xmlns:a16="http://schemas.microsoft.com/office/drawing/2014/main" id="{26F51567-C6E3-59CB-2CAB-94989FA436BD}"/>
            </a:ext>
          </a:extLst>
        </xdr:cNvPr>
        <xdr:cNvSpPr txBox="1"/>
      </xdr:nvSpPr>
      <xdr:spPr>
        <a:xfrm>
          <a:off x="3348672" y="21187600"/>
          <a:ext cx="91653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Defensive Portfolio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84201</xdr:colOff>
      <xdr:row>69</xdr:row>
      <xdr:rowOff>190426</xdr:rowOff>
    </xdr:from>
    <xdr:to>
      <xdr:col>3</xdr:col>
      <xdr:colOff>47626</xdr:colOff>
      <xdr:row>144</xdr:row>
      <xdr:rowOff>6351</xdr:rowOff>
    </xdr:to>
    <xdr:sp macro="" textlink="">
      <xdr:nvSpPr>
        <xdr:cNvPr id="265" name="MC_BR_D_root_C_econ_infra">
          <a:extLst>
            <a:ext uri="{FF2B5EF4-FFF2-40B4-BE49-F238E27FC236}">
              <a16:creationId xmlns:a16="http://schemas.microsoft.com/office/drawing/2014/main" id="{92E5FCA6-416D-B07C-A2C5-34C276570DA0}"/>
            </a:ext>
          </a:extLst>
        </xdr:cNvPr>
        <xdr:cNvSpPr/>
      </xdr:nvSpPr>
      <xdr:spPr>
        <a:xfrm>
          <a:off x="3146489" y="13277776"/>
          <a:ext cx="2177987" cy="14103425"/>
        </a:xfrm>
        <a:custGeom>
          <a:avLst/>
          <a:gdLst/>
          <a:ahLst/>
          <a:cxnLst/>
          <a:rect l="0" t="0" r="0" b="0"/>
          <a:pathLst>
            <a:path w="2177987" h="14103425">
              <a:moveTo>
                <a:pt x="12699" y="0"/>
              </a:moveTo>
              <a:lnTo>
                <a:pt x="179323" y="14097000"/>
              </a:lnTo>
              <a:lnTo>
                <a:pt x="172974" y="14090724"/>
              </a:lnTo>
              <a:lnTo>
                <a:pt x="2177986" y="14090724"/>
              </a:lnTo>
              <a:lnTo>
                <a:pt x="2177986" y="14103424"/>
              </a:lnTo>
              <a:lnTo>
                <a:pt x="172974" y="14103424"/>
              </a:lnTo>
              <a:lnTo>
                <a:pt x="166624" y="14097148"/>
              </a:lnTo>
              <a:lnTo>
                <a:pt x="0" y="14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286384</xdr:colOff>
      <xdr:row>143</xdr:row>
      <xdr:rowOff>99250</xdr:rowOff>
    </xdr:from>
    <xdr:ext cx="984950" cy="182550"/>
    <xdr:sp macro="_xll.MC_OnBranchLabelClick" textlink="">
      <xdr:nvSpPr>
        <xdr:cNvPr id="266" name="MC_BN_D_root_C_econ_infra">
          <a:extLst>
            <a:ext uri="{FF2B5EF4-FFF2-40B4-BE49-F238E27FC236}">
              <a16:creationId xmlns:a16="http://schemas.microsoft.com/office/drawing/2014/main" id="{9BB0294B-8E75-82CA-9AC5-70886302772B}"/>
            </a:ext>
          </a:extLst>
        </xdr:cNvPr>
        <xdr:cNvSpPr txBox="1"/>
      </xdr:nvSpPr>
      <xdr:spPr>
        <a:xfrm>
          <a:off x="3348672" y="27283600"/>
          <a:ext cx="98495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Infrastructure-Heavy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74842</xdr:colOff>
      <xdr:row>21</xdr:row>
      <xdr:rowOff>174625</xdr:rowOff>
    </xdr:from>
    <xdr:to>
      <xdr:col>4</xdr:col>
      <xdr:colOff>47626</xdr:colOff>
      <xdr:row>28</xdr:row>
      <xdr:rowOff>2291</xdr:rowOff>
    </xdr:to>
    <xdr:sp macro="" textlink="">
      <xdr:nvSpPr>
        <xdr:cNvPr id="267" name="MC_BR_C_econ_growth_C_rates_growth_boom">
          <a:extLst>
            <a:ext uri="{FF2B5EF4-FFF2-40B4-BE49-F238E27FC236}">
              <a16:creationId xmlns:a16="http://schemas.microsoft.com/office/drawing/2014/main" id="{57325EEF-3C0C-6C29-77E3-F527E048653B}"/>
            </a:ext>
          </a:extLst>
        </xdr:cNvPr>
        <xdr:cNvSpPr/>
      </xdr:nvSpPr>
      <xdr:spPr>
        <a:xfrm>
          <a:off x="5351692" y="4117975"/>
          <a:ext cx="2187347" cy="1161166"/>
        </a:xfrm>
        <a:custGeom>
          <a:avLst/>
          <a:gdLst/>
          <a:ahLst/>
          <a:cxnLst/>
          <a:rect l="0" t="0" r="0" b="0"/>
          <a:pathLst>
            <a:path w="2187347" h="1161166">
              <a:moveTo>
                <a:pt x="0" y="1156585"/>
              </a:moveTo>
              <a:lnTo>
                <a:pt x="166624" y="13585"/>
              </a:lnTo>
              <a:lnTo>
                <a:pt x="182333" y="0"/>
              </a:lnTo>
              <a:lnTo>
                <a:pt x="2187346" y="0"/>
              </a:lnTo>
              <a:lnTo>
                <a:pt x="2187346" y="31750"/>
              </a:lnTo>
              <a:lnTo>
                <a:pt x="182333" y="31750"/>
              </a:lnTo>
              <a:lnTo>
                <a:pt x="198042" y="18165"/>
              </a:lnTo>
              <a:lnTo>
                <a:pt x="31418" y="1161165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21</xdr:row>
      <xdr:rowOff>99251</xdr:rowOff>
    </xdr:from>
    <xdr:ext cx="323422" cy="182550"/>
    <xdr:sp macro="_xll.MC_OnBranchLabelClick" textlink="">
      <xdr:nvSpPr>
        <xdr:cNvPr id="268" name="MC_BN_C_econ_growth_C_rates_growth_boom">
          <a:extLst>
            <a:ext uri="{FF2B5EF4-FFF2-40B4-BE49-F238E27FC236}">
              <a16:creationId xmlns:a16="http://schemas.microsoft.com/office/drawing/2014/main" id="{AB398BC5-CE07-81C3-DF6C-D870D6BDECFE}"/>
            </a:ext>
          </a:extLst>
        </xdr:cNvPr>
        <xdr:cNvSpPr txBox="1"/>
      </xdr:nvSpPr>
      <xdr:spPr>
        <a:xfrm>
          <a:off x="5563235" y="4042601"/>
          <a:ext cx="323422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Boom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75042</xdr:colOff>
      <xdr:row>27</xdr:row>
      <xdr:rowOff>187109</xdr:rowOff>
    </xdr:from>
    <xdr:to>
      <xdr:col>4</xdr:col>
      <xdr:colOff>47626</xdr:colOff>
      <xdr:row>32</xdr:row>
      <xdr:rowOff>15876</xdr:rowOff>
    </xdr:to>
    <xdr:sp macro="" textlink="">
      <xdr:nvSpPr>
        <xdr:cNvPr id="269" name="MC_BR_C_econ_growth_C_rates_growth_normal">
          <a:extLst>
            <a:ext uri="{FF2B5EF4-FFF2-40B4-BE49-F238E27FC236}">
              <a16:creationId xmlns:a16="http://schemas.microsoft.com/office/drawing/2014/main" id="{8C10B406-F817-9101-CB5D-B5530CB5585A}"/>
            </a:ext>
          </a:extLst>
        </xdr:cNvPr>
        <xdr:cNvSpPr/>
      </xdr:nvSpPr>
      <xdr:spPr>
        <a:xfrm>
          <a:off x="5351892" y="5273459"/>
          <a:ext cx="2187147" cy="781267"/>
        </a:xfrm>
        <a:custGeom>
          <a:avLst/>
          <a:gdLst/>
          <a:ahLst/>
          <a:cxnLst/>
          <a:rect l="0" t="0" r="0" b="0"/>
          <a:pathLst>
            <a:path w="2187147" h="781267">
              <a:moveTo>
                <a:pt x="31017" y="0"/>
              </a:moveTo>
              <a:lnTo>
                <a:pt x="197642" y="762000"/>
              </a:lnTo>
              <a:lnTo>
                <a:pt x="182133" y="749516"/>
              </a:lnTo>
              <a:lnTo>
                <a:pt x="2187146" y="749516"/>
              </a:lnTo>
              <a:lnTo>
                <a:pt x="2187146" y="781266"/>
              </a:lnTo>
              <a:lnTo>
                <a:pt x="182133" y="781266"/>
              </a:lnTo>
              <a:lnTo>
                <a:pt x="166624" y="768782"/>
              </a:lnTo>
              <a:lnTo>
                <a:pt x="0" y="678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31</xdr:row>
      <xdr:rowOff>99251</xdr:rowOff>
    </xdr:from>
    <xdr:ext cx="745269" cy="182550"/>
    <xdr:sp macro="_xll.MC_OnBranchLabelClick" textlink="">
      <xdr:nvSpPr>
        <xdr:cNvPr id="270" name="MC_BN_C_econ_growth_C_rates_growth_normal">
          <a:extLst>
            <a:ext uri="{FF2B5EF4-FFF2-40B4-BE49-F238E27FC236}">
              <a16:creationId xmlns:a16="http://schemas.microsoft.com/office/drawing/2014/main" id="{39D2BBDE-774A-FDC2-203F-B3E698737349}"/>
            </a:ext>
          </a:extLst>
        </xdr:cNvPr>
        <xdr:cNvSpPr txBox="1"/>
      </xdr:nvSpPr>
      <xdr:spPr>
        <a:xfrm>
          <a:off x="5563235" y="5947601"/>
          <a:ext cx="745269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Normal Growth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74695</xdr:colOff>
      <xdr:row>27</xdr:row>
      <xdr:rowOff>189730</xdr:rowOff>
    </xdr:from>
    <xdr:to>
      <xdr:col>4</xdr:col>
      <xdr:colOff>47626</xdr:colOff>
      <xdr:row>46</xdr:row>
      <xdr:rowOff>15876</xdr:rowOff>
    </xdr:to>
    <xdr:sp macro="" textlink="">
      <xdr:nvSpPr>
        <xdr:cNvPr id="271" name="MC_BR_C_econ_growth_D_recession_response">
          <a:extLst>
            <a:ext uri="{FF2B5EF4-FFF2-40B4-BE49-F238E27FC236}">
              <a16:creationId xmlns:a16="http://schemas.microsoft.com/office/drawing/2014/main" id="{780B8898-AFE2-1182-554B-4629FF9C4D50}"/>
            </a:ext>
          </a:extLst>
        </xdr:cNvPr>
        <xdr:cNvSpPr/>
      </xdr:nvSpPr>
      <xdr:spPr>
        <a:xfrm>
          <a:off x="5351545" y="5276080"/>
          <a:ext cx="2187494" cy="3445646"/>
        </a:xfrm>
        <a:custGeom>
          <a:avLst/>
          <a:gdLst/>
          <a:ahLst/>
          <a:cxnLst/>
          <a:rect l="0" t="0" r="0" b="0"/>
          <a:pathLst>
            <a:path w="2187494" h="3445646">
              <a:moveTo>
                <a:pt x="31712" y="0"/>
              </a:moveTo>
              <a:lnTo>
                <a:pt x="198336" y="3429000"/>
              </a:lnTo>
              <a:lnTo>
                <a:pt x="182480" y="3413895"/>
              </a:lnTo>
              <a:lnTo>
                <a:pt x="2187493" y="3413895"/>
              </a:lnTo>
              <a:lnTo>
                <a:pt x="2187493" y="3445645"/>
              </a:lnTo>
              <a:lnTo>
                <a:pt x="182480" y="3445645"/>
              </a:lnTo>
              <a:lnTo>
                <a:pt x="166624" y="3430540"/>
              </a:lnTo>
              <a:lnTo>
                <a:pt x="0" y="1540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45</xdr:row>
      <xdr:rowOff>99251</xdr:rowOff>
    </xdr:from>
    <xdr:ext cx="534377" cy="182550"/>
    <xdr:sp macro="_xll.MC_OnBranchLabelClick" textlink="">
      <xdr:nvSpPr>
        <xdr:cNvPr id="272" name="MC_BN_C_econ_growth_D_recession_response">
          <a:extLst>
            <a:ext uri="{FF2B5EF4-FFF2-40B4-BE49-F238E27FC236}">
              <a16:creationId xmlns:a16="http://schemas.microsoft.com/office/drawing/2014/main" id="{A0041C25-5197-A0F8-AB6F-EDACAEBB74F1}"/>
            </a:ext>
          </a:extLst>
        </xdr:cNvPr>
        <xdr:cNvSpPr txBox="1"/>
      </xdr:nvSpPr>
      <xdr:spPr>
        <a:xfrm>
          <a:off x="5563235" y="8614601"/>
          <a:ext cx="534377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Recession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74680</xdr:colOff>
      <xdr:row>27</xdr:row>
      <xdr:rowOff>190135</xdr:rowOff>
    </xdr:from>
    <xdr:to>
      <xdr:col>4</xdr:col>
      <xdr:colOff>47626</xdr:colOff>
      <xdr:row>66</xdr:row>
      <xdr:rowOff>15876</xdr:rowOff>
    </xdr:to>
    <xdr:sp macro="" textlink="">
      <xdr:nvSpPr>
        <xdr:cNvPr id="273" name="MC_BR_C_econ_growth_C_geo_growth_crisis">
          <a:extLst>
            <a:ext uri="{FF2B5EF4-FFF2-40B4-BE49-F238E27FC236}">
              <a16:creationId xmlns:a16="http://schemas.microsoft.com/office/drawing/2014/main" id="{A6EF8E2A-A7B3-FE98-8C76-22CD49ECB199}"/>
            </a:ext>
          </a:extLst>
        </xdr:cNvPr>
        <xdr:cNvSpPr/>
      </xdr:nvSpPr>
      <xdr:spPr>
        <a:xfrm>
          <a:off x="5351530" y="5276485"/>
          <a:ext cx="2187509" cy="7255241"/>
        </a:xfrm>
        <a:custGeom>
          <a:avLst/>
          <a:gdLst/>
          <a:ahLst/>
          <a:cxnLst/>
          <a:rect l="0" t="0" r="0" b="0"/>
          <a:pathLst>
            <a:path w="2187509" h="7255241">
              <a:moveTo>
                <a:pt x="31742" y="0"/>
              </a:moveTo>
              <a:lnTo>
                <a:pt x="198366" y="7239000"/>
              </a:lnTo>
              <a:lnTo>
                <a:pt x="182495" y="7223490"/>
              </a:lnTo>
              <a:lnTo>
                <a:pt x="2187508" y="7223490"/>
              </a:lnTo>
              <a:lnTo>
                <a:pt x="2187508" y="7255240"/>
              </a:lnTo>
              <a:lnTo>
                <a:pt x="182495" y="7255240"/>
              </a:lnTo>
              <a:lnTo>
                <a:pt x="166624" y="7239730"/>
              </a:lnTo>
              <a:lnTo>
                <a:pt x="0" y="730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65</xdr:row>
      <xdr:rowOff>99251</xdr:rowOff>
    </xdr:from>
    <xdr:ext cx="311752" cy="182550"/>
    <xdr:sp macro="_xll.MC_OnBranchLabelClick" textlink="">
      <xdr:nvSpPr>
        <xdr:cNvPr id="274" name="MC_BN_C_econ_growth_C_geo_growth_crisis">
          <a:extLst>
            <a:ext uri="{FF2B5EF4-FFF2-40B4-BE49-F238E27FC236}">
              <a16:creationId xmlns:a16="http://schemas.microsoft.com/office/drawing/2014/main" id="{666491D9-AD56-3E97-10AE-AC3137684499}"/>
            </a:ext>
          </a:extLst>
        </xdr:cNvPr>
        <xdr:cNvSpPr txBox="1"/>
      </xdr:nvSpPr>
      <xdr:spPr>
        <a:xfrm>
          <a:off x="5563235" y="12424601"/>
          <a:ext cx="311752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Crisis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76006</xdr:colOff>
      <xdr:row>19</xdr:row>
      <xdr:rowOff>174625</xdr:rowOff>
    </xdr:from>
    <xdr:to>
      <xdr:col>5</xdr:col>
      <xdr:colOff>47626</xdr:colOff>
      <xdr:row>22</xdr:row>
      <xdr:rowOff>6362</xdr:rowOff>
    </xdr:to>
    <xdr:sp macro="" textlink="">
      <xdr:nvSpPr>
        <xdr:cNvPr id="275" name="MC_BR_C_rates_growth_boom_T_growth_boom_rising">
          <a:extLst>
            <a:ext uri="{FF2B5EF4-FFF2-40B4-BE49-F238E27FC236}">
              <a16:creationId xmlns:a16="http://schemas.microsoft.com/office/drawing/2014/main" id="{D9662A00-756D-82B9-F60E-C969001210B9}"/>
            </a:ext>
          </a:extLst>
        </xdr:cNvPr>
        <xdr:cNvSpPr/>
      </xdr:nvSpPr>
      <xdr:spPr>
        <a:xfrm>
          <a:off x="7567419" y="3736975"/>
          <a:ext cx="2786257" cy="403237"/>
        </a:xfrm>
        <a:custGeom>
          <a:avLst/>
          <a:gdLst/>
          <a:ahLst/>
          <a:cxnLst/>
          <a:rect l="0" t="0" r="0" b="0"/>
          <a:pathLst>
            <a:path w="2786257" h="403237">
              <a:moveTo>
                <a:pt x="0" y="390514"/>
              </a:moveTo>
              <a:lnTo>
                <a:pt x="166624" y="9514"/>
              </a:lnTo>
              <a:lnTo>
                <a:pt x="181169" y="0"/>
              </a:lnTo>
              <a:lnTo>
                <a:pt x="2786256" y="0"/>
              </a:lnTo>
              <a:lnTo>
                <a:pt x="2786256" y="31750"/>
              </a:lnTo>
              <a:lnTo>
                <a:pt x="181169" y="31750"/>
              </a:lnTo>
              <a:lnTo>
                <a:pt x="195713" y="22236"/>
              </a:lnTo>
              <a:lnTo>
                <a:pt x="29089" y="40323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19</xdr:row>
      <xdr:rowOff>99251</xdr:rowOff>
    </xdr:from>
    <xdr:ext cx="636969" cy="182550"/>
    <xdr:sp macro="_xll.MC_OnBranchLabelClick" textlink="">
      <xdr:nvSpPr>
        <xdr:cNvPr id="276" name="MC_BN_C_rates_growth_boom_T_growth_boom_rising">
          <a:extLst>
            <a:ext uri="{FF2B5EF4-FFF2-40B4-BE49-F238E27FC236}">
              <a16:creationId xmlns:a16="http://schemas.microsoft.com/office/drawing/2014/main" id="{31AD24C7-5383-4DD1-43E1-E2F1BF8FE6BA}"/>
            </a:ext>
          </a:extLst>
        </xdr:cNvPr>
        <xdr:cNvSpPr txBox="1"/>
      </xdr:nvSpPr>
      <xdr:spPr>
        <a:xfrm>
          <a:off x="7777797" y="3661601"/>
          <a:ext cx="636969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Rising Rates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76006</xdr:colOff>
      <xdr:row>21</xdr:row>
      <xdr:rowOff>184139</xdr:rowOff>
    </xdr:from>
    <xdr:to>
      <xdr:col>5</xdr:col>
      <xdr:colOff>47626</xdr:colOff>
      <xdr:row>24</xdr:row>
      <xdr:rowOff>15876</xdr:rowOff>
    </xdr:to>
    <xdr:sp macro="" textlink="">
      <xdr:nvSpPr>
        <xdr:cNvPr id="277" name="MC_BR_C_rates_growth_boom_T_growth_boom_stable">
          <a:extLst>
            <a:ext uri="{FF2B5EF4-FFF2-40B4-BE49-F238E27FC236}">
              <a16:creationId xmlns:a16="http://schemas.microsoft.com/office/drawing/2014/main" id="{F1E88564-3B56-52EC-9F01-877EE245DCF5}"/>
            </a:ext>
          </a:extLst>
        </xdr:cNvPr>
        <xdr:cNvSpPr/>
      </xdr:nvSpPr>
      <xdr:spPr>
        <a:xfrm>
          <a:off x="7567419" y="4127489"/>
          <a:ext cx="2786257" cy="403237"/>
        </a:xfrm>
        <a:custGeom>
          <a:avLst/>
          <a:gdLst/>
          <a:ahLst/>
          <a:cxnLst/>
          <a:rect l="0" t="0" r="0" b="0"/>
          <a:pathLst>
            <a:path w="2786257" h="403237">
              <a:moveTo>
                <a:pt x="29089" y="0"/>
              </a:moveTo>
              <a:lnTo>
                <a:pt x="195713" y="381000"/>
              </a:lnTo>
              <a:lnTo>
                <a:pt x="181169" y="371486"/>
              </a:lnTo>
              <a:lnTo>
                <a:pt x="2786256" y="371486"/>
              </a:lnTo>
              <a:lnTo>
                <a:pt x="2786256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23</xdr:row>
      <xdr:rowOff>99251</xdr:rowOff>
    </xdr:from>
    <xdr:ext cx="642868" cy="182550"/>
    <xdr:sp macro="_xll.MC_OnBranchLabelClick" textlink="">
      <xdr:nvSpPr>
        <xdr:cNvPr id="278" name="MC_BN_C_rates_growth_boom_T_growth_boom_stable">
          <a:extLst>
            <a:ext uri="{FF2B5EF4-FFF2-40B4-BE49-F238E27FC236}">
              <a16:creationId xmlns:a16="http://schemas.microsoft.com/office/drawing/2014/main" id="{3C24B92B-489D-38DA-62D8-8875D5045DAC}"/>
            </a:ext>
          </a:extLst>
        </xdr:cNvPr>
        <xdr:cNvSpPr txBox="1"/>
      </xdr:nvSpPr>
      <xdr:spPr>
        <a:xfrm>
          <a:off x="7777797" y="4423601"/>
          <a:ext cx="642868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Stable Rates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75042</xdr:colOff>
      <xdr:row>21</xdr:row>
      <xdr:rowOff>187109</xdr:rowOff>
    </xdr:from>
    <xdr:to>
      <xdr:col>5</xdr:col>
      <xdr:colOff>47626</xdr:colOff>
      <xdr:row>26</xdr:row>
      <xdr:rowOff>15876</xdr:rowOff>
    </xdr:to>
    <xdr:sp macro="" textlink="">
      <xdr:nvSpPr>
        <xdr:cNvPr id="279" name="MC_BR_C_rates_growth_boom_T_growth_boom_falling">
          <a:extLst>
            <a:ext uri="{FF2B5EF4-FFF2-40B4-BE49-F238E27FC236}">
              <a16:creationId xmlns:a16="http://schemas.microsoft.com/office/drawing/2014/main" id="{AC1AE7C6-542D-764C-21EB-945F8FDA1DDC}"/>
            </a:ext>
          </a:extLst>
        </xdr:cNvPr>
        <xdr:cNvSpPr/>
      </xdr:nvSpPr>
      <xdr:spPr>
        <a:xfrm>
          <a:off x="7566455" y="4130459"/>
          <a:ext cx="2787221" cy="781267"/>
        </a:xfrm>
        <a:custGeom>
          <a:avLst/>
          <a:gdLst/>
          <a:ahLst/>
          <a:cxnLst/>
          <a:rect l="0" t="0" r="0" b="0"/>
          <a:pathLst>
            <a:path w="2787221" h="781267">
              <a:moveTo>
                <a:pt x="31017" y="0"/>
              </a:moveTo>
              <a:lnTo>
                <a:pt x="197641" y="762000"/>
              </a:lnTo>
              <a:lnTo>
                <a:pt x="182133" y="749516"/>
              </a:lnTo>
              <a:lnTo>
                <a:pt x="2787220" y="749516"/>
              </a:lnTo>
              <a:lnTo>
                <a:pt x="2787220" y="781266"/>
              </a:lnTo>
              <a:lnTo>
                <a:pt x="182133" y="781266"/>
              </a:lnTo>
              <a:lnTo>
                <a:pt x="166624" y="768782"/>
              </a:lnTo>
              <a:lnTo>
                <a:pt x="0" y="678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25</xdr:row>
      <xdr:rowOff>99251</xdr:rowOff>
    </xdr:from>
    <xdr:ext cx="654090" cy="182550"/>
    <xdr:sp macro="_xll.MC_OnBranchLabelClick" textlink="">
      <xdr:nvSpPr>
        <xdr:cNvPr id="280" name="MC_BN_C_rates_growth_boom_T_growth_boom_falling">
          <a:extLst>
            <a:ext uri="{FF2B5EF4-FFF2-40B4-BE49-F238E27FC236}">
              <a16:creationId xmlns:a16="http://schemas.microsoft.com/office/drawing/2014/main" id="{00A87B61-4C31-1E78-6F83-56FC0E225B1D}"/>
            </a:ext>
          </a:extLst>
        </xdr:cNvPr>
        <xdr:cNvSpPr txBox="1"/>
      </xdr:nvSpPr>
      <xdr:spPr>
        <a:xfrm>
          <a:off x="7777797" y="4804601"/>
          <a:ext cx="654090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Falling Rates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76006</xdr:colOff>
      <xdr:row>29</xdr:row>
      <xdr:rowOff>174625</xdr:rowOff>
    </xdr:from>
    <xdr:to>
      <xdr:col>5</xdr:col>
      <xdr:colOff>47626</xdr:colOff>
      <xdr:row>32</xdr:row>
      <xdr:rowOff>6362</xdr:rowOff>
    </xdr:to>
    <xdr:sp macro="" textlink="">
      <xdr:nvSpPr>
        <xdr:cNvPr id="281" name="MC_BR_C_rates_growth_normal_T_growth_norm_rising">
          <a:extLst>
            <a:ext uri="{FF2B5EF4-FFF2-40B4-BE49-F238E27FC236}">
              <a16:creationId xmlns:a16="http://schemas.microsoft.com/office/drawing/2014/main" id="{2F86ED76-D36C-9180-CF5A-FAF88594C5D4}"/>
            </a:ext>
          </a:extLst>
        </xdr:cNvPr>
        <xdr:cNvSpPr/>
      </xdr:nvSpPr>
      <xdr:spPr>
        <a:xfrm>
          <a:off x="7567419" y="5641975"/>
          <a:ext cx="2786257" cy="403237"/>
        </a:xfrm>
        <a:custGeom>
          <a:avLst/>
          <a:gdLst/>
          <a:ahLst/>
          <a:cxnLst/>
          <a:rect l="0" t="0" r="0" b="0"/>
          <a:pathLst>
            <a:path w="2786257" h="403237">
              <a:moveTo>
                <a:pt x="0" y="390514"/>
              </a:moveTo>
              <a:lnTo>
                <a:pt x="166624" y="9514"/>
              </a:lnTo>
              <a:lnTo>
                <a:pt x="181169" y="0"/>
              </a:lnTo>
              <a:lnTo>
                <a:pt x="2786256" y="0"/>
              </a:lnTo>
              <a:lnTo>
                <a:pt x="2786256" y="31750"/>
              </a:lnTo>
              <a:lnTo>
                <a:pt x="181169" y="31750"/>
              </a:lnTo>
              <a:lnTo>
                <a:pt x="195713" y="22236"/>
              </a:lnTo>
              <a:lnTo>
                <a:pt x="29089" y="40323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29</xdr:row>
      <xdr:rowOff>99251</xdr:rowOff>
    </xdr:from>
    <xdr:ext cx="636969" cy="182550"/>
    <xdr:sp macro="_xll.MC_OnBranchLabelClick" textlink="">
      <xdr:nvSpPr>
        <xdr:cNvPr id="282" name="MC_BN_C_rates_growth_normal_T_growth_norm_rising">
          <a:extLst>
            <a:ext uri="{FF2B5EF4-FFF2-40B4-BE49-F238E27FC236}">
              <a16:creationId xmlns:a16="http://schemas.microsoft.com/office/drawing/2014/main" id="{D7FFFE76-1F58-BEE5-B23E-2F36737FC1A1}"/>
            </a:ext>
          </a:extLst>
        </xdr:cNvPr>
        <xdr:cNvSpPr txBox="1"/>
      </xdr:nvSpPr>
      <xdr:spPr>
        <a:xfrm>
          <a:off x="7777797" y="5566601"/>
          <a:ext cx="636969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Rising Rates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76006</xdr:colOff>
      <xdr:row>31</xdr:row>
      <xdr:rowOff>184139</xdr:rowOff>
    </xdr:from>
    <xdr:to>
      <xdr:col>5</xdr:col>
      <xdr:colOff>47626</xdr:colOff>
      <xdr:row>34</xdr:row>
      <xdr:rowOff>15876</xdr:rowOff>
    </xdr:to>
    <xdr:sp macro="" textlink="">
      <xdr:nvSpPr>
        <xdr:cNvPr id="283" name="MC_BR_C_rates_growth_normal_T_growth_norm_stable">
          <a:extLst>
            <a:ext uri="{FF2B5EF4-FFF2-40B4-BE49-F238E27FC236}">
              <a16:creationId xmlns:a16="http://schemas.microsoft.com/office/drawing/2014/main" id="{F2FB9930-90EF-1E05-695D-C0191BEADACB}"/>
            </a:ext>
          </a:extLst>
        </xdr:cNvPr>
        <xdr:cNvSpPr/>
      </xdr:nvSpPr>
      <xdr:spPr>
        <a:xfrm>
          <a:off x="7567419" y="6032489"/>
          <a:ext cx="2786257" cy="403237"/>
        </a:xfrm>
        <a:custGeom>
          <a:avLst/>
          <a:gdLst/>
          <a:ahLst/>
          <a:cxnLst/>
          <a:rect l="0" t="0" r="0" b="0"/>
          <a:pathLst>
            <a:path w="2786257" h="403237">
              <a:moveTo>
                <a:pt x="29089" y="0"/>
              </a:moveTo>
              <a:lnTo>
                <a:pt x="195713" y="381000"/>
              </a:lnTo>
              <a:lnTo>
                <a:pt x="181169" y="371486"/>
              </a:lnTo>
              <a:lnTo>
                <a:pt x="2786256" y="371486"/>
              </a:lnTo>
              <a:lnTo>
                <a:pt x="2786256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33</xdr:row>
      <xdr:rowOff>99251</xdr:rowOff>
    </xdr:from>
    <xdr:ext cx="642868" cy="182550"/>
    <xdr:sp macro="_xll.MC_OnBranchLabelClick" textlink="">
      <xdr:nvSpPr>
        <xdr:cNvPr id="284" name="MC_BN_C_rates_growth_normal_T_growth_norm_stable">
          <a:extLst>
            <a:ext uri="{FF2B5EF4-FFF2-40B4-BE49-F238E27FC236}">
              <a16:creationId xmlns:a16="http://schemas.microsoft.com/office/drawing/2014/main" id="{5B31576B-E842-1BDD-E809-AF2A0F250A0B}"/>
            </a:ext>
          </a:extLst>
        </xdr:cNvPr>
        <xdr:cNvSpPr txBox="1"/>
      </xdr:nvSpPr>
      <xdr:spPr>
        <a:xfrm>
          <a:off x="7777797" y="6328601"/>
          <a:ext cx="642868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Stable Rates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75042</xdr:colOff>
      <xdr:row>31</xdr:row>
      <xdr:rowOff>187109</xdr:rowOff>
    </xdr:from>
    <xdr:to>
      <xdr:col>5</xdr:col>
      <xdr:colOff>47626</xdr:colOff>
      <xdr:row>36</xdr:row>
      <xdr:rowOff>15876</xdr:rowOff>
    </xdr:to>
    <xdr:sp macro="" textlink="">
      <xdr:nvSpPr>
        <xdr:cNvPr id="285" name="MC_BR_C_rates_growth_normal_T_growth_norm_falling">
          <a:extLst>
            <a:ext uri="{FF2B5EF4-FFF2-40B4-BE49-F238E27FC236}">
              <a16:creationId xmlns:a16="http://schemas.microsoft.com/office/drawing/2014/main" id="{233694E5-F3EA-C41F-53A4-1FE849235CDD}"/>
            </a:ext>
          </a:extLst>
        </xdr:cNvPr>
        <xdr:cNvSpPr/>
      </xdr:nvSpPr>
      <xdr:spPr>
        <a:xfrm>
          <a:off x="7566455" y="6035459"/>
          <a:ext cx="2787221" cy="781267"/>
        </a:xfrm>
        <a:custGeom>
          <a:avLst/>
          <a:gdLst/>
          <a:ahLst/>
          <a:cxnLst/>
          <a:rect l="0" t="0" r="0" b="0"/>
          <a:pathLst>
            <a:path w="2787221" h="781267">
              <a:moveTo>
                <a:pt x="31017" y="0"/>
              </a:moveTo>
              <a:lnTo>
                <a:pt x="197641" y="762000"/>
              </a:lnTo>
              <a:lnTo>
                <a:pt x="182133" y="749516"/>
              </a:lnTo>
              <a:lnTo>
                <a:pt x="2787220" y="749516"/>
              </a:lnTo>
              <a:lnTo>
                <a:pt x="2787220" y="781266"/>
              </a:lnTo>
              <a:lnTo>
                <a:pt x="182133" y="781266"/>
              </a:lnTo>
              <a:lnTo>
                <a:pt x="166624" y="768782"/>
              </a:lnTo>
              <a:lnTo>
                <a:pt x="0" y="678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35</xdr:row>
      <xdr:rowOff>99251</xdr:rowOff>
    </xdr:from>
    <xdr:ext cx="654090" cy="182550"/>
    <xdr:sp macro="_xll.MC_OnBranchLabelClick" textlink="">
      <xdr:nvSpPr>
        <xdr:cNvPr id="286" name="MC_BN_C_rates_growth_normal_T_growth_norm_falling">
          <a:extLst>
            <a:ext uri="{FF2B5EF4-FFF2-40B4-BE49-F238E27FC236}">
              <a16:creationId xmlns:a16="http://schemas.microsoft.com/office/drawing/2014/main" id="{8D83B350-121C-C619-BEBB-8F89E007AC69}"/>
            </a:ext>
          </a:extLst>
        </xdr:cNvPr>
        <xdr:cNvSpPr txBox="1"/>
      </xdr:nvSpPr>
      <xdr:spPr>
        <a:xfrm>
          <a:off x="7777797" y="6709601"/>
          <a:ext cx="654090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Falling Rates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84267</xdr:colOff>
      <xdr:row>39</xdr:row>
      <xdr:rowOff>184150</xdr:rowOff>
    </xdr:from>
    <xdr:to>
      <xdr:col>5</xdr:col>
      <xdr:colOff>47626</xdr:colOff>
      <xdr:row>46</xdr:row>
      <xdr:rowOff>917</xdr:rowOff>
    </xdr:to>
    <xdr:sp macro="" textlink="">
      <xdr:nvSpPr>
        <xdr:cNvPr id="287" name="MC_BR_D_recession_response_C_geo_rebal_def">
          <a:extLst>
            <a:ext uri="{FF2B5EF4-FFF2-40B4-BE49-F238E27FC236}">
              <a16:creationId xmlns:a16="http://schemas.microsoft.com/office/drawing/2014/main" id="{2B115E7F-E65D-A087-787B-86C62561A8C4}"/>
            </a:ext>
          </a:extLst>
        </xdr:cNvPr>
        <xdr:cNvSpPr/>
      </xdr:nvSpPr>
      <xdr:spPr>
        <a:xfrm>
          <a:off x="7575680" y="7556500"/>
          <a:ext cx="2777996" cy="1150267"/>
        </a:xfrm>
        <a:custGeom>
          <a:avLst/>
          <a:gdLst/>
          <a:ahLst/>
          <a:cxnLst/>
          <a:rect l="0" t="0" r="0" b="0"/>
          <a:pathLst>
            <a:path w="2777996" h="1150267">
              <a:moveTo>
                <a:pt x="0" y="1148434"/>
              </a:moveTo>
              <a:lnTo>
                <a:pt x="166624" y="5434"/>
              </a:lnTo>
              <a:lnTo>
                <a:pt x="172908" y="0"/>
              </a:lnTo>
              <a:lnTo>
                <a:pt x="2777995" y="0"/>
              </a:lnTo>
              <a:lnTo>
                <a:pt x="2777995" y="12700"/>
              </a:lnTo>
              <a:lnTo>
                <a:pt x="172908" y="12700"/>
              </a:lnTo>
              <a:lnTo>
                <a:pt x="179191" y="7266"/>
              </a:lnTo>
              <a:lnTo>
                <a:pt x="12567" y="115026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39</xdr:row>
      <xdr:rowOff>99251</xdr:rowOff>
    </xdr:from>
    <xdr:ext cx="1144801" cy="182550"/>
    <xdr:sp macro="_xll.MC_OnBranchLabelClick" textlink="">
      <xdr:nvSpPr>
        <xdr:cNvPr id="288" name="MC_BN_D_recession_response_C_geo_rebal_def">
          <a:extLst>
            <a:ext uri="{FF2B5EF4-FFF2-40B4-BE49-F238E27FC236}">
              <a16:creationId xmlns:a16="http://schemas.microsoft.com/office/drawing/2014/main" id="{4AE15D1D-E974-05CE-3E68-B8EFEF8F54F5}"/>
            </a:ext>
          </a:extLst>
        </xdr:cNvPr>
        <xdr:cNvSpPr txBox="1"/>
      </xdr:nvSpPr>
      <xdr:spPr>
        <a:xfrm>
          <a:off x="7777797" y="7471601"/>
          <a:ext cx="114480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Rebalance to Defensive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84347</xdr:colOff>
      <xdr:row>45</xdr:row>
      <xdr:rowOff>189143</xdr:rowOff>
    </xdr:from>
    <xdr:to>
      <xdr:col>5</xdr:col>
      <xdr:colOff>47626</xdr:colOff>
      <xdr:row>50</xdr:row>
      <xdr:rowOff>6351</xdr:rowOff>
    </xdr:to>
    <xdr:sp macro="" textlink="">
      <xdr:nvSpPr>
        <xdr:cNvPr id="289" name="MC_BR_D_recession_response_C_geo_stay_course">
          <a:extLst>
            <a:ext uri="{FF2B5EF4-FFF2-40B4-BE49-F238E27FC236}">
              <a16:creationId xmlns:a16="http://schemas.microsoft.com/office/drawing/2014/main" id="{FB7C99F8-75DD-AC7E-8AD9-F31DEFCC9A4C}"/>
            </a:ext>
          </a:extLst>
        </xdr:cNvPr>
        <xdr:cNvSpPr/>
      </xdr:nvSpPr>
      <xdr:spPr>
        <a:xfrm>
          <a:off x="7575760" y="8704493"/>
          <a:ext cx="2777916" cy="769708"/>
        </a:xfrm>
        <a:custGeom>
          <a:avLst/>
          <a:gdLst/>
          <a:ahLst/>
          <a:cxnLst/>
          <a:rect l="0" t="0" r="0" b="0"/>
          <a:pathLst>
            <a:path w="2777916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777915" y="757007"/>
              </a:lnTo>
              <a:lnTo>
                <a:pt x="2777915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49</xdr:row>
      <xdr:rowOff>99251</xdr:rowOff>
    </xdr:from>
    <xdr:ext cx="791179" cy="182550"/>
    <xdr:sp macro="_xll.MC_OnBranchLabelClick" textlink="">
      <xdr:nvSpPr>
        <xdr:cNvPr id="290" name="MC_BN_D_recession_response_C_geo_stay_course">
          <a:extLst>
            <a:ext uri="{FF2B5EF4-FFF2-40B4-BE49-F238E27FC236}">
              <a16:creationId xmlns:a16="http://schemas.microsoft.com/office/drawing/2014/main" id="{B07C7A1C-6838-0CB6-1A06-169B549D5335}"/>
            </a:ext>
          </a:extLst>
        </xdr:cNvPr>
        <xdr:cNvSpPr txBox="1"/>
      </xdr:nvSpPr>
      <xdr:spPr>
        <a:xfrm>
          <a:off x="7777797" y="9376601"/>
          <a:ext cx="79117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Stay the Course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74717</xdr:colOff>
      <xdr:row>45</xdr:row>
      <xdr:rowOff>189346</xdr:rowOff>
    </xdr:from>
    <xdr:to>
      <xdr:col>5</xdr:col>
      <xdr:colOff>47626</xdr:colOff>
      <xdr:row>58</xdr:row>
      <xdr:rowOff>15876</xdr:rowOff>
    </xdr:to>
    <xdr:sp macro="" textlink="">
      <xdr:nvSpPr>
        <xdr:cNvPr id="291" name="MC_BR_D_recession_response_C_geo_opportunistic">
          <a:extLst>
            <a:ext uri="{FF2B5EF4-FFF2-40B4-BE49-F238E27FC236}">
              <a16:creationId xmlns:a16="http://schemas.microsoft.com/office/drawing/2014/main" id="{14D90943-A5F2-40BF-A2D6-B28B08E08DF0}"/>
            </a:ext>
          </a:extLst>
        </xdr:cNvPr>
        <xdr:cNvSpPr/>
      </xdr:nvSpPr>
      <xdr:spPr>
        <a:xfrm>
          <a:off x="7566130" y="8704696"/>
          <a:ext cx="2787546" cy="2303030"/>
        </a:xfrm>
        <a:custGeom>
          <a:avLst/>
          <a:gdLst/>
          <a:ahLst/>
          <a:cxnLst/>
          <a:rect l="0" t="0" r="0" b="0"/>
          <a:pathLst>
            <a:path w="2787546" h="2303030">
              <a:moveTo>
                <a:pt x="31667" y="0"/>
              </a:moveTo>
              <a:lnTo>
                <a:pt x="198291" y="2286000"/>
              </a:lnTo>
              <a:lnTo>
                <a:pt x="182458" y="2271279"/>
              </a:lnTo>
              <a:lnTo>
                <a:pt x="2787545" y="2271279"/>
              </a:lnTo>
              <a:lnTo>
                <a:pt x="2787545" y="2303029"/>
              </a:lnTo>
              <a:lnTo>
                <a:pt x="182458" y="2303029"/>
              </a:lnTo>
              <a:lnTo>
                <a:pt x="166624" y="2288308"/>
              </a:lnTo>
              <a:lnTo>
                <a:pt x="0" y="2308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57</xdr:row>
      <xdr:rowOff>99251</xdr:rowOff>
    </xdr:from>
    <xdr:ext cx="1002134" cy="182550"/>
    <xdr:sp macro="_xll.MC_OnBranchLabelClick" textlink="">
      <xdr:nvSpPr>
        <xdr:cNvPr id="292" name="MC_BN_D_recession_response_C_geo_opportunistic">
          <a:extLst>
            <a:ext uri="{FF2B5EF4-FFF2-40B4-BE49-F238E27FC236}">
              <a16:creationId xmlns:a16="http://schemas.microsoft.com/office/drawing/2014/main" id="{7C394E58-99AB-6EE7-03BE-3B29F4BA5791}"/>
            </a:ext>
          </a:extLst>
        </xdr:cNvPr>
        <xdr:cNvSpPr txBox="1"/>
      </xdr:nvSpPr>
      <xdr:spPr>
        <a:xfrm>
          <a:off x="7777797" y="10900601"/>
          <a:ext cx="1002134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Opportunistic Buying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84733</xdr:colOff>
      <xdr:row>37</xdr:row>
      <xdr:rowOff>184150</xdr:rowOff>
    </xdr:from>
    <xdr:to>
      <xdr:col>6</xdr:col>
      <xdr:colOff>47626</xdr:colOff>
      <xdr:row>40</xdr:row>
      <xdr:rowOff>2545</xdr:rowOff>
    </xdr:to>
    <xdr:sp macro="" textlink="">
      <xdr:nvSpPr>
        <xdr:cNvPr id="293" name="MC_BR_C_geo_rebal_def_T_rebal_stable">
          <a:extLst>
            <a:ext uri="{FF2B5EF4-FFF2-40B4-BE49-F238E27FC236}">
              <a16:creationId xmlns:a16="http://schemas.microsoft.com/office/drawing/2014/main" id="{EE6CDE03-D13E-AC37-448B-B323A7C59020}"/>
            </a:ext>
          </a:extLst>
        </xdr:cNvPr>
        <xdr:cNvSpPr/>
      </xdr:nvSpPr>
      <xdr:spPr>
        <a:xfrm>
          <a:off x="10390783" y="7175500"/>
          <a:ext cx="2691806" cy="389895"/>
        </a:xfrm>
        <a:custGeom>
          <a:avLst/>
          <a:gdLst/>
          <a:ahLst/>
          <a:cxnLst/>
          <a:rect l="0" t="0" r="0" b="0"/>
          <a:pathLst>
            <a:path w="2691806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691805" y="0"/>
              </a:lnTo>
              <a:lnTo>
                <a:pt x="2691805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37</xdr:row>
      <xdr:rowOff>99251</xdr:rowOff>
    </xdr:from>
    <xdr:ext cx="346313" cy="182550"/>
    <xdr:sp macro="_xll.MC_OnBranchLabelClick" textlink="">
      <xdr:nvSpPr>
        <xdr:cNvPr id="294" name="MC_BN_C_geo_rebal_def_T_rebal_stable">
          <a:extLst>
            <a:ext uri="{FF2B5EF4-FFF2-40B4-BE49-F238E27FC236}">
              <a16:creationId xmlns:a16="http://schemas.microsoft.com/office/drawing/2014/main" id="{6322D53C-FAC2-CE20-2EDC-2D7090786944}"/>
            </a:ext>
          </a:extLst>
        </xdr:cNvPr>
        <xdr:cNvSpPr txBox="1"/>
      </xdr:nvSpPr>
      <xdr:spPr>
        <a:xfrm>
          <a:off x="10592435" y="7090601"/>
          <a:ext cx="34631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Stable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84733</xdr:colOff>
      <xdr:row>39</xdr:row>
      <xdr:rowOff>187956</xdr:rowOff>
    </xdr:from>
    <xdr:to>
      <xdr:col>6</xdr:col>
      <xdr:colOff>47626</xdr:colOff>
      <xdr:row>42</xdr:row>
      <xdr:rowOff>6351</xdr:rowOff>
    </xdr:to>
    <xdr:sp macro="" textlink="">
      <xdr:nvSpPr>
        <xdr:cNvPr id="295" name="MC_BR_C_geo_rebal_def_T_rebal_tension">
          <a:extLst>
            <a:ext uri="{FF2B5EF4-FFF2-40B4-BE49-F238E27FC236}">
              <a16:creationId xmlns:a16="http://schemas.microsoft.com/office/drawing/2014/main" id="{3750A830-4B73-7B6A-12C4-2AA70B4A14D4}"/>
            </a:ext>
          </a:extLst>
        </xdr:cNvPr>
        <xdr:cNvSpPr/>
      </xdr:nvSpPr>
      <xdr:spPr>
        <a:xfrm>
          <a:off x="10390783" y="7560306"/>
          <a:ext cx="2691806" cy="389895"/>
        </a:xfrm>
        <a:custGeom>
          <a:avLst/>
          <a:gdLst/>
          <a:ahLst/>
          <a:cxnLst/>
          <a:rect l="0" t="0" r="0" b="0"/>
          <a:pathLst>
            <a:path w="2691806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691805" y="377194"/>
              </a:lnTo>
              <a:lnTo>
                <a:pt x="2691805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41</xdr:row>
      <xdr:rowOff>99251</xdr:rowOff>
    </xdr:from>
    <xdr:ext cx="882421" cy="182550"/>
    <xdr:sp macro="_xll.MC_OnBranchLabelClick" textlink="">
      <xdr:nvSpPr>
        <xdr:cNvPr id="296" name="MC_BN_C_geo_rebal_def_T_rebal_tension">
          <a:extLst>
            <a:ext uri="{FF2B5EF4-FFF2-40B4-BE49-F238E27FC236}">
              <a16:creationId xmlns:a16="http://schemas.microsoft.com/office/drawing/2014/main" id="{1AE4387F-B093-BEDC-AE4A-6AC9D9F96802}"/>
            </a:ext>
          </a:extLst>
        </xdr:cNvPr>
        <xdr:cNvSpPr txBox="1"/>
      </xdr:nvSpPr>
      <xdr:spPr>
        <a:xfrm>
          <a:off x="10592435" y="7852601"/>
          <a:ext cx="88242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Moderate Tension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84348</xdr:colOff>
      <xdr:row>39</xdr:row>
      <xdr:rowOff>189143</xdr:rowOff>
    </xdr:from>
    <xdr:to>
      <xdr:col>6</xdr:col>
      <xdr:colOff>47626</xdr:colOff>
      <xdr:row>44</xdr:row>
      <xdr:rowOff>6351</xdr:rowOff>
    </xdr:to>
    <xdr:sp macro="" textlink="">
      <xdr:nvSpPr>
        <xdr:cNvPr id="297" name="MC_BR_C_geo_rebal_def_T_rebal_disruption">
          <a:extLst>
            <a:ext uri="{FF2B5EF4-FFF2-40B4-BE49-F238E27FC236}">
              <a16:creationId xmlns:a16="http://schemas.microsoft.com/office/drawing/2014/main" id="{F6155C3D-6FC2-ADDC-A92C-F45717C6667A}"/>
            </a:ext>
          </a:extLst>
        </xdr:cNvPr>
        <xdr:cNvSpPr/>
      </xdr:nvSpPr>
      <xdr:spPr>
        <a:xfrm>
          <a:off x="10390398" y="7561493"/>
          <a:ext cx="2692191" cy="769708"/>
        </a:xfrm>
        <a:custGeom>
          <a:avLst/>
          <a:gdLst/>
          <a:ahLst/>
          <a:cxnLst/>
          <a:rect l="0" t="0" r="0" b="0"/>
          <a:pathLst>
            <a:path w="2692191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692190" y="757007"/>
              </a:lnTo>
              <a:lnTo>
                <a:pt x="2692190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43</xdr:row>
      <xdr:rowOff>99251</xdr:rowOff>
    </xdr:from>
    <xdr:ext cx="802336" cy="182550"/>
    <xdr:sp macro="_xll.MC_OnBranchLabelClick" textlink="">
      <xdr:nvSpPr>
        <xdr:cNvPr id="298" name="MC_BN_C_geo_rebal_def_T_rebal_disruption">
          <a:extLst>
            <a:ext uri="{FF2B5EF4-FFF2-40B4-BE49-F238E27FC236}">
              <a16:creationId xmlns:a16="http://schemas.microsoft.com/office/drawing/2014/main" id="{BDF75B2C-DB8D-B257-A579-872A603DBF3D}"/>
            </a:ext>
          </a:extLst>
        </xdr:cNvPr>
        <xdr:cNvSpPr txBox="1"/>
      </xdr:nvSpPr>
      <xdr:spPr>
        <a:xfrm>
          <a:off x="10592435" y="8233601"/>
          <a:ext cx="80233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Major Disruption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84733</xdr:colOff>
      <xdr:row>47</xdr:row>
      <xdr:rowOff>184150</xdr:rowOff>
    </xdr:from>
    <xdr:to>
      <xdr:col>6</xdr:col>
      <xdr:colOff>47626</xdr:colOff>
      <xdr:row>50</xdr:row>
      <xdr:rowOff>2545</xdr:rowOff>
    </xdr:to>
    <xdr:sp macro="" textlink="">
      <xdr:nvSpPr>
        <xdr:cNvPr id="299" name="MC_BR_C_geo_stay_course_T_stay_stable">
          <a:extLst>
            <a:ext uri="{FF2B5EF4-FFF2-40B4-BE49-F238E27FC236}">
              <a16:creationId xmlns:a16="http://schemas.microsoft.com/office/drawing/2014/main" id="{A4C47E04-6232-788C-6855-EDF368DA91A8}"/>
            </a:ext>
          </a:extLst>
        </xdr:cNvPr>
        <xdr:cNvSpPr/>
      </xdr:nvSpPr>
      <xdr:spPr>
        <a:xfrm>
          <a:off x="10390783" y="9080500"/>
          <a:ext cx="2691806" cy="389895"/>
        </a:xfrm>
        <a:custGeom>
          <a:avLst/>
          <a:gdLst/>
          <a:ahLst/>
          <a:cxnLst/>
          <a:rect l="0" t="0" r="0" b="0"/>
          <a:pathLst>
            <a:path w="2691806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691805" y="0"/>
              </a:lnTo>
              <a:lnTo>
                <a:pt x="2691805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47</xdr:row>
      <xdr:rowOff>99251</xdr:rowOff>
    </xdr:from>
    <xdr:ext cx="346313" cy="182550"/>
    <xdr:sp macro="_xll.MC_OnBranchLabelClick" textlink="">
      <xdr:nvSpPr>
        <xdr:cNvPr id="300" name="MC_BN_C_geo_stay_course_T_stay_stable">
          <a:extLst>
            <a:ext uri="{FF2B5EF4-FFF2-40B4-BE49-F238E27FC236}">
              <a16:creationId xmlns:a16="http://schemas.microsoft.com/office/drawing/2014/main" id="{35290DB7-3D34-D6CA-1D70-4BE3703CCF97}"/>
            </a:ext>
          </a:extLst>
        </xdr:cNvPr>
        <xdr:cNvSpPr txBox="1"/>
      </xdr:nvSpPr>
      <xdr:spPr>
        <a:xfrm>
          <a:off x="10592435" y="8995601"/>
          <a:ext cx="34631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Stable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84733</xdr:colOff>
      <xdr:row>49</xdr:row>
      <xdr:rowOff>187956</xdr:rowOff>
    </xdr:from>
    <xdr:to>
      <xdr:col>6</xdr:col>
      <xdr:colOff>47626</xdr:colOff>
      <xdr:row>52</xdr:row>
      <xdr:rowOff>6351</xdr:rowOff>
    </xdr:to>
    <xdr:sp macro="" textlink="">
      <xdr:nvSpPr>
        <xdr:cNvPr id="301" name="MC_BR_C_geo_stay_course_T_stay_tension">
          <a:extLst>
            <a:ext uri="{FF2B5EF4-FFF2-40B4-BE49-F238E27FC236}">
              <a16:creationId xmlns:a16="http://schemas.microsoft.com/office/drawing/2014/main" id="{EA7C1EEB-1923-775B-AD1A-52937A40051A}"/>
            </a:ext>
          </a:extLst>
        </xdr:cNvPr>
        <xdr:cNvSpPr/>
      </xdr:nvSpPr>
      <xdr:spPr>
        <a:xfrm>
          <a:off x="10390783" y="9465306"/>
          <a:ext cx="2691806" cy="389895"/>
        </a:xfrm>
        <a:custGeom>
          <a:avLst/>
          <a:gdLst/>
          <a:ahLst/>
          <a:cxnLst/>
          <a:rect l="0" t="0" r="0" b="0"/>
          <a:pathLst>
            <a:path w="2691806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691805" y="377194"/>
              </a:lnTo>
              <a:lnTo>
                <a:pt x="2691805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51</xdr:row>
      <xdr:rowOff>99251</xdr:rowOff>
    </xdr:from>
    <xdr:ext cx="882421" cy="182550"/>
    <xdr:sp macro="_xll.MC_OnBranchLabelClick" textlink="">
      <xdr:nvSpPr>
        <xdr:cNvPr id="302" name="MC_BN_C_geo_stay_course_T_stay_tension">
          <a:extLst>
            <a:ext uri="{FF2B5EF4-FFF2-40B4-BE49-F238E27FC236}">
              <a16:creationId xmlns:a16="http://schemas.microsoft.com/office/drawing/2014/main" id="{21525B8B-4350-BCEA-5057-908664AB197D}"/>
            </a:ext>
          </a:extLst>
        </xdr:cNvPr>
        <xdr:cNvSpPr txBox="1"/>
      </xdr:nvSpPr>
      <xdr:spPr>
        <a:xfrm>
          <a:off x="10592435" y="9757601"/>
          <a:ext cx="88242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Moderate Tension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84348</xdr:colOff>
      <xdr:row>49</xdr:row>
      <xdr:rowOff>189143</xdr:rowOff>
    </xdr:from>
    <xdr:to>
      <xdr:col>6</xdr:col>
      <xdr:colOff>47626</xdr:colOff>
      <xdr:row>54</xdr:row>
      <xdr:rowOff>6351</xdr:rowOff>
    </xdr:to>
    <xdr:sp macro="" textlink="">
      <xdr:nvSpPr>
        <xdr:cNvPr id="303" name="MC_BR_C_geo_stay_course_T_stay_disruption">
          <a:extLst>
            <a:ext uri="{FF2B5EF4-FFF2-40B4-BE49-F238E27FC236}">
              <a16:creationId xmlns:a16="http://schemas.microsoft.com/office/drawing/2014/main" id="{6801094F-2A84-31A3-31FA-F115515F439E}"/>
            </a:ext>
          </a:extLst>
        </xdr:cNvPr>
        <xdr:cNvSpPr/>
      </xdr:nvSpPr>
      <xdr:spPr>
        <a:xfrm>
          <a:off x="10390398" y="9466493"/>
          <a:ext cx="2692191" cy="769708"/>
        </a:xfrm>
        <a:custGeom>
          <a:avLst/>
          <a:gdLst/>
          <a:ahLst/>
          <a:cxnLst/>
          <a:rect l="0" t="0" r="0" b="0"/>
          <a:pathLst>
            <a:path w="2692191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692190" y="757007"/>
              </a:lnTo>
              <a:lnTo>
                <a:pt x="2692190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53</xdr:row>
      <xdr:rowOff>99251</xdr:rowOff>
    </xdr:from>
    <xdr:ext cx="802336" cy="182550"/>
    <xdr:sp macro="_xll.MC_OnBranchLabelClick" textlink="">
      <xdr:nvSpPr>
        <xdr:cNvPr id="304" name="MC_BN_C_geo_stay_course_T_stay_disruption">
          <a:extLst>
            <a:ext uri="{FF2B5EF4-FFF2-40B4-BE49-F238E27FC236}">
              <a16:creationId xmlns:a16="http://schemas.microsoft.com/office/drawing/2014/main" id="{44BFDCFA-6EA3-6934-2B58-5BD3CCEA7940}"/>
            </a:ext>
          </a:extLst>
        </xdr:cNvPr>
        <xdr:cNvSpPr txBox="1"/>
      </xdr:nvSpPr>
      <xdr:spPr>
        <a:xfrm>
          <a:off x="10592435" y="10138601"/>
          <a:ext cx="80233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Major Disruption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76006</xdr:colOff>
      <xdr:row>55</xdr:row>
      <xdr:rowOff>174625</xdr:rowOff>
    </xdr:from>
    <xdr:to>
      <xdr:col>6</xdr:col>
      <xdr:colOff>47626</xdr:colOff>
      <xdr:row>58</xdr:row>
      <xdr:rowOff>6362</xdr:rowOff>
    </xdr:to>
    <xdr:sp macro="" textlink="">
      <xdr:nvSpPr>
        <xdr:cNvPr id="305" name="MC_BR_C_geo_opportunistic_T_opp_stable">
          <a:extLst>
            <a:ext uri="{FF2B5EF4-FFF2-40B4-BE49-F238E27FC236}">
              <a16:creationId xmlns:a16="http://schemas.microsoft.com/office/drawing/2014/main" id="{777475BA-3C8A-91F0-1D9E-407554264076}"/>
            </a:ext>
          </a:extLst>
        </xdr:cNvPr>
        <xdr:cNvSpPr/>
      </xdr:nvSpPr>
      <xdr:spPr>
        <a:xfrm>
          <a:off x="10382056" y="10594975"/>
          <a:ext cx="2700533" cy="403237"/>
        </a:xfrm>
        <a:custGeom>
          <a:avLst/>
          <a:gdLst/>
          <a:ahLst/>
          <a:cxnLst/>
          <a:rect l="0" t="0" r="0" b="0"/>
          <a:pathLst>
            <a:path w="2700533" h="403237">
              <a:moveTo>
                <a:pt x="0" y="390514"/>
              </a:moveTo>
              <a:lnTo>
                <a:pt x="166624" y="9514"/>
              </a:lnTo>
              <a:lnTo>
                <a:pt x="181169" y="0"/>
              </a:lnTo>
              <a:lnTo>
                <a:pt x="2700532" y="0"/>
              </a:lnTo>
              <a:lnTo>
                <a:pt x="2700532" y="31750"/>
              </a:lnTo>
              <a:lnTo>
                <a:pt x="181169" y="31750"/>
              </a:lnTo>
              <a:lnTo>
                <a:pt x="195714" y="22236"/>
              </a:lnTo>
              <a:lnTo>
                <a:pt x="29090" y="40323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55</xdr:row>
      <xdr:rowOff>99251</xdr:rowOff>
    </xdr:from>
    <xdr:ext cx="346313" cy="182550"/>
    <xdr:sp macro="_xll.MC_OnBranchLabelClick" textlink="">
      <xdr:nvSpPr>
        <xdr:cNvPr id="306" name="MC_BN_C_geo_opportunistic_T_opp_stable">
          <a:extLst>
            <a:ext uri="{FF2B5EF4-FFF2-40B4-BE49-F238E27FC236}">
              <a16:creationId xmlns:a16="http://schemas.microsoft.com/office/drawing/2014/main" id="{30EA9525-C3A3-6396-417A-1CC4C2BD8E26}"/>
            </a:ext>
          </a:extLst>
        </xdr:cNvPr>
        <xdr:cNvSpPr txBox="1"/>
      </xdr:nvSpPr>
      <xdr:spPr>
        <a:xfrm>
          <a:off x="10592435" y="10519601"/>
          <a:ext cx="346313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Stable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76006</xdr:colOff>
      <xdr:row>57</xdr:row>
      <xdr:rowOff>184139</xdr:rowOff>
    </xdr:from>
    <xdr:to>
      <xdr:col>6</xdr:col>
      <xdr:colOff>47626</xdr:colOff>
      <xdr:row>60</xdr:row>
      <xdr:rowOff>15876</xdr:rowOff>
    </xdr:to>
    <xdr:sp macro="" textlink="">
      <xdr:nvSpPr>
        <xdr:cNvPr id="307" name="MC_BR_C_geo_opportunistic_T_opp_tension">
          <a:extLst>
            <a:ext uri="{FF2B5EF4-FFF2-40B4-BE49-F238E27FC236}">
              <a16:creationId xmlns:a16="http://schemas.microsoft.com/office/drawing/2014/main" id="{E2FD9742-CE29-2FBD-B175-EFC468138800}"/>
            </a:ext>
          </a:extLst>
        </xdr:cNvPr>
        <xdr:cNvSpPr/>
      </xdr:nvSpPr>
      <xdr:spPr>
        <a:xfrm>
          <a:off x="10382056" y="10985489"/>
          <a:ext cx="2700533" cy="403237"/>
        </a:xfrm>
        <a:custGeom>
          <a:avLst/>
          <a:gdLst/>
          <a:ahLst/>
          <a:cxnLst/>
          <a:rect l="0" t="0" r="0" b="0"/>
          <a:pathLst>
            <a:path w="2700533" h="403237">
              <a:moveTo>
                <a:pt x="29090" y="0"/>
              </a:moveTo>
              <a:lnTo>
                <a:pt x="195714" y="381000"/>
              </a:lnTo>
              <a:lnTo>
                <a:pt x="181169" y="371486"/>
              </a:lnTo>
              <a:lnTo>
                <a:pt x="2700532" y="371486"/>
              </a:lnTo>
              <a:lnTo>
                <a:pt x="2700532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59</xdr:row>
      <xdr:rowOff>99251</xdr:rowOff>
    </xdr:from>
    <xdr:ext cx="882421" cy="182550"/>
    <xdr:sp macro="_xll.MC_OnBranchLabelClick" textlink="">
      <xdr:nvSpPr>
        <xdr:cNvPr id="308" name="MC_BN_C_geo_opportunistic_T_opp_tension">
          <a:extLst>
            <a:ext uri="{FF2B5EF4-FFF2-40B4-BE49-F238E27FC236}">
              <a16:creationId xmlns:a16="http://schemas.microsoft.com/office/drawing/2014/main" id="{0E71DFCB-0065-6107-438A-7D1600B0BBA2}"/>
            </a:ext>
          </a:extLst>
        </xdr:cNvPr>
        <xdr:cNvSpPr txBox="1"/>
      </xdr:nvSpPr>
      <xdr:spPr>
        <a:xfrm>
          <a:off x="10592435" y="11281601"/>
          <a:ext cx="882421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Moderate Tension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75043</xdr:colOff>
      <xdr:row>57</xdr:row>
      <xdr:rowOff>187109</xdr:rowOff>
    </xdr:from>
    <xdr:to>
      <xdr:col>6</xdr:col>
      <xdr:colOff>47626</xdr:colOff>
      <xdr:row>62</xdr:row>
      <xdr:rowOff>15876</xdr:rowOff>
    </xdr:to>
    <xdr:sp macro="" textlink="">
      <xdr:nvSpPr>
        <xdr:cNvPr id="309" name="MC_BR_C_geo_opportunistic_T_opp_disruption">
          <a:extLst>
            <a:ext uri="{FF2B5EF4-FFF2-40B4-BE49-F238E27FC236}">
              <a16:creationId xmlns:a16="http://schemas.microsoft.com/office/drawing/2014/main" id="{C2618100-E878-66CF-9A4E-FB6ACA07C83B}"/>
            </a:ext>
          </a:extLst>
        </xdr:cNvPr>
        <xdr:cNvSpPr/>
      </xdr:nvSpPr>
      <xdr:spPr>
        <a:xfrm>
          <a:off x="10381093" y="10988459"/>
          <a:ext cx="2701496" cy="781267"/>
        </a:xfrm>
        <a:custGeom>
          <a:avLst/>
          <a:gdLst/>
          <a:ahLst/>
          <a:cxnLst/>
          <a:rect l="0" t="0" r="0" b="0"/>
          <a:pathLst>
            <a:path w="2701496" h="781267">
              <a:moveTo>
                <a:pt x="31016" y="0"/>
              </a:moveTo>
              <a:lnTo>
                <a:pt x="197640" y="762000"/>
              </a:lnTo>
              <a:lnTo>
                <a:pt x="182132" y="749516"/>
              </a:lnTo>
              <a:lnTo>
                <a:pt x="2701495" y="749516"/>
              </a:lnTo>
              <a:lnTo>
                <a:pt x="2701495" y="781266"/>
              </a:lnTo>
              <a:lnTo>
                <a:pt x="182132" y="781266"/>
              </a:lnTo>
              <a:lnTo>
                <a:pt x="166624" y="768782"/>
              </a:lnTo>
              <a:lnTo>
                <a:pt x="0" y="678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61</xdr:row>
      <xdr:rowOff>99251</xdr:rowOff>
    </xdr:from>
    <xdr:ext cx="802336" cy="182550"/>
    <xdr:sp macro="_xll.MC_OnBranchLabelClick" textlink="">
      <xdr:nvSpPr>
        <xdr:cNvPr id="310" name="MC_BN_C_geo_opportunistic_T_opp_disruption">
          <a:extLst>
            <a:ext uri="{FF2B5EF4-FFF2-40B4-BE49-F238E27FC236}">
              <a16:creationId xmlns:a16="http://schemas.microsoft.com/office/drawing/2014/main" id="{F2815810-6ADE-6A60-6233-779CD604FEFF}"/>
            </a:ext>
          </a:extLst>
        </xdr:cNvPr>
        <xdr:cNvSpPr txBox="1"/>
      </xdr:nvSpPr>
      <xdr:spPr>
        <a:xfrm>
          <a:off x="10592435" y="11662601"/>
          <a:ext cx="802336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Major Disruption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76006</xdr:colOff>
      <xdr:row>63</xdr:row>
      <xdr:rowOff>174625</xdr:rowOff>
    </xdr:from>
    <xdr:to>
      <xdr:col>5</xdr:col>
      <xdr:colOff>47626</xdr:colOff>
      <xdr:row>66</xdr:row>
      <xdr:rowOff>6362</xdr:rowOff>
    </xdr:to>
    <xdr:sp macro="" textlink="">
      <xdr:nvSpPr>
        <xdr:cNvPr id="311" name="MC_BR_C_geo_growth_crisis_T_growth_crisis_stable">
          <a:extLst>
            <a:ext uri="{FF2B5EF4-FFF2-40B4-BE49-F238E27FC236}">
              <a16:creationId xmlns:a16="http://schemas.microsoft.com/office/drawing/2014/main" id="{D93FC376-D227-AFE7-957B-FAE9115DC760}"/>
            </a:ext>
          </a:extLst>
        </xdr:cNvPr>
        <xdr:cNvSpPr/>
      </xdr:nvSpPr>
      <xdr:spPr>
        <a:xfrm>
          <a:off x="7567419" y="12118975"/>
          <a:ext cx="2786257" cy="403237"/>
        </a:xfrm>
        <a:custGeom>
          <a:avLst/>
          <a:gdLst/>
          <a:ahLst/>
          <a:cxnLst/>
          <a:rect l="0" t="0" r="0" b="0"/>
          <a:pathLst>
            <a:path w="2786257" h="403237">
              <a:moveTo>
                <a:pt x="0" y="390514"/>
              </a:moveTo>
              <a:lnTo>
                <a:pt x="166624" y="9514"/>
              </a:lnTo>
              <a:lnTo>
                <a:pt x="181169" y="0"/>
              </a:lnTo>
              <a:lnTo>
                <a:pt x="2786256" y="0"/>
              </a:lnTo>
              <a:lnTo>
                <a:pt x="2786256" y="31750"/>
              </a:lnTo>
              <a:lnTo>
                <a:pt x="181169" y="31750"/>
              </a:lnTo>
              <a:lnTo>
                <a:pt x="195713" y="22236"/>
              </a:lnTo>
              <a:lnTo>
                <a:pt x="29089" y="40323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63</xdr:row>
      <xdr:rowOff>99251</xdr:rowOff>
    </xdr:from>
    <xdr:ext cx="882357" cy="182550"/>
    <xdr:sp macro="_xll.MC_OnBranchLabelClick" textlink="">
      <xdr:nvSpPr>
        <xdr:cNvPr id="312" name="MC_BN_C_geo_growth_crisis_T_growth_crisis_stable">
          <a:extLst>
            <a:ext uri="{FF2B5EF4-FFF2-40B4-BE49-F238E27FC236}">
              <a16:creationId xmlns:a16="http://schemas.microsoft.com/office/drawing/2014/main" id="{65B9A84C-E91C-44C5-32A3-0E16695C402A}"/>
            </a:ext>
          </a:extLst>
        </xdr:cNvPr>
        <xdr:cNvSpPr txBox="1"/>
      </xdr:nvSpPr>
      <xdr:spPr>
        <a:xfrm>
          <a:off x="7777797" y="12043601"/>
          <a:ext cx="882357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Stable Geopolitics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76006</xdr:colOff>
      <xdr:row>65</xdr:row>
      <xdr:rowOff>184139</xdr:rowOff>
    </xdr:from>
    <xdr:to>
      <xdr:col>5</xdr:col>
      <xdr:colOff>47626</xdr:colOff>
      <xdr:row>68</xdr:row>
      <xdr:rowOff>15876</xdr:rowOff>
    </xdr:to>
    <xdr:sp macro="" textlink="">
      <xdr:nvSpPr>
        <xdr:cNvPr id="313" name="MC_BR_C_geo_growth_crisis_T_growth_crisis_unstable">
          <a:extLst>
            <a:ext uri="{FF2B5EF4-FFF2-40B4-BE49-F238E27FC236}">
              <a16:creationId xmlns:a16="http://schemas.microsoft.com/office/drawing/2014/main" id="{F25EFCBA-7D0F-F5F2-D6DF-006A7D9F2660}"/>
            </a:ext>
          </a:extLst>
        </xdr:cNvPr>
        <xdr:cNvSpPr/>
      </xdr:nvSpPr>
      <xdr:spPr>
        <a:xfrm>
          <a:off x="7567419" y="12509489"/>
          <a:ext cx="2786257" cy="403237"/>
        </a:xfrm>
        <a:custGeom>
          <a:avLst/>
          <a:gdLst/>
          <a:ahLst/>
          <a:cxnLst/>
          <a:rect l="0" t="0" r="0" b="0"/>
          <a:pathLst>
            <a:path w="2786257" h="403237">
              <a:moveTo>
                <a:pt x="29089" y="0"/>
              </a:moveTo>
              <a:lnTo>
                <a:pt x="195713" y="381000"/>
              </a:lnTo>
              <a:lnTo>
                <a:pt x="181169" y="371486"/>
              </a:lnTo>
              <a:lnTo>
                <a:pt x="2786256" y="371486"/>
              </a:lnTo>
              <a:lnTo>
                <a:pt x="2786256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67</xdr:row>
      <xdr:rowOff>99251</xdr:rowOff>
    </xdr:from>
    <xdr:ext cx="1150443" cy="182550"/>
    <xdr:sp macro="_xll.MC_OnBranchLabelClick" textlink="">
      <xdr:nvSpPr>
        <xdr:cNvPr id="314" name="MC_BN_C_geo_growth_crisis_T_growth_crisis_unstable">
          <a:extLst>
            <a:ext uri="{FF2B5EF4-FFF2-40B4-BE49-F238E27FC236}">
              <a16:creationId xmlns:a16="http://schemas.microsoft.com/office/drawing/2014/main" id="{F3DBB941-CABC-FC1A-717F-263C000D789C}"/>
            </a:ext>
          </a:extLst>
        </xdr:cNvPr>
        <xdr:cNvSpPr txBox="1"/>
      </xdr:nvSpPr>
      <xdr:spPr>
        <a:xfrm>
          <a:off x="7777797" y="12805601"/>
          <a:ext cx="1150443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Compounding Instability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84267</xdr:colOff>
      <xdr:row>73</xdr:row>
      <xdr:rowOff>184150</xdr:rowOff>
    </xdr:from>
    <xdr:to>
      <xdr:col>4</xdr:col>
      <xdr:colOff>47626</xdr:colOff>
      <xdr:row>80</xdr:row>
      <xdr:rowOff>917</xdr:rowOff>
    </xdr:to>
    <xdr:sp macro="" textlink="">
      <xdr:nvSpPr>
        <xdr:cNvPr id="315" name="MC_BR_C_econ_balanced_C_rates_bal_boom">
          <a:extLst>
            <a:ext uri="{FF2B5EF4-FFF2-40B4-BE49-F238E27FC236}">
              <a16:creationId xmlns:a16="http://schemas.microsoft.com/office/drawing/2014/main" id="{CB9D44BF-AC95-E5A5-CD5D-8746EC33FE53}"/>
            </a:ext>
          </a:extLst>
        </xdr:cNvPr>
        <xdr:cNvSpPr/>
      </xdr:nvSpPr>
      <xdr:spPr>
        <a:xfrm>
          <a:off x="5361117" y="14033500"/>
          <a:ext cx="2177922" cy="1150267"/>
        </a:xfrm>
        <a:custGeom>
          <a:avLst/>
          <a:gdLst/>
          <a:ahLst/>
          <a:cxnLst/>
          <a:rect l="0" t="0" r="0" b="0"/>
          <a:pathLst>
            <a:path w="2177922" h="1150267">
              <a:moveTo>
                <a:pt x="0" y="1148434"/>
              </a:moveTo>
              <a:lnTo>
                <a:pt x="166624" y="5434"/>
              </a:lnTo>
              <a:lnTo>
                <a:pt x="172908" y="0"/>
              </a:lnTo>
              <a:lnTo>
                <a:pt x="2177921" y="0"/>
              </a:lnTo>
              <a:lnTo>
                <a:pt x="2177921" y="12700"/>
              </a:lnTo>
              <a:lnTo>
                <a:pt x="172908" y="12700"/>
              </a:lnTo>
              <a:lnTo>
                <a:pt x="179192" y="7266"/>
              </a:lnTo>
              <a:lnTo>
                <a:pt x="12567" y="115026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73</xdr:row>
      <xdr:rowOff>99250</xdr:rowOff>
    </xdr:from>
    <xdr:ext cx="323422" cy="182550"/>
    <xdr:sp macro="_xll.MC_OnBranchLabelClick" textlink="">
      <xdr:nvSpPr>
        <xdr:cNvPr id="316" name="MC_BN_C_econ_balanced_C_rates_bal_boom">
          <a:extLst>
            <a:ext uri="{FF2B5EF4-FFF2-40B4-BE49-F238E27FC236}">
              <a16:creationId xmlns:a16="http://schemas.microsoft.com/office/drawing/2014/main" id="{E4FEF114-CEE8-1D99-758C-7556FF0A417E}"/>
            </a:ext>
          </a:extLst>
        </xdr:cNvPr>
        <xdr:cNvSpPr txBox="1"/>
      </xdr:nvSpPr>
      <xdr:spPr>
        <a:xfrm>
          <a:off x="5563235" y="13948600"/>
          <a:ext cx="32342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Boom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84348</xdr:colOff>
      <xdr:row>79</xdr:row>
      <xdr:rowOff>189143</xdr:rowOff>
    </xdr:from>
    <xdr:to>
      <xdr:col>4</xdr:col>
      <xdr:colOff>47626</xdr:colOff>
      <xdr:row>84</xdr:row>
      <xdr:rowOff>6351</xdr:rowOff>
    </xdr:to>
    <xdr:sp macro="" textlink="">
      <xdr:nvSpPr>
        <xdr:cNvPr id="317" name="MC_BR_C_econ_balanced_C_rates_bal_normal">
          <a:extLst>
            <a:ext uri="{FF2B5EF4-FFF2-40B4-BE49-F238E27FC236}">
              <a16:creationId xmlns:a16="http://schemas.microsoft.com/office/drawing/2014/main" id="{C488BE23-E2F0-2BCD-DE0B-774F3AFE0352}"/>
            </a:ext>
          </a:extLst>
        </xdr:cNvPr>
        <xdr:cNvSpPr/>
      </xdr:nvSpPr>
      <xdr:spPr>
        <a:xfrm>
          <a:off x="5361198" y="15181493"/>
          <a:ext cx="2177841" cy="769708"/>
        </a:xfrm>
        <a:custGeom>
          <a:avLst/>
          <a:gdLst/>
          <a:ahLst/>
          <a:cxnLst/>
          <a:rect l="0" t="0" r="0" b="0"/>
          <a:pathLst>
            <a:path w="2177841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177840" y="757007"/>
              </a:lnTo>
              <a:lnTo>
                <a:pt x="2177840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83</xdr:row>
      <xdr:rowOff>99250</xdr:rowOff>
    </xdr:from>
    <xdr:ext cx="745269" cy="182550"/>
    <xdr:sp macro="_xll.MC_OnBranchLabelClick" textlink="">
      <xdr:nvSpPr>
        <xdr:cNvPr id="318" name="MC_BN_C_econ_balanced_C_rates_bal_normal">
          <a:extLst>
            <a:ext uri="{FF2B5EF4-FFF2-40B4-BE49-F238E27FC236}">
              <a16:creationId xmlns:a16="http://schemas.microsoft.com/office/drawing/2014/main" id="{CE7CF3A6-92C9-9422-5062-0742CCE7B6D3}"/>
            </a:ext>
          </a:extLst>
        </xdr:cNvPr>
        <xdr:cNvSpPr txBox="1"/>
      </xdr:nvSpPr>
      <xdr:spPr>
        <a:xfrm>
          <a:off x="5563235" y="15853600"/>
          <a:ext cx="74526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Normal Growth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84218</xdr:colOff>
      <xdr:row>79</xdr:row>
      <xdr:rowOff>190038</xdr:rowOff>
    </xdr:from>
    <xdr:to>
      <xdr:col>4</xdr:col>
      <xdr:colOff>47626</xdr:colOff>
      <xdr:row>92</xdr:row>
      <xdr:rowOff>6351</xdr:rowOff>
    </xdr:to>
    <xdr:sp macro="" textlink="">
      <xdr:nvSpPr>
        <xdr:cNvPr id="319" name="MC_BR_C_econ_balanced_C_rates_bal_recession">
          <a:extLst>
            <a:ext uri="{FF2B5EF4-FFF2-40B4-BE49-F238E27FC236}">
              <a16:creationId xmlns:a16="http://schemas.microsoft.com/office/drawing/2014/main" id="{7BDA4647-BBAA-D226-E3B1-F26AB407B565}"/>
            </a:ext>
          </a:extLst>
        </xdr:cNvPr>
        <xdr:cNvSpPr/>
      </xdr:nvSpPr>
      <xdr:spPr>
        <a:xfrm>
          <a:off x="5361068" y="15182388"/>
          <a:ext cx="2177971" cy="2292813"/>
        </a:xfrm>
        <a:custGeom>
          <a:avLst/>
          <a:gdLst/>
          <a:ahLst/>
          <a:cxnLst/>
          <a:rect l="0" t="0" r="0" b="0"/>
          <a:pathLst>
            <a:path w="2177971" h="2292813">
              <a:moveTo>
                <a:pt x="12666" y="0"/>
              </a:moveTo>
              <a:lnTo>
                <a:pt x="179290" y="2286000"/>
              </a:lnTo>
              <a:lnTo>
                <a:pt x="172957" y="2280112"/>
              </a:lnTo>
              <a:lnTo>
                <a:pt x="2177970" y="2280112"/>
              </a:lnTo>
              <a:lnTo>
                <a:pt x="2177970" y="2292812"/>
              </a:lnTo>
              <a:lnTo>
                <a:pt x="172957" y="2292812"/>
              </a:lnTo>
              <a:lnTo>
                <a:pt x="166624" y="2286924"/>
              </a:lnTo>
              <a:lnTo>
                <a:pt x="0" y="92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91</xdr:row>
      <xdr:rowOff>99250</xdr:rowOff>
    </xdr:from>
    <xdr:ext cx="534377" cy="182550"/>
    <xdr:sp macro="_xll.MC_OnBranchLabelClick" textlink="">
      <xdr:nvSpPr>
        <xdr:cNvPr id="320" name="MC_BN_C_econ_balanced_C_rates_bal_recession">
          <a:extLst>
            <a:ext uri="{FF2B5EF4-FFF2-40B4-BE49-F238E27FC236}">
              <a16:creationId xmlns:a16="http://schemas.microsoft.com/office/drawing/2014/main" id="{AE5A9FF4-F3C9-23A7-83F2-C81D44837F52}"/>
            </a:ext>
          </a:extLst>
        </xdr:cNvPr>
        <xdr:cNvSpPr txBox="1"/>
      </xdr:nvSpPr>
      <xdr:spPr>
        <a:xfrm>
          <a:off x="5563235" y="17377600"/>
          <a:ext cx="53437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Recession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84207</xdr:colOff>
      <xdr:row>79</xdr:row>
      <xdr:rowOff>190222</xdr:rowOff>
    </xdr:from>
    <xdr:to>
      <xdr:col>4</xdr:col>
      <xdr:colOff>47626</xdr:colOff>
      <xdr:row>100</xdr:row>
      <xdr:rowOff>6351</xdr:rowOff>
    </xdr:to>
    <xdr:sp macro="" textlink="">
      <xdr:nvSpPr>
        <xdr:cNvPr id="321" name="MC_BR_C_econ_balanced_C_geo_bal_crisis">
          <a:extLst>
            <a:ext uri="{FF2B5EF4-FFF2-40B4-BE49-F238E27FC236}">
              <a16:creationId xmlns:a16="http://schemas.microsoft.com/office/drawing/2014/main" id="{60FC3D62-342E-5ACD-991B-61AD47962F87}"/>
            </a:ext>
          </a:extLst>
        </xdr:cNvPr>
        <xdr:cNvSpPr/>
      </xdr:nvSpPr>
      <xdr:spPr>
        <a:xfrm>
          <a:off x="5361057" y="15182572"/>
          <a:ext cx="2177982" cy="3816629"/>
        </a:xfrm>
        <a:custGeom>
          <a:avLst/>
          <a:gdLst/>
          <a:ahLst/>
          <a:cxnLst/>
          <a:rect l="0" t="0" r="0" b="0"/>
          <a:pathLst>
            <a:path w="2177982" h="3816629">
              <a:moveTo>
                <a:pt x="12688" y="0"/>
              </a:moveTo>
              <a:lnTo>
                <a:pt x="179312" y="3810000"/>
              </a:lnTo>
              <a:lnTo>
                <a:pt x="172968" y="3803928"/>
              </a:lnTo>
              <a:lnTo>
                <a:pt x="2177981" y="3803928"/>
              </a:lnTo>
              <a:lnTo>
                <a:pt x="2177981" y="3816628"/>
              </a:lnTo>
              <a:lnTo>
                <a:pt x="172968" y="3816628"/>
              </a:lnTo>
              <a:lnTo>
                <a:pt x="166624" y="3810556"/>
              </a:lnTo>
              <a:lnTo>
                <a:pt x="0" y="55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99</xdr:row>
      <xdr:rowOff>99250</xdr:rowOff>
    </xdr:from>
    <xdr:ext cx="311752" cy="182550"/>
    <xdr:sp macro="_xll.MC_OnBranchLabelClick" textlink="">
      <xdr:nvSpPr>
        <xdr:cNvPr id="322" name="MC_BN_C_econ_balanced_C_geo_bal_crisis">
          <a:extLst>
            <a:ext uri="{FF2B5EF4-FFF2-40B4-BE49-F238E27FC236}">
              <a16:creationId xmlns:a16="http://schemas.microsoft.com/office/drawing/2014/main" id="{D795FC86-7EF1-3648-B605-C33E1BF5D65C}"/>
            </a:ext>
          </a:extLst>
        </xdr:cNvPr>
        <xdr:cNvSpPr txBox="1"/>
      </xdr:nvSpPr>
      <xdr:spPr>
        <a:xfrm>
          <a:off x="5563235" y="18901600"/>
          <a:ext cx="31175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Crisis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71</xdr:row>
      <xdr:rowOff>184150</xdr:rowOff>
    </xdr:from>
    <xdr:to>
      <xdr:col>5</xdr:col>
      <xdr:colOff>47626</xdr:colOff>
      <xdr:row>74</xdr:row>
      <xdr:rowOff>2545</xdr:rowOff>
    </xdr:to>
    <xdr:sp macro="" textlink="">
      <xdr:nvSpPr>
        <xdr:cNvPr id="323" name="MC_BR_C_rates_bal_boom_T_bal_boom_rising">
          <a:extLst>
            <a:ext uri="{FF2B5EF4-FFF2-40B4-BE49-F238E27FC236}">
              <a16:creationId xmlns:a16="http://schemas.microsoft.com/office/drawing/2014/main" id="{F8C4632B-3724-E000-8BAF-058BF8401D79}"/>
            </a:ext>
          </a:extLst>
        </xdr:cNvPr>
        <xdr:cNvSpPr/>
      </xdr:nvSpPr>
      <xdr:spPr>
        <a:xfrm>
          <a:off x="7576145" y="13652500"/>
          <a:ext cx="2777531" cy="389895"/>
        </a:xfrm>
        <a:custGeom>
          <a:avLst/>
          <a:gdLst/>
          <a:ahLst/>
          <a:cxnLst/>
          <a:rect l="0" t="0" r="0" b="0"/>
          <a:pathLst>
            <a:path w="2777531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777530" y="0"/>
              </a:lnTo>
              <a:lnTo>
                <a:pt x="2777530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71</xdr:row>
      <xdr:rowOff>99250</xdr:rowOff>
    </xdr:from>
    <xdr:ext cx="636969" cy="182550"/>
    <xdr:sp macro="_xll.MC_OnBranchLabelClick" textlink="">
      <xdr:nvSpPr>
        <xdr:cNvPr id="324" name="MC_BN_C_rates_bal_boom_T_bal_boom_rising">
          <a:extLst>
            <a:ext uri="{FF2B5EF4-FFF2-40B4-BE49-F238E27FC236}">
              <a16:creationId xmlns:a16="http://schemas.microsoft.com/office/drawing/2014/main" id="{F73ECCBC-D8D4-B500-B3ED-3AA4D844DDAB}"/>
            </a:ext>
          </a:extLst>
        </xdr:cNvPr>
        <xdr:cNvSpPr txBox="1"/>
      </xdr:nvSpPr>
      <xdr:spPr>
        <a:xfrm>
          <a:off x="7777797" y="13567600"/>
          <a:ext cx="63696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Rising Rates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73</xdr:row>
      <xdr:rowOff>187956</xdr:rowOff>
    </xdr:from>
    <xdr:to>
      <xdr:col>5</xdr:col>
      <xdr:colOff>47626</xdr:colOff>
      <xdr:row>76</xdr:row>
      <xdr:rowOff>6351</xdr:rowOff>
    </xdr:to>
    <xdr:sp macro="" textlink="">
      <xdr:nvSpPr>
        <xdr:cNvPr id="325" name="MC_BR_C_rates_bal_boom_T_bal_boom_stable">
          <a:extLst>
            <a:ext uri="{FF2B5EF4-FFF2-40B4-BE49-F238E27FC236}">
              <a16:creationId xmlns:a16="http://schemas.microsoft.com/office/drawing/2014/main" id="{EFB743C5-32AA-8928-8924-71E3E311952D}"/>
            </a:ext>
          </a:extLst>
        </xdr:cNvPr>
        <xdr:cNvSpPr/>
      </xdr:nvSpPr>
      <xdr:spPr>
        <a:xfrm>
          <a:off x="7576145" y="14037306"/>
          <a:ext cx="2777531" cy="389895"/>
        </a:xfrm>
        <a:custGeom>
          <a:avLst/>
          <a:gdLst/>
          <a:ahLst/>
          <a:cxnLst/>
          <a:rect l="0" t="0" r="0" b="0"/>
          <a:pathLst>
            <a:path w="2777531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777530" y="377194"/>
              </a:lnTo>
              <a:lnTo>
                <a:pt x="2777530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75</xdr:row>
      <xdr:rowOff>99250</xdr:rowOff>
    </xdr:from>
    <xdr:ext cx="642868" cy="182550"/>
    <xdr:sp macro="_xll.MC_OnBranchLabelClick" textlink="">
      <xdr:nvSpPr>
        <xdr:cNvPr id="326" name="MC_BN_C_rates_bal_boom_T_bal_boom_stable">
          <a:extLst>
            <a:ext uri="{FF2B5EF4-FFF2-40B4-BE49-F238E27FC236}">
              <a16:creationId xmlns:a16="http://schemas.microsoft.com/office/drawing/2014/main" id="{83A141E8-7F1F-4A7F-71F9-0E5DAEE4AD2C}"/>
            </a:ext>
          </a:extLst>
        </xdr:cNvPr>
        <xdr:cNvSpPr txBox="1"/>
      </xdr:nvSpPr>
      <xdr:spPr>
        <a:xfrm>
          <a:off x="7777797" y="14329600"/>
          <a:ext cx="64286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Stable Rates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84347</xdr:colOff>
      <xdr:row>73</xdr:row>
      <xdr:rowOff>189143</xdr:rowOff>
    </xdr:from>
    <xdr:to>
      <xdr:col>5</xdr:col>
      <xdr:colOff>47626</xdr:colOff>
      <xdr:row>78</xdr:row>
      <xdr:rowOff>6351</xdr:rowOff>
    </xdr:to>
    <xdr:sp macro="" textlink="">
      <xdr:nvSpPr>
        <xdr:cNvPr id="327" name="MC_BR_C_rates_bal_boom_T_bal_boom_falling">
          <a:extLst>
            <a:ext uri="{FF2B5EF4-FFF2-40B4-BE49-F238E27FC236}">
              <a16:creationId xmlns:a16="http://schemas.microsoft.com/office/drawing/2014/main" id="{1BF3E2C9-52D0-DD2E-8D37-A9BF258CA13B}"/>
            </a:ext>
          </a:extLst>
        </xdr:cNvPr>
        <xdr:cNvSpPr/>
      </xdr:nvSpPr>
      <xdr:spPr>
        <a:xfrm>
          <a:off x="7575760" y="14038493"/>
          <a:ext cx="2777916" cy="769708"/>
        </a:xfrm>
        <a:custGeom>
          <a:avLst/>
          <a:gdLst/>
          <a:ahLst/>
          <a:cxnLst/>
          <a:rect l="0" t="0" r="0" b="0"/>
          <a:pathLst>
            <a:path w="2777916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777915" y="757007"/>
              </a:lnTo>
              <a:lnTo>
                <a:pt x="2777915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77</xdr:row>
      <xdr:rowOff>99250</xdr:rowOff>
    </xdr:from>
    <xdr:ext cx="654090" cy="182550"/>
    <xdr:sp macro="_xll.MC_OnBranchLabelClick" textlink="">
      <xdr:nvSpPr>
        <xdr:cNvPr id="328" name="MC_BN_C_rates_bal_boom_T_bal_boom_falling">
          <a:extLst>
            <a:ext uri="{FF2B5EF4-FFF2-40B4-BE49-F238E27FC236}">
              <a16:creationId xmlns:a16="http://schemas.microsoft.com/office/drawing/2014/main" id="{A276086D-1A48-7BB7-C7D2-B00E37495274}"/>
            </a:ext>
          </a:extLst>
        </xdr:cNvPr>
        <xdr:cNvSpPr txBox="1"/>
      </xdr:nvSpPr>
      <xdr:spPr>
        <a:xfrm>
          <a:off x="7777797" y="14710600"/>
          <a:ext cx="65409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Falling Rates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81</xdr:row>
      <xdr:rowOff>184150</xdr:rowOff>
    </xdr:from>
    <xdr:to>
      <xdr:col>5</xdr:col>
      <xdr:colOff>47626</xdr:colOff>
      <xdr:row>84</xdr:row>
      <xdr:rowOff>2545</xdr:rowOff>
    </xdr:to>
    <xdr:sp macro="" textlink="">
      <xdr:nvSpPr>
        <xdr:cNvPr id="329" name="MC_BR_C_rates_bal_normal_T_bal_norm_rising">
          <a:extLst>
            <a:ext uri="{FF2B5EF4-FFF2-40B4-BE49-F238E27FC236}">
              <a16:creationId xmlns:a16="http://schemas.microsoft.com/office/drawing/2014/main" id="{931A4F81-9AD6-29EE-AA8F-63E47923E245}"/>
            </a:ext>
          </a:extLst>
        </xdr:cNvPr>
        <xdr:cNvSpPr/>
      </xdr:nvSpPr>
      <xdr:spPr>
        <a:xfrm>
          <a:off x="7576145" y="15557500"/>
          <a:ext cx="2777531" cy="389895"/>
        </a:xfrm>
        <a:custGeom>
          <a:avLst/>
          <a:gdLst/>
          <a:ahLst/>
          <a:cxnLst/>
          <a:rect l="0" t="0" r="0" b="0"/>
          <a:pathLst>
            <a:path w="2777531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777530" y="0"/>
              </a:lnTo>
              <a:lnTo>
                <a:pt x="2777530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81</xdr:row>
      <xdr:rowOff>99250</xdr:rowOff>
    </xdr:from>
    <xdr:ext cx="636969" cy="182550"/>
    <xdr:sp macro="_xll.MC_OnBranchLabelClick" textlink="">
      <xdr:nvSpPr>
        <xdr:cNvPr id="330" name="MC_BN_C_rates_bal_normal_T_bal_norm_rising">
          <a:extLst>
            <a:ext uri="{FF2B5EF4-FFF2-40B4-BE49-F238E27FC236}">
              <a16:creationId xmlns:a16="http://schemas.microsoft.com/office/drawing/2014/main" id="{0B66B8EB-BEB8-0C8B-FE83-2889F9F80490}"/>
            </a:ext>
          </a:extLst>
        </xdr:cNvPr>
        <xdr:cNvSpPr txBox="1"/>
      </xdr:nvSpPr>
      <xdr:spPr>
        <a:xfrm>
          <a:off x="7777797" y="15472600"/>
          <a:ext cx="63696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Rising Rates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83</xdr:row>
      <xdr:rowOff>187956</xdr:rowOff>
    </xdr:from>
    <xdr:to>
      <xdr:col>5</xdr:col>
      <xdr:colOff>47626</xdr:colOff>
      <xdr:row>86</xdr:row>
      <xdr:rowOff>6351</xdr:rowOff>
    </xdr:to>
    <xdr:sp macro="" textlink="">
      <xdr:nvSpPr>
        <xdr:cNvPr id="331" name="MC_BR_C_rates_bal_normal_T_bal_norm_stable">
          <a:extLst>
            <a:ext uri="{FF2B5EF4-FFF2-40B4-BE49-F238E27FC236}">
              <a16:creationId xmlns:a16="http://schemas.microsoft.com/office/drawing/2014/main" id="{EAC661D3-FDDB-43CD-A170-333F0CD1781B}"/>
            </a:ext>
          </a:extLst>
        </xdr:cNvPr>
        <xdr:cNvSpPr/>
      </xdr:nvSpPr>
      <xdr:spPr>
        <a:xfrm>
          <a:off x="7576145" y="15942306"/>
          <a:ext cx="2777531" cy="389895"/>
        </a:xfrm>
        <a:custGeom>
          <a:avLst/>
          <a:gdLst/>
          <a:ahLst/>
          <a:cxnLst/>
          <a:rect l="0" t="0" r="0" b="0"/>
          <a:pathLst>
            <a:path w="2777531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777530" y="377194"/>
              </a:lnTo>
              <a:lnTo>
                <a:pt x="2777530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85</xdr:row>
      <xdr:rowOff>99250</xdr:rowOff>
    </xdr:from>
    <xdr:ext cx="642868" cy="182550"/>
    <xdr:sp macro="_xll.MC_OnBranchLabelClick" textlink="">
      <xdr:nvSpPr>
        <xdr:cNvPr id="332" name="MC_BN_C_rates_bal_normal_T_bal_norm_stable">
          <a:extLst>
            <a:ext uri="{FF2B5EF4-FFF2-40B4-BE49-F238E27FC236}">
              <a16:creationId xmlns:a16="http://schemas.microsoft.com/office/drawing/2014/main" id="{73B34092-B30E-8947-77F0-E9FE38392543}"/>
            </a:ext>
          </a:extLst>
        </xdr:cNvPr>
        <xdr:cNvSpPr txBox="1"/>
      </xdr:nvSpPr>
      <xdr:spPr>
        <a:xfrm>
          <a:off x="7777797" y="16234600"/>
          <a:ext cx="64286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Stable Rates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84347</xdr:colOff>
      <xdr:row>83</xdr:row>
      <xdr:rowOff>189143</xdr:rowOff>
    </xdr:from>
    <xdr:to>
      <xdr:col>5</xdr:col>
      <xdr:colOff>47626</xdr:colOff>
      <xdr:row>88</xdr:row>
      <xdr:rowOff>6351</xdr:rowOff>
    </xdr:to>
    <xdr:sp macro="" textlink="">
      <xdr:nvSpPr>
        <xdr:cNvPr id="333" name="MC_BR_C_rates_bal_normal_T_bal_norm_falling">
          <a:extLst>
            <a:ext uri="{FF2B5EF4-FFF2-40B4-BE49-F238E27FC236}">
              <a16:creationId xmlns:a16="http://schemas.microsoft.com/office/drawing/2014/main" id="{5BD91D7F-98F5-CE39-F860-F9863E798AC2}"/>
            </a:ext>
          </a:extLst>
        </xdr:cNvPr>
        <xdr:cNvSpPr/>
      </xdr:nvSpPr>
      <xdr:spPr>
        <a:xfrm>
          <a:off x="7575760" y="15943493"/>
          <a:ext cx="2777916" cy="769708"/>
        </a:xfrm>
        <a:custGeom>
          <a:avLst/>
          <a:gdLst/>
          <a:ahLst/>
          <a:cxnLst/>
          <a:rect l="0" t="0" r="0" b="0"/>
          <a:pathLst>
            <a:path w="2777916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777915" y="757007"/>
              </a:lnTo>
              <a:lnTo>
                <a:pt x="2777915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87</xdr:row>
      <xdr:rowOff>99250</xdr:rowOff>
    </xdr:from>
    <xdr:ext cx="654090" cy="182550"/>
    <xdr:sp macro="_xll.MC_OnBranchLabelClick" textlink="">
      <xdr:nvSpPr>
        <xdr:cNvPr id="334" name="MC_BN_C_rates_bal_normal_T_bal_norm_falling">
          <a:extLst>
            <a:ext uri="{FF2B5EF4-FFF2-40B4-BE49-F238E27FC236}">
              <a16:creationId xmlns:a16="http://schemas.microsoft.com/office/drawing/2014/main" id="{090FCB9F-3E92-BFB2-DCF2-C444C303FDB7}"/>
            </a:ext>
          </a:extLst>
        </xdr:cNvPr>
        <xdr:cNvSpPr txBox="1"/>
      </xdr:nvSpPr>
      <xdr:spPr>
        <a:xfrm>
          <a:off x="7777797" y="16615600"/>
          <a:ext cx="65409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Falling Rates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89</xdr:row>
      <xdr:rowOff>184150</xdr:rowOff>
    </xdr:from>
    <xdr:to>
      <xdr:col>5</xdr:col>
      <xdr:colOff>47626</xdr:colOff>
      <xdr:row>92</xdr:row>
      <xdr:rowOff>2545</xdr:rowOff>
    </xdr:to>
    <xdr:sp macro="" textlink="">
      <xdr:nvSpPr>
        <xdr:cNvPr id="335" name="MC_BR_C_rates_bal_recession_T_bal_rec_rising">
          <a:extLst>
            <a:ext uri="{FF2B5EF4-FFF2-40B4-BE49-F238E27FC236}">
              <a16:creationId xmlns:a16="http://schemas.microsoft.com/office/drawing/2014/main" id="{C8FAF2A3-1F52-D607-E11F-829D41446E55}"/>
            </a:ext>
          </a:extLst>
        </xdr:cNvPr>
        <xdr:cNvSpPr/>
      </xdr:nvSpPr>
      <xdr:spPr>
        <a:xfrm>
          <a:off x="7576145" y="17081500"/>
          <a:ext cx="2777531" cy="389895"/>
        </a:xfrm>
        <a:custGeom>
          <a:avLst/>
          <a:gdLst/>
          <a:ahLst/>
          <a:cxnLst/>
          <a:rect l="0" t="0" r="0" b="0"/>
          <a:pathLst>
            <a:path w="2777531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777530" y="0"/>
              </a:lnTo>
              <a:lnTo>
                <a:pt x="2777530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89</xdr:row>
      <xdr:rowOff>99250</xdr:rowOff>
    </xdr:from>
    <xdr:ext cx="636969" cy="182550"/>
    <xdr:sp macro="_xll.MC_OnBranchLabelClick" textlink="">
      <xdr:nvSpPr>
        <xdr:cNvPr id="336" name="MC_BN_C_rates_bal_recession_T_bal_rec_rising">
          <a:extLst>
            <a:ext uri="{FF2B5EF4-FFF2-40B4-BE49-F238E27FC236}">
              <a16:creationId xmlns:a16="http://schemas.microsoft.com/office/drawing/2014/main" id="{9EF5A8B5-21CA-FB0D-7FC6-1C1721694500}"/>
            </a:ext>
          </a:extLst>
        </xdr:cNvPr>
        <xdr:cNvSpPr txBox="1"/>
      </xdr:nvSpPr>
      <xdr:spPr>
        <a:xfrm>
          <a:off x="7777797" y="16996600"/>
          <a:ext cx="63696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Rising Rates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91</xdr:row>
      <xdr:rowOff>187956</xdr:rowOff>
    </xdr:from>
    <xdr:to>
      <xdr:col>5</xdr:col>
      <xdr:colOff>47626</xdr:colOff>
      <xdr:row>94</xdr:row>
      <xdr:rowOff>6351</xdr:rowOff>
    </xdr:to>
    <xdr:sp macro="" textlink="">
      <xdr:nvSpPr>
        <xdr:cNvPr id="337" name="MC_BR_C_rates_bal_recession_T_bal_rec_stable">
          <a:extLst>
            <a:ext uri="{FF2B5EF4-FFF2-40B4-BE49-F238E27FC236}">
              <a16:creationId xmlns:a16="http://schemas.microsoft.com/office/drawing/2014/main" id="{E0A1B5E6-2669-2780-D111-97E00069F870}"/>
            </a:ext>
          </a:extLst>
        </xdr:cNvPr>
        <xdr:cNvSpPr/>
      </xdr:nvSpPr>
      <xdr:spPr>
        <a:xfrm>
          <a:off x="7576145" y="17466306"/>
          <a:ext cx="2777531" cy="389895"/>
        </a:xfrm>
        <a:custGeom>
          <a:avLst/>
          <a:gdLst/>
          <a:ahLst/>
          <a:cxnLst/>
          <a:rect l="0" t="0" r="0" b="0"/>
          <a:pathLst>
            <a:path w="2777531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777530" y="377194"/>
              </a:lnTo>
              <a:lnTo>
                <a:pt x="2777530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93</xdr:row>
      <xdr:rowOff>99250</xdr:rowOff>
    </xdr:from>
    <xdr:ext cx="642868" cy="182550"/>
    <xdr:sp macro="_xll.MC_OnBranchLabelClick" textlink="">
      <xdr:nvSpPr>
        <xdr:cNvPr id="338" name="MC_BN_C_rates_bal_recession_T_bal_rec_stable">
          <a:extLst>
            <a:ext uri="{FF2B5EF4-FFF2-40B4-BE49-F238E27FC236}">
              <a16:creationId xmlns:a16="http://schemas.microsoft.com/office/drawing/2014/main" id="{1D1017B2-94A7-E5ED-3C38-1200BE31438F}"/>
            </a:ext>
          </a:extLst>
        </xdr:cNvPr>
        <xdr:cNvSpPr txBox="1"/>
      </xdr:nvSpPr>
      <xdr:spPr>
        <a:xfrm>
          <a:off x="7777797" y="17758600"/>
          <a:ext cx="64286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Stable Rates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84347</xdr:colOff>
      <xdr:row>91</xdr:row>
      <xdr:rowOff>189143</xdr:rowOff>
    </xdr:from>
    <xdr:to>
      <xdr:col>5</xdr:col>
      <xdr:colOff>47626</xdr:colOff>
      <xdr:row>96</xdr:row>
      <xdr:rowOff>6351</xdr:rowOff>
    </xdr:to>
    <xdr:sp macro="" textlink="">
      <xdr:nvSpPr>
        <xdr:cNvPr id="339" name="MC_BR_C_rates_bal_recession_T_bal_rec_falling">
          <a:extLst>
            <a:ext uri="{FF2B5EF4-FFF2-40B4-BE49-F238E27FC236}">
              <a16:creationId xmlns:a16="http://schemas.microsoft.com/office/drawing/2014/main" id="{B9CB5BD6-66F2-27A4-1584-241099BE030B}"/>
            </a:ext>
          </a:extLst>
        </xdr:cNvPr>
        <xdr:cNvSpPr/>
      </xdr:nvSpPr>
      <xdr:spPr>
        <a:xfrm>
          <a:off x="7575760" y="17467493"/>
          <a:ext cx="2777916" cy="769708"/>
        </a:xfrm>
        <a:custGeom>
          <a:avLst/>
          <a:gdLst/>
          <a:ahLst/>
          <a:cxnLst/>
          <a:rect l="0" t="0" r="0" b="0"/>
          <a:pathLst>
            <a:path w="2777916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777915" y="757007"/>
              </a:lnTo>
              <a:lnTo>
                <a:pt x="2777915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95</xdr:row>
      <xdr:rowOff>99250</xdr:rowOff>
    </xdr:from>
    <xdr:ext cx="654090" cy="182550"/>
    <xdr:sp macro="_xll.MC_OnBranchLabelClick" textlink="">
      <xdr:nvSpPr>
        <xdr:cNvPr id="340" name="MC_BN_C_rates_bal_recession_T_bal_rec_falling">
          <a:extLst>
            <a:ext uri="{FF2B5EF4-FFF2-40B4-BE49-F238E27FC236}">
              <a16:creationId xmlns:a16="http://schemas.microsoft.com/office/drawing/2014/main" id="{F1242B9D-4467-E5FF-CA5E-EEFDBA78C634}"/>
            </a:ext>
          </a:extLst>
        </xdr:cNvPr>
        <xdr:cNvSpPr txBox="1"/>
      </xdr:nvSpPr>
      <xdr:spPr>
        <a:xfrm>
          <a:off x="7777797" y="18139600"/>
          <a:ext cx="65409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Falling Rates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97</xdr:row>
      <xdr:rowOff>184150</xdr:rowOff>
    </xdr:from>
    <xdr:to>
      <xdr:col>5</xdr:col>
      <xdr:colOff>47626</xdr:colOff>
      <xdr:row>100</xdr:row>
      <xdr:rowOff>2545</xdr:rowOff>
    </xdr:to>
    <xdr:sp macro="" textlink="">
      <xdr:nvSpPr>
        <xdr:cNvPr id="341" name="MC_BR_C_geo_bal_crisis_T_bal_crisis_stable">
          <a:extLst>
            <a:ext uri="{FF2B5EF4-FFF2-40B4-BE49-F238E27FC236}">
              <a16:creationId xmlns:a16="http://schemas.microsoft.com/office/drawing/2014/main" id="{5A071701-C44C-53FE-46DB-FC3CFA9C7799}"/>
            </a:ext>
          </a:extLst>
        </xdr:cNvPr>
        <xdr:cNvSpPr/>
      </xdr:nvSpPr>
      <xdr:spPr>
        <a:xfrm>
          <a:off x="7576145" y="18605500"/>
          <a:ext cx="2777531" cy="389895"/>
        </a:xfrm>
        <a:custGeom>
          <a:avLst/>
          <a:gdLst/>
          <a:ahLst/>
          <a:cxnLst/>
          <a:rect l="0" t="0" r="0" b="0"/>
          <a:pathLst>
            <a:path w="2777531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777530" y="0"/>
              </a:lnTo>
              <a:lnTo>
                <a:pt x="2777530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97</xdr:row>
      <xdr:rowOff>99250</xdr:rowOff>
    </xdr:from>
    <xdr:ext cx="882357" cy="182550"/>
    <xdr:sp macro="_xll.MC_OnBranchLabelClick" textlink="">
      <xdr:nvSpPr>
        <xdr:cNvPr id="342" name="MC_BN_C_geo_bal_crisis_T_bal_crisis_stable">
          <a:extLst>
            <a:ext uri="{FF2B5EF4-FFF2-40B4-BE49-F238E27FC236}">
              <a16:creationId xmlns:a16="http://schemas.microsoft.com/office/drawing/2014/main" id="{3FEB99B5-AE09-5C22-FE20-C98B38B3A35A}"/>
            </a:ext>
          </a:extLst>
        </xdr:cNvPr>
        <xdr:cNvSpPr txBox="1"/>
      </xdr:nvSpPr>
      <xdr:spPr>
        <a:xfrm>
          <a:off x="7777797" y="18520600"/>
          <a:ext cx="88235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Stable Geopolitics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99</xdr:row>
      <xdr:rowOff>187956</xdr:rowOff>
    </xdr:from>
    <xdr:to>
      <xdr:col>5</xdr:col>
      <xdr:colOff>47626</xdr:colOff>
      <xdr:row>102</xdr:row>
      <xdr:rowOff>6351</xdr:rowOff>
    </xdr:to>
    <xdr:sp macro="" textlink="">
      <xdr:nvSpPr>
        <xdr:cNvPr id="343" name="MC_BR_C_geo_bal_crisis_T_bal_crisis_unstable">
          <a:extLst>
            <a:ext uri="{FF2B5EF4-FFF2-40B4-BE49-F238E27FC236}">
              <a16:creationId xmlns:a16="http://schemas.microsoft.com/office/drawing/2014/main" id="{AF620150-92E0-38AC-1361-EF331DD52D73}"/>
            </a:ext>
          </a:extLst>
        </xdr:cNvPr>
        <xdr:cNvSpPr/>
      </xdr:nvSpPr>
      <xdr:spPr>
        <a:xfrm>
          <a:off x="7576145" y="18990306"/>
          <a:ext cx="2777531" cy="389895"/>
        </a:xfrm>
        <a:custGeom>
          <a:avLst/>
          <a:gdLst/>
          <a:ahLst/>
          <a:cxnLst/>
          <a:rect l="0" t="0" r="0" b="0"/>
          <a:pathLst>
            <a:path w="2777531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777530" y="377194"/>
              </a:lnTo>
              <a:lnTo>
                <a:pt x="2777530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101</xdr:row>
      <xdr:rowOff>99250</xdr:rowOff>
    </xdr:from>
    <xdr:ext cx="1150443" cy="182550"/>
    <xdr:sp macro="_xll.MC_OnBranchLabelClick" textlink="">
      <xdr:nvSpPr>
        <xdr:cNvPr id="344" name="MC_BN_C_geo_bal_crisis_T_bal_crisis_unstable">
          <a:extLst>
            <a:ext uri="{FF2B5EF4-FFF2-40B4-BE49-F238E27FC236}">
              <a16:creationId xmlns:a16="http://schemas.microsoft.com/office/drawing/2014/main" id="{0F02AA5B-CB9E-2BB1-28A6-A10C4E9BA8F1}"/>
            </a:ext>
          </a:extLst>
        </xdr:cNvPr>
        <xdr:cNvSpPr txBox="1"/>
      </xdr:nvSpPr>
      <xdr:spPr>
        <a:xfrm>
          <a:off x="7777797" y="19282600"/>
          <a:ext cx="115044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Compounding Instability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84267</xdr:colOff>
      <xdr:row>105</xdr:row>
      <xdr:rowOff>184150</xdr:rowOff>
    </xdr:from>
    <xdr:to>
      <xdr:col>4</xdr:col>
      <xdr:colOff>47626</xdr:colOff>
      <xdr:row>112</xdr:row>
      <xdr:rowOff>917</xdr:rowOff>
    </xdr:to>
    <xdr:sp macro="" textlink="">
      <xdr:nvSpPr>
        <xdr:cNvPr id="345" name="MC_BR_C_econ_defensive_C_rates_def_boom">
          <a:extLst>
            <a:ext uri="{FF2B5EF4-FFF2-40B4-BE49-F238E27FC236}">
              <a16:creationId xmlns:a16="http://schemas.microsoft.com/office/drawing/2014/main" id="{DB0B65F5-5C4A-2A5E-0447-DF338F1F03B2}"/>
            </a:ext>
          </a:extLst>
        </xdr:cNvPr>
        <xdr:cNvSpPr/>
      </xdr:nvSpPr>
      <xdr:spPr>
        <a:xfrm>
          <a:off x="5361117" y="20129500"/>
          <a:ext cx="2177922" cy="1150267"/>
        </a:xfrm>
        <a:custGeom>
          <a:avLst/>
          <a:gdLst/>
          <a:ahLst/>
          <a:cxnLst/>
          <a:rect l="0" t="0" r="0" b="0"/>
          <a:pathLst>
            <a:path w="2177922" h="1150267">
              <a:moveTo>
                <a:pt x="0" y="1148434"/>
              </a:moveTo>
              <a:lnTo>
                <a:pt x="166624" y="5434"/>
              </a:lnTo>
              <a:lnTo>
                <a:pt x="172908" y="0"/>
              </a:lnTo>
              <a:lnTo>
                <a:pt x="2177921" y="0"/>
              </a:lnTo>
              <a:lnTo>
                <a:pt x="2177921" y="12700"/>
              </a:lnTo>
              <a:lnTo>
                <a:pt x="172908" y="12700"/>
              </a:lnTo>
              <a:lnTo>
                <a:pt x="179192" y="7266"/>
              </a:lnTo>
              <a:lnTo>
                <a:pt x="12567" y="115026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105</xdr:row>
      <xdr:rowOff>99250</xdr:rowOff>
    </xdr:from>
    <xdr:ext cx="323422" cy="182550"/>
    <xdr:sp macro="_xll.MC_OnBranchLabelClick" textlink="">
      <xdr:nvSpPr>
        <xdr:cNvPr id="346" name="MC_BN_C_econ_defensive_C_rates_def_boom">
          <a:extLst>
            <a:ext uri="{FF2B5EF4-FFF2-40B4-BE49-F238E27FC236}">
              <a16:creationId xmlns:a16="http://schemas.microsoft.com/office/drawing/2014/main" id="{0CA45B8E-9726-1692-0867-569C3AA3D072}"/>
            </a:ext>
          </a:extLst>
        </xdr:cNvPr>
        <xdr:cNvSpPr txBox="1"/>
      </xdr:nvSpPr>
      <xdr:spPr>
        <a:xfrm>
          <a:off x="5563235" y="20044600"/>
          <a:ext cx="32342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Boom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84348</xdr:colOff>
      <xdr:row>111</xdr:row>
      <xdr:rowOff>189143</xdr:rowOff>
    </xdr:from>
    <xdr:to>
      <xdr:col>4</xdr:col>
      <xdr:colOff>47626</xdr:colOff>
      <xdr:row>116</xdr:row>
      <xdr:rowOff>6351</xdr:rowOff>
    </xdr:to>
    <xdr:sp macro="" textlink="">
      <xdr:nvSpPr>
        <xdr:cNvPr id="347" name="MC_BR_C_econ_defensive_C_rates_def_normal">
          <a:extLst>
            <a:ext uri="{FF2B5EF4-FFF2-40B4-BE49-F238E27FC236}">
              <a16:creationId xmlns:a16="http://schemas.microsoft.com/office/drawing/2014/main" id="{1011AB03-4122-54A2-8A48-DF6FFD1EFA36}"/>
            </a:ext>
          </a:extLst>
        </xdr:cNvPr>
        <xdr:cNvSpPr/>
      </xdr:nvSpPr>
      <xdr:spPr>
        <a:xfrm>
          <a:off x="5361198" y="21277493"/>
          <a:ext cx="2177841" cy="769708"/>
        </a:xfrm>
        <a:custGeom>
          <a:avLst/>
          <a:gdLst/>
          <a:ahLst/>
          <a:cxnLst/>
          <a:rect l="0" t="0" r="0" b="0"/>
          <a:pathLst>
            <a:path w="2177841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177840" y="757007"/>
              </a:lnTo>
              <a:lnTo>
                <a:pt x="2177840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115</xdr:row>
      <xdr:rowOff>99250</xdr:rowOff>
    </xdr:from>
    <xdr:ext cx="745269" cy="182550"/>
    <xdr:sp macro="_xll.MC_OnBranchLabelClick" textlink="">
      <xdr:nvSpPr>
        <xdr:cNvPr id="348" name="MC_BN_C_econ_defensive_C_rates_def_normal">
          <a:extLst>
            <a:ext uri="{FF2B5EF4-FFF2-40B4-BE49-F238E27FC236}">
              <a16:creationId xmlns:a16="http://schemas.microsoft.com/office/drawing/2014/main" id="{0943292D-7AD7-23D7-E76D-89A792258D8A}"/>
            </a:ext>
          </a:extLst>
        </xdr:cNvPr>
        <xdr:cNvSpPr txBox="1"/>
      </xdr:nvSpPr>
      <xdr:spPr>
        <a:xfrm>
          <a:off x="5563235" y="21949600"/>
          <a:ext cx="74526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Normal Growth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84218</xdr:colOff>
      <xdr:row>111</xdr:row>
      <xdr:rowOff>190038</xdr:rowOff>
    </xdr:from>
    <xdr:to>
      <xdr:col>4</xdr:col>
      <xdr:colOff>47626</xdr:colOff>
      <xdr:row>124</xdr:row>
      <xdr:rowOff>6351</xdr:rowOff>
    </xdr:to>
    <xdr:sp macro="" textlink="">
      <xdr:nvSpPr>
        <xdr:cNvPr id="349" name="MC_BR_C_econ_defensive_C_rates_def_recession">
          <a:extLst>
            <a:ext uri="{FF2B5EF4-FFF2-40B4-BE49-F238E27FC236}">
              <a16:creationId xmlns:a16="http://schemas.microsoft.com/office/drawing/2014/main" id="{581FA54E-E9FE-977C-F194-3B2DBF457196}"/>
            </a:ext>
          </a:extLst>
        </xdr:cNvPr>
        <xdr:cNvSpPr/>
      </xdr:nvSpPr>
      <xdr:spPr>
        <a:xfrm>
          <a:off x="5361068" y="21278388"/>
          <a:ext cx="2177971" cy="2292813"/>
        </a:xfrm>
        <a:custGeom>
          <a:avLst/>
          <a:gdLst/>
          <a:ahLst/>
          <a:cxnLst/>
          <a:rect l="0" t="0" r="0" b="0"/>
          <a:pathLst>
            <a:path w="2177971" h="2292813">
              <a:moveTo>
                <a:pt x="12666" y="0"/>
              </a:moveTo>
              <a:lnTo>
                <a:pt x="179290" y="2286000"/>
              </a:lnTo>
              <a:lnTo>
                <a:pt x="172957" y="2280112"/>
              </a:lnTo>
              <a:lnTo>
                <a:pt x="2177970" y="2280112"/>
              </a:lnTo>
              <a:lnTo>
                <a:pt x="2177970" y="2292812"/>
              </a:lnTo>
              <a:lnTo>
                <a:pt x="172957" y="2292812"/>
              </a:lnTo>
              <a:lnTo>
                <a:pt x="166624" y="2286924"/>
              </a:lnTo>
              <a:lnTo>
                <a:pt x="0" y="92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123</xdr:row>
      <xdr:rowOff>99250</xdr:rowOff>
    </xdr:from>
    <xdr:ext cx="534377" cy="182550"/>
    <xdr:sp macro="_xll.MC_OnBranchLabelClick" textlink="">
      <xdr:nvSpPr>
        <xdr:cNvPr id="350" name="MC_BN_C_econ_defensive_C_rates_def_recession">
          <a:extLst>
            <a:ext uri="{FF2B5EF4-FFF2-40B4-BE49-F238E27FC236}">
              <a16:creationId xmlns:a16="http://schemas.microsoft.com/office/drawing/2014/main" id="{3863A6F6-2542-B588-7959-3BB4BB08A930}"/>
            </a:ext>
          </a:extLst>
        </xdr:cNvPr>
        <xdr:cNvSpPr txBox="1"/>
      </xdr:nvSpPr>
      <xdr:spPr>
        <a:xfrm>
          <a:off x="5563235" y="23473600"/>
          <a:ext cx="53437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Recession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84207</xdr:colOff>
      <xdr:row>111</xdr:row>
      <xdr:rowOff>190222</xdr:rowOff>
    </xdr:from>
    <xdr:to>
      <xdr:col>4</xdr:col>
      <xdr:colOff>47626</xdr:colOff>
      <xdr:row>132</xdr:row>
      <xdr:rowOff>6351</xdr:rowOff>
    </xdr:to>
    <xdr:sp macro="" textlink="">
      <xdr:nvSpPr>
        <xdr:cNvPr id="351" name="MC_BR_C_econ_defensive_C_geo_def_crisis">
          <a:extLst>
            <a:ext uri="{FF2B5EF4-FFF2-40B4-BE49-F238E27FC236}">
              <a16:creationId xmlns:a16="http://schemas.microsoft.com/office/drawing/2014/main" id="{B8AA2E8F-A71A-A5F4-1C38-A02F9F4FB8F8}"/>
            </a:ext>
          </a:extLst>
        </xdr:cNvPr>
        <xdr:cNvSpPr/>
      </xdr:nvSpPr>
      <xdr:spPr>
        <a:xfrm>
          <a:off x="5361057" y="21278572"/>
          <a:ext cx="2177982" cy="3816629"/>
        </a:xfrm>
        <a:custGeom>
          <a:avLst/>
          <a:gdLst/>
          <a:ahLst/>
          <a:cxnLst/>
          <a:rect l="0" t="0" r="0" b="0"/>
          <a:pathLst>
            <a:path w="2177982" h="3816629">
              <a:moveTo>
                <a:pt x="12688" y="0"/>
              </a:moveTo>
              <a:lnTo>
                <a:pt x="179312" y="3810000"/>
              </a:lnTo>
              <a:lnTo>
                <a:pt x="172968" y="3803928"/>
              </a:lnTo>
              <a:lnTo>
                <a:pt x="2177981" y="3803928"/>
              </a:lnTo>
              <a:lnTo>
                <a:pt x="2177981" y="3816628"/>
              </a:lnTo>
              <a:lnTo>
                <a:pt x="172968" y="3816628"/>
              </a:lnTo>
              <a:lnTo>
                <a:pt x="166624" y="3810556"/>
              </a:lnTo>
              <a:lnTo>
                <a:pt x="0" y="55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131</xdr:row>
      <xdr:rowOff>99250</xdr:rowOff>
    </xdr:from>
    <xdr:ext cx="311752" cy="182550"/>
    <xdr:sp macro="_xll.MC_OnBranchLabelClick" textlink="">
      <xdr:nvSpPr>
        <xdr:cNvPr id="352" name="MC_BN_C_econ_defensive_C_geo_def_crisis">
          <a:extLst>
            <a:ext uri="{FF2B5EF4-FFF2-40B4-BE49-F238E27FC236}">
              <a16:creationId xmlns:a16="http://schemas.microsoft.com/office/drawing/2014/main" id="{EBD7B8B9-1AF9-6191-55A1-7649AE2772B9}"/>
            </a:ext>
          </a:extLst>
        </xdr:cNvPr>
        <xdr:cNvSpPr txBox="1"/>
      </xdr:nvSpPr>
      <xdr:spPr>
        <a:xfrm>
          <a:off x="5563235" y="24997600"/>
          <a:ext cx="31175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Crisis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103</xdr:row>
      <xdr:rowOff>184150</xdr:rowOff>
    </xdr:from>
    <xdr:to>
      <xdr:col>5</xdr:col>
      <xdr:colOff>47626</xdr:colOff>
      <xdr:row>106</xdr:row>
      <xdr:rowOff>2545</xdr:rowOff>
    </xdr:to>
    <xdr:sp macro="" textlink="">
      <xdr:nvSpPr>
        <xdr:cNvPr id="353" name="MC_BR_C_rates_def_boom_T_def_boom_rising">
          <a:extLst>
            <a:ext uri="{FF2B5EF4-FFF2-40B4-BE49-F238E27FC236}">
              <a16:creationId xmlns:a16="http://schemas.microsoft.com/office/drawing/2014/main" id="{EB9427BC-4E96-5383-E853-653BD6AB0B1C}"/>
            </a:ext>
          </a:extLst>
        </xdr:cNvPr>
        <xdr:cNvSpPr/>
      </xdr:nvSpPr>
      <xdr:spPr>
        <a:xfrm>
          <a:off x="7576145" y="19748500"/>
          <a:ext cx="2777531" cy="389895"/>
        </a:xfrm>
        <a:custGeom>
          <a:avLst/>
          <a:gdLst/>
          <a:ahLst/>
          <a:cxnLst/>
          <a:rect l="0" t="0" r="0" b="0"/>
          <a:pathLst>
            <a:path w="2777531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777530" y="0"/>
              </a:lnTo>
              <a:lnTo>
                <a:pt x="2777530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103</xdr:row>
      <xdr:rowOff>99250</xdr:rowOff>
    </xdr:from>
    <xdr:ext cx="636969" cy="182550"/>
    <xdr:sp macro="_xll.MC_OnBranchLabelClick" textlink="">
      <xdr:nvSpPr>
        <xdr:cNvPr id="354" name="MC_BN_C_rates_def_boom_T_def_boom_rising">
          <a:extLst>
            <a:ext uri="{FF2B5EF4-FFF2-40B4-BE49-F238E27FC236}">
              <a16:creationId xmlns:a16="http://schemas.microsoft.com/office/drawing/2014/main" id="{CA185910-290A-8828-32D0-767DCB3A31F4}"/>
            </a:ext>
          </a:extLst>
        </xdr:cNvPr>
        <xdr:cNvSpPr txBox="1"/>
      </xdr:nvSpPr>
      <xdr:spPr>
        <a:xfrm>
          <a:off x="7777797" y="19663600"/>
          <a:ext cx="63696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Rising Rates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105</xdr:row>
      <xdr:rowOff>187956</xdr:rowOff>
    </xdr:from>
    <xdr:to>
      <xdr:col>5</xdr:col>
      <xdr:colOff>47626</xdr:colOff>
      <xdr:row>108</xdr:row>
      <xdr:rowOff>6351</xdr:rowOff>
    </xdr:to>
    <xdr:sp macro="" textlink="">
      <xdr:nvSpPr>
        <xdr:cNvPr id="355" name="MC_BR_C_rates_def_boom_T_def_boom_stable">
          <a:extLst>
            <a:ext uri="{FF2B5EF4-FFF2-40B4-BE49-F238E27FC236}">
              <a16:creationId xmlns:a16="http://schemas.microsoft.com/office/drawing/2014/main" id="{8EE63999-BBAA-729A-E030-D8D434088FF4}"/>
            </a:ext>
          </a:extLst>
        </xdr:cNvPr>
        <xdr:cNvSpPr/>
      </xdr:nvSpPr>
      <xdr:spPr>
        <a:xfrm>
          <a:off x="7576145" y="20133306"/>
          <a:ext cx="2777531" cy="389895"/>
        </a:xfrm>
        <a:custGeom>
          <a:avLst/>
          <a:gdLst/>
          <a:ahLst/>
          <a:cxnLst/>
          <a:rect l="0" t="0" r="0" b="0"/>
          <a:pathLst>
            <a:path w="2777531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777530" y="377194"/>
              </a:lnTo>
              <a:lnTo>
                <a:pt x="2777530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107</xdr:row>
      <xdr:rowOff>99250</xdr:rowOff>
    </xdr:from>
    <xdr:ext cx="642868" cy="182550"/>
    <xdr:sp macro="_xll.MC_OnBranchLabelClick" textlink="">
      <xdr:nvSpPr>
        <xdr:cNvPr id="356" name="MC_BN_C_rates_def_boom_T_def_boom_stable">
          <a:extLst>
            <a:ext uri="{FF2B5EF4-FFF2-40B4-BE49-F238E27FC236}">
              <a16:creationId xmlns:a16="http://schemas.microsoft.com/office/drawing/2014/main" id="{62A56946-705B-E0B2-7AD0-E4322A240E04}"/>
            </a:ext>
          </a:extLst>
        </xdr:cNvPr>
        <xdr:cNvSpPr txBox="1"/>
      </xdr:nvSpPr>
      <xdr:spPr>
        <a:xfrm>
          <a:off x="7777797" y="20425600"/>
          <a:ext cx="64286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Stable Rates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84347</xdr:colOff>
      <xdr:row>105</xdr:row>
      <xdr:rowOff>189143</xdr:rowOff>
    </xdr:from>
    <xdr:to>
      <xdr:col>5</xdr:col>
      <xdr:colOff>47626</xdr:colOff>
      <xdr:row>110</xdr:row>
      <xdr:rowOff>6351</xdr:rowOff>
    </xdr:to>
    <xdr:sp macro="" textlink="">
      <xdr:nvSpPr>
        <xdr:cNvPr id="357" name="MC_BR_C_rates_def_boom_T_def_boom_falling">
          <a:extLst>
            <a:ext uri="{FF2B5EF4-FFF2-40B4-BE49-F238E27FC236}">
              <a16:creationId xmlns:a16="http://schemas.microsoft.com/office/drawing/2014/main" id="{D22B508A-A8C4-EFAD-CAF0-8BAF29E5B272}"/>
            </a:ext>
          </a:extLst>
        </xdr:cNvPr>
        <xdr:cNvSpPr/>
      </xdr:nvSpPr>
      <xdr:spPr>
        <a:xfrm>
          <a:off x="7575760" y="20134493"/>
          <a:ext cx="2777916" cy="769708"/>
        </a:xfrm>
        <a:custGeom>
          <a:avLst/>
          <a:gdLst/>
          <a:ahLst/>
          <a:cxnLst/>
          <a:rect l="0" t="0" r="0" b="0"/>
          <a:pathLst>
            <a:path w="2777916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777915" y="757007"/>
              </a:lnTo>
              <a:lnTo>
                <a:pt x="2777915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109</xdr:row>
      <xdr:rowOff>99250</xdr:rowOff>
    </xdr:from>
    <xdr:ext cx="654090" cy="182550"/>
    <xdr:sp macro="_xll.MC_OnBranchLabelClick" textlink="">
      <xdr:nvSpPr>
        <xdr:cNvPr id="358" name="MC_BN_C_rates_def_boom_T_def_boom_falling">
          <a:extLst>
            <a:ext uri="{FF2B5EF4-FFF2-40B4-BE49-F238E27FC236}">
              <a16:creationId xmlns:a16="http://schemas.microsoft.com/office/drawing/2014/main" id="{6D86F254-1F11-F916-F503-1D85B1E2802F}"/>
            </a:ext>
          </a:extLst>
        </xdr:cNvPr>
        <xdr:cNvSpPr txBox="1"/>
      </xdr:nvSpPr>
      <xdr:spPr>
        <a:xfrm>
          <a:off x="7777797" y="20806600"/>
          <a:ext cx="65409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Falling Rates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113</xdr:row>
      <xdr:rowOff>184150</xdr:rowOff>
    </xdr:from>
    <xdr:to>
      <xdr:col>5</xdr:col>
      <xdr:colOff>47626</xdr:colOff>
      <xdr:row>116</xdr:row>
      <xdr:rowOff>2545</xdr:rowOff>
    </xdr:to>
    <xdr:sp macro="" textlink="">
      <xdr:nvSpPr>
        <xdr:cNvPr id="359" name="MC_BR_C_rates_def_normal_T_def_norm_rising">
          <a:extLst>
            <a:ext uri="{FF2B5EF4-FFF2-40B4-BE49-F238E27FC236}">
              <a16:creationId xmlns:a16="http://schemas.microsoft.com/office/drawing/2014/main" id="{DA303963-BE77-22FE-6AE1-9D410E7EA0B0}"/>
            </a:ext>
          </a:extLst>
        </xdr:cNvPr>
        <xdr:cNvSpPr/>
      </xdr:nvSpPr>
      <xdr:spPr>
        <a:xfrm>
          <a:off x="7576145" y="21653500"/>
          <a:ext cx="2777531" cy="389895"/>
        </a:xfrm>
        <a:custGeom>
          <a:avLst/>
          <a:gdLst/>
          <a:ahLst/>
          <a:cxnLst/>
          <a:rect l="0" t="0" r="0" b="0"/>
          <a:pathLst>
            <a:path w="2777531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777530" y="0"/>
              </a:lnTo>
              <a:lnTo>
                <a:pt x="2777530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113</xdr:row>
      <xdr:rowOff>99250</xdr:rowOff>
    </xdr:from>
    <xdr:ext cx="636969" cy="182550"/>
    <xdr:sp macro="_xll.MC_OnBranchLabelClick" textlink="">
      <xdr:nvSpPr>
        <xdr:cNvPr id="360" name="MC_BN_C_rates_def_normal_T_def_norm_rising">
          <a:extLst>
            <a:ext uri="{FF2B5EF4-FFF2-40B4-BE49-F238E27FC236}">
              <a16:creationId xmlns:a16="http://schemas.microsoft.com/office/drawing/2014/main" id="{3DD84019-755F-071E-624B-515D04FD18AA}"/>
            </a:ext>
          </a:extLst>
        </xdr:cNvPr>
        <xdr:cNvSpPr txBox="1"/>
      </xdr:nvSpPr>
      <xdr:spPr>
        <a:xfrm>
          <a:off x="7777797" y="21568600"/>
          <a:ext cx="63696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Rising Rates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115</xdr:row>
      <xdr:rowOff>187956</xdr:rowOff>
    </xdr:from>
    <xdr:to>
      <xdr:col>5</xdr:col>
      <xdr:colOff>47626</xdr:colOff>
      <xdr:row>118</xdr:row>
      <xdr:rowOff>6351</xdr:rowOff>
    </xdr:to>
    <xdr:sp macro="" textlink="">
      <xdr:nvSpPr>
        <xdr:cNvPr id="361" name="MC_BR_C_rates_def_normal_T_def_norm_stable">
          <a:extLst>
            <a:ext uri="{FF2B5EF4-FFF2-40B4-BE49-F238E27FC236}">
              <a16:creationId xmlns:a16="http://schemas.microsoft.com/office/drawing/2014/main" id="{2B9F0B5A-FAE6-8E29-BE7E-640E3EA24A8B}"/>
            </a:ext>
          </a:extLst>
        </xdr:cNvPr>
        <xdr:cNvSpPr/>
      </xdr:nvSpPr>
      <xdr:spPr>
        <a:xfrm>
          <a:off x="7576145" y="22038306"/>
          <a:ext cx="2777531" cy="389895"/>
        </a:xfrm>
        <a:custGeom>
          <a:avLst/>
          <a:gdLst/>
          <a:ahLst/>
          <a:cxnLst/>
          <a:rect l="0" t="0" r="0" b="0"/>
          <a:pathLst>
            <a:path w="2777531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777530" y="377194"/>
              </a:lnTo>
              <a:lnTo>
                <a:pt x="2777530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117</xdr:row>
      <xdr:rowOff>99250</xdr:rowOff>
    </xdr:from>
    <xdr:ext cx="642868" cy="182550"/>
    <xdr:sp macro="_xll.MC_OnBranchLabelClick" textlink="">
      <xdr:nvSpPr>
        <xdr:cNvPr id="362" name="MC_BN_C_rates_def_normal_T_def_norm_stable">
          <a:extLst>
            <a:ext uri="{FF2B5EF4-FFF2-40B4-BE49-F238E27FC236}">
              <a16:creationId xmlns:a16="http://schemas.microsoft.com/office/drawing/2014/main" id="{A864FB1C-6F6B-C42C-A557-877C6CEE940A}"/>
            </a:ext>
          </a:extLst>
        </xdr:cNvPr>
        <xdr:cNvSpPr txBox="1"/>
      </xdr:nvSpPr>
      <xdr:spPr>
        <a:xfrm>
          <a:off x="7777797" y="22330600"/>
          <a:ext cx="64286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Stable Rates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84347</xdr:colOff>
      <xdr:row>115</xdr:row>
      <xdr:rowOff>189143</xdr:rowOff>
    </xdr:from>
    <xdr:to>
      <xdr:col>5</xdr:col>
      <xdr:colOff>47626</xdr:colOff>
      <xdr:row>120</xdr:row>
      <xdr:rowOff>6351</xdr:rowOff>
    </xdr:to>
    <xdr:sp macro="" textlink="">
      <xdr:nvSpPr>
        <xdr:cNvPr id="363" name="MC_BR_C_rates_def_normal_T_def_norm_falling">
          <a:extLst>
            <a:ext uri="{FF2B5EF4-FFF2-40B4-BE49-F238E27FC236}">
              <a16:creationId xmlns:a16="http://schemas.microsoft.com/office/drawing/2014/main" id="{748C5561-5E2B-95C5-2FA2-7B0EFCAAA646}"/>
            </a:ext>
          </a:extLst>
        </xdr:cNvPr>
        <xdr:cNvSpPr/>
      </xdr:nvSpPr>
      <xdr:spPr>
        <a:xfrm>
          <a:off x="7575760" y="22039493"/>
          <a:ext cx="2777916" cy="769708"/>
        </a:xfrm>
        <a:custGeom>
          <a:avLst/>
          <a:gdLst/>
          <a:ahLst/>
          <a:cxnLst/>
          <a:rect l="0" t="0" r="0" b="0"/>
          <a:pathLst>
            <a:path w="2777916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777915" y="757007"/>
              </a:lnTo>
              <a:lnTo>
                <a:pt x="2777915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119</xdr:row>
      <xdr:rowOff>99250</xdr:rowOff>
    </xdr:from>
    <xdr:ext cx="654090" cy="182550"/>
    <xdr:sp macro="_xll.MC_OnBranchLabelClick" textlink="">
      <xdr:nvSpPr>
        <xdr:cNvPr id="364" name="MC_BN_C_rates_def_normal_T_def_norm_falling">
          <a:extLst>
            <a:ext uri="{FF2B5EF4-FFF2-40B4-BE49-F238E27FC236}">
              <a16:creationId xmlns:a16="http://schemas.microsoft.com/office/drawing/2014/main" id="{678F5884-B3D0-D21C-B334-11366CCA2E66}"/>
            </a:ext>
          </a:extLst>
        </xdr:cNvPr>
        <xdr:cNvSpPr txBox="1"/>
      </xdr:nvSpPr>
      <xdr:spPr>
        <a:xfrm>
          <a:off x="7777797" y="22711600"/>
          <a:ext cx="65409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Falling Rates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121</xdr:row>
      <xdr:rowOff>184150</xdr:rowOff>
    </xdr:from>
    <xdr:to>
      <xdr:col>5</xdr:col>
      <xdr:colOff>47626</xdr:colOff>
      <xdr:row>124</xdr:row>
      <xdr:rowOff>2545</xdr:rowOff>
    </xdr:to>
    <xdr:sp macro="" textlink="">
      <xdr:nvSpPr>
        <xdr:cNvPr id="365" name="MC_BR_C_rates_def_recession_T_def_rec_rising">
          <a:extLst>
            <a:ext uri="{FF2B5EF4-FFF2-40B4-BE49-F238E27FC236}">
              <a16:creationId xmlns:a16="http://schemas.microsoft.com/office/drawing/2014/main" id="{101FB79E-F167-84DB-6448-E291BE450979}"/>
            </a:ext>
          </a:extLst>
        </xdr:cNvPr>
        <xdr:cNvSpPr/>
      </xdr:nvSpPr>
      <xdr:spPr>
        <a:xfrm>
          <a:off x="7576145" y="23177500"/>
          <a:ext cx="2777531" cy="389895"/>
        </a:xfrm>
        <a:custGeom>
          <a:avLst/>
          <a:gdLst/>
          <a:ahLst/>
          <a:cxnLst/>
          <a:rect l="0" t="0" r="0" b="0"/>
          <a:pathLst>
            <a:path w="2777531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777530" y="0"/>
              </a:lnTo>
              <a:lnTo>
                <a:pt x="2777530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121</xdr:row>
      <xdr:rowOff>99250</xdr:rowOff>
    </xdr:from>
    <xdr:ext cx="636969" cy="182550"/>
    <xdr:sp macro="_xll.MC_OnBranchLabelClick" textlink="">
      <xdr:nvSpPr>
        <xdr:cNvPr id="366" name="MC_BN_C_rates_def_recession_T_def_rec_rising">
          <a:extLst>
            <a:ext uri="{FF2B5EF4-FFF2-40B4-BE49-F238E27FC236}">
              <a16:creationId xmlns:a16="http://schemas.microsoft.com/office/drawing/2014/main" id="{63AB8B12-76D1-A2CB-E11C-8AD7E5893F25}"/>
            </a:ext>
          </a:extLst>
        </xdr:cNvPr>
        <xdr:cNvSpPr txBox="1"/>
      </xdr:nvSpPr>
      <xdr:spPr>
        <a:xfrm>
          <a:off x="7777797" y="23092600"/>
          <a:ext cx="63696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Rising Rates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123</xdr:row>
      <xdr:rowOff>187956</xdr:rowOff>
    </xdr:from>
    <xdr:to>
      <xdr:col>5</xdr:col>
      <xdr:colOff>47626</xdr:colOff>
      <xdr:row>126</xdr:row>
      <xdr:rowOff>6351</xdr:rowOff>
    </xdr:to>
    <xdr:sp macro="" textlink="">
      <xdr:nvSpPr>
        <xdr:cNvPr id="367" name="MC_BR_C_rates_def_recession_T_def_rec_stable">
          <a:extLst>
            <a:ext uri="{FF2B5EF4-FFF2-40B4-BE49-F238E27FC236}">
              <a16:creationId xmlns:a16="http://schemas.microsoft.com/office/drawing/2014/main" id="{2A2AEF74-8F4F-32CA-F174-A2F2A05F316D}"/>
            </a:ext>
          </a:extLst>
        </xdr:cNvPr>
        <xdr:cNvSpPr/>
      </xdr:nvSpPr>
      <xdr:spPr>
        <a:xfrm>
          <a:off x="7576145" y="23562306"/>
          <a:ext cx="2777531" cy="389895"/>
        </a:xfrm>
        <a:custGeom>
          <a:avLst/>
          <a:gdLst/>
          <a:ahLst/>
          <a:cxnLst/>
          <a:rect l="0" t="0" r="0" b="0"/>
          <a:pathLst>
            <a:path w="2777531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777530" y="377194"/>
              </a:lnTo>
              <a:lnTo>
                <a:pt x="2777530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125</xdr:row>
      <xdr:rowOff>99250</xdr:rowOff>
    </xdr:from>
    <xdr:ext cx="642868" cy="182550"/>
    <xdr:sp macro="_xll.MC_OnBranchLabelClick" textlink="">
      <xdr:nvSpPr>
        <xdr:cNvPr id="368" name="MC_BN_C_rates_def_recession_T_def_rec_stable">
          <a:extLst>
            <a:ext uri="{FF2B5EF4-FFF2-40B4-BE49-F238E27FC236}">
              <a16:creationId xmlns:a16="http://schemas.microsoft.com/office/drawing/2014/main" id="{512CBAB6-FEEE-3931-CB33-6DB5BEDEF00E}"/>
            </a:ext>
          </a:extLst>
        </xdr:cNvPr>
        <xdr:cNvSpPr txBox="1"/>
      </xdr:nvSpPr>
      <xdr:spPr>
        <a:xfrm>
          <a:off x="7777797" y="23854600"/>
          <a:ext cx="64286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Stable Rates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84347</xdr:colOff>
      <xdr:row>123</xdr:row>
      <xdr:rowOff>189143</xdr:rowOff>
    </xdr:from>
    <xdr:to>
      <xdr:col>5</xdr:col>
      <xdr:colOff>47626</xdr:colOff>
      <xdr:row>128</xdr:row>
      <xdr:rowOff>6351</xdr:rowOff>
    </xdr:to>
    <xdr:sp macro="" textlink="">
      <xdr:nvSpPr>
        <xdr:cNvPr id="369" name="MC_BR_C_rates_def_recession_T_def_rec_falling">
          <a:extLst>
            <a:ext uri="{FF2B5EF4-FFF2-40B4-BE49-F238E27FC236}">
              <a16:creationId xmlns:a16="http://schemas.microsoft.com/office/drawing/2014/main" id="{60388E5B-A882-F3DF-E280-4F8A965D3D3D}"/>
            </a:ext>
          </a:extLst>
        </xdr:cNvPr>
        <xdr:cNvSpPr/>
      </xdr:nvSpPr>
      <xdr:spPr>
        <a:xfrm>
          <a:off x="7575760" y="23563493"/>
          <a:ext cx="2777916" cy="769708"/>
        </a:xfrm>
        <a:custGeom>
          <a:avLst/>
          <a:gdLst/>
          <a:ahLst/>
          <a:cxnLst/>
          <a:rect l="0" t="0" r="0" b="0"/>
          <a:pathLst>
            <a:path w="2777916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777915" y="757007"/>
              </a:lnTo>
              <a:lnTo>
                <a:pt x="2777915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127</xdr:row>
      <xdr:rowOff>99250</xdr:rowOff>
    </xdr:from>
    <xdr:ext cx="654090" cy="182550"/>
    <xdr:sp macro="_xll.MC_OnBranchLabelClick" textlink="">
      <xdr:nvSpPr>
        <xdr:cNvPr id="370" name="MC_BN_C_rates_def_recession_T_def_rec_falling">
          <a:extLst>
            <a:ext uri="{FF2B5EF4-FFF2-40B4-BE49-F238E27FC236}">
              <a16:creationId xmlns:a16="http://schemas.microsoft.com/office/drawing/2014/main" id="{EFA81DA7-0F23-9675-4E18-2D66C23C18D8}"/>
            </a:ext>
          </a:extLst>
        </xdr:cNvPr>
        <xdr:cNvSpPr txBox="1"/>
      </xdr:nvSpPr>
      <xdr:spPr>
        <a:xfrm>
          <a:off x="7777797" y="24235600"/>
          <a:ext cx="65409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Falling Rates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129</xdr:row>
      <xdr:rowOff>184150</xdr:rowOff>
    </xdr:from>
    <xdr:to>
      <xdr:col>5</xdr:col>
      <xdr:colOff>47626</xdr:colOff>
      <xdr:row>132</xdr:row>
      <xdr:rowOff>2545</xdr:rowOff>
    </xdr:to>
    <xdr:sp macro="" textlink="">
      <xdr:nvSpPr>
        <xdr:cNvPr id="371" name="MC_BR_C_geo_def_crisis_T_def_crisis_stable">
          <a:extLst>
            <a:ext uri="{FF2B5EF4-FFF2-40B4-BE49-F238E27FC236}">
              <a16:creationId xmlns:a16="http://schemas.microsoft.com/office/drawing/2014/main" id="{38E596A7-59D5-E94D-8D0D-AEADEA40BB66}"/>
            </a:ext>
          </a:extLst>
        </xdr:cNvPr>
        <xdr:cNvSpPr/>
      </xdr:nvSpPr>
      <xdr:spPr>
        <a:xfrm>
          <a:off x="7576145" y="24701500"/>
          <a:ext cx="2777531" cy="389895"/>
        </a:xfrm>
        <a:custGeom>
          <a:avLst/>
          <a:gdLst/>
          <a:ahLst/>
          <a:cxnLst/>
          <a:rect l="0" t="0" r="0" b="0"/>
          <a:pathLst>
            <a:path w="2777531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777530" y="0"/>
              </a:lnTo>
              <a:lnTo>
                <a:pt x="2777530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129</xdr:row>
      <xdr:rowOff>99250</xdr:rowOff>
    </xdr:from>
    <xdr:ext cx="882357" cy="182550"/>
    <xdr:sp macro="_xll.MC_OnBranchLabelClick" textlink="">
      <xdr:nvSpPr>
        <xdr:cNvPr id="372" name="MC_BN_C_geo_def_crisis_T_def_crisis_stable">
          <a:extLst>
            <a:ext uri="{FF2B5EF4-FFF2-40B4-BE49-F238E27FC236}">
              <a16:creationId xmlns:a16="http://schemas.microsoft.com/office/drawing/2014/main" id="{8B84CA15-E99D-E13F-2613-2B620E9BD542}"/>
            </a:ext>
          </a:extLst>
        </xdr:cNvPr>
        <xdr:cNvSpPr txBox="1"/>
      </xdr:nvSpPr>
      <xdr:spPr>
        <a:xfrm>
          <a:off x="7777797" y="24616600"/>
          <a:ext cx="88235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Stable Geopolitics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131</xdr:row>
      <xdr:rowOff>187956</xdr:rowOff>
    </xdr:from>
    <xdr:to>
      <xdr:col>5</xdr:col>
      <xdr:colOff>47626</xdr:colOff>
      <xdr:row>134</xdr:row>
      <xdr:rowOff>6351</xdr:rowOff>
    </xdr:to>
    <xdr:sp macro="" textlink="">
      <xdr:nvSpPr>
        <xdr:cNvPr id="373" name="MC_BR_C_geo_def_crisis_T_def_crisis_unstable">
          <a:extLst>
            <a:ext uri="{FF2B5EF4-FFF2-40B4-BE49-F238E27FC236}">
              <a16:creationId xmlns:a16="http://schemas.microsoft.com/office/drawing/2014/main" id="{7026BD57-011B-4DD5-C074-35DEC4D68D2C}"/>
            </a:ext>
          </a:extLst>
        </xdr:cNvPr>
        <xdr:cNvSpPr/>
      </xdr:nvSpPr>
      <xdr:spPr>
        <a:xfrm>
          <a:off x="7576145" y="25086306"/>
          <a:ext cx="2777531" cy="389895"/>
        </a:xfrm>
        <a:custGeom>
          <a:avLst/>
          <a:gdLst/>
          <a:ahLst/>
          <a:cxnLst/>
          <a:rect l="0" t="0" r="0" b="0"/>
          <a:pathLst>
            <a:path w="2777531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777530" y="377194"/>
              </a:lnTo>
              <a:lnTo>
                <a:pt x="2777530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133</xdr:row>
      <xdr:rowOff>99250</xdr:rowOff>
    </xdr:from>
    <xdr:ext cx="1150443" cy="182550"/>
    <xdr:sp macro="_xll.MC_OnBranchLabelClick" textlink="">
      <xdr:nvSpPr>
        <xdr:cNvPr id="374" name="MC_BN_C_geo_def_crisis_T_def_crisis_unstable">
          <a:extLst>
            <a:ext uri="{FF2B5EF4-FFF2-40B4-BE49-F238E27FC236}">
              <a16:creationId xmlns:a16="http://schemas.microsoft.com/office/drawing/2014/main" id="{C6A4FC40-92AA-B245-D937-C045E3E3451D}"/>
            </a:ext>
          </a:extLst>
        </xdr:cNvPr>
        <xdr:cNvSpPr txBox="1"/>
      </xdr:nvSpPr>
      <xdr:spPr>
        <a:xfrm>
          <a:off x="7777797" y="25378600"/>
          <a:ext cx="115044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Compounding Instability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84267</xdr:colOff>
      <xdr:row>137</xdr:row>
      <xdr:rowOff>184150</xdr:rowOff>
    </xdr:from>
    <xdr:to>
      <xdr:col>4</xdr:col>
      <xdr:colOff>47626</xdr:colOff>
      <xdr:row>144</xdr:row>
      <xdr:rowOff>916</xdr:rowOff>
    </xdr:to>
    <xdr:sp macro="" textlink="">
      <xdr:nvSpPr>
        <xdr:cNvPr id="375" name="MC_BR_C_econ_infra_C_rates_infra_boom">
          <a:extLst>
            <a:ext uri="{FF2B5EF4-FFF2-40B4-BE49-F238E27FC236}">
              <a16:creationId xmlns:a16="http://schemas.microsoft.com/office/drawing/2014/main" id="{EF231BA4-D137-68BE-6117-CA9DA5FA0BA9}"/>
            </a:ext>
          </a:extLst>
        </xdr:cNvPr>
        <xdr:cNvSpPr/>
      </xdr:nvSpPr>
      <xdr:spPr>
        <a:xfrm>
          <a:off x="5361117" y="26225500"/>
          <a:ext cx="2177922" cy="1150266"/>
        </a:xfrm>
        <a:custGeom>
          <a:avLst/>
          <a:gdLst/>
          <a:ahLst/>
          <a:cxnLst/>
          <a:rect l="0" t="0" r="0" b="0"/>
          <a:pathLst>
            <a:path w="2177922" h="1150266">
              <a:moveTo>
                <a:pt x="0" y="1148435"/>
              </a:moveTo>
              <a:lnTo>
                <a:pt x="166624" y="5435"/>
              </a:lnTo>
              <a:lnTo>
                <a:pt x="172908" y="0"/>
              </a:lnTo>
              <a:lnTo>
                <a:pt x="2177921" y="0"/>
              </a:lnTo>
              <a:lnTo>
                <a:pt x="2177921" y="12700"/>
              </a:lnTo>
              <a:lnTo>
                <a:pt x="172908" y="12700"/>
              </a:lnTo>
              <a:lnTo>
                <a:pt x="179192" y="7265"/>
              </a:lnTo>
              <a:lnTo>
                <a:pt x="12567" y="1150265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137</xdr:row>
      <xdr:rowOff>99250</xdr:rowOff>
    </xdr:from>
    <xdr:ext cx="323422" cy="182550"/>
    <xdr:sp macro="_xll.MC_OnBranchLabelClick" textlink="">
      <xdr:nvSpPr>
        <xdr:cNvPr id="376" name="MC_BN_C_econ_infra_C_rates_infra_boom">
          <a:extLst>
            <a:ext uri="{FF2B5EF4-FFF2-40B4-BE49-F238E27FC236}">
              <a16:creationId xmlns:a16="http://schemas.microsoft.com/office/drawing/2014/main" id="{32E823C5-E6A4-7923-FCD2-996E826D4904}"/>
            </a:ext>
          </a:extLst>
        </xdr:cNvPr>
        <xdr:cNvSpPr txBox="1"/>
      </xdr:nvSpPr>
      <xdr:spPr>
        <a:xfrm>
          <a:off x="5563235" y="26140600"/>
          <a:ext cx="32342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Boom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84348</xdr:colOff>
      <xdr:row>143</xdr:row>
      <xdr:rowOff>189145</xdr:rowOff>
    </xdr:from>
    <xdr:to>
      <xdr:col>4</xdr:col>
      <xdr:colOff>47626</xdr:colOff>
      <xdr:row>148</xdr:row>
      <xdr:rowOff>6351</xdr:rowOff>
    </xdr:to>
    <xdr:sp macro="" textlink="">
      <xdr:nvSpPr>
        <xdr:cNvPr id="377" name="MC_BR_C_econ_infra_C_rates_infra_normal">
          <a:extLst>
            <a:ext uri="{FF2B5EF4-FFF2-40B4-BE49-F238E27FC236}">
              <a16:creationId xmlns:a16="http://schemas.microsoft.com/office/drawing/2014/main" id="{477A7330-5667-4467-5B7B-21E436205BE8}"/>
            </a:ext>
          </a:extLst>
        </xdr:cNvPr>
        <xdr:cNvSpPr/>
      </xdr:nvSpPr>
      <xdr:spPr>
        <a:xfrm>
          <a:off x="5361198" y="27373495"/>
          <a:ext cx="2177841" cy="769706"/>
        </a:xfrm>
        <a:custGeom>
          <a:avLst/>
          <a:gdLst/>
          <a:ahLst/>
          <a:cxnLst/>
          <a:rect l="0" t="0" r="0" b="0"/>
          <a:pathLst>
            <a:path w="2177841" h="769706">
              <a:moveTo>
                <a:pt x="12407" y="0"/>
              </a:moveTo>
              <a:lnTo>
                <a:pt x="179030" y="762000"/>
              </a:lnTo>
              <a:lnTo>
                <a:pt x="172827" y="757005"/>
              </a:lnTo>
              <a:lnTo>
                <a:pt x="2177840" y="757005"/>
              </a:lnTo>
              <a:lnTo>
                <a:pt x="2177840" y="769705"/>
              </a:lnTo>
              <a:lnTo>
                <a:pt x="172827" y="769705"/>
              </a:lnTo>
              <a:lnTo>
                <a:pt x="166624" y="764710"/>
              </a:lnTo>
              <a:lnTo>
                <a:pt x="0" y="2710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147</xdr:row>
      <xdr:rowOff>99250</xdr:rowOff>
    </xdr:from>
    <xdr:ext cx="745269" cy="182550"/>
    <xdr:sp macro="_xll.MC_OnBranchLabelClick" textlink="">
      <xdr:nvSpPr>
        <xdr:cNvPr id="378" name="MC_BN_C_econ_infra_C_rates_infra_normal">
          <a:extLst>
            <a:ext uri="{FF2B5EF4-FFF2-40B4-BE49-F238E27FC236}">
              <a16:creationId xmlns:a16="http://schemas.microsoft.com/office/drawing/2014/main" id="{7A33BBEE-8A8F-E927-813C-1783E72B487B}"/>
            </a:ext>
          </a:extLst>
        </xdr:cNvPr>
        <xdr:cNvSpPr txBox="1"/>
      </xdr:nvSpPr>
      <xdr:spPr>
        <a:xfrm>
          <a:off x="5563235" y="28045600"/>
          <a:ext cx="74526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Normal Growth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84208</xdr:colOff>
      <xdr:row>143</xdr:row>
      <xdr:rowOff>190193</xdr:rowOff>
    </xdr:from>
    <xdr:to>
      <xdr:col>4</xdr:col>
      <xdr:colOff>47626</xdr:colOff>
      <xdr:row>162</xdr:row>
      <xdr:rowOff>6351</xdr:rowOff>
    </xdr:to>
    <xdr:sp macro="" textlink="">
      <xdr:nvSpPr>
        <xdr:cNvPr id="379" name="MC_BR_C_econ_infra_D_infra_recession">
          <a:extLst>
            <a:ext uri="{FF2B5EF4-FFF2-40B4-BE49-F238E27FC236}">
              <a16:creationId xmlns:a16="http://schemas.microsoft.com/office/drawing/2014/main" id="{DB5299D9-65BA-2787-B67F-6DD878596E9E}"/>
            </a:ext>
          </a:extLst>
        </xdr:cNvPr>
        <xdr:cNvSpPr/>
      </xdr:nvSpPr>
      <xdr:spPr>
        <a:xfrm>
          <a:off x="5361058" y="27374543"/>
          <a:ext cx="2177981" cy="3435658"/>
        </a:xfrm>
        <a:custGeom>
          <a:avLst/>
          <a:gdLst/>
          <a:ahLst/>
          <a:cxnLst/>
          <a:rect l="0" t="0" r="0" b="0"/>
          <a:pathLst>
            <a:path w="2177981" h="3435658">
              <a:moveTo>
                <a:pt x="12686" y="0"/>
              </a:moveTo>
              <a:lnTo>
                <a:pt x="179310" y="3429000"/>
              </a:lnTo>
              <a:lnTo>
                <a:pt x="172967" y="3422957"/>
              </a:lnTo>
              <a:lnTo>
                <a:pt x="2177980" y="3422957"/>
              </a:lnTo>
              <a:lnTo>
                <a:pt x="2177980" y="3435657"/>
              </a:lnTo>
              <a:lnTo>
                <a:pt x="172967" y="3435657"/>
              </a:lnTo>
              <a:lnTo>
                <a:pt x="166624" y="3429614"/>
              </a:lnTo>
              <a:lnTo>
                <a:pt x="0" y="6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161</xdr:row>
      <xdr:rowOff>99250</xdr:rowOff>
    </xdr:from>
    <xdr:ext cx="534377" cy="182550"/>
    <xdr:sp macro="_xll.MC_OnBranchLabelClick" textlink="">
      <xdr:nvSpPr>
        <xdr:cNvPr id="380" name="MC_BN_C_econ_infra_D_infra_recession">
          <a:extLst>
            <a:ext uri="{FF2B5EF4-FFF2-40B4-BE49-F238E27FC236}">
              <a16:creationId xmlns:a16="http://schemas.microsoft.com/office/drawing/2014/main" id="{26DDE418-8CB8-743A-53F3-AD4134D96C24}"/>
            </a:ext>
          </a:extLst>
        </xdr:cNvPr>
        <xdr:cNvSpPr txBox="1"/>
      </xdr:nvSpPr>
      <xdr:spPr>
        <a:xfrm>
          <a:off x="5563235" y="30712600"/>
          <a:ext cx="53437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Recession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84203</xdr:colOff>
      <xdr:row>143</xdr:row>
      <xdr:rowOff>190326</xdr:rowOff>
    </xdr:from>
    <xdr:to>
      <xdr:col>4</xdr:col>
      <xdr:colOff>47626</xdr:colOff>
      <xdr:row>176</xdr:row>
      <xdr:rowOff>6351</xdr:rowOff>
    </xdr:to>
    <xdr:sp macro="" textlink="">
      <xdr:nvSpPr>
        <xdr:cNvPr id="381" name="MC_BR_C_econ_infra_C_geo_infra_crisis">
          <a:extLst>
            <a:ext uri="{FF2B5EF4-FFF2-40B4-BE49-F238E27FC236}">
              <a16:creationId xmlns:a16="http://schemas.microsoft.com/office/drawing/2014/main" id="{24757282-A5EA-6B91-42BA-BC8B3E49D8A8}"/>
            </a:ext>
          </a:extLst>
        </xdr:cNvPr>
        <xdr:cNvSpPr/>
      </xdr:nvSpPr>
      <xdr:spPr>
        <a:xfrm>
          <a:off x="5361053" y="27374676"/>
          <a:ext cx="2177986" cy="6102525"/>
        </a:xfrm>
        <a:custGeom>
          <a:avLst/>
          <a:gdLst/>
          <a:ahLst/>
          <a:cxnLst/>
          <a:rect l="0" t="0" r="0" b="0"/>
          <a:pathLst>
            <a:path w="2177986" h="6102525">
              <a:moveTo>
                <a:pt x="12696" y="0"/>
              </a:moveTo>
              <a:lnTo>
                <a:pt x="179320" y="6096000"/>
              </a:lnTo>
              <a:lnTo>
                <a:pt x="172972" y="6089824"/>
              </a:lnTo>
              <a:lnTo>
                <a:pt x="2177985" y="6089824"/>
              </a:lnTo>
              <a:lnTo>
                <a:pt x="2177985" y="6102524"/>
              </a:lnTo>
              <a:lnTo>
                <a:pt x="172972" y="6102524"/>
              </a:lnTo>
              <a:lnTo>
                <a:pt x="166624" y="6096348"/>
              </a:lnTo>
              <a:lnTo>
                <a:pt x="0" y="34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175</xdr:row>
      <xdr:rowOff>99250</xdr:rowOff>
    </xdr:from>
    <xdr:ext cx="311752" cy="182550"/>
    <xdr:sp macro="_xll.MC_OnBranchLabelClick" textlink="">
      <xdr:nvSpPr>
        <xdr:cNvPr id="382" name="MC_BN_C_econ_infra_C_geo_infra_crisis">
          <a:extLst>
            <a:ext uri="{FF2B5EF4-FFF2-40B4-BE49-F238E27FC236}">
              <a16:creationId xmlns:a16="http://schemas.microsoft.com/office/drawing/2014/main" id="{E14C8DDB-B5A9-A47F-88E3-7BF842E58FFC}"/>
            </a:ext>
          </a:extLst>
        </xdr:cNvPr>
        <xdr:cNvSpPr txBox="1"/>
      </xdr:nvSpPr>
      <xdr:spPr>
        <a:xfrm>
          <a:off x="5563235" y="33379600"/>
          <a:ext cx="31175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Crisis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135</xdr:row>
      <xdr:rowOff>184150</xdr:rowOff>
    </xdr:from>
    <xdr:to>
      <xdr:col>5</xdr:col>
      <xdr:colOff>47626</xdr:colOff>
      <xdr:row>138</xdr:row>
      <xdr:rowOff>2547</xdr:rowOff>
    </xdr:to>
    <xdr:sp macro="" textlink="">
      <xdr:nvSpPr>
        <xdr:cNvPr id="383" name="MC_BR_C_rates_infra_boom_T_infra_boom_rising">
          <a:extLst>
            <a:ext uri="{FF2B5EF4-FFF2-40B4-BE49-F238E27FC236}">
              <a16:creationId xmlns:a16="http://schemas.microsoft.com/office/drawing/2014/main" id="{C5914E1E-4158-97AB-E40E-D1A534A7BEF0}"/>
            </a:ext>
          </a:extLst>
        </xdr:cNvPr>
        <xdr:cNvSpPr/>
      </xdr:nvSpPr>
      <xdr:spPr>
        <a:xfrm>
          <a:off x="7576145" y="25844500"/>
          <a:ext cx="2777531" cy="389897"/>
        </a:xfrm>
        <a:custGeom>
          <a:avLst/>
          <a:gdLst/>
          <a:ahLst/>
          <a:cxnLst/>
          <a:rect l="0" t="0" r="0" b="0"/>
          <a:pathLst>
            <a:path w="2777531" h="389897">
              <a:moveTo>
                <a:pt x="0" y="384804"/>
              </a:moveTo>
              <a:lnTo>
                <a:pt x="166624" y="3806"/>
              </a:lnTo>
              <a:lnTo>
                <a:pt x="172443" y="0"/>
              </a:lnTo>
              <a:lnTo>
                <a:pt x="2777530" y="0"/>
              </a:lnTo>
              <a:lnTo>
                <a:pt x="2777530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135</xdr:row>
      <xdr:rowOff>99250</xdr:rowOff>
    </xdr:from>
    <xdr:ext cx="636969" cy="182550"/>
    <xdr:sp macro="_xll.MC_OnBranchLabelClick" textlink="">
      <xdr:nvSpPr>
        <xdr:cNvPr id="384" name="MC_BN_C_rates_infra_boom_T_infra_boom_rising">
          <a:extLst>
            <a:ext uri="{FF2B5EF4-FFF2-40B4-BE49-F238E27FC236}">
              <a16:creationId xmlns:a16="http://schemas.microsoft.com/office/drawing/2014/main" id="{64921D9F-87F7-1951-F001-45FD24CBB7F6}"/>
            </a:ext>
          </a:extLst>
        </xdr:cNvPr>
        <xdr:cNvSpPr txBox="1"/>
      </xdr:nvSpPr>
      <xdr:spPr>
        <a:xfrm>
          <a:off x="7777797" y="25759600"/>
          <a:ext cx="63696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Rising Rates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137</xdr:row>
      <xdr:rowOff>187954</xdr:rowOff>
    </xdr:from>
    <xdr:to>
      <xdr:col>5</xdr:col>
      <xdr:colOff>47626</xdr:colOff>
      <xdr:row>140</xdr:row>
      <xdr:rowOff>6351</xdr:rowOff>
    </xdr:to>
    <xdr:sp macro="" textlink="">
      <xdr:nvSpPr>
        <xdr:cNvPr id="385" name="MC_BR_C_rates_infra_boom_T_infra_boom_stable">
          <a:extLst>
            <a:ext uri="{FF2B5EF4-FFF2-40B4-BE49-F238E27FC236}">
              <a16:creationId xmlns:a16="http://schemas.microsoft.com/office/drawing/2014/main" id="{81CAAF09-9659-E971-3279-F51EA0EFD73C}"/>
            </a:ext>
          </a:extLst>
        </xdr:cNvPr>
        <xdr:cNvSpPr/>
      </xdr:nvSpPr>
      <xdr:spPr>
        <a:xfrm>
          <a:off x="7576145" y="26229304"/>
          <a:ext cx="2777531" cy="389897"/>
        </a:xfrm>
        <a:custGeom>
          <a:avLst/>
          <a:gdLst/>
          <a:ahLst/>
          <a:cxnLst/>
          <a:rect l="0" t="0" r="0" b="0"/>
          <a:pathLst>
            <a:path w="2777531" h="389897">
              <a:moveTo>
                <a:pt x="11637" y="0"/>
              </a:moveTo>
              <a:lnTo>
                <a:pt x="178261" y="381000"/>
              </a:lnTo>
              <a:lnTo>
                <a:pt x="172443" y="377196"/>
              </a:lnTo>
              <a:lnTo>
                <a:pt x="2777530" y="377196"/>
              </a:lnTo>
              <a:lnTo>
                <a:pt x="2777530" y="389896"/>
              </a:lnTo>
              <a:lnTo>
                <a:pt x="172443" y="389896"/>
              </a:lnTo>
              <a:lnTo>
                <a:pt x="166624" y="386092"/>
              </a:lnTo>
              <a:lnTo>
                <a:pt x="0" y="5092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139</xdr:row>
      <xdr:rowOff>99250</xdr:rowOff>
    </xdr:from>
    <xdr:ext cx="642868" cy="182550"/>
    <xdr:sp macro="_xll.MC_OnBranchLabelClick" textlink="">
      <xdr:nvSpPr>
        <xdr:cNvPr id="386" name="MC_BN_C_rates_infra_boom_T_infra_boom_stable">
          <a:extLst>
            <a:ext uri="{FF2B5EF4-FFF2-40B4-BE49-F238E27FC236}">
              <a16:creationId xmlns:a16="http://schemas.microsoft.com/office/drawing/2014/main" id="{85B6640C-A415-EA0D-5CB2-D563D2EA3ABF}"/>
            </a:ext>
          </a:extLst>
        </xdr:cNvPr>
        <xdr:cNvSpPr txBox="1"/>
      </xdr:nvSpPr>
      <xdr:spPr>
        <a:xfrm>
          <a:off x="7777797" y="26521600"/>
          <a:ext cx="64286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Stable Rates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84347</xdr:colOff>
      <xdr:row>137</xdr:row>
      <xdr:rowOff>189145</xdr:rowOff>
    </xdr:from>
    <xdr:to>
      <xdr:col>5</xdr:col>
      <xdr:colOff>47626</xdr:colOff>
      <xdr:row>142</xdr:row>
      <xdr:rowOff>6351</xdr:rowOff>
    </xdr:to>
    <xdr:sp macro="" textlink="">
      <xdr:nvSpPr>
        <xdr:cNvPr id="387" name="MC_BR_C_rates_infra_boom_T_infra_boom_falling">
          <a:extLst>
            <a:ext uri="{FF2B5EF4-FFF2-40B4-BE49-F238E27FC236}">
              <a16:creationId xmlns:a16="http://schemas.microsoft.com/office/drawing/2014/main" id="{096AFE1A-6CCD-AB9F-EFC2-F1FD21A2AD1D}"/>
            </a:ext>
          </a:extLst>
        </xdr:cNvPr>
        <xdr:cNvSpPr/>
      </xdr:nvSpPr>
      <xdr:spPr>
        <a:xfrm>
          <a:off x="7575760" y="26230495"/>
          <a:ext cx="2777916" cy="769706"/>
        </a:xfrm>
        <a:custGeom>
          <a:avLst/>
          <a:gdLst/>
          <a:ahLst/>
          <a:cxnLst/>
          <a:rect l="0" t="0" r="0" b="0"/>
          <a:pathLst>
            <a:path w="2777916" h="769706">
              <a:moveTo>
                <a:pt x="12407" y="0"/>
              </a:moveTo>
              <a:lnTo>
                <a:pt x="179031" y="762000"/>
              </a:lnTo>
              <a:lnTo>
                <a:pt x="172828" y="757005"/>
              </a:lnTo>
              <a:lnTo>
                <a:pt x="2777915" y="757005"/>
              </a:lnTo>
              <a:lnTo>
                <a:pt x="2777915" y="769705"/>
              </a:lnTo>
              <a:lnTo>
                <a:pt x="172828" y="769705"/>
              </a:lnTo>
              <a:lnTo>
                <a:pt x="166624" y="764710"/>
              </a:lnTo>
              <a:lnTo>
                <a:pt x="0" y="2710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141</xdr:row>
      <xdr:rowOff>99250</xdr:rowOff>
    </xdr:from>
    <xdr:ext cx="654090" cy="182550"/>
    <xdr:sp macro="_xll.MC_OnBranchLabelClick" textlink="">
      <xdr:nvSpPr>
        <xdr:cNvPr id="388" name="MC_BN_C_rates_infra_boom_T_infra_boom_falling">
          <a:extLst>
            <a:ext uri="{FF2B5EF4-FFF2-40B4-BE49-F238E27FC236}">
              <a16:creationId xmlns:a16="http://schemas.microsoft.com/office/drawing/2014/main" id="{29C1D497-B280-2DB8-05A5-9ED0E0F4D640}"/>
            </a:ext>
          </a:extLst>
        </xdr:cNvPr>
        <xdr:cNvSpPr txBox="1"/>
      </xdr:nvSpPr>
      <xdr:spPr>
        <a:xfrm>
          <a:off x="7777797" y="26902600"/>
          <a:ext cx="65409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Falling Rates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145</xdr:row>
      <xdr:rowOff>184150</xdr:rowOff>
    </xdr:from>
    <xdr:to>
      <xdr:col>5</xdr:col>
      <xdr:colOff>47626</xdr:colOff>
      <xdr:row>148</xdr:row>
      <xdr:rowOff>2547</xdr:rowOff>
    </xdr:to>
    <xdr:sp macro="" textlink="">
      <xdr:nvSpPr>
        <xdr:cNvPr id="389" name="MC_BR_C_rates_infra_normal_T_infra_norm_rising">
          <a:extLst>
            <a:ext uri="{FF2B5EF4-FFF2-40B4-BE49-F238E27FC236}">
              <a16:creationId xmlns:a16="http://schemas.microsoft.com/office/drawing/2014/main" id="{0CCECAB8-3F10-0566-FA19-95B0F4982598}"/>
            </a:ext>
          </a:extLst>
        </xdr:cNvPr>
        <xdr:cNvSpPr/>
      </xdr:nvSpPr>
      <xdr:spPr>
        <a:xfrm>
          <a:off x="7576145" y="27749500"/>
          <a:ext cx="2777531" cy="389897"/>
        </a:xfrm>
        <a:custGeom>
          <a:avLst/>
          <a:gdLst/>
          <a:ahLst/>
          <a:cxnLst/>
          <a:rect l="0" t="0" r="0" b="0"/>
          <a:pathLst>
            <a:path w="2777531" h="389897">
              <a:moveTo>
                <a:pt x="0" y="384804"/>
              </a:moveTo>
              <a:lnTo>
                <a:pt x="166624" y="3804"/>
              </a:lnTo>
              <a:lnTo>
                <a:pt x="172443" y="0"/>
              </a:lnTo>
              <a:lnTo>
                <a:pt x="2777530" y="0"/>
              </a:lnTo>
              <a:lnTo>
                <a:pt x="2777530" y="12700"/>
              </a:lnTo>
              <a:lnTo>
                <a:pt x="172443" y="12700"/>
              </a:lnTo>
              <a:lnTo>
                <a:pt x="178261" y="8896"/>
              </a:lnTo>
              <a:lnTo>
                <a:pt x="11637" y="38989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145</xdr:row>
      <xdr:rowOff>99250</xdr:rowOff>
    </xdr:from>
    <xdr:ext cx="636969" cy="182550"/>
    <xdr:sp macro="_xll.MC_OnBranchLabelClick" textlink="">
      <xdr:nvSpPr>
        <xdr:cNvPr id="390" name="MC_BN_C_rates_infra_normal_T_infra_norm_rising">
          <a:extLst>
            <a:ext uri="{FF2B5EF4-FFF2-40B4-BE49-F238E27FC236}">
              <a16:creationId xmlns:a16="http://schemas.microsoft.com/office/drawing/2014/main" id="{A38E6454-A5D2-3DD2-D8BD-7E091734F7D3}"/>
            </a:ext>
          </a:extLst>
        </xdr:cNvPr>
        <xdr:cNvSpPr txBox="1"/>
      </xdr:nvSpPr>
      <xdr:spPr>
        <a:xfrm>
          <a:off x="7777797" y="27664600"/>
          <a:ext cx="63696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Rising Rates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147</xdr:row>
      <xdr:rowOff>187954</xdr:rowOff>
    </xdr:from>
    <xdr:to>
      <xdr:col>5</xdr:col>
      <xdr:colOff>47626</xdr:colOff>
      <xdr:row>150</xdr:row>
      <xdr:rowOff>6351</xdr:rowOff>
    </xdr:to>
    <xdr:sp macro="" textlink="">
      <xdr:nvSpPr>
        <xdr:cNvPr id="391" name="MC_BR_C_rates_infra_normal_T_infra_norm_stable">
          <a:extLst>
            <a:ext uri="{FF2B5EF4-FFF2-40B4-BE49-F238E27FC236}">
              <a16:creationId xmlns:a16="http://schemas.microsoft.com/office/drawing/2014/main" id="{8CD19F78-4826-98B4-066A-A6A352FFEB2F}"/>
            </a:ext>
          </a:extLst>
        </xdr:cNvPr>
        <xdr:cNvSpPr/>
      </xdr:nvSpPr>
      <xdr:spPr>
        <a:xfrm>
          <a:off x="7576145" y="28134304"/>
          <a:ext cx="2777531" cy="389897"/>
        </a:xfrm>
        <a:custGeom>
          <a:avLst/>
          <a:gdLst/>
          <a:ahLst/>
          <a:cxnLst/>
          <a:rect l="0" t="0" r="0" b="0"/>
          <a:pathLst>
            <a:path w="2777531" h="389897">
              <a:moveTo>
                <a:pt x="11637" y="0"/>
              </a:moveTo>
              <a:lnTo>
                <a:pt x="178261" y="381000"/>
              </a:lnTo>
              <a:lnTo>
                <a:pt x="172443" y="377196"/>
              </a:lnTo>
              <a:lnTo>
                <a:pt x="2777530" y="377196"/>
              </a:lnTo>
              <a:lnTo>
                <a:pt x="2777530" y="389896"/>
              </a:lnTo>
              <a:lnTo>
                <a:pt x="172443" y="389896"/>
              </a:lnTo>
              <a:lnTo>
                <a:pt x="166624" y="386092"/>
              </a:lnTo>
              <a:lnTo>
                <a:pt x="0" y="5092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149</xdr:row>
      <xdr:rowOff>99250</xdr:rowOff>
    </xdr:from>
    <xdr:ext cx="642868" cy="182550"/>
    <xdr:sp macro="_xll.MC_OnBranchLabelClick" textlink="">
      <xdr:nvSpPr>
        <xdr:cNvPr id="392" name="MC_BN_C_rates_infra_normal_T_infra_norm_stable">
          <a:extLst>
            <a:ext uri="{FF2B5EF4-FFF2-40B4-BE49-F238E27FC236}">
              <a16:creationId xmlns:a16="http://schemas.microsoft.com/office/drawing/2014/main" id="{1A4D5A39-704A-EBE5-4E62-BDC6A2AE124E}"/>
            </a:ext>
          </a:extLst>
        </xdr:cNvPr>
        <xdr:cNvSpPr txBox="1"/>
      </xdr:nvSpPr>
      <xdr:spPr>
        <a:xfrm>
          <a:off x="7777797" y="28426600"/>
          <a:ext cx="64286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Stable Rates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84347</xdr:colOff>
      <xdr:row>147</xdr:row>
      <xdr:rowOff>189145</xdr:rowOff>
    </xdr:from>
    <xdr:to>
      <xdr:col>5</xdr:col>
      <xdr:colOff>47626</xdr:colOff>
      <xdr:row>152</xdr:row>
      <xdr:rowOff>6351</xdr:rowOff>
    </xdr:to>
    <xdr:sp macro="" textlink="">
      <xdr:nvSpPr>
        <xdr:cNvPr id="393" name="MC_BR_C_rates_infra_normal_T_infra_norm_falling">
          <a:extLst>
            <a:ext uri="{FF2B5EF4-FFF2-40B4-BE49-F238E27FC236}">
              <a16:creationId xmlns:a16="http://schemas.microsoft.com/office/drawing/2014/main" id="{12E89F8E-6E60-4C7B-770E-EE5ACE455154}"/>
            </a:ext>
          </a:extLst>
        </xdr:cNvPr>
        <xdr:cNvSpPr/>
      </xdr:nvSpPr>
      <xdr:spPr>
        <a:xfrm>
          <a:off x="7575760" y="28135495"/>
          <a:ext cx="2777916" cy="769706"/>
        </a:xfrm>
        <a:custGeom>
          <a:avLst/>
          <a:gdLst/>
          <a:ahLst/>
          <a:cxnLst/>
          <a:rect l="0" t="0" r="0" b="0"/>
          <a:pathLst>
            <a:path w="2777916" h="769706">
              <a:moveTo>
                <a:pt x="12407" y="0"/>
              </a:moveTo>
              <a:lnTo>
                <a:pt x="179031" y="762000"/>
              </a:lnTo>
              <a:lnTo>
                <a:pt x="172828" y="757005"/>
              </a:lnTo>
              <a:lnTo>
                <a:pt x="2777915" y="757005"/>
              </a:lnTo>
              <a:lnTo>
                <a:pt x="2777915" y="769705"/>
              </a:lnTo>
              <a:lnTo>
                <a:pt x="172828" y="769705"/>
              </a:lnTo>
              <a:lnTo>
                <a:pt x="166624" y="764710"/>
              </a:lnTo>
              <a:lnTo>
                <a:pt x="0" y="2710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151</xdr:row>
      <xdr:rowOff>99250</xdr:rowOff>
    </xdr:from>
    <xdr:ext cx="654090" cy="182550"/>
    <xdr:sp macro="_xll.MC_OnBranchLabelClick" textlink="">
      <xdr:nvSpPr>
        <xdr:cNvPr id="394" name="MC_BN_C_rates_infra_normal_T_infra_norm_falling">
          <a:extLst>
            <a:ext uri="{FF2B5EF4-FFF2-40B4-BE49-F238E27FC236}">
              <a16:creationId xmlns:a16="http://schemas.microsoft.com/office/drawing/2014/main" id="{A2ED7789-D574-8E52-8FB6-98F4807E4454}"/>
            </a:ext>
          </a:extLst>
        </xdr:cNvPr>
        <xdr:cNvSpPr txBox="1"/>
      </xdr:nvSpPr>
      <xdr:spPr>
        <a:xfrm>
          <a:off x="7777797" y="28807600"/>
          <a:ext cx="65409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Falling Rates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84267</xdr:colOff>
      <xdr:row>155</xdr:row>
      <xdr:rowOff>184150</xdr:rowOff>
    </xdr:from>
    <xdr:to>
      <xdr:col>5</xdr:col>
      <xdr:colOff>47626</xdr:colOff>
      <xdr:row>162</xdr:row>
      <xdr:rowOff>916</xdr:rowOff>
    </xdr:to>
    <xdr:sp macro="" textlink="">
      <xdr:nvSpPr>
        <xdr:cNvPr id="395" name="MC_BR_D_infra_recession_C_geo_infra_hold">
          <a:extLst>
            <a:ext uri="{FF2B5EF4-FFF2-40B4-BE49-F238E27FC236}">
              <a16:creationId xmlns:a16="http://schemas.microsoft.com/office/drawing/2014/main" id="{C1AFE9B1-5398-92A2-FB07-6C704CFA3931}"/>
            </a:ext>
          </a:extLst>
        </xdr:cNvPr>
        <xdr:cNvSpPr/>
      </xdr:nvSpPr>
      <xdr:spPr>
        <a:xfrm>
          <a:off x="7575680" y="29654500"/>
          <a:ext cx="2777996" cy="1150266"/>
        </a:xfrm>
        <a:custGeom>
          <a:avLst/>
          <a:gdLst/>
          <a:ahLst/>
          <a:cxnLst/>
          <a:rect l="0" t="0" r="0" b="0"/>
          <a:pathLst>
            <a:path w="2777996" h="1150266">
              <a:moveTo>
                <a:pt x="0" y="1148435"/>
              </a:moveTo>
              <a:lnTo>
                <a:pt x="166624" y="5435"/>
              </a:lnTo>
              <a:lnTo>
                <a:pt x="172908" y="0"/>
              </a:lnTo>
              <a:lnTo>
                <a:pt x="2777995" y="0"/>
              </a:lnTo>
              <a:lnTo>
                <a:pt x="2777995" y="12700"/>
              </a:lnTo>
              <a:lnTo>
                <a:pt x="172908" y="12700"/>
              </a:lnTo>
              <a:lnTo>
                <a:pt x="179191" y="7265"/>
              </a:lnTo>
              <a:lnTo>
                <a:pt x="12567" y="1150265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155</xdr:row>
      <xdr:rowOff>99250</xdr:rowOff>
    </xdr:from>
    <xdr:ext cx="922112" cy="182550"/>
    <xdr:sp macro="_xll.MC_OnBranchLabelClick" textlink="">
      <xdr:nvSpPr>
        <xdr:cNvPr id="396" name="MC_BN_D_infra_recession_C_geo_infra_hold">
          <a:extLst>
            <a:ext uri="{FF2B5EF4-FFF2-40B4-BE49-F238E27FC236}">
              <a16:creationId xmlns:a16="http://schemas.microsoft.com/office/drawing/2014/main" id="{49511781-C256-8278-B1F3-5F0CA2857487}"/>
            </a:ext>
          </a:extLst>
        </xdr:cNvPr>
        <xdr:cNvSpPr txBox="1"/>
      </xdr:nvSpPr>
      <xdr:spPr>
        <a:xfrm>
          <a:off x="7777797" y="29569600"/>
          <a:ext cx="92211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Hold Illiquid Assets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161</xdr:row>
      <xdr:rowOff>187954</xdr:rowOff>
    </xdr:from>
    <xdr:to>
      <xdr:col>5</xdr:col>
      <xdr:colOff>47626</xdr:colOff>
      <xdr:row>164</xdr:row>
      <xdr:rowOff>6351</xdr:rowOff>
    </xdr:to>
    <xdr:sp macro="" textlink="">
      <xdr:nvSpPr>
        <xdr:cNvPr id="397" name="MC_BR_D_infra_recession_T_infra_fire_sale">
          <a:extLst>
            <a:ext uri="{FF2B5EF4-FFF2-40B4-BE49-F238E27FC236}">
              <a16:creationId xmlns:a16="http://schemas.microsoft.com/office/drawing/2014/main" id="{94C29F2A-850A-7C32-5E1E-312ECAEACB1C}"/>
            </a:ext>
          </a:extLst>
        </xdr:cNvPr>
        <xdr:cNvSpPr/>
      </xdr:nvSpPr>
      <xdr:spPr>
        <a:xfrm>
          <a:off x="7576145" y="30801304"/>
          <a:ext cx="2777531" cy="389897"/>
        </a:xfrm>
        <a:custGeom>
          <a:avLst/>
          <a:gdLst/>
          <a:ahLst/>
          <a:cxnLst/>
          <a:rect l="0" t="0" r="0" b="0"/>
          <a:pathLst>
            <a:path w="2777531" h="389897">
              <a:moveTo>
                <a:pt x="11637" y="0"/>
              </a:moveTo>
              <a:lnTo>
                <a:pt x="178261" y="381000"/>
              </a:lnTo>
              <a:lnTo>
                <a:pt x="172443" y="377196"/>
              </a:lnTo>
              <a:lnTo>
                <a:pt x="2777530" y="377196"/>
              </a:lnTo>
              <a:lnTo>
                <a:pt x="2777530" y="389896"/>
              </a:lnTo>
              <a:lnTo>
                <a:pt x="172443" y="389896"/>
              </a:lnTo>
              <a:lnTo>
                <a:pt x="166624" y="386092"/>
              </a:lnTo>
              <a:lnTo>
                <a:pt x="0" y="5092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163</xdr:row>
      <xdr:rowOff>99250</xdr:rowOff>
    </xdr:from>
    <xdr:ext cx="768224" cy="182550"/>
    <xdr:sp macro="_xll.MC_OnBranchLabelClick" textlink="">
      <xdr:nvSpPr>
        <xdr:cNvPr id="398" name="MC_BN_D_infra_recession_T_infra_fire_sale">
          <a:extLst>
            <a:ext uri="{FF2B5EF4-FFF2-40B4-BE49-F238E27FC236}">
              <a16:creationId xmlns:a16="http://schemas.microsoft.com/office/drawing/2014/main" id="{79D49D5E-FB9B-6A34-7267-68EC213B7F4E}"/>
            </a:ext>
          </a:extLst>
        </xdr:cNvPr>
        <xdr:cNvSpPr txBox="1"/>
      </xdr:nvSpPr>
      <xdr:spPr>
        <a:xfrm>
          <a:off x="7777797" y="31093600"/>
          <a:ext cx="76822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Sell at Discount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84267</xdr:colOff>
      <xdr:row>161</xdr:row>
      <xdr:rowOff>189585</xdr:rowOff>
    </xdr:from>
    <xdr:to>
      <xdr:col>5</xdr:col>
      <xdr:colOff>47626</xdr:colOff>
      <xdr:row>168</xdr:row>
      <xdr:rowOff>6351</xdr:rowOff>
    </xdr:to>
    <xdr:sp macro="" textlink="">
      <xdr:nvSpPr>
        <xdr:cNvPr id="399" name="MC_BR_D_infra_recession_C_geo_infra_double">
          <a:extLst>
            <a:ext uri="{FF2B5EF4-FFF2-40B4-BE49-F238E27FC236}">
              <a16:creationId xmlns:a16="http://schemas.microsoft.com/office/drawing/2014/main" id="{6C130C87-CCFB-127D-4A0C-AC1F20055EF7}"/>
            </a:ext>
          </a:extLst>
        </xdr:cNvPr>
        <xdr:cNvSpPr/>
      </xdr:nvSpPr>
      <xdr:spPr>
        <a:xfrm>
          <a:off x="7575680" y="30802935"/>
          <a:ext cx="2777996" cy="1150266"/>
        </a:xfrm>
        <a:custGeom>
          <a:avLst/>
          <a:gdLst/>
          <a:ahLst/>
          <a:cxnLst/>
          <a:rect l="0" t="0" r="0" b="0"/>
          <a:pathLst>
            <a:path w="2777996" h="1150266">
              <a:moveTo>
                <a:pt x="12567" y="0"/>
              </a:moveTo>
              <a:lnTo>
                <a:pt x="179191" y="1143000"/>
              </a:lnTo>
              <a:lnTo>
                <a:pt x="172908" y="1137565"/>
              </a:lnTo>
              <a:lnTo>
                <a:pt x="2777995" y="1137565"/>
              </a:lnTo>
              <a:lnTo>
                <a:pt x="2777995" y="1150265"/>
              </a:lnTo>
              <a:lnTo>
                <a:pt x="172908" y="1150265"/>
              </a:lnTo>
              <a:lnTo>
                <a:pt x="166624" y="1144830"/>
              </a:lnTo>
              <a:lnTo>
                <a:pt x="0" y="1830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167</xdr:row>
      <xdr:rowOff>99250</xdr:rowOff>
    </xdr:from>
    <xdr:ext cx="1047851" cy="182550"/>
    <xdr:sp macro="_xll.MC_OnBranchLabelClick" textlink="">
      <xdr:nvSpPr>
        <xdr:cNvPr id="400" name="MC_BN_D_infra_recession_C_geo_infra_double">
          <a:extLst>
            <a:ext uri="{FF2B5EF4-FFF2-40B4-BE49-F238E27FC236}">
              <a16:creationId xmlns:a16="http://schemas.microsoft.com/office/drawing/2014/main" id="{3AC8D756-873F-30C2-206D-E3916364389D}"/>
            </a:ext>
          </a:extLst>
        </xdr:cNvPr>
        <xdr:cNvSpPr txBox="1"/>
      </xdr:nvSpPr>
      <xdr:spPr>
        <a:xfrm>
          <a:off x="7777797" y="31855600"/>
          <a:ext cx="104785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Double Down on Infra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84733</xdr:colOff>
      <xdr:row>153</xdr:row>
      <xdr:rowOff>184150</xdr:rowOff>
    </xdr:from>
    <xdr:to>
      <xdr:col>6</xdr:col>
      <xdr:colOff>47626</xdr:colOff>
      <xdr:row>156</xdr:row>
      <xdr:rowOff>2547</xdr:rowOff>
    </xdr:to>
    <xdr:sp macro="" textlink="">
      <xdr:nvSpPr>
        <xdr:cNvPr id="401" name="MC_BR_C_geo_infra_hold_T_infra_hold_stable">
          <a:extLst>
            <a:ext uri="{FF2B5EF4-FFF2-40B4-BE49-F238E27FC236}">
              <a16:creationId xmlns:a16="http://schemas.microsoft.com/office/drawing/2014/main" id="{16BCD819-0858-DE7E-0270-73DAD465936E}"/>
            </a:ext>
          </a:extLst>
        </xdr:cNvPr>
        <xdr:cNvSpPr/>
      </xdr:nvSpPr>
      <xdr:spPr>
        <a:xfrm>
          <a:off x="10390783" y="29273500"/>
          <a:ext cx="2691806" cy="389897"/>
        </a:xfrm>
        <a:custGeom>
          <a:avLst/>
          <a:gdLst/>
          <a:ahLst/>
          <a:cxnLst/>
          <a:rect l="0" t="0" r="0" b="0"/>
          <a:pathLst>
            <a:path w="2691806" h="389897">
              <a:moveTo>
                <a:pt x="0" y="384804"/>
              </a:moveTo>
              <a:lnTo>
                <a:pt x="166624" y="3804"/>
              </a:lnTo>
              <a:lnTo>
                <a:pt x="172442" y="0"/>
              </a:lnTo>
              <a:lnTo>
                <a:pt x="2691805" y="0"/>
              </a:lnTo>
              <a:lnTo>
                <a:pt x="2691805" y="12700"/>
              </a:lnTo>
              <a:lnTo>
                <a:pt x="172442" y="12700"/>
              </a:lnTo>
              <a:lnTo>
                <a:pt x="178260" y="8896"/>
              </a:lnTo>
              <a:lnTo>
                <a:pt x="11636" y="38989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153</xdr:row>
      <xdr:rowOff>99250</xdr:rowOff>
    </xdr:from>
    <xdr:ext cx="346313" cy="182550"/>
    <xdr:sp macro="_xll.MC_OnBranchLabelClick" textlink="">
      <xdr:nvSpPr>
        <xdr:cNvPr id="402" name="MC_BN_C_geo_infra_hold_T_infra_hold_stable">
          <a:extLst>
            <a:ext uri="{FF2B5EF4-FFF2-40B4-BE49-F238E27FC236}">
              <a16:creationId xmlns:a16="http://schemas.microsoft.com/office/drawing/2014/main" id="{65D9BA66-B829-C560-C902-A3D8E55CA7CE}"/>
            </a:ext>
          </a:extLst>
        </xdr:cNvPr>
        <xdr:cNvSpPr txBox="1"/>
      </xdr:nvSpPr>
      <xdr:spPr>
        <a:xfrm>
          <a:off x="10592435" y="29188600"/>
          <a:ext cx="34631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Stable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84733</xdr:colOff>
      <xdr:row>155</xdr:row>
      <xdr:rowOff>187954</xdr:rowOff>
    </xdr:from>
    <xdr:to>
      <xdr:col>6</xdr:col>
      <xdr:colOff>47626</xdr:colOff>
      <xdr:row>158</xdr:row>
      <xdr:rowOff>6351</xdr:rowOff>
    </xdr:to>
    <xdr:sp macro="" textlink="">
      <xdr:nvSpPr>
        <xdr:cNvPr id="403" name="MC_BR_C_geo_infra_hold_T_infra_hold_tension">
          <a:extLst>
            <a:ext uri="{FF2B5EF4-FFF2-40B4-BE49-F238E27FC236}">
              <a16:creationId xmlns:a16="http://schemas.microsoft.com/office/drawing/2014/main" id="{C7BF5842-2D27-67A3-E033-3A616E0474FC}"/>
            </a:ext>
          </a:extLst>
        </xdr:cNvPr>
        <xdr:cNvSpPr/>
      </xdr:nvSpPr>
      <xdr:spPr>
        <a:xfrm>
          <a:off x="10390783" y="29658304"/>
          <a:ext cx="2691806" cy="389897"/>
        </a:xfrm>
        <a:custGeom>
          <a:avLst/>
          <a:gdLst/>
          <a:ahLst/>
          <a:cxnLst/>
          <a:rect l="0" t="0" r="0" b="0"/>
          <a:pathLst>
            <a:path w="2691806" h="389897">
              <a:moveTo>
                <a:pt x="11636" y="0"/>
              </a:moveTo>
              <a:lnTo>
                <a:pt x="178260" y="381000"/>
              </a:lnTo>
              <a:lnTo>
                <a:pt x="172442" y="377196"/>
              </a:lnTo>
              <a:lnTo>
                <a:pt x="2691805" y="377196"/>
              </a:lnTo>
              <a:lnTo>
                <a:pt x="2691805" y="389896"/>
              </a:lnTo>
              <a:lnTo>
                <a:pt x="172442" y="389896"/>
              </a:lnTo>
              <a:lnTo>
                <a:pt x="166624" y="386092"/>
              </a:lnTo>
              <a:lnTo>
                <a:pt x="0" y="5092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157</xdr:row>
      <xdr:rowOff>99250</xdr:rowOff>
    </xdr:from>
    <xdr:ext cx="882421" cy="182550"/>
    <xdr:sp macro="_xll.MC_OnBranchLabelClick" textlink="">
      <xdr:nvSpPr>
        <xdr:cNvPr id="404" name="MC_BN_C_geo_infra_hold_T_infra_hold_tension">
          <a:extLst>
            <a:ext uri="{FF2B5EF4-FFF2-40B4-BE49-F238E27FC236}">
              <a16:creationId xmlns:a16="http://schemas.microsoft.com/office/drawing/2014/main" id="{3C4F048C-3F00-C163-5131-7C5DDD306AD4}"/>
            </a:ext>
          </a:extLst>
        </xdr:cNvPr>
        <xdr:cNvSpPr txBox="1"/>
      </xdr:nvSpPr>
      <xdr:spPr>
        <a:xfrm>
          <a:off x="10592435" y="29950600"/>
          <a:ext cx="88242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Moderate Tension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84348</xdr:colOff>
      <xdr:row>155</xdr:row>
      <xdr:rowOff>189145</xdr:rowOff>
    </xdr:from>
    <xdr:to>
      <xdr:col>6</xdr:col>
      <xdr:colOff>47626</xdr:colOff>
      <xdr:row>160</xdr:row>
      <xdr:rowOff>6351</xdr:rowOff>
    </xdr:to>
    <xdr:sp macro="" textlink="">
      <xdr:nvSpPr>
        <xdr:cNvPr id="405" name="MC_BR_C_geo_infra_hold_T_infra_hold_disruption">
          <a:extLst>
            <a:ext uri="{FF2B5EF4-FFF2-40B4-BE49-F238E27FC236}">
              <a16:creationId xmlns:a16="http://schemas.microsoft.com/office/drawing/2014/main" id="{5D9C7DCC-E305-67E1-9A54-F4DD08EFEF0D}"/>
            </a:ext>
          </a:extLst>
        </xdr:cNvPr>
        <xdr:cNvSpPr/>
      </xdr:nvSpPr>
      <xdr:spPr>
        <a:xfrm>
          <a:off x="10390398" y="29659495"/>
          <a:ext cx="2692191" cy="769706"/>
        </a:xfrm>
        <a:custGeom>
          <a:avLst/>
          <a:gdLst/>
          <a:ahLst/>
          <a:cxnLst/>
          <a:rect l="0" t="0" r="0" b="0"/>
          <a:pathLst>
            <a:path w="2692191" h="769706">
              <a:moveTo>
                <a:pt x="12407" y="0"/>
              </a:moveTo>
              <a:lnTo>
                <a:pt x="179030" y="762000"/>
              </a:lnTo>
              <a:lnTo>
                <a:pt x="172827" y="757005"/>
              </a:lnTo>
              <a:lnTo>
                <a:pt x="2692190" y="757005"/>
              </a:lnTo>
              <a:lnTo>
                <a:pt x="2692190" y="769705"/>
              </a:lnTo>
              <a:lnTo>
                <a:pt x="172827" y="769705"/>
              </a:lnTo>
              <a:lnTo>
                <a:pt x="166624" y="764710"/>
              </a:lnTo>
              <a:lnTo>
                <a:pt x="0" y="2710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159</xdr:row>
      <xdr:rowOff>99250</xdr:rowOff>
    </xdr:from>
    <xdr:ext cx="802336" cy="182550"/>
    <xdr:sp macro="_xll.MC_OnBranchLabelClick" textlink="">
      <xdr:nvSpPr>
        <xdr:cNvPr id="406" name="MC_BN_C_geo_infra_hold_T_infra_hold_disruption">
          <a:extLst>
            <a:ext uri="{FF2B5EF4-FFF2-40B4-BE49-F238E27FC236}">
              <a16:creationId xmlns:a16="http://schemas.microsoft.com/office/drawing/2014/main" id="{5D14329F-E7BC-6667-CF63-895DF6BB91C2}"/>
            </a:ext>
          </a:extLst>
        </xdr:cNvPr>
        <xdr:cNvSpPr txBox="1"/>
      </xdr:nvSpPr>
      <xdr:spPr>
        <a:xfrm>
          <a:off x="10592435" y="30331600"/>
          <a:ext cx="80233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Major Disruption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84733</xdr:colOff>
      <xdr:row>165</xdr:row>
      <xdr:rowOff>184150</xdr:rowOff>
    </xdr:from>
    <xdr:to>
      <xdr:col>6</xdr:col>
      <xdr:colOff>47626</xdr:colOff>
      <xdr:row>168</xdr:row>
      <xdr:rowOff>2547</xdr:rowOff>
    </xdr:to>
    <xdr:sp macro="" textlink="">
      <xdr:nvSpPr>
        <xdr:cNvPr id="407" name="MC_BR_C_geo_infra_double_T_infra_double_stable">
          <a:extLst>
            <a:ext uri="{FF2B5EF4-FFF2-40B4-BE49-F238E27FC236}">
              <a16:creationId xmlns:a16="http://schemas.microsoft.com/office/drawing/2014/main" id="{93E7515D-FD5E-5EF2-395E-3E19027B13CF}"/>
            </a:ext>
          </a:extLst>
        </xdr:cNvPr>
        <xdr:cNvSpPr/>
      </xdr:nvSpPr>
      <xdr:spPr>
        <a:xfrm>
          <a:off x="10390783" y="31559500"/>
          <a:ext cx="2691806" cy="389897"/>
        </a:xfrm>
        <a:custGeom>
          <a:avLst/>
          <a:gdLst/>
          <a:ahLst/>
          <a:cxnLst/>
          <a:rect l="0" t="0" r="0" b="0"/>
          <a:pathLst>
            <a:path w="2691806" h="389897">
              <a:moveTo>
                <a:pt x="0" y="384804"/>
              </a:moveTo>
              <a:lnTo>
                <a:pt x="166624" y="3804"/>
              </a:lnTo>
              <a:lnTo>
                <a:pt x="172442" y="0"/>
              </a:lnTo>
              <a:lnTo>
                <a:pt x="2691805" y="0"/>
              </a:lnTo>
              <a:lnTo>
                <a:pt x="2691805" y="12700"/>
              </a:lnTo>
              <a:lnTo>
                <a:pt x="172442" y="12700"/>
              </a:lnTo>
              <a:lnTo>
                <a:pt x="178260" y="8896"/>
              </a:lnTo>
              <a:lnTo>
                <a:pt x="11636" y="38989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165</xdr:row>
      <xdr:rowOff>99250</xdr:rowOff>
    </xdr:from>
    <xdr:ext cx="346313" cy="182550"/>
    <xdr:sp macro="_xll.MC_OnBranchLabelClick" textlink="">
      <xdr:nvSpPr>
        <xdr:cNvPr id="408" name="MC_BN_C_geo_infra_double_T_infra_double_stable">
          <a:extLst>
            <a:ext uri="{FF2B5EF4-FFF2-40B4-BE49-F238E27FC236}">
              <a16:creationId xmlns:a16="http://schemas.microsoft.com/office/drawing/2014/main" id="{B124C62D-4013-D9FF-12AF-F071A626DCA9}"/>
            </a:ext>
          </a:extLst>
        </xdr:cNvPr>
        <xdr:cNvSpPr txBox="1"/>
      </xdr:nvSpPr>
      <xdr:spPr>
        <a:xfrm>
          <a:off x="10592435" y="31474600"/>
          <a:ext cx="34631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Stable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84733</xdr:colOff>
      <xdr:row>167</xdr:row>
      <xdr:rowOff>187954</xdr:rowOff>
    </xdr:from>
    <xdr:to>
      <xdr:col>6</xdr:col>
      <xdr:colOff>47626</xdr:colOff>
      <xdr:row>170</xdr:row>
      <xdr:rowOff>6351</xdr:rowOff>
    </xdr:to>
    <xdr:sp macro="" textlink="">
      <xdr:nvSpPr>
        <xdr:cNvPr id="409" name="MC_BR_C_geo_infra_double_T_infra_double_tension">
          <a:extLst>
            <a:ext uri="{FF2B5EF4-FFF2-40B4-BE49-F238E27FC236}">
              <a16:creationId xmlns:a16="http://schemas.microsoft.com/office/drawing/2014/main" id="{5D24971F-EEDE-DC83-D6A3-38E3A857925B}"/>
            </a:ext>
          </a:extLst>
        </xdr:cNvPr>
        <xdr:cNvSpPr/>
      </xdr:nvSpPr>
      <xdr:spPr>
        <a:xfrm>
          <a:off x="10390783" y="31944304"/>
          <a:ext cx="2691806" cy="389897"/>
        </a:xfrm>
        <a:custGeom>
          <a:avLst/>
          <a:gdLst/>
          <a:ahLst/>
          <a:cxnLst/>
          <a:rect l="0" t="0" r="0" b="0"/>
          <a:pathLst>
            <a:path w="2691806" h="389897">
              <a:moveTo>
                <a:pt x="11636" y="0"/>
              </a:moveTo>
              <a:lnTo>
                <a:pt x="178260" y="381000"/>
              </a:lnTo>
              <a:lnTo>
                <a:pt x="172442" y="377196"/>
              </a:lnTo>
              <a:lnTo>
                <a:pt x="2691805" y="377196"/>
              </a:lnTo>
              <a:lnTo>
                <a:pt x="2691805" y="389896"/>
              </a:lnTo>
              <a:lnTo>
                <a:pt x="172442" y="389896"/>
              </a:lnTo>
              <a:lnTo>
                <a:pt x="166624" y="386092"/>
              </a:lnTo>
              <a:lnTo>
                <a:pt x="0" y="5092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169</xdr:row>
      <xdr:rowOff>99250</xdr:rowOff>
    </xdr:from>
    <xdr:ext cx="882421" cy="182550"/>
    <xdr:sp macro="_xll.MC_OnBranchLabelClick" textlink="">
      <xdr:nvSpPr>
        <xdr:cNvPr id="410" name="MC_BN_C_geo_infra_double_T_infra_double_tension">
          <a:extLst>
            <a:ext uri="{FF2B5EF4-FFF2-40B4-BE49-F238E27FC236}">
              <a16:creationId xmlns:a16="http://schemas.microsoft.com/office/drawing/2014/main" id="{B7CFD79D-0AD2-5017-41FD-18FFB554BE31}"/>
            </a:ext>
          </a:extLst>
        </xdr:cNvPr>
        <xdr:cNvSpPr txBox="1"/>
      </xdr:nvSpPr>
      <xdr:spPr>
        <a:xfrm>
          <a:off x="10592435" y="32236600"/>
          <a:ext cx="88242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Moderate Tension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84348</xdr:colOff>
      <xdr:row>167</xdr:row>
      <xdr:rowOff>189145</xdr:rowOff>
    </xdr:from>
    <xdr:to>
      <xdr:col>6</xdr:col>
      <xdr:colOff>47626</xdr:colOff>
      <xdr:row>172</xdr:row>
      <xdr:rowOff>6351</xdr:rowOff>
    </xdr:to>
    <xdr:sp macro="" textlink="">
      <xdr:nvSpPr>
        <xdr:cNvPr id="411" name="MC_BR_C_geo_infra_double_T_infra_double_disruption">
          <a:extLst>
            <a:ext uri="{FF2B5EF4-FFF2-40B4-BE49-F238E27FC236}">
              <a16:creationId xmlns:a16="http://schemas.microsoft.com/office/drawing/2014/main" id="{144408C7-1A85-6310-91FA-5C1A4D087FDC}"/>
            </a:ext>
          </a:extLst>
        </xdr:cNvPr>
        <xdr:cNvSpPr/>
      </xdr:nvSpPr>
      <xdr:spPr>
        <a:xfrm>
          <a:off x="10390398" y="31945495"/>
          <a:ext cx="2692191" cy="769706"/>
        </a:xfrm>
        <a:custGeom>
          <a:avLst/>
          <a:gdLst/>
          <a:ahLst/>
          <a:cxnLst/>
          <a:rect l="0" t="0" r="0" b="0"/>
          <a:pathLst>
            <a:path w="2692191" h="769706">
              <a:moveTo>
                <a:pt x="12407" y="0"/>
              </a:moveTo>
              <a:lnTo>
                <a:pt x="179030" y="762000"/>
              </a:lnTo>
              <a:lnTo>
                <a:pt x="172827" y="757005"/>
              </a:lnTo>
              <a:lnTo>
                <a:pt x="2692190" y="757005"/>
              </a:lnTo>
              <a:lnTo>
                <a:pt x="2692190" y="769705"/>
              </a:lnTo>
              <a:lnTo>
                <a:pt x="172827" y="769705"/>
              </a:lnTo>
              <a:lnTo>
                <a:pt x="166624" y="764710"/>
              </a:lnTo>
              <a:lnTo>
                <a:pt x="0" y="2710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171</xdr:row>
      <xdr:rowOff>99250</xdr:rowOff>
    </xdr:from>
    <xdr:ext cx="802336" cy="182550"/>
    <xdr:sp macro="_xll.MC_OnBranchLabelClick" textlink="">
      <xdr:nvSpPr>
        <xdr:cNvPr id="412" name="MC_BN_C_geo_infra_double_T_infra_double_disruption">
          <a:extLst>
            <a:ext uri="{FF2B5EF4-FFF2-40B4-BE49-F238E27FC236}">
              <a16:creationId xmlns:a16="http://schemas.microsoft.com/office/drawing/2014/main" id="{625F5C03-A4B6-B864-F8D8-A35B06D29D74}"/>
            </a:ext>
          </a:extLst>
        </xdr:cNvPr>
        <xdr:cNvSpPr txBox="1"/>
      </xdr:nvSpPr>
      <xdr:spPr>
        <a:xfrm>
          <a:off x="10592435" y="32617600"/>
          <a:ext cx="80233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Major Disruption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173</xdr:row>
      <xdr:rowOff>184150</xdr:rowOff>
    </xdr:from>
    <xdr:to>
      <xdr:col>5</xdr:col>
      <xdr:colOff>47626</xdr:colOff>
      <xdr:row>176</xdr:row>
      <xdr:rowOff>2547</xdr:rowOff>
    </xdr:to>
    <xdr:sp macro="" textlink="">
      <xdr:nvSpPr>
        <xdr:cNvPr id="413" name="MC_BR_C_geo_infra_crisis_T_infra_crisis_stable">
          <a:extLst>
            <a:ext uri="{FF2B5EF4-FFF2-40B4-BE49-F238E27FC236}">
              <a16:creationId xmlns:a16="http://schemas.microsoft.com/office/drawing/2014/main" id="{DF7895C1-047E-677E-C75D-3488BC853E22}"/>
            </a:ext>
          </a:extLst>
        </xdr:cNvPr>
        <xdr:cNvSpPr/>
      </xdr:nvSpPr>
      <xdr:spPr>
        <a:xfrm>
          <a:off x="7576145" y="33083500"/>
          <a:ext cx="2777531" cy="389897"/>
        </a:xfrm>
        <a:custGeom>
          <a:avLst/>
          <a:gdLst/>
          <a:ahLst/>
          <a:cxnLst/>
          <a:rect l="0" t="0" r="0" b="0"/>
          <a:pathLst>
            <a:path w="2777531" h="389897">
              <a:moveTo>
                <a:pt x="0" y="384804"/>
              </a:moveTo>
              <a:lnTo>
                <a:pt x="166624" y="3804"/>
              </a:lnTo>
              <a:lnTo>
                <a:pt x="172443" y="0"/>
              </a:lnTo>
              <a:lnTo>
                <a:pt x="2777530" y="0"/>
              </a:lnTo>
              <a:lnTo>
                <a:pt x="2777530" y="12700"/>
              </a:lnTo>
              <a:lnTo>
                <a:pt x="172443" y="12700"/>
              </a:lnTo>
              <a:lnTo>
                <a:pt x="178261" y="8896"/>
              </a:lnTo>
              <a:lnTo>
                <a:pt x="11637" y="38989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173</xdr:row>
      <xdr:rowOff>99250</xdr:rowOff>
    </xdr:from>
    <xdr:ext cx="882357" cy="182550"/>
    <xdr:sp macro="_xll.MC_OnBranchLabelClick" textlink="">
      <xdr:nvSpPr>
        <xdr:cNvPr id="414" name="MC_BN_C_geo_infra_crisis_T_infra_crisis_stable">
          <a:extLst>
            <a:ext uri="{FF2B5EF4-FFF2-40B4-BE49-F238E27FC236}">
              <a16:creationId xmlns:a16="http://schemas.microsoft.com/office/drawing/2014/main" id="{74A3C908-3B98-4C74-026C-0D65318256EB}"/>
            </a:ext>
          </a:extLst>
        </xdr:cNvPr>
        <xdr:cNvSpPr txBox="1"/>
      </xdr:nvSpPr>
      <xdr:spPr>
        <a:xfrm>
          <a:off x="7777797" y="32998600"/>
          <a:ext cx="88235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Stable Geopolitics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175</xdr:row>
      <xdr:rowOff>187954</xdr:rowOff>
    </xdr:from>
    <xdr:to>
      <xdr:col>5</xdr:col>
      <xdr:colOff>47626</xdr:colOff>
      <xdr:row>178</xdr:row>
      <xdr:rowOff>6351</xdr:rowOff>
    </xdr:to>
    <xdr:sp macro="" textlink="">
      <xdr:nvSpPr>
        <xdr:cNvPr id="415" name="MC_BR_C_geo_infra_crisis_T_infra_crisis_unstable">
          <a:extLst>
            <a:ext uri="{FF2B5EF4-FFF2-40B4-BE49-F238E27FC236}">
              <a16:creationId xmlns:a16="http://schemas.microsoft.com/office/drawing/2014/main" id="{DBA41942-EE12-7417-DE79-4D41009BA77E}"/>
            </a:ext>
          </a:extLst>
        </xdr:cNvPr>
        <xdr:cNvSpPr/>
      </xdr:nvSpPr>
      <xdr:spPr>
        <a:xfrm>
          <a:off x="7576145" y="33468304"/>
          <a:ext cx="2777531" cy="389897"/>
        </a:xfrm>
        <a:custGeom>
          <a:avLst/>
          <a:gdLst/>
          <a:ahLst/>
          <a:cxnLst/>
          <a:rect l="0" t="0" r="0" b="0"/>
          <a:pathLst>
            <a:path w="2777531" h="389897">
              <a:moveTo>
                <a:pt x="11637" y="0"/>
              </a:moveTo>
              <a:lnTo>
                <a:pt x="178261" y="381000"/>
              </a:lnTo>
              <a:lnTo>
                <a:pt x="172443" y="377196"/>
              </a:lnTo>
              <a:lnTo>
                <a:pt x="2777530" y="377196"/>
              </a:lnTo>
              <a:lnTo>
                <a:pt x="2777530" y="389896"/>
              </a:lnTo>
              <a:lnTo>
                <a:pt x="172443" y="389896"/>
              </a:lnTo>
              <a:lnTo>
                <a:pt x="166624" y="386092"/>
              </a:lnTo>
              <a:lnTo>
                <a:pt x="0" y="5092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177</xdr:row>
      <xdr:rowOff>99250</xdr:rowOff>
    </xdr:from>
    <xdr:ext cx="1150443" cy="182550"/>
    <xdr:sp macro="_xll.MC_OnBranchLabelClick" textlink="">
      <xdr:nvSpPr>
        <xdr:cNvPr id="416" name="MC_BN_C_geo_infra_crisis_T_infra_crisis_unstable">
          <a:extLst>
            <a:ext uri="{FF2B5EF4-FFF2-40B4-BE49-F238E27FC236}">
              <a16:creationId xmlns:a16="http://schemas.microsoft.com/office/drawing/2014/main" id="{53954B35-4CE1-57B2-0817-DD9D754199C3}"/>
            </a:ext>
          </a:extLst>
        </xdr:cNvPr>
        <xdr:cNvSpPr txBox="1"/>
      </xdr:nvSpPr>
      <xdr:spPr>
        <a:xfrm>
          <a:off x="7777797" y="33760600"/>
          <a:ext cx="115044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Compounding Instability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 editAs="oneCell">
    <xdr:from>
      <xdr:col>5</xdr:col>
      <xdr:colOff>4763</xdr:colOff>
      <xdr:row>19</xdr:row>
      <xdr:rowOff>109537</xdr:rowOff>
    </xdr:from>
    <xdr:to>
      <xdr:col>5</xdr:col>
      <xdr:colOff>176213</xdr:colOff>
      <xdr:row>20</xdr:row>
      <xdr:rowOff>80962</xdr:rowOff>
    </xdr:to>
    <xdr:sp macro="_xll.MC_OnNodeClick" textlink="">
      <xdr:nvSpPr>
        <xdr:cNvPr id="417" name="MC_T_growth_boom_rising">
          <a:extLst>
            <a:ext uri="{FF2B5EF4-FFF2-40B4-BE49-F238E27FC236}">
              <a16:creationId xmlns:a16="http://schemas.microsoft.com/office/drawing/2014/main" id="{6997F547-B879-14C2-E95E-14DB2D779E27}"/>
            </a:ext>
          </a:extLst>
        </xdr:cNvPr>
        <xdr:cNvSpPr/>
      </xdr:nvSpPr>
      <xdr:spPr>
        <a:xfrm rot="16200000">
          <a:off x="10315575" y="3667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21</xdr:row>
      <xdr:rowOff>109538</xdr:rowOff>
    </xdr:from>
    <xdr:to>
      <xdr:col>4</xdr:col>
      <xdr:colOff>180975</xdr:colOff>
      <xdr:row>22</xdr:row>
      <xdr:rowOff>80963</xdr:rowOff>
    </xdr:to>
    <xdr:sp macro="_xll.MC_OnNodeClick" textlink="">
      <xdr:nvSpPr>
        <xdr:cNvPr id="418" name="MC_C_rates_growth_boom">
          <a:extLst>
            <a:ext uri="{FF2B5EF4-FFF2-40B4-BE49-F238E27FC236}">
              <a16:creationId xmlns:a16="http://schemas.microsoft.com/office/drawing/2014/main" id="{DE06B93A-38E5-E941-C80E-AD7DA227E595}"/>
            </a:ext>
          </a:extLst>
        </xdr:cNvPr>
        <xdr:cNvSpPr/>
      </xdr:nvSpPr>
      <xdr:spPr>
        <a:xfrm>
          <a:off x="7500938" y="4052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23</xdr:row>
      <xdr:rowOff>109537</xdr:rowOff>
    </xdr:from>
    <xdr:to>
      <xdr:col>5</xdr:col>
      <xdr:colOff>176213</xdr:colOff>
      <xdr:row>24</xdr:row>
      <xdr:rowOff>80962</xdr:rowOff>
    </xdr:to>
    <xdr:sp macro="_xll.MC_OnNodeClick" textlink="">
      <xdr:nvSpPr>
        <xdr:cNvPr id="419" name="MC_T_growth_boom_stable">
          <a:extLst>
            <a:ext uri="{FF2B5EF4-FFF2-40B4-BE49-F238E27FC236}">
              <a16:creationId xmlns:a16="http://schemas.microsoft.com/office/drawing/2014/main" id="{2CEF72F7-E79D-6DAD-C4BB-3AF288A7BCC9}"/>
            </a:ext>
          </a:extLst>
        </xdr:cNvPr>
        <xdr:cNvSpPr/>
      </xdr:nvSpPr>
      <xdr:spPr>
        <a:xfrm rot="16200000">
          <a:off x="10315575" y="4429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25</xdr:row>
      <xdr:rowOff>109537</xdr:rowOff>
    </xdr:from>
    <xdr:to>
      <xdr:col>5</xdr:col>
      <xdr:colOff>176213</xdr:colOff>
      <xdr:row>26</xdr:row>
      <xdr:rowOff>80962</xdr:rowOff>
    </xdr:to>
    <xdr:sp macro="_xll.MC_OnNodeClick" textlink="">
      <xdr:nvSpPr>
        <xdr:cNvPr id="420" name="MC_T_growth_boom_falling">
          <a:extLst>
            <a:ext uri="{FF2B5EF4-FFF2-40B4-BE49-F238E27FC236}">
              <a16:creationId xmlns:a16="http://schemas.microsoft.com/office/drawing/2014/main" id="{2A9128C4-9EE9-5CAC-C4A9-42BC73E34E0B}"/>
            </a:ext>
          </a:extLst>
        </xdr:cNvPr>
        <xdr:cNvSpPr/>
      </xdr:nvSpPr>
      <xdr:spPr>
        <a:xfrm rot="16200000">
          <a:off x="10315575" y="4810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27</xdr:row>
      <xdr:rowOff>109538</xdr:rowOff>
    </xdr:from>
    <xdr:to>
      <xdr:col>3</xdr:col>
      <xdr:colOff>180975</xdr:colOff>
      <xdr:row>28</xdr:row>
      <xdr:rowOff>80963</xdr:rowOff>
    </xdr:to>
    <xdr:sp macro="_xll.MC_OnNodeClick" textlink="">
      <xdr:nvSpPr>
        <xdr:cNvPr id="421" name="MC_C_econ_growth">
          <a:extLst>
            <a:ext uri="{FF2B5EF4-FFF2-40B4-BE49-F238E27FC236}">
              <a16:creationId xmlns:a16="http://schemas.microsoft.com/office/drawing/2014/main" id="{BC696557-EBDF-8D5B-324F-8B514FF2AA7C}"/>
            </a:ext>
          </a:extLst>
        </xdr:cNvPr>
        <xdr:cNvSpPr/>
      </xdr:nvSpPr>
      <xdr:spPr>
        <a:xfrm>
          <a:off x="5286375" y="5195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29</xdr:row>
      <xdr:rowOff>109537</xdr:rowOff>
    </xdr:from>
    <xdr:to>
      <xdr:col>5</xdr:col>
      <xdr:colOff>176213</xdr:colOff>
      <xdr:row>30</xdr:row>
      <xdr:rowOff>80962</xdr:rowOff>
    </xdr:to>
    <xdr:sp macro="_xll.MC_OnNodeClick" textlink="">
      <xdr:nvSpPr>
        <xdr:cNvPr id="422" name="MC_T_growth_norm_rising">
          <a:extLst>
            <a:ext uri="{FF2B5EF4-FFF2-40B4-BE49-F238E27FC236}">
              <a16:creationId xmlns:a16="http://schemas.microsoft.com/office/drawing/2014/main" id="{81233B16-F83E-3DB7-A2DD-95A7D3F2BBAC}"/>
            </a:ext>
          </a:extLst>
        </xdr:cNvPr>
        <xdr:cNvSpPr/>
      </xdr:nvSpPr>
      <xdr:spPr>
        <a:xfrm rot="16200000">
          <a:off x="10315575" y="5572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31</xdr:row>
      <xdr:rowOff>109538</xdr:rowOff>
    </xdr:from>
    <xdr:to>
      <xdr:col>4</xdr:col>
      <xdr:colOff>180975</xdr:colOff>
      <xdr:row>32</xdr:row>
      <xdr:rowOff>80963</xdr:rowOff>
    </xdr:to>
    <xdr:sp macro="_xll.MC_OnNodeClick" textlink="">
      <xdr:nvSpPr>
        <xdr:cNvPr id="423" name="MC_C_rates_growth_normal">
          <a:extLst>
            <a:ext uri="{FF2B5EF4-FFF2-40B4-BE49-F238E27FC236}">
              <a16:creationId xmlns:a16="http://schemas.microsoft.com/office/drawing/2014/main" id="{04AF5E33-4305-87DC-DBF2-83980580B9BC}"/>
            </a:ext>
          </a:extLst>
        </xdr:cNvPr>
        <xdr:cNvSpPr/>
      </xdr:nvSpPr>
      <xdr:spPr>
        <a:xfrm>
          <a:off x="7500938" y="5957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33</xdr:row>
      <xdr:rowOff>109537</xdr:rowOff>
    </xdr:from>
    <xdr:to>
      <xdr:col>5</xdr:col>
      <xdr:colOff>176213</xdr:colOff>
      <xdr:row>34</xdr:row>
      <xdr:rowOff>80962</xdr:rowOff>
    </xdr:to>
    <xdr:sp macro="_xll.MC_OnNodeClick" textlink="">
      <xdr:nvSpPr>
        <xdr:cNvPr id="424" name="MC_T_growth_norm_stable">
          <a:extLst>
            <a:ext uri="{FF2B5EF4-FFF2-40B4-BE49-F238E27FC236}">
              <a16:creationId xmlns:a16="http://schemas.microsoft.com/office/drawing/2014/main" id="{E10AB1A4-4F0A-D37B-33DE-61A27FDB5220}"/>
            </a:ext>
          </a:extLst>
        </xdr:cNvPr>
        <xdr:cNvSpPr/>
      </xdr:nvSpPr>
      <xdr:spPr>
        <a:xfrm rot="16200000">
          <a:off x="10315575" y="6334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35</xdr:row>
      <xdr:rowOff>109537</xdr:rowOff>
    </xdr:from>
    <xdr:to>
      <xdr:col>5</xdr:col>
      <xdr:colOff>176213</xdr:colOff>
      <xdr:row>36</xdr:row>
      <xdr:rowOff>80962</xdr:rowOff>
    </xdr:to>
    <xdr:sp macro="_xll.MC_OnNodeClick" textlink="">
      <xdr:nvSpPr>
        <xdr:cNvPr id="425" name="MC_T_growth_norm_falling">
          <a:extLst>
            <a:ext uri="{FF2B5EF4-FFF2-40B4-BE49-F238E27FC236}">
              <a16:creationId xmlns:a16="http://schemas.microsoft.com/office/drawing/2014/main" id="{BB2B4985-132C-068C-637D-A74D463AF469}"/>
            </a:ext>
          </a:extLst>
        </xdr:cNvPr>
        <xdr:cNvSpPr/>
      </xdr:nvSpPr>
      <xdr:spPr>
        <a:xfrm rot="16200000">
          <a:off x="10315575" y="6715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37</xdr:row>
      <xdr:rowOff>109537</xdr:rowOff>
    </xdr:from>
    <xdr:to>
      <xdr:col>6</xdr:col>
      <xdr:colOff>176213</xdr:colOff>
      <xdr:row>38</xdr:row>
      <xdr:rowOff>80962</xdr:rowOff>
    </xdr:to>
    <xdr:sp macro="_xll.MC_OnNodeClick" textlink="">
      <xdr:nvSpPr>
        <xdr:cNvPr id="426" name="MC_T_rebal_stable">
          <a:extLst>
            <a:ext uri="{FF2B5EF4-FFF2-40B4-BE49-F238E27FC236}">
              <a16:creationId xmlns:a16="http://schemas.microsoft.com/office/drawing/2014/main" id="{5AD0EE0A-985E-8FF3-F7FF-7CF3F36FDB7B}"/>
            </a:ext>
          </a:extLst>
        </xdr:cNvPr>
        <xdr:cNvSpPr/>
      </xdr:nvSpPr>
      <xdr:spPr>
        <a:xfrm rot="16200000">
          <a:off x="13044488" y="7096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39</xdr:row>
      <xdr:rowOff>109538</xdr:rowOff>
    </xdr:from>
    <xdr:to>
      <xdr:col>5</xdr:col>
      <xdr:colOff>180975</xdr:colOff>
      <xdr:row>40</xdr:row>
      <xdr:rowOff>80963</xdr:rowOff>
    </xdr:to>
    <xdr:sp macro="_xll.MC_OnNodeClick" textlink="">
      <xdr:nvSpPr>
        <xdr:cNvPr id="427" name="MC_C_geo_rebal_def">
          <a:extLst>
            <a:ext uri="{FF2B5EF4-FFF2-40B4-BE49-F238E27FC236}">
              <a16:creationId xmlns:a16="http://schemas.microsoft.com/office/drawing/2014/main" id="{E58426D9-DE2A-FFA7-5DE0-4FE865EC469C}"/>
            </a:ext>
          </a:extLst>
        </xdr:cNvPr>
        <xdr:cNvSpPr/>
      </xdr:nvSpPr>
      <xdr:spPr>
        <a:xfrm>
          <a:off x="10315575" y="7481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41</xdr:row>
      <xdr:rowOff>109537</xdr:rowOff>
    </xdr:from>
    <xdr:to>
      <xdr:col>6</xdr:col>
      <xdr:colOff>176213</xdr:colOff>
      <xdr:row>42</xdr:row>
      <xdr:rowOff>80962</xdr:rowOff>
    </xdr:to>
    <xdr:sp macro="_xll.MC_OnNodeClick" textlink="">
      <xdr:nvSpPr>
        <xdr:cNvPr id="428" name="MC_T_rebal_tension">
          <a:extLst>
            <a:ext uri="{FF2B5EF4-FFF2-40B4-BE49-F238E27FC236}">
              <a16:creationId xmlns:a16="http://schemas.microsoft.com/office/drawing/2014/main" id="{4BAFF3A9-FD3F-A9FD-87DF-695907CF4A98}"/>
            </a:ext>
          </a:extLst>
        </xdr:cNvPr>
        <xdr:cNvSpPr/>
      </xdr:nvSpPr>
      <xdr:spPr>
        <a:xfrm rot="16200000">
          <a:off x="13044488" y="7858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43</xdr:row>
      <xdr:rowOff>109537</xdr:rowOff>
    </xdr:from>
    <xdr:to>
      <xdr:col>6</xdr:col>
      <xdr:colOff>176213</xdr:colOff>
      <xdr:row>44</xdr:row>
      <xdr:rowOff>80962</xdr:rowOff>
    </xdr:to>
    <xdr:sp macro="_xll.MC_OnNodeClick" textlink="">
      <xdr:nvSpPr>
        <xdr:cNvPr id="429" name="MC_T_rebal_disruption">
          <a:extLst>
            <a:ext uri="{FF2B5EF4-FFF2-40B4-BE49-F238E27FC236}">
              <a16:creationId xmlns:a16="http://schemas.microsoft.com/office/drawing/2014/main" id="{9B507DCE-ABDB-8458-B40F-04A04903345C}"/>
            </a:ext>
          </a:extLst>
        </xdr:cNvPr>
        <xdr:cNvSpPr/>
      </xdr:nvSpPr>
      <xdr:spPr>
        <a:xfrm rot="16200000">
          <a:off x="13044488" y="8239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45</xdr:row>
      <xdr:rowOff>109538</xdr:rowOff>
    </xdr:from>
    <xdr:to>
      <xdr:col>4</xdr:col>
      <xdr:colOff>180975</xdr:colOff>
      <xdr:row>46</xdr:row>
      <xdr:rowOff>80963</xdr:rowOff>
    </xdr:to>
    <xdr:sp macro="_xll.MC_OnNodeClick" textlink="">
      <xdr:nvSpPr>
        <xdr:cNvPr id="430" name="MC_D_recession_response">
          <a:extLst>
            <a:ext uri="{FF2B5EF4-FFF2-40B4-BE49-F238E27FC236}">
              <a16:creationId xmlns:a16="http://schemas.microsoft.com/office/drawing/2014/main" id="{5F1E05C4-8562-819B-3469-EAB226407D6E}"/>
            </a:ext>
          </a:extLst>
        </xdr:cNvPr>
        <xdr:cNvSpPr/>
      </xdr:nvSpPr>
      <xdr:spPr>
        <a:xfrm>
          <a:off x="7500938" y="8624888"/>
          <a:ext cx="171450" cy="161925"/>
        </a:xfrm>
        <a:prstGeom prst="can">
          <a:avLst/>
        </a:prstGeom>
        <a:solidFill>
          <a:srgbClr val="0F6E56"/>
        </a:solidFill>
        <a:ln w="12700">
          <a:solidFill>
            <a:srgbClr val="08504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47</xdr:row>
      <xdr:rowOff>109537</xdr:rowOff>
    </xdr:from>
    <xdr:to>
      <xdr:col>6</xdr:col>
      <xdr:colOff>176213</xdr:colOff>
      <xdr:row>48</xdr:row>
      <xdr:rowOff>80962</xdr:rowOff>
    </xdr:to>
    <xdr:sp macro="_xll.MC_OnNodeClick" textlink="">
      <xdr:nvSpPr>
        <xdr:cNvPr id="431" name="MC_T_stay_stable">
          <a:extLst>
            <a:ext uri="{FF2B5EF4-FFF2-40B4-BE49-F238E27FC236}">
              <a16:creationId xmlns:a16="http://schemas.microsoft.com/office/drawing/2014/main" id="{DC298A46-96F8-8F75-ED48-904600C82AD0}"/>
            </a:ext>
          </a:extLst>
        </xdr:cNvPr>
        <xdr:cNvSpPr/>
      </xdr:nvSpPr>
      <xdr:spPr>
        <a:xfrm rot="16200000">
          <a:off x="13044488" y="9001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49</xdr:row>
      <xdr:rowOff>109538</xdr:rowOff>
    </xdr:from>
    <xdr:to>
      <xdr:col>5</xdr:col>
      <xdr:colOff>180975</xdr:colOff>
      <xdr:row>50</xdr:row>
      <xdr:rowOff>80963</xdr:rowOff>
    </xdr:to>
    <xdr:sp macro="_xll.MC_OnNodeClick" textlink="">
      <xdr:nvSpPr>
        <xdr:cNvPr id="432" name="MC_C_geo_stay_course">
          <a:extLst>
            <a:ext uri="{FF2B5EF4-FFF2-40B4-BE49-F238E27FC236}">
              <a16:creationId xmlns:a16="http://schemas.microsoft.com/office/drawing/2014/main" id="{370A50CB-26E1-D93E-2B6B-C637E01F3B56}"/>
            </a:ext>
          </a:extLst>
        </xdr:cNvPr>
        <xdr:cNvSpPr/>
      </xdr:nvSpPr>
      <xdr:spPr>
        <a:xfrm>
          <a:off x="10315575" y="9386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51</xdr:row>
      <xdr:rowOff>109537</xdr:rowOff>
    </xdr:from>
    <xdr:to>
      <xdr:col>6</xdr:col>
      <xdr:colOff>176213</xdr:colOff>
      <xdr:row>52</xdr:row>
      <xdr:rowOff>80962</xdr:rowOff>
    </xdr:to>
    <xdr:sp macro="_xll.MC_OnNodeClick" textlink="">
      <xdr:nvSpPr>
        <xdr:cNvPr id="433" name="MC_T_stay_tension">
          <a:extLst>
            <a:ext uri="{FF2B5EF4-FFF2-40B4-BE49-F238E27FC236}">
              <a16:creationId xmlns:a16="http://schemas.microsoft.com/office/drawing/2014/main" id="{C7923B2B-EA5B-6D32-3741-A2C5F7DF54F0}"/>
            </a:ext>
          </a:extLst>
        </xdr:cNvPr>
        <xdr:cNvSpPr/>
      </xdr:nvSpPr>
      <xdr:spPr>
        <a:xfrm rot="16200000">
          <a:off x="13044488" y="9763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53</xdr:row>
      <xdr:rowOff>109537</xdr:rowOff>
    </xdr:from>
    <xdr:to>
      <xdr:col>6</xdr:col>
      <xdr:colOff>176213</xdr:colOff>
      <xdr:row>54</xdr:row>
      <xdr:rowOff>80962</xdr:rowOff>
    </xdr:to>
    <xdr:sp macro="_xll.MC_OnNodeClick" textlink="">
      <xdr:nvSpPr>
        <xdr:cNvPr id="434" name="MC_T_stay_disruption">
          <a:extLst>
            <a:ext uri="{FF2B5EF4-FFF2-40B4-BE49-F238E27FC236}">
              <a16:creationId xmlns:a16="http://schemas.microsoft.com/office/drawing/2014/main" id="{C16D8F88-7F64-DB5F-C76A-D180116D96F8}"/>
            </a:ext>
          </a:extLst>
        </xdr:cNvPr>
        <xdr:cNvSpPr/>
      </xdr:nvSpPr>
      <xdr:spPr>
        <a:xfrm rot="16200000">
          <a:off x="13044488" y="10144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55</xdr:row>
      <xdr:rowOff>109537</xdr:rowOff>
    </xdr:from>
    <xdr:to>
      <xdr:col>6</xdr:col>
      <xdr:colOff>176213</xdr:colOff>
      <xdr:row>56</xdr:row>
      <xdr:rowOff>80962</xdr:rowOff>
    </xdr:to>
    <xdr:sp macro="_xll.MC_OnNodeClick" textlink="">
      <xdr:nvSpPr>
        <xdr:cNvPr id="435" name="MC_T_opp_stable">
          <a:extLst>
            <a:ext uri="{FF2B5EF4-FFF2-40B4-BE49-F238E27FC236}">
              <a16:creationId xmlns:a16="http://schemas.microsoft.com/office/drawing/2014/main" id="{99F41F46-7909-9C49-F08F-77B315CD89AD}"/>
            </a:ext>
          </a:extLst>
        </xdr:cNvPr>
        <xdr:cNvSpPr/>
      </xdr:nvSpPr>
      <xdr:spPr>
        <a:xfrm rot="16200000">
          <a:off x="13044488" y="10525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57</xdr:row>
      <xdr:rowOff>109538</xdr:rowOff>
    </xdr:from>
    <xdr:to>
      <xdr:col>5</xdr:col>
      <xdr:colOff>180975</xdr:colOff>
      <xdr:row>58</xdr:row>
      <xdr:rowOff>80963</xdr:rowOff>
    </xdr:to>
    <xdr:sp macro="_xll.MC_OnNodeClick" textlink="">
      <xdr:nvSpPr>
        <xdr:cNvPr id="436" name="MC_C_geo_opportunistic">
          <a:extLst>
            <a:ext uri="{FF2B5EF4-FFF2-40B4-BE49-F238E27FC236}">
              <a16:creationId xmlns:a16="http://schemas.microsoft.com/office/drawing/2014/main" id="{98C8CA08-F6C0-5F02-2B48-74214E978AD4}"/>
            </a:ext>
          </a:extLst>
        </xdr:cNvPr>
        <xdr:cNvSpPr/>
      </xdr:nvSpPr>
      <xdr:spPr>
        <a:xfrm>
          <a:off x="10315575" y="10910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59</xdr:row>
      <xdr:rowOff>109537</xdr:rowOff>
    </xdr:from>
    <xdr:to>
      <xdr:col>6</xdr:col>
      <xdr:colOff>176213</xdr:colOff>
      <xdr:row>60</xdr:row>
      <xdr:rowOff>80962</xdr:rowOff>
    </xdr:to>
    <xdr:sp macro="_xll.MC_OnNodeClick" textlink="">
      <xdr:nvSpPr>
        <xdr:cNvPr id="437" name="MC_T_opp_tension">
          <a:extLst>
            <a:ext uri="{FF2B5EF4-FFF2-40B4-BE49-F238E27FC236}">
              <a16:creationId xmlns:a16="http://schemas.microsoft.com/office/drawing/2014/main" id="{4B53A203-7678-FB66-9635-011F9C082B39}"/>
            </a:ext>
          </a:extLst>
        </xdr:cNvPr>
        <xdr:cNvSpPr/>
      </xdr:nvSpPr>
      <xdr:spPr>
        <a:xfrm rot="16200000">
          <a:off x="13044488" y="11287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61</xdr:row>
      <xdr:rowOff>109537</xdr:rowOff>
    </xdr:from>
    <xdr:to>
      <xdr:col>6</xdr:col>
      <xdr:colOff>176213</xdr:colOff>
      <xdr:row>62</xdr:row>
      <xdr:rowOff>80962</xdr:rowOff>
    </xdr:to>
    <xdr:sp macro="_xll.MC_OnNodeClick" textlink="">
      <xdr:nvSpPr>
        <xdr:cNvPr id="438" name="MC_T_opp_disruption">
          <a:extLst>
            <a:ext uri="{FF2B5EF4-FFF2-40B4-BE49-F238E27FC236}">
              <a16:creationId xmlns:a16="http://schemas.microsoft.com/office/drawing/2014/main" id="{C384D6F6-1948-B440-FEDB-36FDF4C2F228}"/>
            </a:ext>
          </a:extLst>
        </xdr:cNvPr>
        <xdr:cNvSpPr/>
      </xdr:nvSpPr>
      <xdr:spPr>
        <a:xfrm rot="16200000">
          <a:off x="13044488" y="11668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63</xdr:row>
      <xdr:rowOff>109537</xdr:rowOff>
    </xdr:from>
    <xdr:to>
      <xdr:col>5</xdr:col>
      <xdr:colOff>176213</xdr:colOff>
      <xdr:row>64</xdr:row>
      <xdr:rowOff>80962</xdr:rowOff>
    </xdr:to>
    <xdr:sp macro="_xll.MC_OnNodeClick" textlink="">
      <xdr:nvSpPr>
        <xdr:cNvPr id="439" name="MC_T_growth_crisis_stable">
          <a:extLst>
            <a:ext uri="{FF2B5EF4-FFF2-40B4-BE49-F238E27FC236}">
              <a16:creationId xmlns:a16="http://schemas.microsoft.com/office/drawing/2014/main" id="{6FD3980C-CAF3-F106-1818-0ED04DA5399B}"/>
            </a:ext>
          </a:extLst>
        </xdr:cNvPr>
        <xdr:cNvSpPr/>
      </xdr:nvSpPr>
      <xdr:spPr>
        <a:xfrm rot="16200000">
          <a:off x="10315575" y="12049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65</xdr:row>
      <xdr:rowOff>109538</xdr:rowOff>
    </xdr:from>
    <xdr:to>
      <xdr:col>4</xdr:col>
      <xdr:colOff>180975</xdr:colOff>
      <xdr:row>66</xdr:row>
      <xdr:rowOff>80963</xdr:rowOff>
    </xdr:to>
    <xdr:sp macro="_xll.MC_OnNodeClick" textlink="">
      <xdr:nvSpPr>
        <xdr:cNvPr id="440" name="MC_C_geo_growth_crisis">
          <a:extLst>
            <a:ext uri="{FF2B5EF4-FFF2-40B4-BE49-F238E27FC236}">
              <a16:creationId xmlns:a16="http://schemas.microsoft.com/office/drawing/2014/main" id="{F09E787C-B18E-443A-5D5B-89A42BB42365}"/>
            </a:ext>
          </a:extLst>
        </xdr:cNvPr>
        <xdr:cNvSpPr/>
      </xdr:nvSpPr>
      <xdr:spPr>
        <a:xfrm>
          <a:off x="7500938" y="12434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67</xdr:row>
      <xdr:rowOff>109537</xdr:rowOff>
    </xdr:from>
    <xdr:to>
      <xdr:col>5</xdr:col>
      <xdr:colOff>176213</xdr:colOff>
      <xdr:row>68</xdr:row>
      <xdr:rowOff>80962</xdr:rowOff>
    </xdr:to>
    <xdr:sp macro="_xll.MC_OnNodeClick" textlink="">
      <xdr:nvSpPr>
        <xdr:cNvPr id="441" name="MC_T_growth_crisis_unstable">
          <a:extLst>
            <a:ext uri="{FF2B5EF4-FFF2-40B4-BE49-F238E27FC236}">
              <a16:creationId xmlns:a16="http://schemas.microsoft.com/office/drawing/2014/main" id="{5CA1FCC5-F411-9E7F-A738-F8D1FD86DA8F}"/>
            </a:ext>
          </a:extLst>
        </xdr:cNvPr>
        <xdr:cNvSpPr/>
      </xdr:nvSpPr>
      <xdr:spPr>
        <a:xfrm rot="16200000">
          <a:off x="10315575" y="12811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2</xdr:col>
      <xdr:colOff>9525</xdr:colOff>
      <xdr:row>69</xdr:row>
      <xdr:rowOff>109538</xdr:rowOff>
    </xdr:from>
    <xdr:to>
      <xdr:col>2</xdr:col>
      <xdr:colOff>180975</xdr:colOff>
      <xdr:row>70</xdr:row>
      <xdr:rowOff>80963</xdr:rowOff>
    </xdr:to>
    <xdr:sp macro="_xll.MC_OnNodeClick" textlink="">
      <xdr:nvSpPr>
        <xdr:cNvPr id="442" name="MC_D_root">
          <a:extLst>
            <a:ext uri="{FF2B5EF4-FFF2-40B4-BE49-F238E27FC236}">
              <a16:creationId xmlns:a16="http://schemas.microsoft.com/office/drawing/2014/main" id="{5F9C2A57-6F5C-38B3-A99B-C578CC6F4AE7}"/>
            </a:ext>
          </a:extLst>
        </xdr:cNvPr>
        <xdr:cNvSpPr/>
      </xdr:nvSpPr>
      <xdr:spPr>
        <a:xfrm>
          <a:off x="3071813" y="13196888"/>
          <a:ext cx="171450" cy="161925"/>
        </a:xfrm>
        <a:prstGeom prst="can">
          <a:avLst/>
        </a:prstGeom>
        <a:solidFill>
          <a:srgbClr val="0F6E56"/>
        </a:solidFill>
        <a:ln w="12700">
          <a:solidFill>
            <a:srgbClr val="08504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71</xdr:row>
      <xdr:rowOff>109537</xdr:rowOff>
    </xdr:from>
    <xdr:to>
      <xdr:col>5</xdr:col>
      <xdr:colOff>176213</xdr:colOff>
      <xdr:row>72</xdr:row>
      <xdr:rowOff>80962</xdr:rowOff>
    </xdr:to>
    <xdr:sp macro="_xll.MC_OnNodeClick" textlink="">
      <xdr:nvSpPr>
        <xdr:cNvPr id="443" name="MC_T_bal_boom_rising">
          <a:extLst>
            <a:ext uri="{FF2B5EF4-FFF2-40B4-BE49-F238E27FC236}">
              <a16:creationId xmlns:a16="http://schemas.microsoft.com/office/drawing/2014/main" id="{AFCC6F02-5054-EDD5-1A05-922D14851674}"/>
            </a:ext>
          </a:extLst>
        </xdr:cNvPr>
        <xdr:cNvSpPr/>
      </xdr:nvSpPr>
      <xdr:spPr>
        <a:xfrm rot="16200000">
          <a:off x="10315575" y="13573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73</xdr:row>
      <xdr:rowOff>109538</xdr:rowOff>
    </xdr:from>
    <xdr:to>
      <xdr:col>4</xdr:col>
      <xdr:colOff>180975</xdr:colOff>
      <xdr:row>74</xdr:row>
      <xdr:rowOff>80963</xdr:rowOff>
    </xdr:to>
    <xdr:sp macro="_xll.MC_OnNodeClick" textlink="">
      <xdr:nvSpPr>
        <xdr:cNvPr id="444" name="MC_C_rates_bal_boom">
          <a:extLst>
            <a:ext uri="{FF2B5EF4-FFF2-40B4-BE49-F238E27FC236}">
              <a16:creationId xmlns:a16="http://schemas.microsoft.com/office/drawing/2014/main" id="{0568568A-B9B0-B2C0-7BE7-16D85C939C46}"/>
            </a:ext>
          </a:extLst>
        </xdr:cNvPr>
        <xdr:cNvSpPr/>
      </xdr:nvSpPr>
      <xdr:spPr>
        <a:xfrm>
          <a:off x="7500938" y="13958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75</xdr:row>
      <xdr:rowOff>109537</xdr:rowOff>
    </xdr:from>
    <xdr:to>
      <xdr:col>5</xdr:col>
      <xdr:colOff>176213</xdr:colOff>
      <xdr:row>76</xdr:row>
      <xdr:rowOff>80962</xdr:rowOff>
    </xdr:to>
    <xdr:sp macro="_xll.MC_OnNodeClick" textlink="">
      <xdr:nvSpPr>
        <xdr:cNvPr id="445" name="MC_T_bal_boom_stable">
          <a:extLst>
            <a:ext uri="{FF2B5EF4-FFF2-40B4-BE49-F238E27FC236}">
              <a16:creationId xmlns:a16="http://schemas.microsoft.com/office/drawing/2014/main" id="{26AE2FCE-7C5F-32AE-C149-CB02B85EAD33}"/>
            </a:ext>
          </a:extLst>
        </xdr:cNvPr>
        <xdr:cNvSpPr/>
      </xdr:nvSpPr>
      <xdr:spPr>
        <a:xfrm rot="16200000">
          <a:off x="10315575" y="14335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77</xdr:row>
      <xdr:rowOff>109537</xdr:rowOff>
    </xdr:from>
    <xdr:to>
      <xdr:col>5</xdr:col>
      <xdr:colOff>176213</xdr:colOff>
      <xdr:row>78</xdr:row>
      <xdr:rowOff>80962</xdr:rowOff>
    </xdr:to>
    <xdr:sp macro="_xll.MC_OnNodeClick" textlink="">
      <xdr:nvSpPr>
        <xdr:cNvPr id="446" name="MC_T_bal_boom_falling">
          <a:extLst>
            <a:ext uri="{FF2B5EF4-FFF2-40B4-BE49-F238E27FC236}">
              <a16:creationId xmlns:a16="http://schemas.microsoft.com/office/drawing/2014/main" id="{61116D6B-96FB-41B5-02BB-AFAA67048841}"/>
            </a:ext>
          </a:extLst>
        </xdr:cNvPr>
        <xdr:cNvSpPr/>
      </xdr:nvSpPr>
      <xdr:spPr>
        <a:xfrm rot="16200000">
          <a:off x="10315575" y="14716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79</xdr:row>
      <xdr:rowOff>109538</xdr:rowOff>
    </xdr:from>
    <xdr:to>
      <xdr:col>3</xdr:col>
      <xdr:colOff>180975</xdr:colOff>
      <xdr:row>80</xdr:row>
      <xdr:rowOff>80963</xdr:rowOff>
    </xdr:to>
    <xdr:sp macro="_xll.MC_OnNodeClick" textlink="">
      <xdr:nvSpPr>
        <xdr:cNvPr id="447" name="MC_C_econ_balanced">
          <a:extLst>
            <a:ext uri="{FF2B5EF4-FFF2-40B4-BE49-F238E27FC236}">
              <a16:creationId xmlns:a16="http://schemas.microsoft.com/office/drawing/2014/main" id="{DFD2547E-9FBC-EA64-19B5-A275C3AF53C4}"/>
            </a:ext>
          </a:extLst>
        </xdr:cNvPr>
        <xdr:cNvSpPr/>
      </xdr:nvSpPr>
      <xdr:spPr>
        <a:xfrm>
          <a:off x="5286375" y="15101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81</xdr:row>
      <xdr:rowOff>109537</xdr:rowOff>
    </xdr:from>
    <xdr:to>
      <xdr:col>5</xdr:col>
      <xdr:colOff>176213</xdr:colOff>
      <xdr:row>82</xdr:row>
      <xdr:rowOff>80962</xdr:rowOff>
    </xdr:to>
    <xdr:sp macro="_xll.MC_OnNodeClick" textlink="">
      <xdr:nvSpPr>
        <xdr:cNvPr id="448" name="MC_T_bal_norm_rising">
          <a:extLst>
            <a:ext uri="{FF2B5EF4-FFF2-40B4-BE49-F238E27FC236}">
              <a16:creationId xmlns:a16="http://schemas.microsoft.com/office/drawing/2014/main" id="{55AE3FC5-DA7D-D9D9-9E97-77BC5A69239D}"/>
            </a:ext>
          </a:extLst>
        </xdr:cNvPr>
        <xdr:cNvSpPr/>
      </xdr:nvSpPr>
      <xdr:spPr>
        <a:xfrm rot="16200000">
          <a:off x="10315575" y="15478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83</xdr:row>
      <xdr:rowOff>109538</xdr:rowOff>
    </xdr:from>
    <xdr:to>
      <xdr:col>4</xdr:col>
      <xdr:colOff>180975</xdr:colOff>
      <xdr:row>84</xdr:row>
      <xdr:rowOff>80963</xdr:rowOff>
    </xdr:to>
    <xdr:sp macro="_xll.MC_OnNodeClick" textlink="">
      <xdr:nvSpPr>
        <xdr:cNvPr id="449" name="MC_C_rates_bal_normal">
          <a:extLst>
            <a:ext uri="{FF2B5EF4-FFF2-40B4-BE49-F238E27FC236}">
              <a16:creationId xmlns:a16="http://schemas.microsoft.com/office/drawing/2014/main" id="{8CBD9914-D23B-4269-D340-1BA68E567A15}"/>
            </a:ext>
          </a:extLst>
        </xdr:cNvPr>
        <xdr:cNvSpPr/>
      </xdr:nvSpPr>
      <xdr:spPr>
        <a:xfrm>
          <a:off x="7500938" y="15863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85</xdr:row>
      <xdr:rowOff>109537</xdr:rowOff>
    </xdr:from>
    <xdr:to>
      <xdr:col>5</xdr:col>
      <xdr:colOff>176213</xdr:colOff>
      <xdr:row>86</xdr:row>
      <xdr:rowOff>80962</xdr:rowOff>
    </xdr:to>
    <xdr:sp macro="_xll.MC_OnNodeClick" textlink="">
      <xdr:nvSpPr>
        <xdr:cNvPr id="450" name="MC_T_bal_norm_stable">
          <a:extLst>
            <a:ext uri="{FF2B5EF4-FFF2-40B4-BE49-F238E27FC236}">
              <a16:creationId xmlns:a16="http://schemas.microsoft.com/office/drawing/2014/main" id="{16319088-48F9-D90F-3B63-30AF0591BDBC}"/>
            </a:ext>
          </a:extLst>
        </xdr:cNvPr>
        <xdr:cNvSpPr/>
      </xdr:nvSpPr>
      <xdr:spPr>
        <a:xfrm rot="16200000">
          <a:off x="10315575" y="16240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87</xdr:row>
      <xdr:rowOff>109537</xdr:rowOff>
    </xdr:from>
    <xdr:to>
      <xdr:col>5</xdr:col>
      <xdr:colOff>176213</xdr:colOff>
      <xdr:row>88</xdr:row>
      <xdr:rowOff>80962</xdr:rowOff>
    </xdr:to>
    <xdr:sp macro="_xll.MC_OnNodeClick" textlink="">
      <xdr:nvSpPr>
        <xdr:cNvPr id="451" name="MC_T_bal_norm_falling">
          <a:extLst>
            <a:ext uri="{FF2B5EF4-FFF2-40B4-BE49-F238E27FC236}">
              <a16:creationId xmlns:a16="http://schemas.microsoft.com/office/drawing/2014/main" id="{E7D74074-052E-4BDC-5A43-DFAC2C7DA87F}"/>
            </a:ext>
          </a:extLst>
        </xdr:cNvPr>
        <xdr:cNvSpPr/>
      </xdr:nvSpPr>
      <xdr:spPr>
        <a:xfrm rot="16200000">
          <a:off x="10315575" y="16621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89</xdr:row>
      <xdr:rowOff>109537</xdr:rowOff>
    </xdr:from>
    <xdr:to>
      <xdr:col>5</xdr:col>
      <xdr:colOff>176213</xdr:colOff>
      <xdr:row>90</xdr:row>
      <xdr:rowOff>80962</xdr:rowOff>
    </xdr:to>
    <xdr:sp macro="_xll.MC_OnNodeClick" textlink="">
      <xdr:nvSpPr>
        <xdr:cNvPr id="452" name="MC_T_bal_rec_rising">
          <a:extLst>
            <a:ext uri="{FF2B5EF4-FFF2-40B4-BE49-F238E27FC236}">
              <a16:creationId xmlns:a16="http://schemas.microsoft.com/office/drawing/2014/main" id="{96B7A673-6CD3-63EE-7480-1DB5C8B1689F}"/>
            </a:ext>
          </a:extLst>
        </xdr:cNvPr>
        <xdr:cNvSpPr/>
      </xdr:nvSpPr>
      <xdr:spPr>
        <a:xfrm rot="16200000">
          <a:off x="10315575" y="17002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91</xdr:row>
      <xdr:rowOff>109538</xdr:rowOff>
    </xdr:from>
    <xdr:to>
      <xdr:col>4</xdr:col>
      <xdr:colOff>180975</xdr:colOff>
      <xdr:row>92</xdr:row>
      <xdr:rowOff>80963</xdr:rowOff>
    </xdr:to>
    <xdr:sp macro="_xll.MC_OnNodeClick" textlink="">
      <xdr:nvSpPr>
        <xdr:cNvPr id="453" name="MC_C_rates_bal_recession">
          <a:extLst>
            <a:ext uri="{FF2B5EF4-FFF2-40B4-BE49-F238E27FC236}">
              <a16:creationId xmlns:a16="http://schemas.microsoft.com/office/drawing/2014/main" id="{B68AC436-8C0F-95D2-B1CE-467DC56A5D88}"/>
            </a:ext>
          </a:extLst>
        </xdr:cNvPr>
        <xdr:cNvSpPr/>
      </xdr:nvSpPr>
      <xdr:spPr>
        <a:xfrm>
          <a:off x="7500938" y="17387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93</xdr:row>
      <xdr:rowOff>109537</xdr:rowOff>
    </xdr:from>
    <xdr:to>
      <xdr:col>5</xdr:col>
      <xdr:colOff>176213</xdr:colOff>
      <xdr:row>94</xdr:row>
      <xdr:rowOff>80962</xdr:rowOff>
    </xdr:to>
    <xdr:sp macro="_xll.MC_OnNodeClick" textlink="">
      <xdr:nvSpPr>
        <xdr:cNvPr id="454" name="MC_T_bal_rec_stable">
          <a:extLst>
            <a:ext uri="{FF2B5EF4-FFF2-40B4-BE49-F238E27FC236}">
              <a16:creationId xmlns:a16="http://schemas.microsoft.com/office/drawing/2014/main" id="{1ACD289E-44EA-75EB-8A8F-7FFB2006D6DA}"/>
            </a:ext>
          </a:extLst>
        </xdr:cNvPr>
        <xdr:cNvSpPr/>
      </xdr:nvSpPr>
      <xdr:spPr>
        <a:xfrm rot="16200000">
          <a:off x="10315575" y="17764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95</xdr:row>
      <xdr:rowOff>109537</xdr:rowOff>
    </xdr:from>
    <xdr:to>
      <xdr:col>5</xdr:col>
      <xdr:colOff>176213</xdr:colOff>
      <xdr:row>96</xdr:row>
      <xdr:rowOff>80962</xdr:rowOff>
    </xdr:to>
    <xdr:sp macro="_xll.MC_OnNodeClick" textlink="">
      <xdr:nvSpPr>
        <xdr:cNvPr id="455" name="MC_T_bal_rec_falling">
          <a:extLst>
            <a:ext uri="{FF2B5EF4-FFF2-40B4-BE49-F238E27FC236}">
              <a16:creationId xmlns:a16="http://schemas.microsoft.com/office/drawing/2014/main" id="{6E30DB9D-6A7A-609A-4958-320A9E64FCD2}"/>
            </a:ext>
          </a:extLst>
        </xdr:cNvPr>
        <xdr:cNvSpPr/>
      </xdr:nvSpPr>
      <xdr:spPr>
        <a:xfrm rot="16200000">
          <a:off x="10315575" y="18145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97</xdr:row>
      <xdr:rowOff>109537</xdr:rowOff>
    </xdr:from>
    <xdr:to>
      <xdr:col>5</xdr:col>
      <xdr:colOff>176213</xdr:colOff>
      <xdr:row>98</xdr:row>
      <xdr:rowOff>80962</xdr:rowOff>
    </xdr:to>
    <xdr:sp macro="_xll.MC_OnNodeClick" textlink="">
      <xdr:nvSpPr>
        <xdr:cNvPr id="456" name="MC_T_bal_crisis_stable">
          <a:extLst>
            <a:ext uri="{FF2B5EF4-FFF2-40B4-BE49-F238E27FC236}">
              <a16:creationId xmlns:a16="http://schemas.microsoft.com/office/drawing/2014/main" id="{46DCD22C-0EDD-7C22-622A-06D3C4C15297}"/>
            </a:ext>
          </a:extLst>
        </xdr:cNvPr>
        <xdr:cNvSpPr/>
      </xdr:nvSpPr>
      <xdr:spPr>
        <a:xfrm rot="16200000">
          <a:off x="10315575" y="18526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99</xdr:row>
      <xdr:rowOff>109538</xdr:rowOff>
    </xdr:from>
    <xdr:to>
      <xdr:col>4</xdr:col>
      <xdr:colOff>180975</xdr:colOff>
      <xdr:row>100</xdr:row>
      <xdr:rowOff>80963</xdr:rowOff>
    </xdr:to>
    <xdr:sp macro="_xll.MC_OnNodeClick" textlink="">
      <xdr:nvSpPr>
        <xdr:cNvPr id="457" name="MC_C_geo_bal_crisis">
          <a:extLst>
            <a:ext uri="{FF2B5EF4-FFF2-40B4-BE49-F238E27FC236}">
              <a16:creationId xmlns:a16="http://schemas.microsoft.com/office/drawing/2014/main" id="{F46C2B92-4FF2-56B0-7142-E832E9375B99}"/>
            </a:ext>
          </a:extLst>
        </xdr:cNvPr>
        <xdr:cNvSpPr/>
      </xdr:nvSpPr>
      <xdr:spPr>
        <a:xfrm>
          <a:off x="7500938" y="18911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101</xdr:row>
      <xdr:rowOff>109537</xdr:rowOff>
    </xdr:from>
    <xdr:to>
      <xdr:col>5</xdr:col>
      <xdr:colOff>176213</xdr:colOff>
      <xdr:row>102</xdr:row>
      <xdr:rowOff>80962</xdr:rowOff>
    </xdr:to>
    <xdr:sp macro="_xll.MC_OnNodeClick" textlink="">
      <xdr:nvSpPr>
        <xdr:cNvPr id="458" name="MC_T_bal_crisis_unstable">
          <a:extLst>
            <a:ext uri="{FF2B5EF4-FFF2-40B4-BE49-F238E27FC236}">
              <a16:creationId xmlns:a16="http://schemas.microsoft.com/office/drawing/2014/main" id="{84637FA4-6489-B092-A772-24028DB0162C}"/>
            </a:ext>
          </a:extLst>
        </xdr:cNvPr>
        <xdr:cNvSpPr/>
      </xdr:nvSpPr>
      <xdr:spPr>
        <a:xfrm rot="16200000">
          <a:off x="10315575" y="19288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103</xdr:row>
      <xdr:rowOff>109537</xdr:rowOff>
    </xdr:from>
    <xdr:to>
      <xdr:col>5</xdr:col>
      <xdr:colOff>176213</xdr:colOff>
      <xdr:row>104</xdr:row>
      <xdr:rowOff>80962</xdr:rowOff>
    </xdr:to>
    <xdr:sp macro="_xll.MC_OnNodeClick" textlink="">
      <xdr:nvSpPr>
        <xdr:cNvPr id="459" name="MC_T_def_boom_rising">
          <a:extLst>
            <a:ext uri="{FF2B5EF4-FFF2-40B4-BE49-F238E27FC236}">
              <a16:creationId xmlns:a16="http://schemas.microsoft.com/office/drawing/2014/main" id="{C9A74F1C-1B8A-7F42-27B1-AAD73CD65F44}"/>
            </a:ext>
          </a:extLst>
        </xdr:cNvPr>
        <xdr:cNvSpPr/>
      </xdr:nvSpPr>
      <xdr:spPr>
        <a:xfrm rot="16200000">
          <a:off x="10315575" y="19669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105</xdr:row>
      <xdr:rowOff>109538</xdr:rowOff>
    </xdr:from>
    <xdr:to>
      <xdr:col>4</xdr:col>
      <xdr:colOff>180975</xdr:colOff>
      <xdr:row>106</xdr:row>
      <xdr:rowOff>80963</xdr:rowOff>
    </xdr:to>
    <xdr:sp macro="_xll.MC_OnNodeClick" textlink="">
      <xdr:nvSpPr>
        <xdr:cNvPr id="460" name="MC_C_rates_def_boom">
          <a:extLst>
            <a:ext uri="{FF2B5EF4-FFF2-40B4-BE49-F238E27FC236}">
              <a16:creationId xmlns:a16="http://schemas.microsoft.com/office/drawing/2014/main" id="{CD9C207A-979B-AE16-566A-9A71A0754CB6}"/>
            </a:ext>
          </a:extLst>
        </xdr:cNvPr>
        <xdr:cNvSpPr/>
      </xdr:nvSpPr>
      <xdr:spPr>
        <a:xfrm>
          <a:off x="7500938" y="20054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107</xdr:row>
      <xdr:rowOff>109537</xdr:rowOff>
    </xdr:from>
    <xdr:to>
      <xdr:col>5</xdr:col>
      <xdr:colOff>176213</xdr:colOff>
      <xdr:row>108</xdr:row>
      <xdr:rowOff>80962</xdr:rowOff>
    </xdr:to>
    <xdr:sp macro="_xll.MC_OnNodeClick" textlink="">
      <xdr:nvSpPr>
        <xdr:cNvPr id="461" name="MC_T_def_boom_stable">
          <a:extLst>
            <a:ext uri="{FF2B5EF4-FFF2-40B4-BE49-F238E27FC236}">
              <a16:creationId xmlns:a16="http://schemas.microsoft.com/office/drawing/2014/main" id="{84E7DD78-B5A5-9283-87D0-049B7892BF44}"/>
            </a:ext>
          </a:extLst>
        </xdr:cNvPr>
        <xdr:cNvSpPr/>
      </xdr:nvSpPr>
      <xdr:spPr>
        <a:xfrm rot="16200000">
          <a:off x="10315575" y="20431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109</xdr:row>
      <xdr:rowOff>109537</xdr:rowOff>
    </xdr:from>
    <xdr:to>
      <xdr:col>5</xdr:col>
      <xdr:colOff>176213</xdr:colOff>
      <xdr:row>110</xdr:row>
      <xdr:rowOff>80962</xdr:rowOff>
    </xdr:to>
    <xdr:sp macro="_xll.MC_OnNodeClick" textlink="">
      <xdr:nvSpPr>
        <xdr:cNvPr id="462" name="MC_T_def_boom_falling">
          <a:extLst>
            <a:ext uri="{FF2B5EF4-FFF2-40B4-BE49-F238E27FC236}">
              <a16:creationId xmlns:a16="http://schemas.microsoft.com/office/drawing/2014/main" id="{0405163A-7AE4-CD0B-4406-AB8498411E61}"/>
            </a:ext>
          </a:extLst>
        </xdr:cNvPr>
        <xdr:cNvSpPr/>
      </xdr:nvSpPr>
      <xdr:spPr>
        <a:xfrm rot="16200000">
          <a:off x="10315575" y="20812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111</xdr:row>
      <xdr:rowOff>109538</xdr:rowOff>
    </xdr:from>
    <xdr:to>
      <xdr:col>3</xdr:col>
      <xdr:colOff>180975</xdr:colOff>
      <xdr:row>112</xdr:row>
      <xdr:rowOff>80963</xdr:rowOff>
    </xdr:to>
    <xdr:sp macro="_xll.MC_OnNodeClick" textlink="">
      <xdr:nvSpPr>
        <xdr:cNvPr id="463" name="MC_C_econ_defensive">
          <a:extLst>
            <a:ext uri="{FF2B5EF4-FFF2-40B4-BE49-F238E27FC236}">
              <a16:creationId xmlns:a16="http://schemas.microsoft.com/office/drawing/2014/main" id="{BF05ACE4-27F8-BF53-3B94-DD2CFF19C128}"/>
            </a:ext>
          </a:extLst>
        </xdr:cNvPr>
        <xdr:cNvSpPr/>
      </xdr:nvSpPr>
      <xdr:spPr>
        <a:xfrm>
          <a:off x="5286375" y="21197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113</xdr:row>
      <xdr:rowOff>109537</xdr:rowOff>
    </xdr:from>
    <xdr:to>
      <xdr:col>5</xdr:col>
      <xdr:colOff>176213</xdr:colOff>
      <xdr:row>114</xdr:row>
      <xdr:rowOff>80962</xdr:rowOff>
    </xdr:to>
    <xdr:sp macro="_xll.MC_OnNodeClick" textlink="">
      <xdr:nvSpPr>
        <xdr:cNvPr id="464" name="MC_T_def_norm_rising">
          <a:extLst>
            <a:ext uri="{FF2B5EF4-FFF2-40B4-BE49-F238E27FC236}">
              <a16:creationId xmlns:a16="http://schemas.microsoft.com/office/drawing/2014/main" id="{F0AC0B2F-A0DB-0CD7-04E0-E9640C8204D9}"/>
            </a:ext>
          </a:extLst>
        </xdr:cNvPr>
        <xdr:cNvSpPr/>
      </xdr:nvSpPr>
      <xdr:spPr>
        <a:xfrm rot="16200000">
          <a:off x="10315575" y="21574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115</xdr:row>
      <xdr:rowOff>109538</xdr:rowOff>
    </xdr:from>
    <xdr:to>
      <xdr:col>4</xdr:col>
      <xdr:colOff>180975</xdr:colOff>
      <xdr:row>116</xdr:row>
      <xdr:rowOff>80963</xdr:rowOff>
    </xdr:to>
    <xdr:sp macro="_xll.MC_OnNodeClick" textlink="">
      <xdr:nvSpPr>
        <xdr:cNvPr id="465" name="MC_C_rates_def_normal">
          <a:extLst>
            <a:ext uri="{FF2B5EF4-FFF2-40B4-BE49-F238E27FC236}">
              <a16:creationId xmlns:a16="http://schemas.microsoft.com/office/drawing/2014/main" id="{47569304-48B4-0640-4017-F841AD64DD87}"/>
            </a:ext>
          </a:extLst>
        </xdr:cNvPr>
        <xdr:cNvSpPr/>
      </xdr:nvSpPr>
      <xdr:spPr>
        <a:xfrm>
          <a:off x="7500938" y="21959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117</xdr:row>
      <xdr:rowOff>109537</xdr:rowOff>
    </xdr:from>
    <xdr:to>
      <xdr:col>5</xdr:col>
      <xdr:colOff>176213</xdr:colOff>
      <xdr:row>118</xdr:row>
      <xdr:rowOff>80962</xdr:rowOff>
    </xdr:to>
    <xdr:sp macro="_xll.MC_OnNodeClick" textlink="">
      <xdr:nvSpPr>
        <xdr:cNvPr id="466" name="MC_T_def_norm_stable">
          <a:extLst>
            <a:ext uri="{FF2B5EF4-FFF2-40B4-BE49-F238E27FC236}">
              <a16:creationId xmlns:a16="http://schemas.microsoft.com/office/drawing/2014/main" id="{077EF0C8-9469-172A-B715-850268DB8CCD}"/>
            </a:ext>
          </a:extLst>
        </xdr:cNvPr>
        <xdr:cNvSpPr/>
      </xdr:nvSpPr>
      <xdr:spPr>
        <a:xfrm rot="16200000">
          <a:off x="10315575" y="22336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119</xdr:row>
      <xdr:rowOff>109537</xdr:rowOff>
    </xdr:from>
    <xdr:to>
      <xdr:col>5</xdr:col>
      <xdr:colOff>176213</xdr:colOff>
      <xdr:row>120</xdr:row>
      <xdr:rowOff>80962</xdr:rowOff>
    </xdr:to>
    <xdr:sp macro="_xll.MC_OnNodeClick" textlink="">
      <xdr:nvSpPr>
        <xdr:cNvPr id="467" name="MC_T_def_norm_falling">
          <a:extLst>
            <a:ext uri="{FF2B5EF4-FFF2-40B4-BE49-F238E27FC236}">
              <a16:creationId xmlns:a16="http://schemas.microsoft.com/office/drawing/2014/main" id="{EBD4DEE3-43BA-8F5B-FA7F-55E9FF75663B}"/>
            </a:ext>
          </a:extLst>
        </xdr:cNvPr>
        <xdr:cNvSpPr/>
      </xdr:nvSpPr>
      <xdr:spPr>
        <a:xfrm rot="16200000">
          <a:off x="10315575" y="22717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121</xdr:row>
      <xdr:rowOff>109537</xdr:rowOff>
    </xdr:from>
    <xdr:to>
      <xdr:col>5</xdr:col>
      <xdr:colOff>176213</xdr:colOff>
      <xdr:row>122</xdr:row>
      <xdr:rowOff>80962</xdr:rowOff>
    </xdr:to>
    <xdr:sp macro="_xll.MC_OnNodeClick" textlink="">
      <xdr:nvSpPr>
        <xdr:cNvPr id="468" name="MC_T_def_rec_rising">
          <a:extLst>
            <a:ext uri="{FF2B5EF4-FFF2-40B4-BE49-F238E27FC236}">
              <a16:creationId xmlns:a16="http://schemas.microsoft.com/office/drawing/2014/main" id="{2CEF2559-8715-0E2C-2FDD-5DB2EC0E64C9}"/>
            </a:ext>
          </a:extLst>
        </xdr:cNvPr>
        <xdr:cNvSpPr/>
      </xdr:nvSpPr>
      <xdr:spPr>
        <a:xfrm rot="16200000">
          <a:off x="10315575" y="23098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123</xdr:row>
      <xdr:rowOff>109538</xdr:rowOff>
    </xdr:from>
    <xdr:to>
      <xdr:col>4</xdr:col>
      <xdr:colOff>180975</xdr:colOff>
      <xdr:row>124</xdr:row>
      <xdr:rowOff>80963</xdr:rowOff>
    </xdr:to>
    <xdr:sp macro="_xll.MC_OnNodeClick" textlink="">
      <xdr:nvSpPr>
        <xdr:cNvPr id="469" name="MC_C_rates_def_recession">
          <a:extLst>
            <a:ext uri="{FF2B5EF4-FFF2-40B4-BE49-F238E27FC236}">
              <a16:creationId xmlns:a16="http://schemas.microsoft.com/office/drawing/2014/main" id="{8922A557-799A-498E-E9F6-E5E2C78E1FA0}"/>
            </a:ext>
          </a:extLst>
        </xdr:cNvPr>
        <xdr:cNvSpPr/>
      </xdr:nvSpPr>
      <xdr:spPr>
        <a:xfrm>
          <a:off x="7500938" y="23483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125</xdr:row>
      <xdr:rowOff>109537</xdr:rowOff>
    </xdr:from>
    <xdr:to>
      <xdr:col>5</xdr:col>
      <xdr:colOff>176213</xdr:colOff>
      <xdr:row>126</xdr:row>
      <xdr:rowOff>80962</xdr:rowOff>
    </xdr:to>
    <xdr:sp macro="_xll.MC_OnNodeClick" textlink="">
      <xdr:nvSpPr>
        <xdr:cNvPr id="470" name="MC_T_def_rec_stable">
          <a:extLst>
            <a:ext uri="{FF2B5EF4-FFF2-40B4-BE49-F238E27FC236}">
              <a16:creationId xmlns:a16="http://schemas.microsoft.com/office/drawing/2014/main" id="{5D00043F-9B1C-8A6D-9394-CB1845513672}"/>
            </a:ext>
          </a:extLst>
        </xdr:cNvPr>
        <xdr:cNvSpPr/>
      </xdr:nvSpPr>
      <xdr:spPr>
        <a:xfrm rot="16200000">
          <a:off x="10315575" y="23860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127</xdr:row>
      <xdr:rowOff>109537</xdr:rowOff>
    </xdr:from>
    <xdr:to>
      <xdr:col>5</xdr:col>
      <xdr:colOff>176213</xdr:colOff>
      <xdr:row>128</xdr:row>
      <xdr:rowOff>80962</xdr:rowOff>
    </xdr:to>
    <xdr:sp macro="_xll.MC_OnNodeClick" textlink="">
      <xdr:nvSpPr>
        <xdr:cNvPr id="471" name="MC_T_def_rec_falling">
          <a:extLst>
            <a:ext uri="{FF2B5EF4-FFF2-40B4-BE49-F238E27FC236}">
              <a16:creationId xmlns:a16="http://schemas.microsoft.com/office/drawing/2014/main" id="{38F0AF5C-EF6A-5624-9D8B-0521AA602250}"/>
            </a:ext>
          </a:extLst>
        </xdr:cNvPr>
        <xdr:cNvSpPr/>
      </xdr:nvSpPr>
      <xdr:spPr>
        <a:xfrm rot="16200000">
          <a:off x="10315575" y="24241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129</xdr:row>
      <xdr:rowOff>109537</xdr:rowOff>
    </xdr:from>
    <xdr:to>
      <xdr:col>5</xdr:col>
      <xdr:colOff>176213</xdr:colOff>
      <xdr:row>130</xdr:row>
      <xdr:rowOff>80962</xdr:rowOff>
    </xdr:to>
    <xdr:sp macro="_xll.MC_OnNodeClick" textlink="">
      <xdr:nvSpPr>
        <xdr:cNvPr id="472" name="MC_T_def_crisis_stable">
          <a:extLst>
            <a:ext uri="{FF2B5EF4-FFF2-40B4-BE49-F238E27FC236}">
              <a16:creationId xmlns:a16="http://schemas.microsoft.com/office/drawing/2014/main" id="{FFA390BB-B097-E903-7864-A7304340227E}"/>
            </a:ext>
          </a:extLst>
        </xdr:cNvPr>
        <xdr:cNvSpPr/>
      </xdr:nvSpPr>
      <xdr:spPr>
        <a:xfrm rot="16200000">
          <a:off x="10315575" y="24622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131</xdr:row>
      <xdr:rowOff>109538</xdr:rowOff>
    </xdr:from>
    <xdr:to>
      <xdr:col>4</xdr:col>
      <xdr:colOff>180975</xdr:colOff>
      <xdr:row>132</xdr:row>
      <xdr:rowOff>80963</xdr:rowOff>
    </xdr:to>
    <xdr:sp macro="_xll.MC_OnNodeClick" textlink="">
      <xdr:nvSpPr>
        <xdr:cNvPr id="473" name="MC_C_geo_def_crisis">
          <a:extLst>
            <a:ext uri="{FF2B5EF4-FFF2-40B4-BE49-F238E27FC236}">
              <a16:creationId xmlns:a16="http://schemas.microsoft.com/office/drawing/2014/main" id="{45A9F014-99A3-1A25-03AE-1246CF11639E}"/>
            </a:ext>
          </a:extLst>
        </xdr:cNvPr>
        <xdr:cNvSpPr/>
      </xdr:nvSpPr>
      <xdr:spPr>
        <a:xfrm>
          <a:off x="7500938" y="25007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133</xdr:row>
      <xdr:rowOff>109537</xdr:rowOff>
    </xdr:from>
    <xdr:to>
      <xdr:col>5</xdr:col>
      <xdr:colOff>176213</xdr:colOff>
      <xdr:row>134</xdr:row>
      <xdr:rowOff>80962</xdr:rowOff>
    </xdr:to>
    <xdr:sp macro="_xll.MC_OnNodeClick" textlink="">
      <xdr:nvSpPr>
        <xdr:cNvPr id="474" name="MC_T_def_crisis_unstable">
          <a:extLst>
            <a:ext uri="{FF2B5EF4-FFF2-40B4-BE49-F238E27FC236}">
              <a16:creationId xmlns:a16="http://schemas.microsoft.com/office/drawing/2014/main" id="{C544D695-9DE8-6626-7B6F-6C3528D8B117}"/>
            </a:ext>
          </a:extLst>
        </xdr:cNvPr>
        <xdr:cNvSpPr/>
      </xdr:nvSpPr>
      <xdr:spPr>
        <a:xfrm rot="16200000">
          <a:off x="10315575" y="25384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135</xdr:row>
      <xdr:rowOff>109537</xdr:rowOff>
    </xdr:from>
    <xdr:to>
      <xdr:col>5</xdr:col>
      <xdr:colOff>176213</xdr:colOff>
      <xdr:row>136</xdr:row>
      <xdr:rowOff>80962</xdr:rowOff>
    </xdr:to>
    <xdr:sp macro="_xll.MC_OnNodeClick" textlink="">
      <xdr:nvSpPr>
        <xdr:cNvPr id="475" name="MC_T_infra_boom_rising">
          <a:extLst>
            <a:ext uri="{FF2B5EF4-FFF2-40B4-BE49-F238E27FC236}">
              <a16:creationId xmlns:a16="http://schemas.microsoft.com/office/drawing/2014/main" id="{A577A8CC-28A9-55C1-60ED-26D870D85B18}"/>
            </a:ext>
          </a:extLst>
        </xdr:cNvPr>
        <xdr:cNvSpPr/>
      </xdr:nvSpPr>
      <xdr:spPr>
        <a:xfrm rot="16200000">
          <a:off x="10315575" y="25765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137</xdr:row>
      <xdr:rowOff>109538</xdr:rowOff>
    </xdr:from>
    <xdr:to>
      <xdr:col>4</xdr:col>
      <xdr:colOff>180975</xdr:colOff>
      <xdr:row>138</xdr:row>
      <xdr:rowOff>80963</xdr:rowOff>
    </xdr:to>
    <xdr:sp macro="_xll.MC_OnNodeClick" textlink="">
      <xdr:nvSpPr>
        <xdr:cNvPr id="476" name="MC_C_rates_infra_boom">
          <a:extLst>
            <a:ext uri="{FF2B5EF4-FFF2-40B4-BE49-F238E27FC236}">
              <a16:creationId xmlns:a16="http://schemas.microsoft.com/office/drawing/2014/main" id="{F1128A8A-BDD7-F17D-5A8D-2803E95B1A91}"/>
            </a:ext>
          </a:extLst>
        </xdr:cNvPr>
        <xdr:cNvSpPr/>
      </xdr:nvSpPr>
      <xdr:spPr>
        <a:xfrm>
          <a:off x="7500938" y="26150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139</xdr:row>
      <xdr:rowOff>109537</xdr:rowOff>
    </xdr:from>
    <xdr:to>
      <xdr:col>5</xdr:col>
      <xdr:colOff>176213</xdr:colOff>
      <xdr:row>140</xdr:row>
      <xdr:rowOff>80962</xdr:rowOff>
    </xdr:to>
    <xdr:sp macro="_xll.MC_OnNodeClick" textlink="">
      <xdr:nvSpPr>
        <xdr:cNvPr id="477" name="MC_T_infra_boom_stable">
          <a:extLst>
            <a:ext uri="{FF2B5EF4-FFF2-40B4-BE49-F238E27FC236}">
              <a16:creationId xmlns:a16="http://schemas.microsoft.com/office/drawing/2014/main" id="{F141E4FB-ACC3-31CB-8A58-E8D1F73F4BB9}"/>
            </a:ext>
          </a:extLst>
        </xdr:cNvPr>
        <xdr:cNvSpPr/>
      </xdr:nvSpPr>
      <xdr:spPr>
        <a:xfrm rot="16200000">
          <a:off x="10315575" y="26527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141</xdr:row>
      <xdr:rowOff>109537</xdr:rowOff>
    </xdr:from>
    <xdr:to>
      <xdr:col>5</xdr:col>
      <xdr:colOff>176213</xdr:colOff>
      <xdr:row>142</xdr:row>
      <xdr:rowOff>80962</xdr:rowOff>
    </xdr:to>
    <xdr:sp macro="_xll.MC_OnNodeClick" textlink="">
      <xdr:nvSpPr>
        <xdr:cNvPr id="478" name="MC_T_infra_boom_falling">
          <a:extLst>
            <a:ext uri="{FF2B5EF4-FFF2-40B4-BE49-F238E27FC236}">
              <a16:creationId xmlns:a16="http://schemas.microsoft.com/office/drawing/2014/main" id="{90F1EC39-665C-25A2-0ABB-CC843CECA534}"/>
            </a:ext>
          </a:extLst>
        </xdr:cNvPr>
        <xdr:cNvSpPr/>
      </xdr:nvSpPr>
      <xdr:spPr>
        <a:xfrm rot="16200000">
          <a:off x="10315575" y="26908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143</xdr:row>
      <xdr:rowOff>109538</xdr:rowOff>
    </xdr:from>
    <xdr:to>
      <xdr:col>3</xdr:col>
      <xdr:colOff>180975</xdr:colOff>
      <xdr:row>144</xdr:row>
      <xdr:rowOff>80963</xdr:rowOff>
    </xdr:to>
    <xdr:sp macro="_xll.MC_OnNodeClick" textlink="">
      <xdr:nvSpPr>
        <xdr:cNvPr id="479" name="MC_C_econ_infra">
          <a:extLst>
            <a:ext uri="{FF2B5EF4-FFF2-40B4-BE49-F238E27FC236}">
              <a16:creationId xmlns:a16="http://schemas.microsoft.com/office/drawing/2014/main" id="{BCFCA964-B9C8-E63A-318E-EC340D0655CC}"/>
            </a:ext>
          </a:extLst>
        </xdr:cNvPr>
        <xdr:cNvSpPr/>
      </xdr:nvSpPr>
      <xdr:spPr>
        <a:xfrm>
          <a:off x="5286375" y="27293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145</xdr:row>
      <xdr:rowOff>109537</xdr:rowOff>
    </xdr:from>
    <xdr:to>
      <xdr:col>5</xdr:col>
      <xdr:colOff>176213</xdr:colOff>
      <xdr:row>146</xdr:row>
      <xdr:rowOff>80962</xdr:rowOff>
    </xdr:to>
    <xdr:sp macro="_xll.MC_OnNodeClick" textlink="">
      <xdr:nvSpPr>
        <xdr:cNvPr id="480" name="MC_T_infra_norm_rising">
          <a:extLst>
            <a:ext uri="{FF2B5EF4-FFF2-40B4-BE49-F238E27FC236}">
              <a16:creationId xmlns:a16="http://schemas.microsoft.com/office/drawing/2014/main" id="{28FAD763-61BD-36AB-6578-6553B75F3E95}"/>
            </a:ext>
          </a:extLst>
        </xdr:cNvPr>
        <xdr:cNvSpPr/>
      </xdr:nvSpPr>
      <xdr:spPr>
        <a:xfrm rot="16200000">
          <a:off x="10315575" y="27670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147</xdr:row>
      <xdr:rowOff>109538</xdr:rowOff>
    </xdr:from>
    <xdr:to>
      <xdr:col>4</xdr:col>
      <xdr:colOff>180975</xdr:colOff>
      <xdr:row>148</xdr:row>
      <xdr:rowOff>80963</xdr:rowOff>
    </xdr:to>
    <xdr:sp macro="_xll.MC_OnNodeClick" textlink="">
      <xdr:nvSpPr>
        <xdr:cNvPr id="481" name="MC_C_rates_infra_normal">
          <a:extLst>
            <a:ext uri="{FF2B5EF4-FFF2-40B4-BE49-F238E27FC236}">
              <a16:creationId xmlns:a16="http://schemas.microsoft.com/office/drawing/2014/main" id="{36071755-1E9C-77A7-17AE-8BADA7C74A23}"/>
            </a:ext>
          </a:extLst>
        </xdr:cNvPr>
        <xdr:cNvSpPr/>
      </xdr:nvSpPr>
      <xdr:spPr>
        <a:xfrm>
          <a:off x="7500938" y="28055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149</xdr:row>
      <xdr:rowOff>109537</xdr:rowOff>
    </xdr:from>
    <xdr:to>
      <xdr:col>5</xdr:col>
      <xdr:colOff>176213</xdr:colOff>
      <xdr:row>150</xdr:row>
      <xdr:rowOff>80962</xdr:rowOff>
    </xdr:to>
    <xdr:sp macro="_xll.MC_OnNodeClick" textlink="">
      <xdr:nvSpPr>
        <xdr:cNvPr id="482" name="MC_T_infra_norm_stable">
          <a:extLst>
            <a:ext uri="{FF2B5EF4-FFF2-40B4-BE49-F238E27FC236}">
              <a16:creationId xmlns:a16="http://schemas.microsoft.com/office/drawing/2014/main" id="{5D710CBD-F6C3-535D-C913-3E317C84FB96}"/>
            </a:ext>
          </a:extLst>
        </xdr:cNvPr>
        <xdr:cNvSpPr/>
      </xdr:nvSpPr>
      <xdr:spPr>
        <a:xfrm rot="16200000">
          <a:off x="10315575" y="28432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151</xdr:row>
      <xdr:rowOff>109537</xdr:rowOff>
    </xdr:from>
    <xdr:to>
      <xdr:col>5</xdr:col>
      <xdr:colOff>176213</xdr:colOff>
      <xdr:row>152</xdr:row>
      <xdr:rowOff>80962</xdr:rowOff>
    </xdr:to>
    <xdr:sp macro="_xll.MC_OnNodeClick" textlink="">
      <xdr:nvSpPr>
        <xdr:cNvPr id="483" name="MC_T_infra_norm_falling">
          <a:extLst>
            <a:ext uri="{FF2B5EF4-FFF2-40B4-BE49-F238E27FC236}">
              <a16:creationId xmlns:a16="http://schemas.microsoft.com/office/drawing/2014/main" id="{1DE7C0F5-0F0A-BDE6-14A9-AC1DB99EDF72}"/>
            </a:ext>
          </a:extLst>
        </xdr:cNvPr>
        <xdr:cNvSpPr/>
      </xdr:nvSpPr>
      <xdr:spPr>
        <a:xfrm rot="16200000">
          <a:off x="10315575" y="28813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153</xdr:row>
      <xdr:rowOff>109537</xdr:rowOff>
    </xdr:from>
    <xdr:to>
      <xdr:col>6</xdr:col>
      <xdr:colOff>176213</xdr:colOff>
      <xdr:row>154</xdr:row>
      <xdr:rowOff>80962</xdr:rowOff>
    </xdr:to>
    <xdr:sp macro="_xll.MC_OnNodeClick" textlink="">
      <xdr:nvSpPr>
        <xdr:cNvPr id="484" name="MC_T_infra_hold_stable">
          <a:extLst>
            <a:ext uri="{FF2B5EF4-FFF2-40B4-BE49-F238E27FC236}">
              <a16:creationId xmlns:a16="http://schemas.microsoft.com/office/drawing/2014/main" id="{CAB6F866-FD8E-5E2E-0EB0-5FE4B2DB4138}"/>
            </a:ext>
          </a:extLst>
        </xdr:cNvPr>
        <xdr:cNvSpPr/>
      </xdr:nvSpPr>
      <xdr:spPr>
        <a:xfrm rot="16200000">
          <a:off x="13044488" y="29194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155</xdr:row>
      <xdr:rowOff>109538</xdr:rowOff>
    </xdr:from>
    <xdr:to>
      <xdr:col>5</xdr:col>
      <xdr:colOff>180975</xdr:colOff>
      <xdr:row>156</xdr:row>
      <xdr:rowOff>80963</xdr:rowOff>
    </xdr:to>
    <xdr:sp macro="_xll.MC_OnNodeClick" textlink="">
      <xdr:nvSpPr>
        <xdr:cNvPr id="485" name="MC_C_geo_infra_hold">
          <a:extLst>
            <a:ext uri="{FF2B5EF4-FFF2-40B4-BE49-F238E27FC236}">
              <a16:creationId xmlns:a16="http://schemas.microsoft.com/office/drawing/2014/main" id="{9B28F7D8-4457-5765-AF6F-1A930E6A6541}"/>
            </a:ext>
          </a:extLst>
        </xdr:cNvPr>
        <xdr:cNvSpPr/>
      </xdr:nvSpPr>
      <xdr:spPr>
        <a:xfrm>
          <a:off x="10315575" y="29579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157</xdr:row>
      <xdr:rowOff>109537</xdr:rowOff>
    </xdr:from>
    <xdr:to>
      <xdr:col>6</xdr:col>
      <xdr:colOff>176213</xdr:colOff>
      <xdr:row>158</xdr:row>
      <xdr:rowOff>80962</xdr:rowOff>
    </xdr:to>
    <xdr:sp macro="_xll.MC_OnNodeClick" textlink="">
      <xdr:nvSpPr>
        <xdr:cNvPr id="486" name="MC_T_infra_hold_tension">
          <a:extLst>
            <a:ext uri="{FF2B5EF4-FFF2-40B4-BE49-F238E27FC236}">
              <a16:creationId xmlns:a16="http://schemas.microsoft.com/office/drawing/2014/main" id="{8BF42F69-0E57-6BE9-82FB-1E39CAF49EFC}"/>
            </a:ext>
          </a:extLst>
        </xdr:cNvPr>
        <xdr:cNvSpPr/>
      </xdr:nvSpPr>
      <xdr:spPr>
        <a:xfrm rot="16200000">
          <a:off x="13044488" y="29956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159</xdr:row>
      <xdr:rowOff>109537</xdr:rowOff>
    </xdr:from>
    <xdr:to>
      <xdr:col>6</xdr:col>
      <xdr:colOff>176213</xdr:colOff>
      <xdr:row>160</xdr:row>
      <xdr:rowOff>80962</xdr:rowOff>
    </xdr:to>
    <xdr:sp macro="_xll.MC_OnNodeClick" textlink="">
      <xdr:nvSpPr>
        <xdr:cNvPr id="487" name="MC_T_infra_hold_disruption">
          <a:extLst>
            <a:ext uri="{FF2B5EF4-FFF2-40B4-BE49-F238E27FC236}">
              <a16:creationId xmlns:a16="http://schemas.microsoft.com/office/drawing/2014/main" id="{5504A3C1-47FD-28F4-97DE-E6091300944A}"/>
            </a:ext>
          </a:extLst>
        </xdr:cNvPr>
        <xdr:cNvSpPr/>
      </xdr:nvSpPr>
      <xdr:spPr>
        <a:xfrm rot="16200000">
          <a:off x="13044488" y="30337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161</xdr:row>
      <xdr:rowOff>109538</xdr:rowOff>
    </xdr:from>
    <xdr:to>
      <xdr:col>4</xdr:col>
      <xdr:colOff>180975</xdr:colOff>
      <xdr:row>162</xdr:row>
      <xdr:rowOff>80963</xdr:rowOff>
    </xdr:to>
    <xdr:sp macro="_xll.MC_OnNodeClick" textlink="">
      <xdr:nvSpPr>
        <xdr:cNvPr id="488" name="MC_D_infra_recession">
          <a:extLst>
            <a:ext uri="{FF2B5EF4-FFF2-40B4-BE49-F238E27FC236}">
              <a16:creationId xmlns:a16="http://schemas.microsoft.com/office/drawing/2014/main" id="{4C634817-FED8-F56B-5FE5-62F59B38E830}"/>
            </a:ext>
          </a:extLst>
        </xdr:cNvPr>
        <xdr:cNvSpPr/>
      </xdr:nvSpPr>
      <xdr:spPr>
        <a:xfrm>
          <a:off x="7500938" y="30722888"/>
          <a:ext cx="171450" cy="161925"/>
        </a:xfrm>
        <a:prstGeom prst="can">
          <a:avLst/>
        </a:prstGeom>
        <a:solidFill>
          <a:srgbClr val="6FA899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163</xdr:row>
      <xdr:rowOff>109537</xdr:rowOff>
    </xdr:from>
    <xdr:to>
      <xdr:col>5</xdr:col>
      <xdr:colOff>176213</xdr:colOff>
      <xdr:row>164</xdr:row>
      <xdr:rowOff>80962</xdr:rowOff>
    </xdr:to>
    <xdr:sp macro="_xll.MC_OnNodeClick" textlink="">
      <xdr:nvSpPr>
        <xdr:cNvPr id="489" name="MC_T_infra_fire_sale">
          <a:extLst>
            <a:ext uri="{FF2B5EF4-FFF2-40B4-BE49-F238E27FC236}">
              <a16:creationId xmlns:a16="http://schemas.microsoft.com/office/drawing/2014/main" id="{BD844B75-DE1F-16C4-25CB-4115C8923417}"/>
            </a:ext>
          </a:extLst>
        </xdr:cNvPr>
        <xdr:cNvSpPr/>
      </xdr:nvSpPr>
      <xdr:spPr>
        <a:xfrm rot="16200000">
          <a:off x="10315575" y="31099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165</xdr:row>
      <xdr:rowOff>109537</xdr:rowOff>
    </xdr:from>
    <xdr:to>
      <xdr:col>6</xdr:col>
      <xdr:colOff>176213</xdr:colOff>
      <xdr:row>166</xdr:row>
      <xdr:rowOff>80962</xdr:rowOff>
    </xdr:to>
    <xdr:sp macro="_xll.MC_OnNodeClick" textlink="">
      <xdr:nvSpPr>
        <xdr:cNvPr id="490" name="MC_T_infra_double_stable">
          <a:extLst>
            <a:ext uri="{FF2B5EF4-FFF2-40B4-BE49-F238E27FC236}">
              <a16:creationId xmlns:a16="http://schemas.microsoft.com/office/drawing/2014/main" id="{440F6171-4466-4CFB-6C74-EC7C57F7F886}"/>
            </a:ext>
          </a:extLst>
        </xdr:cNvPr>
        <xdr:cNvSpPr/>
      </xdr:nvSpPr>
      <xdr:spPr>
        <a:xfrm rot="16200000">
          <a:off x="13044488" y="31480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167</xdr:row>
      <xdr:rowOff>109538</xdr:rowOff>
    </xdr:from>
    <xdr:to>
      <xdr:col>5</xdr:col>
      <xdr:colOff>180975</xdr:colOff>
      <xdr:row>168</xdr:row>
      <xdr:rowOff>80963</xdr:rowOff>
    </xdr:to>
    <xdr:sp macro="_xll.MC_OnNodeClick" textlink="">
      <xdr:nvSpPr>
        <xdr:cNvPr id="491" name="MC_C_geo_infra_double">
          <a:extLst>
            <a:ext uri="{FF2B5EF4-FFF2-40B4-BE49-F238E27FC236}">
              <a16:creationId xmlns:a16="http://schemas.microsoft.com/office/drawing/2014/main" id="{92867462-F5D7-15F2-6A24-BD7A84F6FA03}"/>
            </a:ext>
          </a:extLst>
        </xdr:cNvPr>
        <xdr:cNvSpPr/>
      </xdr:nvSpPr>
      <xdr:spPr>
        <a:xfrm>
          <a:off x="10315575" y="31865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169</xdr:row>
      <xdr:rowOff>109537</xdr:rowOff>
    </xdr:from>
    <xdr:to>
      <xdr:col>6</xdr:col>
      <xdr:colOff>176213</xdr:colOff>
      <xdr:row>170</xdr:row>
      <xdr:rowOff>80962</xdr:rowOff>
    </xdr:to>
    <xdr:sp macro="_xll.MC_OnNodeClick" textlink="">
      <xdr:nvSpPr>
        <xdr:cNvPr id="492" name="MC_T_infra_double_tension">
          <a:extLst>
            <a:ext uri="{FF2B5EF4-FFF2-40B4-BE49-F238E27FC236}">
              <a16:creationId xmlns:a16="http://schemas.microsoft.com/office/drawing/2014/main" id="{78F9AB28-5CD4-838C-B64A-203546024ADF}"/>
            </a:ext>
          </a:extLst>
        </xdr:cNvPr>
        <xdr:cNvSpPr/>
      </xdr:nvSpPr>
      <xdr:spPr>
        <a:xfrm rot="16200000">
          <a:off x="13044488" y="32242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171</xdr:row>
      <xdr:rowOff>109537</xdr:rowOff>
    </xdr:from>
    <xdr:to>
      <xdr:col>6</xdr:col>
      <xdr:colOff>176213</xdr:colOff>
      <xdr:row>172</xdr:row>
      <xdr:rowOff>80962</xdr:rowOff>
    </xdr:to>
    <xdr:sp macro="_xll.MC_OnNodeClick" textlink="">
      <xdr:nvSpPr>
        <xdr:cNvPr id="493" name="MC_T_infra_double_disruption">
          <a:extLst>
            <a:ext uri="{FF2B5EF4-FFF2-40B4-BE49-F238E27FC236}">
              <a16:creationId xmlns:a16="http://schemas.microsoft.com/office/drawing/2014/main" id="{9420A87C-AFE5-33BA-64B7-DE206241BBAF}"/>
            </a:ext>
          </a:extLst>
        </xdr:cNvPr>
        <xdr:cNvSpPr/>
      </xdr:nvSpPr>
      <xdr:spPr>
        <a:xfrm rot="16200000">
          <a:off x="13044488" y="32623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173</xdr:row>
      <xdr:rowOff>109537</xdr:rowOff>
    </xdr:from>
    <xdr:to>
      <xdr:col>5</xdr:col>
      <xdr:colOff>176213</xdr:colOff>
      <xdr:row>174</xdr:row>
      <xdr:rowOff>80962</xdr:rowOff>
    </xdr:to>
    <xdr:sp macro="_xll.MC_OnNodeClick" textlink="">
      <xdr:nvSpPr>
        <xdr:cNvPr id="494" name="MC_T_infra_crisis_stable">
          <a:extLst>
            <a:ext uri="{FF2B5EF4-FFF2-40B4-BE49-F238E27FC236}">
              <a16:creationId xmlns:a16="http://schemas.microsoft.com/office/drawing/2014/main" id="{EB8085A8-6484-AB7E-7458-6838B83EEE1B}"/>
            </a:ext>
          </a:extLst>
        </xdr:cNvPr>
        <xdr:cNvSpPr/>
      </xdr:nvSpPr>
      <xdr:spPr>
        <a:xfrm rot="16200000">
          <a:off x="10315575" y="33004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175</xdr:row>
      <xdr:rowOff>109538</xdr:rowOff>
    </xdr:from>
    <xdr:to>
      <xdr:col>4</xdr:col>
      <xdr:colOff>180975</xdr:colOff>
      <xdr:row>176</xdr:row>
      <xdr:rowOff>80963</xdr:rowOff>
    </xdr:to>
    <xdr:sp macro="_xll.MC_OnNodeClick" textlink="">
      <xdr:nvSpPr>
        <xdr:cNvPr id="495" name="MC_C_geo_infra_crisis">
          <a:extLst>
            <a:ext uri="{FF2B5EF4-FFF2-40B4-BE49-F238E27FC236}">
              <a16:creationId xmlns:a16="http://schemas.microsoft.com/office/drawing/2014/main" id="{C912412C-AABD-97A9-BD1D-1FE4147E3F30}"/>
            </a:ext>
          </a:extLst>
        </xdr:cNvPr>
        <xdr:cNvSpPr/>
      </xdr:nvSpPr>
      <xdr:spPr>
        <a:xfrm>
          <a:off x="7500938" y="33389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177</xdr:row>
      <xdr:rowOff>109537</xdr:rowOff>
    </xdr:from>
    <xdr:to>
      <xdr:col>5</xdr:col>
      <xdr:colOff>176213</xdr:colOff>
      <xdr:row>178</xdr:row>
      <xdr:rowOff>80962</xdr:rowOff>
    </xdr:to>
    <xdr:sp macro="_xll.MC_OnNodeClick" textlink="">
      <xdr:nvSpPr>
        <xdr:cNvPr id="496" name="MC_T_infra_crisis_unstable">
          <a:extLst>
            <a:ext uri="{FF2B5EF4-FFF2-40B4-BE49-F238E27FC236}">
              <a16:creationId xmlns:a16="http://schemas.microsoft.com/office/drawing/2014/main" id="{A71B8C86-D3FE-C85A-C11E-42B7739747ED}"/>
            </a:ext>
          </a:extLst>
        </xdr:cNvPr>
        <xdr:cNvSpPr/>
      </xdr:nvSpPr>
      <xdr:spPr>
        <a:xfrm rot="16200000">
          <a:off x="10315575" y="33766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0FEAC-8771-4329-888B-541BAC75B2CF}">
  <dimension ref="A1"/>
  <sheetViews>
    <sheetView workbookViewId="0"/>
  </sheetViews>
  <sheetFormatPr defaultRowHeight="14.25" x14ac:dyDescent="0.45"/>
  <sheetData>
    <row r="1" spans="1:1" x14ac:dyDescent="0.45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A9C63-C32C-408B-A730-F4E6F97395DB}">
  <dimension ref="A1:GT1"/>
  <sheetViews>
    <sheetView workbookViewId="0"/>
  </sheetViews>
  <sheetFormatPr defaultRowHeight="14.25" x14ac:dyDescent="0.45"/>
  <sheetData>
    <row r="1" spans="1:202" x14ac:dyDescent="0.45">
      <c r="A1">
        <f>MC_Tree_1!MC_BP_C_econ_balanced_C_rates_bal_boom</f>
        <v>0.2</v>
      </c>
      <c r="B1">
        <f>MC_Tree_1!MC_BV_C_econ_balanced_C_rates_bal_boom</f>
        <v>0</v>
      </c>
      <c r="C1">
        <f>MC_Tree_1!MC_BP_C_econ_balanced_C_rates_bal_normal</f>
        <v>0.4</v>
      </c>
      <c r="D1">
        <f>MC_Tree_1!MC_BV_C_econ_balanced_C_rates_bal_normal</f>
        <v>0</v>
      </c>
      <c r="E1">
        <f>MC_Tree_1!MC_BP_C_econ_balanced_C_rates_bal_recession</f>
        <v>0.25</v>
      </c>
      <c r="F1">
        <f>MC_Tree_1!MC_BV_C_econ_balanced_C_rates_bal_recession</f>
        <v>0</v>
      </c>
      <c r="G1">
        <f>MC_Tree_1!MC_BP_C_econ_balanced_C_geo_bal_crisis</f>
        <v>0.15</v>
      </c>
      <c r="H1">
        <f>MC_Tree_1!MC_BV_C_econ_balanced_C_geo_bal_crisis</f>
        <v>0</v>
      </c>
      <c r="I1">
        <f>MC_Tree_1!MC_BP_C_econ_defensive_C_rates_def_boom</f>
        <v>0.2</v>
      </c>
      <c r="J1">
        <f>MC_Tree_1!MC_BV_C_econ_defensive_C_rates_def_boom</f>
        <v>0</v>
      </c>
      <c r="K1">
        <f>MC_Tree_1!MC_BP_C_econ_defensive_C_rates_def_normal</f>
        <v>0.4</v>
      </c>
      <c r="L1">
        <f>MC_Tree_1!MC_BV_C_econ_defensive_C_rates_def_normal</f>
        <v>0</v>
      </c>
      <c r="M1">
        <f>MC_Tree_1!MC_BP_C_econ_defensive_C_rates_def_recession</f>
        <v>0.25</v>
      </c>
      <c r="N1">
        <f>MC_Tree_1!MC_BV_C_econ_defensive_C_rates_def_recession</f>
        <v>0</v>
      </c>
      <c r="O1">
        <f>MC_Tree_1!MC_BP_C_econ_defensive_C_geo_def_crisis</f>
        <v>0.15</v>
      </c>
      <c r="P1">
        <f>MC_Tree_1!MC_BV_C_econ_defensive_C_geo_def_crisis</f>
        <v>0</v>
      </c>
      <c r="Q1">
        <f>MC_Tree_1!MC_BP_C_econ_growth_C_rates_growth_boom</f>
        <v>0.2</v>
      </c>
      <c r="R1">
        <f>MC_Tree_1!MC_BV_C_econ_growth_C_rates_growth_boom</f>
        <v>0</v>
      </c>
      <c r="S1">
        <f>MC_Tree_1!MC_BP_C_econ_growth_C_rates_growth_normal</f>
        <v>0.4</v>
      </c>
      <c r="T1">
        <f>MC_Tree_1!MC_BV_C_econ_growth_C_rates_growth_normal</f>
        <v>0</v>
      </c>
      <c r="U1">
        <f>MC_Tree_1!MC_BP_C_econ_growth_D_recession_response</f>
        <v>0.25</v>
      </c>
      <c r="V1">
        <f>MC_Tree_1!MC_BV_C_econ_growth_D_recession_response</f>
        <v>0</v>
      </c>
      <c r="W1">
        <f>MC_Tree_1!MC_BP_C_econ_growth_C_geo_growth_crisis</f>
        <v>0.15</v>
      </c>
      <c r="X1">
        <f>MC_Tree_1!MC_BV_C_econ_growth_C_geo_growth_crisis</f>
        <v>0</v>
      </c>
      <c r="Y1">
        <f>MC_Tree_1!MC_BP_C_econ_infra_C_rates_infra_boom</f>
        <v>0.2</v>
      </c>
      <c r="Z1">
        <f>MC_Tree_1!MC_BV_C_econ_infra_C_rates_infra_boom</f>
        <v>0</v>
      </c>
      <c r="AA1">
        <f>MC_Tree_1!MC_BP_C_econ_infra_C_rates_infra_normal</f>
        <v>0.4</v>
      </c>
      <c r="AB1">
        <f>MC_Tree_1!MC_BV_C_econ_infra_C_rates_infra_normal</f>
        <v>0</v>
      </c>
      <c r="AC1">
        <f>MC_Tree_1!MC_BP_C_econ_infra_D_infra_recession</f>
        <v>0.25</v>
      </c>
      <c r="AD1">
        <f>MC_Tree_1!MC_BV_C_econ_infra_D_infra_recession</f>
        <v>0</v>
      </c>
      <c r="AE1">
        <f>MC_Tree_1!MC_BP_C_econ_infra_C_geo_infra_crisis</f>
        <v>0.15</v>
      </c>
      <c r="AF1">
        <f>MC_Tree_1!MC_BV_C_econ_infra_C_geo_infra_crisis</f>
        <v>0</v>
      </c>
      <c r="AG1">
        <f>MC_Tree_1!MC_BP_C_geo_bal_crisis_T_bal_crisis_stable</f>
        <v>0.4</v>
      </c>
      <c r="AH1">
        <f>MC_Tree_1!MC_BV_C_geo_bal_crisis_T_bal_crisis_stable</f>
        <v>4200000000</v>
      </c>
      <c r="AI1">
        <f>MC_Tree_1!MC_BP_C_geo_bal_crisis_T_bal_crisis_unstable</f>
        <v>0.6</v>
      </c>
      <c r="AJ1">
        <f>MC_Tree_1!MC_BV_C_geo_bal_crisis_T_bal_crisis_unstable</f>
        <v>3800000000</v>
      </c>
      <c r="AK1">
        <f>MC_Tree_1!MC_BP_C_geo_def_crisis_T_def_crisis_stable</f>
        <v>0.4</v>
      </c>
      <c r="AL1">
        <f>MC_Tree_1!MC_BV_C_geo_def_crisis_T_def_crisis_stable</f>
        <v>5000000000</v>
      </c>
      <c r="AM1">
        <f>MC_Tree_1!MC_BP_C_geo_def_crisis_T_def_crisis_unstable</f>
        <v>0.6</v>
      </c>
      <c r="AN1">
        <f>MC_Tree_1!MC_BV_C_geo_def_crisis_T_def_crisis_unstable</f>
        <v>4500000000</v>
      </c>
      <c r="AO1">
        <f>MC_Tree_1!MC_BP_C_geo_growth_crisis_T_growth_crisis_stable</f>
        <v>0.4</v>
      </c>
      <c r="AP1">
        <f>MC_Tree_1!MC_BV_C_geo_growth_crisis_T_growth_crisis_stable</f>
        <v>3500000000</v>
      </c>
      <c r="AQ1">
        <f>MC_Tree_1!MC_BP_C_geo_growth_crisis_T_growth_crisis_unstable</f>
        <v>0.6</v>
      </c>
      <c r="AR1">
        <f>MC_Tree_1!MC_BV_C_geo_growth_crisis_T_growth_crisis_unstable</f>
        <v>3000000000</v>
      </c>
      <c r="AS1">
        <f>MC_Tree_1!MC_BP_C_geo_infra_crisis_T_infra_crisis_stable</f>
        <v>0.4</v>
      </c>
      <c r="AT1">
        <f>MC_Tree_1!MC_BV_C_geo_infra_crisis_T_infra_crisis_stable</f>
        <v>4500000000</v>
      </c>
      <c r="AU1">
        <f>MC_Tree_1!MC_BP_C_geo_infra_crisis_T_infra_crisis_unstable</f>
        <v>0.6</v>
      </c>
      <c r="AV1">
        <f>MC_Tree_1!MC_BV_C_geo_infra_crisis_T_infra_crisis_unstable</f>
        <v>3500000000</v>
      </c>
      <c r="AW1">
        <f>MC_Tree_1!MC_BP_C_geo_infra_double_T_infra_double_stable</f>
        <v>0.5</v>
      </c>
      <c r="AX1">
        <f>MC_Tree_1!MC_BV_C_geo_infra_double_T_infra_double_stable</f>
        <v>8000000000</v>
      </c>
      <c r="AY1">
        <f>MC_Tree_1!MC_BP_C_geo_infra_double_T_infra_double_tension</f>
        <v>0.35</v>
      </c>
      <c r="AZ1">
        <f>MC_Tree_1!MC_BV_C_geo_infra_double_T_infra_double_tension</f>
        <v>5500000000</v>
      </c>
      <c r="BA1">
        <f>MC_Tree_1!MC_BP_C_geo_infra_double_T_infra_double_disruption</f>
        <v>0.15</v>
      </c>
      <c r="BB1">
        <f>MC_Tree_1!MC_BV_C_geo_infra_double_T_infra_double_disruption</f>
        <v>3200000000</v>
      </c>
      <c r="BC1">
        <f>MC_Tree_1!MC_BP_C_geo_infra_hold_T_infra_hold_stable</f>
        <v>0.5</v>
      </c>
      <c r="BD1">
        <f>MC_Tree_1!MC_BV_C_geo_infra_hold_T_infra_hold_stable</f>
        <v>6000000000</v>
      </c>
      <c r="BE1">
        <f>MC_Tree_1!MC_BP_C_geo_infra_hold_T_infra_hold_tension</f>
        <v>0.35</v>
      </c>
      <c r="BF1">
        <f>MC_Tree_1!MC_BV_C_geo_infra_hold_T_infra_hold_tension</f>
        <v>5200000000</v>
      </c>
      <c r="BG1">
        <f>MC_Tree_1!MC_BP_C_geo_infra_hold_T_infra_hold_disruption</f>
        <v>0.15</v>
      </c>
      <c r="BH1">
        <f>MC_Tree_1!MC_BV_C_geo_infra_hold_T_infra_hold_disruption</f>
        <v>4000000000</v>
      </c>
      <c r="BI1">
        <f>MC_Tree_1!MC_BP_C_geo_opportunistic_T_opp_stable</f>
        <v>0.5</v>
      </c>
      <c r="BJ1">
        <f>MC_Tree_1!MC_BV_C_geo_opportunistic_T_opp_stable</f>
        <v>7500000000</v>
      </c>
      <c r="BK1">
        <f>MC_Tree_1!MC_BP_C_geo_opportunistic_T_opp_tension</f>
        <v>0.35</v>
      </c>
      <c r="BL1">
        <f>MC_Tree_1!MC_BV_C_geo_opportunistic_T_opp_tension</f>
        <v>5000000000</v>
      </c>
      <c r="BM1">
        <f>MC_Tree_1!MC_BP_C_geo_opportunistic_T_opp_disruption</f>
        <v>0.15</v>
      </c>
      <c r="BN1">
        <f>MC_Tree_1!MC_BV_C_geo_opportunistic_T_opp_disruption</f>
        <v>3000000000</v>
      </c>
      <c r="BO1">
        <f>MC_Tree_1!MC_BP_C_geo_rebal_def_T_rebal_stable</f>
        <v>0.5</v>
      </c>
      <c r="BP1">
        <f>MC_Tree_1!MC_BV_C_geo_rebal_def_T_rebal_stable</f>
        <v>5800000000</v>
      </c>
      <c r="BQ1">
        <f>MC_Tree_1!MC_BP_C_geo_rebal_def_T_rebal_tension</f>
        <v>0.35</v>
      </c>
      <c r="BR1">
        <f>MC_Tree_1!MC_BV_C_geo_rebal_def_T_rebal_tension</f>
        <v>5200000000</v>
      </c>
      <c r="BS1">
        <f>MC_Tree_1!MC_BP_C_geo_rebal_def_T_rebal_disruption</f>
        <v>0.15</v>
      </c>
      <c r="BT1">
        <f>MC_Tree_1!MC_BV_C_geo_rebal_def_T_rebal_disruption</f>
        <v>4500000000</v>
      </c>
      <c r="BU1">
        <f>MC_Tree_1!MC_BP_C_geo_stay_course_T_stay_stable</f>
        <v>0.5</v>
      </c>
      <c r="BV1">
        <f>MC_Tree_1!MC_BV_C_geo_stay_course_T_stay_stable</f>
        <v>5500000000</v>
      </c>
      <c r="BW1">
        <f>MC_Tree_1!MC_BP_C_geo_stay_course_T_stay_tension</f>
        <v>0.35</v>
      </c>
      <c r="BX1">
        <f>MC_Tree_1!MC_BV_C_geo_stay_course_T_stay_tension</f>
        <v>4200000000</v>
      </c>
      <c r="BY1">
        <f>MC_Tree_1!MC_BP_C_geo_stay_course_T_stay_disruption</f>
        <v>0.15</v>
      </c>
      <c r="BZ1">
        <f>MC_Tree_1!MC_BV_C_geo_stay_course_T_stay_disruption</f>
        <v>3200000000</v>
      </c>
      <c r="CA1">
        <f>MC_Tree_1!MC_BP_C_rates_bal_boom_T_bal_boom_rising</f>
        <v>0.5</v>
      </c>
      <c r="CB1">
        <f>MC_Tree_1!MC_BV_C_rates_bal_boom_T_bal_boom_rising</f>
        <v>8200000000</v>
      </c>
      <c r="CC1">
        <f>MC_Tree_1!MC_BP_C_rates_bal_boom_T_bal_boom_stable</f>
        <v>0.35</v>
      </c>
      <c r="CD1">
        <f>MC_Tree_1!MC_BV_C_rates_bal_boom_T_bal_boom_stable</f>
        <v>8800000000</v>
      </c>
      <c r="CE1">
        <f>MC_Tree_1!MC_BP_C_rates_bal_boom_T_bal_boom_falling</f>
        <v>0.15</v>
      </c>
      <c r="CF1">
        <f>MC_Tree_1!MC_BV_C_rates_bal_boom_T_bal_boom_falling</f>
        <v>9200000000</v>
      </c>
      <c r="CG1">
        <f>MC_Tree_1!MC_BP_C_rates_bal_normal_T_bal_norm_rising</f>
        <v>0.35</v>
      </c>
      <c r="CH1">
        <f>MC_Tree_1!MC_BV_C_rates_bal_normal_T_bal_norm_rising</f>
        <v>6800000000</v>
      </c>
      <c r="CI1">
        <f>MC_Tree_1!MC_BP_C_rates_bal_normal_T_bal_norm_stable</f>
        <v>0.4</v>
      </c>
      <c r="CJ1">
        <f>MC_Tree_1!MC_BV_C_rates_bal_normal_T_bal_norm_stable</f>
        <v>7200000000</v>
      </c>
      <c r="CK1">
        <f>MC_Tree_1!MC_BP_C_rates_bal_normal_T_bal_norm_falling</f>
        <v>0.25</v>
      </c>
      <c r="CL1">
        <f>MC_Tree_1!MC_BV_C_rates_bal_normal_T_bal_norm_falling</f>
        <v>7800000000</v>
      </c>
      <c r="CM1">
        <f>MC_Tree_1!MC_BP_C_rates_bal_recession_T_bal_rec_rising</f>
        <v>0.15</v>
      </c>
      <c r="CN1">
        <f>MC_Tree_1!MC_BV_C_rates_bal_recession_T_bal_rec_rising</f>
        <v>4800000000</v>
      </c>
      <c r="CO1">
        <f>MC_Tree_1!MC_BP_C_rates_bal_recession_T_bal_rec_stable</f>
        <v>0.35</v>
      </c>
      <c r="CP1">
        <f>MC_Tree_1!MC_BV_C_rates_bal_recession_T_bal_rec_stable</f>
        <v>5200000000</v>
      </c>
      <c r="CQ1">
        <f>MC_Tree_1!MC_BP_C_rates_bal_recession_T_bal_rec_falling</f>
        <v>0.5</v>
      </c>
      <c r="CR1">
        <f>MC_Tree_1!MC_BV_C_rates_bal_recession_T_bal_rec_falling</f>
        <v>5800000000</v>
      </c>
      <c r="CS1">
        <f>MC_Tree_1!MC_BP_C_rates_def_boom_T_def_boom_rising</f>
        <v>0.5</v>
      </c>
      <c r="CT1">
        <f>MC_Tree_1!MC_BV_C_rates_def_boom_T_def_boom_rising</f>
        <v>6200000000</v>
      </c>
      <c r="CU1">
        <f>MC_Tree_1!MC_BP_C_rates_def_boom_T_def_boom_stable</f>
        <v>0.35</v>
      </c>
      <c r="CV1">
        <f>MC_Tree_1!MC_BV_C_rates_def_boom_T_def_boom_stable</f>
        <v>6000000000</v>
      </c>
      <c r="CW1">
        <f>MC_Tree_1!MC_BP_C_rates_def_boom_T_def_boom_falling</f>
        <v>0.15</v>
      </c>
      <c r="CX1">
        <f>MC_Tree_1!MC_BV_C_rates_def_boom_T_def_boom_falling</f>
        <v>6500000000</v>
      </c>
      <c r="CY1">
        <f>MC_Tree_1!MC_BP_C_rates_def_normal_T_def_norm_rising</f>
        <v>0.35</v>
      </c>
      <c r="CZ1">
        <f>MC_Tree_1!MC_BV_C_rates_def_normal_T_def_norm_rising</f>
        <v>5800000000</v>
      </c>
      <c r="DA1">
        <f>MC_Tree_1!MC_BP_C_rates_def_normal_T_def_norm_stable</f>
        <v>0.4</v>
      </c>
      <c r="DB1">
        <f>MC_Tree_1!MC_BV_C_rates_def_normal_T_def_norm_stable</f>
        <v>5600000000</v>
      </c>
      <c r="DC1">
        <f>MC_Tree_1!MC_BP_C_rates_def_normal_T_def_norm_falling</f>
        <v>0.25</v>
      </c>
      <c r="DD1">
        <f>MC_Tree_1!MC_BV_C_rates_def_normal_T_def_norm_falling</f>
        <v>6000000000</v>
      </c>
      <c r="DE1">
        <f>MC_Tree_1!MC_BP_C_rates_def_recession_T_def_rec_rising</f>
        <v>0.15</v>
      </c>
      <c r="DF1">
        <f>MC_Tree_1!MC_BV_C_rates_def_recession_T_def_rec_rising</f>
        <v>5000000000</v>
      </c>
      <c r="DG1">
        <f>MC_Tree_1!MC_BP_C_rates_def_recession_T_def_rec_stable</f>
        <v>0.35</v>
      </c>
      <c r="DH1">
        <f>MC_Tree_1!MC_BV_C_rates_def_recession_T_def_rec_stable</f>
        <v>5400000000</v>
      </c>
      <c r="DI1">
        <f>MC_Tree_1!MC_BP_C_rates_def_recession_T_def_rec_falling</f>
        <v>0.5</v>
      </c>
      <c r="DJ1">
        <f>MC_Tree_1!MC_BV_C_rates_def_recession_T_def_rec_falling</f>
        <v>5800000000</v>
      </c>
      <c r="DK1">
        <f>MC_Tree_1!MC_BP_C_rates_growth_boom_T_growth_boom_rising</f>
        <v>0.5</v>
      </c>
      <c r="DL1">
        <f>MC_Tree_1!MC_BV_C_rates_growth_boom_T_growth_boom_rising</f>
        <v>10500000000</v>
      </c>
      <c r="DM1">
        <f>MC_Tree_1!MC_BP_C_rates_growth_boom_T_growth_boom_stable</f>
        <v>0.35</v>
      </c>
      <c r="DN1">
        <f>MC_Tree_1!MC_BV_C_rates_growth_boom_T_growth_boom_stable</f>
        <v>11500000000</v>
      </c>
      <c r="DO1">
        <f>MC_Tree_1!MC_BP_C_rates_growth_boom_T_growth_boom_falling</f>
        <v>0.15</v>
      </c>
      <c r="DP1">
        <f>MC_Tree_1!MC_BV_C_rates_growth_boom_T_growth_boom_falling</f>
        <v>12000000000</v>
      </c>
      <c r="DQ1">
        <f>MC_Tree_1!MC_BP_C_rates_growth_normal_T_growth_norm_rising</f>
        <v>0.35</v>
      </c>
      <c r="DR1">
        <f>MC_Tree_1!MC_BV_C_rates_growth_normal_T_growth_norm_rising</f>
        <v>7200000000</v>
      </c>
      <c r="DS1">
        <f>MC_Tree_1!MC_BP_C_rates_growth_normal_T_growth_norm_stable</f>
        <v>0.4</v>
      </c>
      <c r="DT1">
        <f>MC_Tree_1!MC_BV_C_rates_growth_normal_T_growth_norm_stable</f>
        <v>8000000000</v>
      </c>
      <c r="DU1">
        <f>MC_Tree_1!MC_BP_C_rates_growth_normal_T_growth_norm_falling</f>
        <v>0.25</v>
      </c>
      <c r="DV1">
        <f>MC_Tree_1!MC_BV_C_rates_growth_normal_T_growth_norm_falling</f>
        <v>8800000000</v>
      </c>
      <c r="DW1">
        <f>MC_Tree_1!MC_BP_C_rates_infra_boom_T_infra_boom_rising</f>
        <v>0.5</v>
      </c>
      <c r="DX1">
        <f>MC_Tree_1!MC_BV_C_rates_infra_boom_T_infra_boom_rising</f>
        <v>8500000000</v>
      </c>
      <c r="DY1">
        <f>MC_Tree_1!MC_BP_C_rates_infra_boom_T_infra_boom_stable</f>
        <v>0.35</v>
      </c>
      <c r="DZ1">
        <f>MC_Tree_1!MC_BV_C_rates_infra_boom_T_infra_boom_stable</f>
        <v>9200000000</v>
      </c>
      <c r="EA1">
        <f>MC_Tree_1!MC_BP_C_rates_infra_boom_T_infra_boom_falling</f>
        <v>0.15</v>
      </c>
      <c r="EB1">
        <f>MC_Tree_1!MC_BV_C_rates_infra_boom_T_infra_boom_falling</f>
        <v>9800000000</v>
      </c>
      <c r="EC1">
        <f>MC_Tree_1!MC_BP_C_rates_infra_normal_T_infra_norm_rising</f>
        <v>0.35</v>
      </c>
      <c r="ED1">
        <f>MC_Tree_1!MC_BV_C_rates_infra_normal_T_infra_norm_rising</f>
        <v>7000000000</v>
      </c>
      <c r="EE1">
        <f>MC_Tree_1!MC_BP_C_rates_infra_normal_T_infra_norm_stable</f>
        <v>0.4</v>
      </c>
      <c r="EF1">
        <f>MC_Tree_1!MC_BV_C_rates_infra_normal_T_infra_norm_stable</f>
        <v>7500000000</v>
      </c>
      <c r="EG1">
        <f>MC_Tree_1!MC_BP_C_rates_infra_normal_T_infra_norm_falling</f>
        <v>0.25</v>
      </c>
      <c r="EH1">
        <f>MC_Tree_1!MC_BV_C_rates_infra_normal_T_infra_norm_falling</f>
        <v>8200000000</v>
      </c>
      <c r="EI1">
        <f>MC_Tree_1!MC_BV_D_infra_recession_C_geo_infra_hold</f>
        <v>0</v>
      </c>
      <c r="EJ1">
        <f>MC_Tree_1!MC_BV_D_infra_recession_T_infra_fire_sale</f>
        <v>4000000000</v>
      </c>
      <c r="EK1">
        <f>MC_Tree_1!MC_BV_D_infra_recession_C_geo_infra_double</f>
        <v>-150000000</v>
      </c>
      <c r="EL1">
        <f>MC_Tree_1!MC_BV_D_recession_response_C_geo_rebal_def</f>
        <v>-75000000</v>
      </c>
      <c r="EM1">
        <f>MC_Tree_1!MC_BV_D_recession_response_C_geo_stay_course</f>
        <v>0</v>
      </c>
      <c r="EN1">
        <f>MC_Tree_1!MC_BV_D_recession_response_C_geo_opportunistic</f>
        <v>-100000000</v>
      </c>
      <c r="EO1">
        <f>MC_Tree_1!MC_BV_D_root_C_econ_growth</f>
        <v>0</v>
      </c>
      <c r="EP1">
        <f>MC_Tree_1!MC_BV_D_root_C_econ_balanced</f>
        <v>0</v>
      </c>
      <c r="EQ1">
        <f>MC_Tree_1!MC_BV_D_root_C_econ_defensive</f>
        <v>0</v>
      </c>
      <c r="ER1">
        <f>MC_Tree_1!MC_BV_D_root_C_econ_infra</f>
        <v>-50000000</v>
      </c>
      <c r="ES1">
        <v>0</v>
      </c>
      <c r="ET1">
        <v>0</v>
      </c>
      <c r="EU1">
        <v>0</v>
      </c>
      <c r="EV1">
        <v>0</v>
      </c>
      <c r="EW1">
        <v>0</v>
      </c>
      <c r="EX1">
        <v>0</v>
      </c>
      <c r="EY1">
        <v>0</v>
      </c>
      <c r="EZ1">
        <v>0</v>
      </c>
      <c r="FA1">
        <v>0</v>
      </c>
      <c r="FB1">
        <v>0</v>
      </c>
      <c r="FC1">
        <v>0</v>
      </c>
      <c r="FD1">
        <v>0</v>
      </c>
      <c r="FE1">
        <v>0</v>
      </c>
      <c r="FF1">
        <v>0</v>
      </c>
      <c r="FG1">
        <v>0</v>
      </c>
      <c r="FH1">
        <v>0</v>
      </c>
      <c r="FI1">
        <v>0</v>
      </c>
      <c r="FJ1">
        <v>0</v>
      </c>
      <c r="FK1">
        <v>0</v>
      </c>
      <c r="FL1">
        <v>0</v>
      </c>
      <c r="FM1">
        <v>0</v>
      </c>
      <c r="FN1">
        <v>0</v>
      </c>
      <c r="FO1">
        <v>0</v>
      </c>
      <c r="FP1">
        <v>0</v>
      </c>
      <c r="FQ1">
        <v>0</v>
      </c>
      <c r="FR1">
        <v>0</v>
      </c>
      <c r="FS1">
        <v>0</v>
      </c>
      <c r="FT1">
        <v>0</v>
      </c>
      <c r="FU1">
        <v>0</v>
      </c>
      <c r="FV1">
        <v>0</v>
      </c>
      <c r="FW1">
        <v>0</v>
      </c>
      <c r="FX1">
        <v>0</v>
      </c>
      <c r="FY1">
        <v>0</v>
      </c>
      <c r="FZ1">
        <v>0</v>
      </c>
      <c r="GA1">
        <v>0</v>
      </c>
      <c r="GB1">
        <v>0</v>
      </c>
      <c r="GC1">
        <v>0</v>
      </c>
      <c r="GD1">
        <v>0</v>
      </c>
      <c r="GE1">
        <v>0</v>
      </c>
      <c r="GF1">
        <v>0</v>
      </c>
      <c r="GG1">
        <v>0</v>
      </c>
      <c r="GH1">
        <v>0</v>
      </c>
      <c r="GI1">
        <v>0</v>
      </c>
      <c r="GJ1">
        <v>0</v>
      </c>
      <c r="GK1">
        <v>0</v>
      </c>
      <c r="GL1">
        <v>0</v>
      </c>
      <c r="GM1">
        <v>0</v>
      </c>
      <c r="GN1">
        <v>0</v>
      </c>
      <c r="GO1">
        <v>0</v>
      </c>
      <c r="GP1">
        <v>0</v>
      </c>
      <c r="GQ1">
        <v>0</v>
      </c>
      <c r="GR1">
        <v>0</v>
      </c>
      <c r="GS1">
        <v>0</v>
      </c>
      <c r="GT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41E94-B497-4245-A297-2509FEA522C4}">
  <dimension ref="B2:D62"/>
  <sheetViews>
    <sheetView tabSelected="1" workbookViewId="0"/>
  </sheetViews>
  <sheetFormatPr defaultRowHeight="14.25" x14ac:dyDescent="0.45"/>
  <cols>
    <col min="1" max="1" width="3.59765625" customWidth="1"/>
    <col min="2" max="2" width="55.59765625" customWidth="1"/>
    <col min="3" max="3" width="16.59765625" customWidth="1"/>
    <col min="4" max="4" width="45.59765625" customWidth="1"/>
  </cols>
  <sheetData>
    <row r="2" spans="2:2" ht="21" x14ac:dyDescent="0.65">
      <c r="B2" s="14" t="s">
        <v>25</v>
      </c>
    </row>
    <row r="3" spans="2:2" x14ac:dyDescent="0.45">
      <c r="B3" s="10" t="s">
        <v>26</v>
      </c>
    </row>
    <row r="5" spans="2:2" ht="15.75" x14ac:dyDescent="0.5">
      <c r="B5" s="15" t="s">
        <v>27</v>
      </c>
    </row>
    <row r="7" spans="2:2" x14ac:dyDescent="0.45">
      <c r="B7" t="s">
        <v>28</v>
      </c>
    </row>
    <row r="8" spans="2:2" x14ac:dyDescent="0.45">
      <c r="B8" t="s">
        <v>29</v>
      </c>
    </row>
    <row r="9" spans="2:2" x14ac:dyDescent="0.45">
      <c r="B9" t="s">
        <v>30</v>
      </c>
    </row>
    <row r="10" spans="2:2" x14ac:dyDescent="0.45">
      <c r="B10" t="s">
        <v>31</v>
      </c>
    </row>
    <row r="11" spans="2:2" x14ac:dyDescent="0.45">
      <c r="B11" t="s">
        <v>32</v>
      </c>
    </row>
    <row r="13" spans="2:2" x14ac:dyDescent="0.45">
      <c r="B13" s="8" t="s">
        <v>33</v>
      </c>
    </row>
    <row r="14" spans="2:2" x14ac:dyDescent="0.45">
      <c r="B14" t="s">
        <v>34</v>
      </c>
    </row>
    <row r="15" spans="2:2" x14ac:dyDescent="0.45">
      <c r="B15" t="s">
        <v>35</v>
      </c>
    </row>
    <row r="16" spans="2:2" x14ac:dyDescent="0.45">
      <c r="B16" t="s">
        <v>36</v>
      </c>
    </row>
    <row r="17" spans="2:2" x14ac:dyDescent="0.45">
      <c r="B17" t="s">
        <v>37</v>
      </c>
    </row>
    <row r="19" spans="2:2" x14ac:dyDescent="0.45">
      <c r="B19" s="8" t="s">
        <v>38</v>
      </c>
    </row>
    <row r="20" spans="2:2" x14ac:dyDescent="0.45">
      <c r="B20" t="s">
        <v>39</v>
      </c>
    </row>
    <row r="21" spans="2:2" x14ac:dyDescent="0.45">
      <c r="B21" t="s">
        <v>40</v>
      </c>
    </row>
    <row r="23" spans="2:2" x14ac:dyDescent="0.45">
      <c r="B23" s="8" t="s">
        <v>41</v>
      </c>
    </row>
    <row r="24" spans="2:2" x14ac:dyDescent="0.45">
      <c r="B24" t="s">
        <v>42</v>
      </c>
    </row>
    <row r="25" spans="2:2" x14ac:dyDescent="0.45">
      <c r="B25" t="s">
        <v>43</v>
      </c>
    </row>
    <row r="27" spans="2:2" x14ac:dyDescent="0.45">
      <c r="B27" s="8" t="s">
        <v>44</v>
      </c>
    </row>
    <row r="28" spans="2:2" x14ac:dyDescent="0.45">
      <c r="B28" t="s">
        <v>45</v>
      </c>
    </row>
    <row r="29" spans="2:2" x14ac:dyDescent="0.45">
      <c r="B29" t="s">
        <v>46</v>
      </c>
    </row>
    <row r="30" spans="2:2" x14ac:dyDescent="0.45">
      <c r="B30" t="s">
        <v>47</v>
      </c>
    </row>
    <row r="31" spans="2:2" x14ac:dyDescent="0.45">
      <c r="B31" t="s">
        <v>48</v>
      </c>
    </row>
    <row r="33" spans="2:4" ht="15.75" x14ac:dyDescent="0.5">
      <c r="B33" s="15" t="s">
        <v>49</v>
      </c>
    </row>
    <row r="35" spans="2:4" x14ac:dyDescent="0.45">
      <c r="B35" t="s">
        <v>50</v>
      </c>
    </row>
    <row r="36" spans="2:4" x14ac:dyDescent="0.45">
      <c r="B36" t="s">
        <v>51</v>
      </c>
    </row>
    <row r="37" spans="2:4" x14ac:dyDescent="0.45">
      <c r="B37" t="s">
        <v>52</v>
      </c>
    </row>
    <row r="40" spans="2:4" ht="15.75" x14ac:dyDescent="0.5">
      <c r="B40" s="15" t="s">
        <v>53</v>
      </c>
    </row>
    <row r="42" spans="2:4" x14ac:dyDescent="0.45">
      <c r="B42" s="11" t="s">
        <v>12</v>
      </c>
      <c r="C42" s="11" t="s">
        <v>13</v>
      </c>
      <c r="D42" s="11" t="s">
        <v>15</v>
      </c>
    </row>
    <row r="43" spans="2:4" x14ac:dyDescent="0.45">
      <c r="B43" s="12" t="s">
        <v>54</v>
      </c>
      <c r="C43" s="16">
        <v>5000000000</v>
      </c>
      <c r="D43" s="12" t="s">
        <v>55</v>
      </c>
    </row>
    <row r="44" spans="2:4" x14ac:dyDescent="0.45">
      <c r="B44" s="12" t="s">
        <v>56</v>
      </c>
      <c r="C44" s="12" t="s">
        <v>57</v>
      </c>
      <c r="D44" s="12" t="s">
        <v>58</v>
      </c>
    </row>
    <row r="45" spans="2:4" x14ac:dyDescent="0.45">
      <c r="B45" s="12" t="s">
        <v>59</v>
      </c>
      <c r="C45" s="17">
        <v>0.2</v>
      </c>
      <c r="D45" s="12" t="s">
        <v>60</v>
      </c>
    </row>
    <row r="46" spans="2:4" x14ac:dyDescent="0.45">
      <c r="B46" s="12" t="s">
        <v>61</v>
      </c>
      <c r="C46" s="17">
        <v>0.4</v>
      </c>
      <c r="D46" s="12" t="s">
        <v>62</v>
      </c>
    </row>
    <row r="47" spans="2:4" x14ac:dyDescent="0.45">
      <c r="B47" s="12" t="s">
        <v>63</v>
      </c>
      <c r="C47" s="17">
        <v>0.25</v>
      </c>
      <c r="D47" s="12" t="s">
        <v>64</v>
      </c>
    </row>
    <row r="48" spans="2:4" x14ac:dyDescent="0.45">
      <c r="B48" s="12" t="s">
        <v>65</v>
      </c>
      <c r="C48" s="17">
        <v>0.15</v>
      </c>
      <c r="D48" s="12" t="s">
        <v>66</v>
      </c>
    </row>
    <row r="49" spans="2:4" x14ac:dyDescent="0.45">
      <c r="B49" s="12" t="s">
        <v>67</v>
      </c>
      <c r="C49" s="16">
        <v>50000000</v>
      </c>
      <c r="D49" s="12" t="s">
        <v>68</v>
      </c>
    </row>
    <row r="50" spans="2:4" x14ac:dyDescent="0.45">
      <c r="B50" s="12" t="s">
        <v>69</v>
      </c>
      <c r="C50" s="16">
        <v>75000000</v>
      </c>
      <c r="D50" s="12" t="s">
        <v>70</v>
      </c>
    </row>
    <row r="51" spans="2:4" x14ac:dyDescent="0.45">
      <c r="B51" s="12" t="s">
        <v>21</v>
      </c>
      <c r="C51" s="16">
        <v>100000000</v>
      </c>
      <c r="D51" s="12" t="s">
        <v>71</v>
      </c>
    </row>
    <row r="52" spans="2:4" x14ac:dyDescent="0.45">
      <c r="B52" s="12" t="s">
        <v>72</v>
      </c>
      <c r="C52" s="12" t="s">
        <v>73</v>
      </c>
      <c r="D52" s="12" t="s">
        <v>74</v>
      </c>
    </row>
    <row r="53" spans="2:4" x14ac:dyDescent="0.45">
      <c r="B53" s="12" t="s">
        <v>75</v>
      </c>
      <c r="C53" s="16">
        <v>12000000000</v>
      </c>
      <c r="D53" s="12" t="s">
        <v>76</v>
      </c>
    </row>
    <row r="54" spans="2:4" x14ac:dyDescent="0.45">
      <c r="B54" s="12" t="s">
        <v>77</v>
      </c>
      <c r="C54" s="16">
        <v>4500000000</v>
      </c>
      <c r="D54" s="12" t="s">
        <v>78</v>
      </c>
    </row>
    <row r="57" spans="2:4" ht="15.75" x14ac:dyDescent="0.5">
      <c r="B57" s="15" t="s">
        <v>79</v>
      </c>
    </row>
    <row r="59" spans="2:4" x14ac:dyDescent="0.45">
      <c r="B59" t="s">
        <v>80</v>
      </c>
    </row>
    <row r="60" spans="2:4" x14ac:dyDescent="0.45">
      <c r="B60" t="s">
        <v>81</v>
      </c>
    </row>
    <row r="61" spans="2:4" x14ac:dyDescent="0.45">
      <c r="B61" t="s">
        <v>82</v>
      </c>
    </row>
    <row r="62" spans="2:4" x14ac:dyDescent="0.45">
      <c r="B62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D087F-E908-432A-BE26-084F2F6FF898}">
  <dimension ref="B2:G182"/>
  <sheetViews>
    <sheetView showGridLines="0" workbookViewId="0"/>
  </sheetViews>
  <sheetFormatPr defaultRowHeight="14.25" x14ac:dyDescent="0.45"/>
  <cols>
    <col min="1" max="1" width="8.59765625" customWidth="1"/>
    <col min="2" max="2" width="34.265625" customWidth="1"/>
    <col min="3" max="4" width="31" customWidth="1"/>
    <col min="5" max="5" width="39.3984375" customWidth="1"/>
    <col min="6" max="6" width="38.19921875" customWidth="1"/>
    <col min="7" max="7" width="34.59765625" customWidth="1"/>
  </cols>
  <sheetData>
    <row r="2" spans="2:5" ht="15" customHeight="1" x14ac:dyDescent="0.55000000000000004">
      <c r="B2" s="9" t="s">
        <v>10</v>
      </c>
    </row>
    <row r="3" spans="2:5" ht="15" customHeight="1" x14ac:dyDescent="0.45">
      <c r="B3" s="10" t="s">
        <v>11</v>
      </c>
    </row>
    <row r="4" spans="2:5" ht="15" customHeight="1" x14ac:dyDescent="0.45"/>
    <row r="5" spans="2:5" ht="15" customHeight="1" x14ac:dyDescent="0.45">
      <c r="B5" s="11" t="s">
        <v>12</v>
      </c>
      <c r="C5" s="11" t="s">
        <v>13</v>
      </c>
      <c r="D5" s="11" t="s">
        <v>14</v>
      </c>
      <c r="E5" s="11" t="s">
        <v>15</v>
      </c>
    </row>
    <row r="6" spans="2:5" ht="15" customHeight="1" x14ac:dyDescent="0.45">
      <c r="B6" s="12" t="s">
        <v>16</v>
      </c>
      <c r="C6" s="13">
        <v>50000000</v>
      </c>
      <c r="D6" s="12" t="s">
        <v>17</v>
      </c>
      <c r="E6" s="12" t="s">
        <v>18</v>
      </c>
    </row>
    <row r="7" spans="2:5" ht="15" customHeight="1" x14ac:dyDescent="0.45">
      <c r="B7" s="12" t="s">
        <v>19</v>
      </c>
      <c r="C7" s="13">
        <v>75000000</v>
      </c>
      <c r="D7" s="12" t="s">
        <v>17</v>
      </c>
      <c r="E7" s="12" t="s">
        <v>20</v>
      </c>
    </row>
    <row r="8" spans="2:5" ht="15" customHeight="1" x14ac:dyDescent="0.45">
      <c r="B8" s="12" t="s">
        <v>21</v>
      </c>
      <c r="C8" s="13">
        <v>100000000</v>
      </c>
      <c r="D8" s="12" t="s">
        <v>17</v>
      </c>
      <c r="E8" s="12" t="s">
        <v>20</v>
      </c>
    </row>
    <row r="9" spans="2:5" ht="15" customHeight="1" x14ac:dyDescent="0.45">
      <c r="B9" s="12" t="s">
        <v>22</v>
      </c>
      <c r="C9" s="13">
        <v>4000000000</v>
      </c>
      <c r="D9" s="12" t="s">
        <v>17</v>
      </c>
      <c r="E9" s="12" t="s">
        <v>23</v>
      </c>
    </row>
    <row r="10" spans="2:5" ht="15" customHeight="1" x14ac:dyDescent="0.45">
      <c r="B10" s="12" t="s">
        <v>24</v>
      </c>
      <c r="C10" s="13">
        <v>150000000</v>
      </c>
      <c r="D10" s="12" t="s">
        <v>17</v>
      </c>
      <c r="E10" s="12" t="s">
        <v>20</v>
      </c>
    </row>
    <row r="11" spans="2:5" ht="15" customHeight="1" x14ac:dyDescent="0.45"/>
    <row r="12" spans="2:5" ht="15" customHeight="1" x14ac:dyDescent="0.45"/>
    <row r="13" spans="2:5" ht="15" customHeight="1" x14ac:dyDescent="0.45"/>
    <row r="14" spans="2:5" ht="15" customHeight="1" x14ac:dyDescent="0.45"/>
    <row r="20" spans="3:6" ht="15" customHeight="1" x14ac:dyDescent="0.45">
      <c r="E20" s="5">
        <v>0.5</v>
      </c>
      <c r="F20" s="1">
        <f>_xll.MC_NodeProbability(_MC_Calc_1,"T_growth_boom_rising")</f>
        <v>0.1</v>
      </c>
    </row>
    <row r="21" spans="3:6" ht="15" customHeight="1" x14ac:dyDescent="0.45">
      <c r="E21" s="7">
        <v>10500000000</v>
      </c>
      <c r="F21" s="6">
        <f>_xll.MC_NodeValue(_MC_Calc_1,"T_growth_boom_rising")</f>
        <v>10500000000</v>
      </c>
    </row>
    <row r="22" spans="3:6" ht="15" customHeight="1" x14ac:dyDescent="0.45">
      <c r="D22" s="5">
        <v>0.2</v>
      </c>
      <c r="E22" s="2" t="s">
        <v>1</v>
      </c>
    </row>
    <row r="23" spans="3:6" ht="15" customHeight="1" x14ac:dyDescent="0.45">
      <c r="D23" s="7">
        <v>0</v>
      </c>
      <c r="E23" s="6">
        <f>_xll.MC_NodeValue(_MC_Calc_1,"C_rates_growth_boom")</f>
        <v>11075000000</v>
      </c>
    </row>
    <row r="24" spans="3:6" ht="15" customHeight="1" x14ac:dyDescent="0.45">
      <c r="E24" s="5">
        <v>0.35</v>
      </c>
      <c r="F24" s="1">
        <f>_xll.MC_NodeProbability(_MC_Calc_1,"T_growth_boom_stable")</f>
        <v>6.9999999999999993E-2</v>
      </c>
    </row>
    <row r="25" spans="3:6" ht="15" customHeight="1" x14ac:dyDescent="0.45">
      <c r="E25" s="7">
        <v>11500000000</v>
      </c>
      <c r="F25" s="6">
        <f>_xll.MC_NodeValue(_MC_Calc_1,"T_growth_boom_stable")</f>
        <v>11500000000</v>
      </c>
    </row>
    <row r="26" spans="3:6" ht="15" customHeight="1" x14ac:dyDescent="0.45">
      <c r="E26" s="5">
        <v>0.15</v>
      </c>
      <c r="F26" s="1">
        <f>_xll.MC_NodeProbability(_MC_Calc_1,"T_growth_boom_falling")</f>
        <v>0.03</v>
      </c>
    </row>
    <row r="27" spans="3:6" ht="15" customHeight="1" x14ac:dyDescent="0.45">
      <c r="E27" s="7">
        <v>12000000000</v>
      </c>
      <c r="F27" s="6">
        <f>_xll.MC_NodeValue(_MC_Calc_1,"T_growth_boom_falling")</f>
        <v>12000000000</v>
      </c>
    </row>
    <row r="28" spans="3:6" ht="15" customHeight="1" x14ac:dyDescent="0.45">
      <c r="C28" s="4" t="str">
        <f>_xll.MC_NodeDecision(_MC_Calc_1,"C_econ_growth")</f>
        <v>optimal</v>
      </c>
      <c r="D28" s="2" t="s">
        <v>2</v>
      </c>
    </row>
    <row r="29" spans="3:6" ht="15" customHeight="1" x14ac:dyDescent="0.45">
      <c r="C29" s="7">
        <v>0</v>
      </c>
      <c r="D29" s="6">
        <f>_xll.MC_NodeValue(_MC_Calc_1,"C_econ_growth")</f>
        <v>7325500000</v>
      </c>
    </row>
    <row r="30" spans="3:6" ht="15" customHeight="1" x14ac:dyDescent="0.45">
      <c r="E30" s="5">
        <v>0.35</v>
      </c>
      <c r="F30" s="1">
        <f>_xll.MC_NodeProbability(_MC_Calc_1,"T_growth_norm_rising")</f>
        <v>0.13999999999999999</v>
      </c>
    </row>
    <row r="31" spans="3:6" ht="15" customHeight="1" x14ac:dyDescent="0.45">
      <c r="E31" s="7">
        <v>7200000000</v>
      </c>
      <c r="F31" s="6">
        <f>_xll.MC_NodeValue(_MC_Calc_1,"T_growth_norm_rising")</f>
        <v>7200000000</v>
      </c>
    </row>
    <row r="32" spans="3:6" ht="15" customHeight="1" x14ac:dyDescent="0.45">
      <c r="D32" s="5">
        <v>0.4</v>
      </c>
      <c r="E32" s="2" t="s">
        <v>3</v>
      </c>
    </row>
    <row r="33" spans="4:7" ht="15" customHeight="1" x14ac:dyDescent="0.45">
      <c r="D33" s="7">
        <v>0</v>
      </c>
      <c r="E33" s="6">
        <f>_xll.MC_NodeValue(_MC_Calc_1,"C_rates_growth_normal")</f>
        <v>7920000000</v>
      </c>
    </row>
    <row r="34" spans="4:7" ht="15" customHeight="1" x14ac:dyDescent="0.45">
      <c r="E34" s="5">
        <v>0.4</v>
      </c>
      <c r="F34" s="1">
        <f>_xll.MC_NodeProbability(_MC_Calc_1,"T_growth_norm_stable")</f>
        <v>0.16000000000000003</v>
      </c>
    </row>
    <row r="35" spans="4:7" ht="15" customHeight="1" x14ac:dyDescent="0.45">
      <c r="E35" s="7">
        <v>8000000000</v>
      </c>
      <c r="F35" s="6">
        <f>_xll.MC_NodeValue(_MC_Calc_1,"T_growth_norm_stable")</f>
        <v>8000000000</v>
      </c>
    </row>
    <row r="36" spans="4:7" ht="15" customHeight="1" x14ac:dyDescent="0.45">
      <c r="E36" s="5">
        <v>0.25</v>
      </c>
      <c r="F36" s="1">
        <f>_xll.MC_NodeProbability(_MC_Calc_1,"T_growth_norm_falling")</f>
        <v>0.1</v>
      </c>
    </row>
    <row r="37" spans="4:7" ht="15" customHeight="1" x14ac:dyDescent="0.45">
      <c r="E37" s="7">
        <v>8800000000</v>
      </c>
      <c r="F37" s="6">
        <f>_xll.MC_NodeValue(_MC_Calc_1,"T_growth_norm_falling")</f>
        <v>8800000000</v>
      </c>
    </row>
    <row r="38" spans="4:7" ht="15" customHeight="1" x14ac:dyDescent="0.45">
      <c r="F38" s="5">
        <v>0.5</v>
      </c>
      <c r="G38" s="1">
        <f>_xll.MC_NodeProbability(_MC_Calc_1,"T_rebal_stable")</f>
        <v>0.125</v>
      </c>
    </row>
    <row r="39" spans="4:7" ht="15" customHeight="1" x14ac:dyDescent="0.45">
      <c r="F39" s="7">
        <v>5800000000</v>
      </c>
      <c r="G39" s="6">
        <f>_xll.MC_NodeValue(_MC_Calc_1,"T_rebal_stable")</f>
        <v>5725000000</v>
      </c>
    </row>
    <row r="40" spans="4:7" ht="15" customHeight="1" x14ac:dyDescent="0.45">
      <c r="E40" s="4" t="str">
        <f>_xll.MC_NodeDecision(_MC_Calc_1,"C_geo_rebal_def")</f>
        <v/>
      </c>
      <c r="F40" s="2" t="s">
        <v>4</v>
      </c>
    </row>
    <row r="41" spans="4:7" ht="15" customHeight="1" x14ac:dyDescent="0.45">
      <c r="E41" s="7">
        <f>-RebalanceToDefensiveCost</f>
        <v>-75000000</v>
      </c>
      <c r="F41" s="6">
        <f>_xll.MC_NodeValue(_MC_Calc_1,"C_geo_rebal_def")</f>
        <v>5320000000</v>
      </c>
    </row>
    <row r="42" spans="4:7" ht="15" customHeight="1" x14ac:dyDescent="0.45">
      <c r="F42" s="5">
        <v>0.35</v>
      </c>
      <c r="G42" s="1">
        <f>_xll.MC_NodeProbability(_MC_Calc_1,"T_rebal_tension")</f>
        <v>8.7499999999999994E-2</v>
      </c>
    </row>
    <row r="43" spans="4:7" ht="15" customHeight="1" x14ac:dyDescent="0.45">
      <c r="F43" s="7">
        <v>5200000000</v>
      </c>
      <c r="G43" s="6">
        <f>_xll.MC_NodeValue(_MC_Calc_1,"T_rebal_tension")</f>
        <v>5125000000</v>
      </c>
    </row>
    <row r="44" spans="4:7" ht="15" customHeight="1" x14ac:dyDescent="0.45">
      <c r="F44" s="5">
        <v>0.15</v>
      </c>
      <c r="G44" s="1">
        <f>_xll.MC_NodeProbability(_MC_Calc_1,"T_rebal_disruption")</f>
        <v>3.7499999999999999E-2</v>
      </c>
    </row>
    <row r="45" spans="4:7" ht="15" customHeight="1" x14ac:dyDescent="0.45">
      <c r="F45" s="7">
        <v>4500000000</v>
      </c>
      <c r="G45" s="6">
        <f>_xll.MC_NodeValue(_MC_Calc_1,"T_rebal_disruption")</f>
        <v>4425000000</v>
      </c>
    </row>
    <row r="46" spans="4:7" ht="15" customHeight="1" x14ac:dyDescent="0.45">
      <c r="D46" s="5">
        <v>0.25</v>
      </c>
      <c r="E46" s="3" t="s">
        <v>5</v>
      </c>
    </row>
    <row r="47" spans="4:7" ht="15" customHeight="1" x14ac:dyDescent="0.45">
      <c r="D47" s="7">
        <v>0</v>
      </c>
      <c r="E47" s="6">
        <f>_xll.MC_NodeValue(_MC_Calc_1,"D_recession_response")</f>
        <v>5850000000</v>
      </c>
    </row>
    <row r="48" spans="4:7" ht="15" customHeight="1" x14ac:dyDescent="0.45">
      <c r="F48" s="5">
        <v>0.5</v>
      </c>
      <c r="G48" s="1">
        <f>_xll.MC_NodeProbability(_MC_Calc_1,"T_stay_stable")</f>
        <v>0.125</v>
      </c>
    </row>
    <row r="49" spans="5:7" ht="15" customHeight="1" x14ac:dyDescent="0.45">
      <c r="F49" s="7">
        <v>5500000000</v>
      </c>
      <c r="G49" s="6">
        <f>_xll.MC_NodeValue(_MC_Calc_1,"T_stay_stable")</f>
        <v>5500000000</v>
      </c>
    </row>
    <row r="50" spans="5:7" ht="15" customHeight="1" x14ac:dyDescent="0.45">
      <c r="E50" s="4" t="str">
        <f>_xll.MC_NodeDecision(_MC_Calc_1,"C_geo_stay_course")</f>
        <v/>
      </c>
      <c r="F50" s="2" t="s">
        <v>4</v>
      </c>
    </row>
    <row r="51" spans="5:7" ht="15" customHeight="1" x14ac:dyDescent="0.45">
      <c r="E51" s="7">
        <v>0</v>
      </c>
      <c r="F51" s="6">
        <f>_xll.MC_NodeValue(_MC_Calc_1,"C_geo_stay_course")</f>
        <v>4700000000</v>
      </c>
    </row>
    <row r="52" spans="5:7" ht="15" customHeight="1" x14ac:dyDescent="0.45">
      <c r="F52" s="5">
        <v>0.35</v>
      </c>
      <c r="G52" s="1">
        <f>_xll.MC_NodeProbability(_MC_Calc_1,"T_stay_tension")</f>
        <v>8.7499999999999994E-2</v>
      </c>
    </row>
    <row r="53" spans="5:7" ht="15" customHeight="1" x14ac:dyDescent="0.45">
      <c r="F53" s="7">
        <v>4200000000</v>
      </c>
      <c r="G53" s="6">
        <f>_xll.MC_NodeValue(_MC_Calc_1,"T_stay_tension")</f>
        <v>4200000000</v>
      </c>
    </row>
    <row r="54" spans="5:7" ht="15" customHeight="1" x14ac:dyDescent="0.45">
      <c r="F54" s="5">
        <v>0.15</v>
      </c>
      <c r="G54" s="1">
        <f>_xll.MC_NodeProbability(_MC_Calc_1,"T_stay_disruption")</f>
        <v>3.7499999999999999E-2</v>
      </c>
    </row>
    <row r="55" spans="5:7" ht="15" customHeight="1" x14ac:dyDescent="0.45">
      <c r="F55" s="7">
        <v>3200000000</v>
      </c>
      <c r="G55" s="6">
        <f>_xll.MC_NodeValue(_MC_Calc_1,"T_stay_disruption")</f>
        <v>3200000000</v>
      </c>
    </row>
    <row r="56" spans="5:7" ht="15" customHeight="1" x14ac:dyDescent="0.45">
      <c r="F56" s="5">
        <v>0.5</v>
      </c>
      <c r="G56" s="1">
        <f>_xll.MC_NodeProbability(_MC_Calc_1,"T_opp_stable")</f>
        <v>0.125</v>
      </c>
    </row>
    <row r="57" spans="5:7" ht="15" customHeight="1" x14ac:dyDescent="0.45">
      <c r="F57" s="7">
        <v>7500000000</v>
      </c>
      <c r="G57" s="6">
        <f>_xll.MC_NodeValue(_MC_Calc_1,"T_opp_stable")</f>
        <v>7400000000</v>
      </c>
    </row>
    <row r="58" spans="5:7" ht="15" customHeight="1" x14ac:dyDescent="0.45">
      <c r="E58" s="4" t="str">
        <f>_xll.MC_NodeDecision(_MC_Calc_1,"C_geo_opportunistic")</f>
        <v>optimal</v>
      </c>
      <c r="F58" s="2" t="s">
        <v>4</v>
      </c>
    </row>
    <row r="59" spans="5:7" ht="15" customHeight="1" x14ac:dyDescent="0.45">
      <c r="E59" s="7">
        <f>-OpportunisticBuyingCost</f>
        <v>-100000000</v>
      </c>
      <c r="F59" s="6">
        <f>_xll.MC_NodeValue(_MC_Calc_1,"C_geo_opportunistic")</f>
        <v>5850000000</v>
      </c>
    </row>
    <row r="60" spans="5:7" ht="15" customHeight="1" x14ac:dyDescent="0.45">
      <c r="F60" s="5">
        <v>0.35</v>
      </c>
      <c r="G60" s="1">
        <f>_xll.MC_NodeProbability(_MC_Calc_1,"T_opp_tension")</f>
        <v>8.7499999999999994E-2</v>
      </c>
    </row>
    <row r="61" spans="5:7" ht="15" customHeight="1" x14ac:dyDescent="0.45">
      <c r="F61" s="7">
        <v>5000000000</v>
      </c>
      <c r="G61" s="6">
        <f>_xll.MC_NodeValue(_MC_Calc_1,"T_opp_tension")</f>
        <v>4900000000</v>
      </c>
    </row>
    <row r="62" spans="5:7" ht="15" customHeight="1" x14ac:dyDescent="0.45">
      <c r="F62" s="5">
        <v>0.15</v>
      </c>
      <c r="G62" s="1">
        <f>_xll.MC_NodeProbability(_MC_Calc_1,"T_opp_disruption")</f>
        <v>3.7499999999999999E-2</v>
      </c>
    </row>
    <row r="63" spans="5:7" ht="15" customHeight="1" x14ac:dyDescent="0.45">
      <c r="F63" s="7">
        <v>3000000000</v>
      </c>
      <c r="G63" s="6">
        <f>_xll.MC_NodeValue(_MC_Calc_1,"T_opp_disruption")</f>
        <v>2900000000</v>
      </c>
    </row>
    <row r="64" spans="5:7" ht="15" customHeight="1" x14ac:dyDescent="0.45">
      <c r="E64" s="5">
        <v>0.4</v>
      </c>
      <c r="F64" s="1">
        <f>_xll.MC_NodeProbability(_MC_Calc_1,"T_growth_crisis_stable")</f>
        <v>0.06</v>
      </c>
    </row>
    <row r="65" spans="3:6" ht="15" customHeight="1" x14ac:dyDescent="0.45">
      <c r="E65" s="7">
        <v>3500000000</v>
      </c>
      <c r="F65" s="6">
        <f>_xll.MC_NodeValue(_MC_Calc_1,"T_growth_crisis_stable")</f>
        <v>3500000000</v>
      </c>
    </row>
    <row r="66" spans="3:6" ht="15" customHeight="1" x14ac:dyDescent="0.45">
      <c r="D66" s="5">
        <v>0.15</v>
      </c>
      <c r="E66" s="2" t="s">
        <v>6</v>
      </c>
    </row>
    <row r="67" spans="3:6" ht="15" customHeight="1" x14ac:dyDescent="0.45">
      <c r="D67" s="7">
        <v>0</v>
      </c>
      <c r="E67" s="6">
        <f>_xll.MC_NodeValue(_MC_Calc_1,"C_geo_growth_crisis")</f>
        <v>3200000000</v>
      </c>
    </row>
    <row r="68" spans="3:6" ht="15" customHeight="1" x14ac:dyDescent="0.45">
      <c r="E68" s="5">
        <v>0.6</v>
      </c>
      <c r="F68" s="1">
        <f>_xll.MC_NodeProbability(_MC_Calc_1,"T_growth_crisis_unstable")</f>
        <v>0.09</v>
      </c>
    </row>
    <row r="69" spans="3:6" ht="15" customHeight="1" x14ac:dyDescent="0.45">
      <c r="E69" s="7">
        <v>3000000000</v>
      </c>
      <c r="F69" s="6">
        <f>_xll.MC_NodeValue(_MC_Calc_1,"T_growth_crisis_unstable")</f>
        <v>3000000000</v>
      </c>
    </row>
    <row r="70" spans="3:6" ht="15" customHeight="1" x14ac:dyDescent="0.45">
      <c r="C70" s="3" t="s">
        <v>7</v>
      </c>
    </row>
    <row r="71" spans="3:6" ht="15" customHeight="1" x14ac:dyDescent="0.45">
      <c r="C71" s="6">
        <f>_xll.MC_NodeValue(_MC_Calc_1,"D_root")</f>
        <v>7325500000</v>
      </c>
    </row>
    <row r="72" spans="3:6" ht="15" customHeight="1" x14ac:dyDescent="0.45">
      <c r="E72" s="5">
        <v>0.5</v>
      </c>
      <c r="F72" s="1">
        <f>_xll.MC_NodeProbability(_MC_Calc_1,"T_bal_boom_rising")</f>
        <v>0.1</v>
      </c>
    </row>
    <row r="73" spans="3:6" ht="15" customHeight="1" x14ac:dyDescent="0.45">
      <c r="E73" s="7">
        <v>8200000000</v>
      </c>
      <c r="F73" s="6">
        <f>_xll.MC_NodeValue(_MC_Calc_1,"T_bal_boom_rising")</f>
        <v>8200000000</v>
      </c>
    </row>
    <row r="74" spans="3:6" ht="15" customHeight="1" x14ac:dyDescent="0.45">
      <c r="D74" s="5">
        <v>0.2</v>
      </c>
      <c r="E74" s="2" t="s">
        <v>1</v>
      </c>
    </row>
    <row r="75" spans="3:6" ht="15" customHeight="1" x14ac:dyDescent="0.45">
      <c r="D75" s="7">
        <v>0</v>
      </c>
      <c r="E75" s="6">
        <f>_xll.MC_NodeValue(_MC_Calc_1,"C_rates_bal_boom")</f>
        <v>8560000000</v>
      </c>
    </row>
    <row r="76" spans="3:6" ht="15" customHeight="1" x14ac:dyDescent="0.45">
      <c r="E76" s="5">
        <v>0.35</v>
      </c>
      <c r="F76" s="1">
        <f>_xll.MC_NodeProbability(_MC_Calc_1,"T_bal_boom_stable")</f>
        <v>6.9999999999999993E-2</v>
      </c>
    </row>
    <row r="77" spans="3:6" ht="15" customHeight="1" x14ac:dyDescent="0.45">
      <c r="E77" s="7">
        <v>8800000000</v>
      </c>
      <c r="F77" s="6">
        <f>_xll.MC_NodeValue(_MC_Calc_1,"T_bal_boom_stable")</f>
        <v>8800000000</v>
      </c>
    </row>
    <row r="78" spans="3:6" ht="15" customHeight="1" x14ac:dyDescent="0.45">
      <c r="E78" s="5">
        <v>0.15</v>
      </c>
      <c r="F78" s="1">
        <f>_xll.MC_NodeProbability(_MC_Calc_1,"T_bal_boom_falling")</f>
        <v>0.03</v>
      </c>
    </row>
    <row r="79" spans="3:6" ht="15" customHeight="1" x14ac:dyDescent="0.45">
      <c r="E79" s="7">
        <v>9200000000</v>
      </c>
      <c r="F79" s="6">
        <f>_xll.MC_NodeValue(_MC_Calc_1,"T_bal_boom_falling")</f>
        <v>9200000000</v>
      </c>
    </row>
    <row r="80" spans="3:6" ht="15" customHeight="1" x14ac:dyDescent="0.45">
      <c r="C80" s="4" t="str">
        <f>_xll.MC_NodeDecision(_MC_Calc_1,"C_econ_balanced")</f>
        <v/>
      </c>
      <c r="D80" s="2" t="s">
        <v>2</v>
      </c>
    </row>
    <row r="81" spans="3:6" ht="15" customHeight="1" x14ac:dyDescent="0.45">
      <c r="C81" s="7">
        <v>0</v>
      </c>
      <c r="D81" s="6">
        <f>_xll.MC_NodeValue(_MC_Calc_1,"C_econ_balanced")</f>
        <v>6550000000</v>
      </c>
    </row>
    <row r="82" spans="3:6" ht="15" customHeight="1" x14ac:dyDescent="0.45">
      <c r="E82" s="5">
        <v>0.35</v>
      </c>
      <c r="F82" s="1">
        <f>_xll.MC_NodeProbability(_MC_Calc_1,"T_bal_norm_rising")</f>
        <v>0.13999999999999999</v>
      </c>
    </row>
    <row r="83" spans="3:6" ht="15" customHeight="1" x14ac:dyDescent="0.45">
      <c r="E83" s="7">
        <v>6800000000</v>
      </c>
      <c r="F83" s="6">
        <f>_xll.MC_NodeValue(_MC_Calc_1,"T_bal_norm_rising")</f>
        <v>6800000000</v>
      </c>
    </row>
    <row r="84" spans="3:6" ht="15" customHeight="1" x14ac:dyDescent="0.45">
      <c r="D84" s="5">
        <v>0.4</v>
      </c>
      <c r="E84" s="2" t="s">
        <v>3</v>
      </c>
    </row>
    <row r="85" spans="3:6" ht="15" customHeight="1" x14ac:dyDescent="0.45">
      <c r="D85" s="7">
        <v>0</v>
      </c>
      <c r="E85" s="6">
        <f>_xll.MC_NodeValue(_MC_Calc_1,"C_rates_bal_normal")</f>
        <v>7210000000</v>
      </c>
    </row>
    <row r="86" spans="3:6" ht="15" customHeight="1" x14ac:dyDescent="0.45">
      <c r="E86" s="5">
        <v>0.4</v>
      </c>
      <c r="F86" s="1">
        <f>_xll.MC_NodeProbability(_MC_Calc_1,"T_bal_norm_stable")</f>
        <v>0.16000000000000003</v>
      </c>
    </row>
    <row r="87" spans="3:6" ht="15" customHeight="1" x14ac:dyDescent="0.45">
      <c r="E87" s="7">
        <v>7200000000</v>
      </c>
      <c r="F87" s="6">
        <f>_xll.MC_NodeValue(_MC_Calc_1,"T_bal_norm_stable")</f>
        <v>7200000000</v>
      </c>
    </row>
    <row r="88" spans="3:6" ht="15" customHeight="1" x14ac:dyDescent="0.45">
      <c r="E88" s="5">
        <v>0.25</v>
      </c>
      <c r="F88" s="1">
        <f>_xll.MC_NodeProbability(_MC_Calc_1,"T_bal_norm_falling")</f>
        <v>0.1</v>
      </c>
    </row>
    <row r="89" spans="3:6" ht="15" customHeight="1" x14ac:dyDescent="0.45">
      <c r="E89" s="7">
        <v>7800000000</v>
      </c>
      <c r="F89" s="6">
        <f>_xll.MC_NodeValue(_MC_Calc_1,"T_bal_norm_falling")</f>
        <v>7800000000</v>
      </c>
    </row>
    <row r="90" spans="3:6" ht="15" customHeight="1" x14ac:dyDescent="0.45">
      <c r="E90" s="5">
        <v>0.15</v>
      </c>
      <c r="F90" s="1">
        <f>_xll.MC_NodeProbability(_MC_Calc_1,"T_bal_rec_rising")</f>
        <v>3.7499999999999999E-2</v>
      </c>
    </row>
    <row r="91" spans="3:6" ht="15" customHeight="1" x14ac:dyDescent="0.45">
      <c r="E91" s="7">
        <v>4800000000</v>
      </c>
      <c r="F91" s="6">
        <f>_xll.MC_NodeValue(_MC_Calc_1,"T_bal_rec_rising")</f>
        <v>4800000000</v>
      </c>
    </row>
    <row r="92" spans="3:6" ht="15" customHeight="1" x14ac:dyDescent="0.45">
      <c r="D92" s="5">
        <v>0.25</v>
      </c>
      <c r="E92" s="2" t="s">
        <v>8</v>
      </c>
    </row>
    <row r="93" spans="3:6" ht="15" customHeight="1" x14ac:dyDescent="0.45">
      <c r="D93" s="7">
        <v>0</v>
      </c>
      <c r="E93" s="6">
        <f>_xll.MC_NodeValue(_MC_Calc_1,"C_rates_bal_recession")</f>
        <v>5440000000</v>
      </c>
    </row>
    <row r="94" spans="3:6" ht="15" customHeight="1" x14ac:dyDescent="0.45">
      <c r="E94" s="5">
        <v>0.35</v>
      </c>
      <c r="F94" s="1">
        <f>_xll.MC_NodeProbability(_MC_Calc_1,"T_bal_rec_stable")</f>
        <v>8.7499999999999994E-2</v>
      </c>
    </row>
    <row r="95" spans="3:6" ht="15" customHeight="1" x14ac:dyDescent="0.45">
      <c r="E95" s="7">
        <v>5200000000</v>
      </c>
      <c r="F95" s="6">
        <f>_xll.MC_NodeValue(_MC_Calc_1,"T_bal_rec_stable")</f>
        <v>5200000000</v>
      </c>
    </row>
    <row r="96" spans="3:6" ht="15" customHeight="1" x14ac:dyDescent="0.45">
      <c r="E96" s="5">
        <v>0.5</v>
      </c>
      <c r="F96" s="1">
        <f>_xll.MC_NodeProbability(_MC_Calc_1,"T_bal_rec_falling")</f>
        <v>0.125</v>
      </c>
    </row>
    <row r="97" spans="3:6" ht="15" customHeight="1" x14ac:dyDescent="0.45">
      <c r="E97" s="7">
        <v>5800000000</v>
      </c>
      <c r="F97" s="6">
        <f>_xll.MC_NodeValue(_MC_Calc_1,"T_bal_rec_falling")</f>
        <v>5800000000</v>
      </c>
    </row>
    <row r="98" spans="3:6" ht="15" customHeight="1" x14ac:dyDescent="0.45">
      <c r="E98" s="5">
        <v>0.4</v>
      </c>
      <c r="F98" s="1">
        <f>_xll.MC_NodeProbability(_MC_Calc_1,"T_bal_crisis_stable")</f>
        <v>0.06</v>
      </c>
    </row>
    <row r="99" spans="3:6" ht="15" customHeight="1" x14ac:dyDescent="0.45">
      <c r="E99" s="7">
        <v>4200000000</v>
      </c>
      <c r="F99" s="6">
        <f>_xll.MC_NodeValue(_MC_Calc_1,"T_bal_crisis_stable")</f>
        <v>4200000000</v>
      </c>
    </row>
    <row r="100" spans="3:6" ht="15" customHeight="1" x14ac:dyDescent="0.45">
      <c r="D100" s="5">
        <v>0.15</v>
      </c>
      <c r="E100" s="2" t="s">
        <v>6</v>
      </c>
    </row>
    <row r="101" spans="3:6" ht="15" customHeight="1" x14ac:dyDescent="0.45">
      <c r="D101" s="7">
        <v>0</v>
      </c>
      <c r="E101" s="6">
        <f>_xll.MC_NodeValue(_MC_Calc_1,"C_geo_bal_crisis")</f>
        <v>3960000000</v>
      </c>
    </row>
    <row r="102" spans="3:6" ht="15" customHeight="1" x14ac:dyDescent="0.45">
      <c r="E102" s="5">
        <v>0.6</v>
      </c>
      <c r="F102" s="1">
        <f>_xll.MC_NodeProbability(_MC_Calc_1,"T_bal_crisis_unstable")</f>
        <v>0.09</v>
      </c>
    </row>
    <row r="103" spans="3:6" ht="15" customHeight="1" x14ac:dyDescent="0.45">
      <c r="E103" s="7">
        <v>3800000000</v>
      </c>
      <c r="F103" s="6">
        <f>_xll.MC_NodeValue(_MC_Calc_1,"T_bal_crisis_unstable")</f>
        <v>3800000000</v>
      </c>
    </row>
    <row r="104" spans="3:6" ht="15" customHeight="1" x14ac:dyDescent="0.45">
      <c r="E104" s="5">
        <v>0.5</v>
      </c>
      <c r="F104" s="1">
        <f>_xll.MC_NodeProbability(_MC_Calc_1,"T_def_boom_rising")</f>
        <v>0.1</v>
      </c>
    </row>
    <row r="105" spans="3:6" ht="15" customHeight="1" x14ac:dyDescent="0.45">
      <c r="E105" s="7">
        <v>6200000000</v>
      </c>
      <c r="F105" s="6">
        <f>_xll.MC_NodeValue(_MC_Calc_1,"T_def_boom_rising")</f>
        <v>6200000000</v>
      </c>
    </row>
    <row r="106" spans="3:6" ht="15" customHeight="1" x14ac:dyDescent="0.45">
      <c r="D106" s="5">
        <v>0.2</v>
      </c>
      <c r="E106" s="2" t="s">
        <v>1</v>
      </c>
    </row>
    <row r="107" spans="3:6" ht="15" customHeight="1" x14ac:dyDescent="0.45">
      <c r="D107" s="7">
        <v>0</v>
      </c>
      <c r="E107" s="6">
        <f>_xll.MC_NodeValue(_MC_Calc_1,"C_rates_def_boom")</f>
        <v>6175000000</v>
      </c>
    </row>
    <row r="108" spans="3:6" ht="15" customHeight="1" x14ac:dyDescent="0.45">
      <c r="E108" s="5">
        <v>0.35</v>
      </c>
      <c r="F108" s="1">
        <f>_xll.MC_NodeProbability(_MC_Calc_1,"T_def_boom_stable")</f>
        <v>6.9999999999999993E-2</v>
      </c>
    </row>
    <row r="109" spans="3:6" ht="15" customHeight="1" x14ac:dyDescent="0.45">
      <c r="E109" s="7">
        <v>6000000000</v>
      </c>
      <c r="F109" s="6">
        <f>_xll.MC_NodeValue(_MC_Calc_1,"T_def_boom_stable")</f>
        <v>6000000000</v>
      </c>
    </row>
    <row r="110" spans="3:6" ht="15" customHeight="1" x14ac:dyDescent="0.45">
      <c r="E110" s="5">
        <v>0.15</v>
      </c>
      <c r="F110" s="1">
        <f>_xll.MC_NodeProbability(_MC_Calc_1,"T_def_boom_falling")</f>
        <v>0.03</v>
      </c>
    </row>
    <row r="111" spans="3:6" ht="15" customHeight="1" x14ac:dyDescent="0.45">
      <c r="E111" s="7">
        <v>6500000000</v>
      </c>
      <c r="F111" s="6">
        <f>_xll.MC_NodeValue(_MC_Calc_1,"T_def_boom_falling")</f>
        <v>6500000000</v>
      </c>
    </row>
    <row r="112" spans="3:6" ht="15" customHeight="1" x14ac:dyDescent="0.45">
      <c r="C112" s="4" t="str">
        <f>_xll.MC_NodeDecision(_MC_Calc_1,"C_econ_defensive")</f>
        <v/>
      </c>
      <c r="D112" s="2" t="s">
        <v>2</v>
      </c>
    </row>
    <row r="113" spans="3:6" ht="15" customHeight="1" x14ac:dyDescent="0.45">
      <c r="C113" s="7">
        <v>0</v>
      </c>
      <c r="D113" s="6">
        <f>_xll.MC_NodeValue(_MC_Calc_1,"C_econ_defensive")</f>
        <v>5633000000</v>
      </c>
    </row>
    <row r="114" spans="3:6" ht="15" customHeight="1" x14ac:dyDescent="0.45">
      <c r="E114" s="5">
        <v>0.35</v>
      </c>
      <c r="F114" s="1">
        <f>_xll.MC_NodeProbability(_MC_Calc_1,"T_def_norm_rising")</f>
        <v>0.13999999999999999</v>
      </c>
    </row>
    <row r="115" spans="3:6" ht="15" customHeight="1" x14ac:dyDescent="0.45">
      <c r="E115" s="7">
        <v>5800000000</v>
      </c>
      <c r="F115" s="6">
        <f>_xll.MC_NodeValue(_MC_Calc_1,"T_def_norm_rising")</f>
        <v>5800000000</v>
      </c>
    </row>
    <row r="116" spans="3:6" ht="15" customHeight="1" x14ac:dyDescent="0.45">
      <c r="D116" s="5">
        <v>0.4</v>
      </c>
      <c r="E116" s="2" t="s">
        <v>3</v>
      </c>
    </row>
    <row r="117" spans="3:6" ht="15" customHeight="1" x14ac:dyDescent="0.45">
      <c r="D117" s="7">
        <v>0</v>
      </c>
      <c r="E117" s="6">
        <f>_xll.MC_NodeValue(_MC_Calc_1,"C_rates_def_normal")</f>
        <v>5770000000</v>
      </c>
    </row>
    <row r="118" spans="3:6" ht="15" customHeight="1" x14ac:dyDescent="0.45">
      <c r="E118" s="5">
        <v>0.4</v>
      </c>
      <c r="F118" s="1">
        <f>_xll.MC_NodeProbability(_MC_Calc_1,"T_def_norm_stable")</f>
        <v>0.16000000000000003</v>
      </c>
    </row>
    <row r="119" spans="3:6" ht="15" customHeight="1" x14ac:dyDescent="0.45">
      <c r="E119" s="7">
        <v>5600000000</v>
      </c>
      <c r="F119" s="6">
        <f>_xll.MC_NodeValue(_MC_Calc_1,"T_def_norm_stable")</f>
        <v>5600000000</v>
      </c>
    </row>
    <row r="120" spans="3:6" ht="15" customHeight="1" x14ac:dyDescent="0.45">
      <c r="E120" s="5">
        <v>0.25</v>
      </c>
      <c r="F120" s="1">
        <f>_xll.MC_NodeProbability(_MC_Calc_1,"T_def_norm_falling")</f>
        <v>0.1</v>
      </c>
    </row>
    <row r="121" spans="3:6" ht="15" customHeight="1" x14ac:dyDescent="0.45">
      <c r="E121" s="7">
        <v>6000000000</v>
      </c>
      <c r="F121" s="6">
        <f>_xll.MC_NodeValue(_MC_Calc_1,"T_def_norm_falling")</f>
        <v>6000000000</v>
      </c>
    </row>
    <row r="122" spans="3:6" ht="15" customHeight="1" x14ac:dyDescent="0.45">
      <c r="E122" s="5">
        <v>0.15</v>
      </c>
      <c r="F122" s="1">
        <f>_xll.MC_NodeProbability(_MC_Calc_1,"T_def_rec_rising")</f>
        <v>3.7499999999999999E-2</v>
      </c>
    </row>
    <row r="123" spans="3:6" ht="15" customHeight="1" x14ac:dyDescent="0.45">
      <c r="E123" s="7">
        <v>5000000000</v>
      </c>
      <c r="F123" s="6">
        <f>_xll.MC_NodeValue(_MC_Calc_1,"T_def_rec_rising")</f>
        <v>5000000000</v>
      </c>
    </row>
    <row r="124" spans="3:6" ht="15" customHeight="1" x14ac:dyDescent="0.45">
      <c r="D124" s="5">
        <v>0.25</v>
      </c>
      <c r="E124" s="2" t="s">
        <v>8</v>
      </c>
    </row>
    <row r="125" spans="3:6" ht="15" customHeight="1" x14ac:dyDescent="0.45">
      <c r="D125" s="7">
        <v>0</v>
      </c>
      <c r="E125" s="6">
        <f>_xll.MC_NodeValue(_MC_Calc_1,"C_rates_def_recession")</f>
        <v>5540000000</v>
      </c>
    </row>
    <row r="126" spans="3:6" ht="15" customHeight="1" x14ac:dyDescent="0.45">
      <c r="E126" s="5">
        <v>0.35</v>
      </c>
      <c r="F126" s="1">
        <f>_xll.MC_NodeProbability(_MC_Calc_1,"T_def_rec_stable")</f>
        <v>8.7499999999999994E-2</v>
      </c>
    </row>
    <row r="127" spans="3:6" ht="15" customHeight="1" x14ac:dyDescent="0.45">
      <c r="E127" s="7">
        <v>5400000000</v>
      </c>
      <c r="F127" s="6">
        <f>_xll.MC_NodeValue(_MC_Calc_1,"T_def_rec_stable")</f>
        <v>5400000000</v>
      </c>
    </row>
    <row r="128" spans="3:6" ht="15" customHeight="1" x14ac:dyDescent="0.45">
      <c r="E128" s="5">
        <v>0.5</v>
      </c>
      <c r="F128" s="1">
        <f>_xll.MC_NodeProbability(_MC_Calc_1,"T_def_rec_falling")</f>
        <v>0.125</v>
      </c>
    </row>
    <row r="129" spans="3:6" ht="15" customHeight="1" x14ac:dyDescent="0.45">
      <c r="E129" s="7">
        <v>5800000000</v>
      </c>
      <c r="F129" s="6">
        <f>_xll.MC_NodeValue(_MC_Calc_1,"T_def_rec_falling")</f>
        <v>5800000000</v>
      </c>
    </row>
    <row r="130" spans="3:6" ht="15" customHeight="1" x14ac:dyDescent="0.45">
      <c r="E130" s="5">
        <v>0.4</v>
      </c>
      <c r="F130" s="1">
        <f>_xll.MC_NodeProbability(_MC_Calc_1,"T_def_crisis_stable")</f>
        <v>0.06</v>
      </c>
    </row>
    <row r="131" spans="3:6" ht="15" customHeight="1" x14ac:dyDescent="0.45">
      <c r="E131" s="7">
        <v>5000000000</v>
      </c>
      <c r="F131" s="6">
        <f>_xll.MC_NodeValue(_MC_Calc_1,"T_def_crisis_stable")</f>
        <v>5000000000</v>
      </c>
    </row>
    <row r="132" spans="3:6" ht="15" customHeight="1" x14ac:dyDescent="0.45">
      <c r="D132" s="5">
        <v>0.15</v>
      </c>
      <c r="E132" s="2" t="s">
        <v>6</v>
      </c>
    </row>
    <row r="133" spans="3:6" ht="15" customHeight="1" x14ac:dyDescent="0.45">
      <c r="D133" s="7">
        <v>0</v>
      </c>
      <c r="E133" s="6">
        <f>_xll.MC_NodeValue(_MC_Calc_1,"C_geo_def_crisis")</f>
        <v>4700000000</v>
      </c>
    </row>
    <row r="134" spans="3:6" ht="15" customHeight="1" x14ac:dyDescent="0.45">
      <c r="E134" s="5">
        <v>0.6</v>
      </c>
      <c r="F134" s="1">
        <f>_xll.MC_NodeProbability(_MC_Calc_1,"T_def_crisis_unstable")</f>
        <v>0.09</v>
      </c>
    </row>
    <row r="135" spans="3:6" ht="15" customHeight="1" x14ac:dyDescent="0.45">
      <c r="E135" s="7">
        <v>4500000000</v>
      </c>
      <c r="F135" s="6">
        <f>_xll.MC_NodeValue(_MC_Calc_1,"T_def_crisis_unstable")</f>
        <v>4500000000</v>
      </c>
    </row>
    <row r="136" spans="3:6" ht="15" customHeight="1" x14ac:dyDescent="0.45">
      <c r="E136" s="5">
        <v>0.5</v>
      </c>
      <c r="F136" s="1">
        <f>_xll.MC_NodeProbability(_MC_Calc_1,"T_infra_boom_rising")</f>
        <v>0.1</v>
      </c>
    </row>
    <row r="137" spans="3:6" ht="15" customHeight="1" x14ac:dyDescent="0.45">
      <c r="E137" s="7">
        <v>8500000000</v>
      </c>
      <c r="F137" s="6">
        <f>_xll.MC_NodeValue(_MC_Calc_1,"T_infra_boom_rising")</f>
        <v>8450000000</v>
      </c>
    </row>
    <row r="138" spans="3:6" ht="15" customHeight="1" x14ac:dyDescent="0.45">
      <c r="D138" s="5">
        <v>0.2</v>
      </c>
      <c r="E138" s="2" t="s">
        <v>1</v>
      </c>
    </row>
    <row r="139" spans="3:6" ht="15" customHeight="1" x14ac:dyDescent="0.45">
      <c r="D139" s="7">
        <v>0</v>
      </c>
      <c r="E139" s="6">
        <f>_xll.MC_NodeValue(_MC_Calc_1,"C_rates_infra_boom")</f>
        <v>8890000000</v>
      </c>
    </row>
    <row r="140" spans="3:6" ht="15" customHeight="1" x14ac:dyDescent="0.45">
      <c r="E140" s="5">
        <v>0.35</v>
      </c>
      <c r="F140" s="1">
        <f>_xll.MC_NodeProbability(_MC_Calc_1,"T_infra_boom_stable")</f>
        <v>6.9999999999999993E-2</v>
      </c>
    </row>
    <row r="141" spans="3:6" ht="15" customHeight="1" x14ac:dyDescent="0.45">
      <c r="E141" s="7">
        <v>9200000000</v>
      </c>
      <c r="F141" s="6">
        <f>_xll.MC_NodeValue(_MC_Calc_1,"T_infra_boom_stable")</f>
        <v>9150000000</v>
      </c>
    </row>
    <row r="142" spans="3:6" ht="15" customHeight="1" x14ac:dyDescent="0.45">
      <c r="E142" s="5">
        <v>0.15</v>
      </c>
      <c r="F142" s="1">
        <f>_xll.MC_NodeProbability(_MC_Calc_1,"T_infra_boom_falling")</f>
        <v>0.03</v>
      </c>
    </row>
    <row r="143" spans="3:6" ht="15" customHeight="1" x14ac:dyDescent="0.45">
      <c r="E143" s="7">
        <v>9800000000</v>
      </c>
      <c r="F143" s="6">
        <f>_xll.MC_NodeValue(_MC_Calc_1,"T_infra_boom_falling")</f>
        <v>9750000000</v>
      </c>
    </row>
    <row r="144" spans="3:6" ht="15" customHeight="1" x14ac:dyDescent="0.45">
      <c r="C144" s="4" t="str">
        <f>_xll.MC_NodeDecision(_MC_Calc_1,"C_econ_infra")</f>
        <v/>
      </c>
      <c r="D144" s="2" t="s">
        <v>2</v>
      </c>
    </row>
    <row r="145" spans="3:7" ht="15" customHeight="1" x14ac:dyDescent="0.45">
      <c r="C145" s="7">
        <f>-InfrastructureheavyCost</f>
        <v>-50000000</v>
      </c>
      <c r="D145" s="6">
        <f>_xll.MC_NodeValue(_MC_Calc_1,"C_econ_infra")</f>
        <v>6886750000</v>
      </c>
    </row>
    <row r="146" spans="3:7" ht="15" customHeight="1" x14ac:dyDescent="0.45">
      <c r="E146" s="5">
        <v>0.35</v>
      </c>
      <c r="F146" s="1">
        <f>_xll.MC_NodeProbability(_MC_Calc_1,"T_infra_norm_rising")</f>
        <v>0.13999999999999999</v>
      </c>
    </row>
    <row r="147" spans="3:7" ht="15" customHeight="1" x14ac:dyDescent="0.45">
      <c r="E147" s="7">
        <v>7000000000</v>
      </c>
      <c r="F147" s="6">
        <f>_xll.MC_NodeValue(_MC_Calc_1,"T_infra_norm_rising")</f>
        <v>6950000000</v>
      </c>
    </row>
    <row r="148" spans="3:7" ht="15" customHeight="1" x14ac:dyDescent="0.45">
      <c r="D148" s="5">
        <v>0.4</v>
      </c>
      <c r="E148" s="2" t="s">
        <v>3</v>
      </c>
    </row>
    <row r="149" spans="3:7" ht="15" customHeight="1" x14ac:dyDescent="0.45">
      <c r="D149" s="7">
        <v>0</v>
      </c>
      <c r="E149" s="6">
        <f>_xll.MC_NodeValue(_MC_Calc_1,"C_rates_infra_normal")</f>
        <v>7450000000</v>
      </c>
    </row>
    <row r="150" spans="3:7" ht="15" customHeight="1" x14ac:dyDescent="0.45">
      <c r="E150" s="5">
        <v>0.4</v>
      </c>
      <c r="F150" s="1">
        <f>_xll.MC_NodeProbability(_MC_Calc_1,"T_infra_norm_stable")</f>
        <v>0.16000000000000003</v>
      </c>
    </row>
    <row r="151" spans="3:7" ht="15" customHeight="1" x14ac:dyDescent="0.45">
      <c r="E151" s="7">
        <v>7500000000</v>
      </c>
      <c r="F151" s="6">
        <f>_xll.MC_NodeValue(_MC_Calc_1,"T_infra_norm_stable")</f>
        <v>7450000000</v>
      </c>
    </row>
    <row r="152" spans="3:7" ht="15" customHeight="1" x14ac:dyDescent="0.45">
      <c r="E152" s="5">
        <v>0.25</v>
      </c>
      <c r="F152" s="1">
        <f>_xll.MC_NodeProbability(_MC_Calc_1,"T_infra_norm_falling")</f>
        <v>0.1</v>
      </c>
    </row>
    <row r="153" spans="3:7" ht="15" customHeight="1" x14ac:dyDescent="0.45">
      <c r="E153" s="7">
        <v>8200000000</v>
      </c>
      <c r="F153" s="6">
        <f>_xll.MC_NodeValue(_MC_Calc_1,"T_infra_norm_falling")</f>
        <v>8150000000</v>
      </c>
    </row>
    <row r="154" spans="3:7" ht="15" customHeight="1" x14ac:dyDescent="0.45">
      <c r="F154" s="5">
        <v>0.5</v>
      </c>
      <c r="G154" s="1">
        <f>_xll.MC_NodeProbability(_MC_Calc_1,"T_infra_hold_stable")</f>
        <v>0.125</v>
      </c>
    </row>
    <row r="155" spans="3:7" ht="15" customHeight="1" x14ac:dyDescent="0.45">
      <c r="F155" s="7">
        <v>6000000000</v>
      </c>
      <c r="G155" s="6">
        <f>_xll.MC_NodeValue(_MC_Calc_1,"T_infra_hold_stable")</f>
        <v>5950000000</v>
      </c>
    </row>
    <row r="156" spans="3:7" ht="15" customHeight="1" x14ac:dyDescent="0.45">
      <c r="E156" s="4" t="str">
        <f>_xll.MC_NodeDecision(_MC_Calc_1,"C_geo_infra_hold")</f>
        <v/>
      </c>
      <c r="F156" s="2" t="s">
        <v>4</v>
      </c>
    </row>
    <row r="157" spans="3:7" ht="15" customHeight="1" x14ac:dyDescent="0.45">
      <c r="E157" s="7">
        <v>0</v>
      </c>
      <c r="F157" s="6">
        <f>_xll.MC_NodeValue(_MC_Calc_1,"C_geo_infra_hold")</f>
        <v>5370000000</v>
      </c>
    </row>
    <row r="158" spans="3:7" ht="15" customHeight="1" x14ac:dyDescent="0.45">
      <c r="F158" s="5">
        <v>0.35</v>
      </c>
      <c r="G158" s="1">
        <f>_xll.MC_NodeProbability(_MC_Calc_1,"T_infra_hold_tension")</f>
        <v>8.7499999999999994E-2</v>
      </c>
    </row>
    <row r="159" spans="3:7" ht="15" customHeight="1" x14ac:dyDescent="0.45">
      <c r="F159" s="7">
        <v>5200000000</v>
      </c>
      <c r="G159" s="6">
        <f>_xll.MC_NodeValue(_MC_Calc_1,"T_infra_hold_tension")</f>
        <v>5150000000</v>
      </c>
    </row>
    <row r="160" spans="3:7" ht="15" customHeight="1" x14ac:dyDescent="0.45">
      <c r="F160" s="5">
        <v>0.15</v>
      </c>
      <c r="G160" s="1">
        <f>_xll.MC_NodeProbability(_MC_Calc_1,"T_infra_hold_disruption")</f>
        <v>3.7499999999999999E-2</v>
      </c>
    </row>
    <row r="161" spans="4:7" ht="15" customHeight="1" x14ac:dyDescent="0.45">
      <c r="F161" s="7">
        <v>4000000000</v>
      </c>
      <c r="G161" s="6">
        <f>_xll.MC_NodeValue(_MC_Calc_1,"T_infra_hold_disruption")</f>
        <v>3950000000</v>
      </c>
    </row>
    <row r="162" spans="4:7" ht="15" customHeight="1" x14ac:dyDescent="0.45">
      <c r="D162" s="5">
        <v>0.25</v>
      </c>
      <c r="E162" s="3" t="s">
        <v>9</v>
      </c>
    </row>
    <row r="163" spans="4:7" ht="15" customHeight="1" x14ac:dyDescent="0.45">
      <c r="D163" s="7">
        <v>0</v>
      </c>
      <c r="E163" s="6">
        <f>_xll.MC_NodeValue(_MC_Calc_1,"D_infra_recession")</f>
        <v>6205000000</v>
      </c>
    </row>
    <row r="164" spans="4:7" ht="15" customHeight="1" x14ac:dyDescent="0.45">
      <c r="E164" s="4" t="str">
        <f>_xll.MC_NodeDecision(_MC_Calc_1,"T_infra_fire_sale")</f>
        <v/>
      </c>
      <c r="F164" s="1">
        <f>_xll.MC_NodeProbability(_MC_Calc_1,"T_infra_fire_sale")</f>
        <v>0.25</v>
      </c>
    </row>
    <row r="165" spans="4:7" ht="15" customHeight="1" x14ac:dyDescent="0.45">
      <c r="E165" s="7">
        <f>SellAtDiscountValue</f>
        <v>4000000000</v>
      </c>
      <c r="F165" s="6">
        <f>_xll.MC_NodeValue(_MC_Calc_1,"T_infra_fire_sale")</f>
        <v>3950000000</v>
      </c>
    </row>
    <row r="166" spans="4:7" ht="15" customHeight="1" x14ac:dyDescent="0.45">
      <c r="F166" s="5">
        <v>0.5</v>
      </c>
      <c r="G166" s="1">
        <f>_xll.MC_NodeProbability(_MC_Calc_1,"T_infra_double_stable")</f>
        <v>0.125</v>
      </c>
    </row>
    <row r="167" spans="4:7" ht="15" customHeight="1" x14ac:dyDescent="0.45">
      <c r="F167" s="7">
        <v>8000000000</v>
      </c>
      <c r="G167" s="6">
        <f>_xll.MC_NodeValue(_MC_Calc_1,"T_infra_double_stable")</f>
        <v>7800000000</v>
      </c>
    </row>
    <row r="168" spans="4:7" ht="15" customHeight="1" x14ac:dyDescent="0.45">
      <c r="E168" s="4" t="str">
        <f>_xll.MC_NodeDecision(_MC_Calc_1,"C_geo_infra_double")</f>
        <v>optimal</v>
      </c>
      <c r="F168" s="2" t="s">
        <v>4</v>
      </c>
    </row>
    <row r="169" spans="4:7" ht="15" customHeight="1" x14ac:dyDescent="0.45">
      <c r="E169" s="7">
        <f>-DoubleDownOnInfraCost</f>
        <v>-150000000</v>
      </c>
      <c r="F169" s="6">
        <f>_xll.MC_NodeValue(_MC_Calc_1,"C_geo_infra_double")</f>
        <v>6205000000</v>
      </c>
    </row>
    <row r="170" spans="4:7" ht="15" customHeight="1" x14ac:dyDescent="0.45">
      <c r="F170" s="5">
        <v>0.35</v>
      </c>
      <c r="G170" s="1">
        <f>_xll.MC_NodeProbability(_MC_Calc_1,"T_infra_double_tension")</f>
        <v>8.7499999999999994E-2</v>
      </c>
    </row>
    <row r="171" spans="4:7" ht="15" customHeight="1" x14ac:dyDescent="0.45">
      <c r="F171" s="7">
        <v>5500000000</v>
      </c>
      <c r="G171" s="6">
        <f>_xll.MC_NodeValue(_MC_Calc_1,"T_infra_double_tension")</f>
        <v>5300000000</v>
      </c>
    </row>
    <row r="172" spans="4:7" ht="15" customHeight="1" x14ac:dyDescent="0.45">
      <c r="F172" s="5">
        <v>0.15</v>
      </c>
      <c r="G172" s="1">
        <f>_xll.MC_NodeProbability(_MC_Calc_1,"T_infra_double_disruption")</f>
        <v>3.7499999999999999E-2</v>
      </c>
    </row>
    <row r="173" spans="4:7" ht="15" customHeight="1" x14ac:dyDescent="0.45">
      <c r="F173" s="7">
        <v>3200000000</v>
      </c>
      <c r="G173" s="6">
        <f>_xll.MC_NodeValue(_MC_Calc_1,"T_infra_double_disruption")</f>
        <v>3000000000</v>
      </c>
    </row>
    <row r="174" spans="4:7" ht="15" customHeight="1" x14ac:dyDescent="0.45">
      <c r="E174" s="5">
        <v>0.4</v>
      </c>
      <c r="F174" s="1">
        <f>_xll.MC_NodeProbability(_MC_Calc_1,"T_infra_crisis_stable")</f>
        <v>0.06</v>
      </c>
    </row>
    <row r="175" spans="4:7" ht="15" customHeight="1" x14ac:dyDescent="0.45">
      <c r="E175" s="7">
        <v>4500000000</v>
      </c>
      <c r="F175" s="6">
        <f>_xll.MC_NodeValue(_MC_Calc_1,"T_infra_crisis_stable")</f>
        <v>4450000000</v>
      </c>
    </row>
    <row r="176" spans="4:7" ht="15" customHeight="1" x14ac:dyDescent="0.45">
      <c r="D176" s="5">
        <v>0.15</v>
      </c>
      <c r="E176" s="2" t="s">
        <v>6</v>
      </c>
    </row>
    <row r="177" spans="4:6" ht="15" customHeight="1" x14ac:dyDescent="0.45">
      <c r="D177" s="7">
        <v>0</v>
      </c>
      <c r="E177" s="6">
        <f>_xll.MC_NodeValue(_MC_Calc_1,"C_geo_infra_crisis")</f>
        <v>3850000000</v>
      </c>
    </row>
    <row r="178" spans="4:6" ht="15" customHeight="1" x14ac:dyDescent="0.45">
      <c r="E178" s="5">
        <v>0.6</v>
      </c>
      <c r="F178" s="1">
        <f>_xll.MC_NodeProbability(_MC_Calc_1,"T_infra_crisis_unstable")</f>
        <v>0.09</v>
      </c>
    </row>
    <row r="179" spans="4:6" ht="15" customHeight="1" x14ac:dyDescent="0.45">
      <c r="E179" s="7">
        <v>3500000000</v>
      </c>
      <c r="F179" s="6">
        <f>_xll.MC_NodeValue(_MC_Calc_1,"T_infra_crisis_unstable")</f>
        <v>3450000000</v>
      </c>
    </row>
    <row r="180" spans="4:6" ht="15" customHeight="1" x14ac:dyDescent="0.45"/>
    <row r="181" spans="4:6" ht="15" customHeight="1" x14ac:dyDescent="0.45"/>
    <row r="182" spans="4:6" ht="15" customHeight="1" x14ac:dyDescent="0.4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324</vt:i4>
      </vt:variant>
    </vt:vector>
  </HeadingPairs>
  <TitlesOfParts>
    <vt:vector size="326" baseType="lpstr">
      <vt:lpstr>Problem</vt:lpstr>
      <vt:lpstr>MC_Tree_1</vt:lpstr>
      <vt:lpstr>_MC_Calc_1</vt:lpstr>
      <vt:lpstr>DoubleDownOnInfraCost</vt:lpstr>
      <vt:lpstr>InfrastructureheavyCost</vt:lpstr>
      <vt:lpstr>MC_Tree_1!MC_BD_D_infra_recession_C_geo_infra_double</vt:lpstr>
      <vt:lpstr>MC_Tree_1!MC_BD_D_infra_recession_C_geo_infra_hold</vt:lpstr>
      <vt:lpstr>MC_Tree_1!MC_BD_D_infra_recession_T_infra_fire_sale</vt:lpstr>
      <vt:lpstr>MC_Tree_1!MC_BD_D_recession_response_C_geo_opportunistic</vt:lpstr>
      <vt:lpstr>MC_Tree_1!MC_BD_D_recession_response_C_geo_rebal_def</vt:lpstr>
      <vt:lpstr>MC_Tree_1!MC_BD_D_recession_response_C_geo_stay_course</vt:lpstr>
      <vt:lpstr>MC_Tree_1!MC_BD_D_root_C_econ_balanced</vt:lpstr>
      <vt:lpstr>MC_Tree_1!MC_BD_D_root_C_econ_defensive</vt:lpstr>
      <vt:lpstr>MC_Tree_1!MC_BD_D_root_C_econ_growth</vt:lpstr>
      <vt:lpstr>MC_Tree_1!MC_BD_D_root_C_econ_infra</vt:lpstr>
      <vt:lpstr>MC_Tree_1!MC_BP_C_econ_balanced_C_geo_bal_crisis</vt:lpstr>
      <vt:lpstr>MC_Tree_1!MC_BP_C_econ_balanced_C_rates_bal_boom</vt:lpstr>
      <vt:lpstr>MC_Tree_1!MC_BP_C_econ_balanced_C_rates_bal_normal</vt:lpstr>
      <vt:lpstr>MC_Tree_1!MC_BP_C_econ_balanced_C_rates_bal_recession</vt:lpstr>
      <vt:lpstr>MC_Tree_1!MC_BP_C_econ_defensive_C_geo_def_crisis</vt:lpstr>
      <vt:lpstr>MC_Tree_1!MC_BP_C_econ_defensive_C_rates_def_boom</vt:lpstr>
      <vt:lpstr>MC_Tree_1!MC_BP_C_econ_defensive_C_rates_def_normal</vt:lpstr>
      <vt:lpstr>MC_Tree_1!MC_BP_C_econ_defensive_C_rates_def_recession</vt:lpstr>
      <vt:lpstr>MC_Tree_1!MC_BP_C_econ_growth_C_geo_growth_crisis</vt:lpstr>
      <vt:lpstr>MC_Tree_1!MC_BP_C_econ_growth_C_rates_growth_boom</vt:lpstr>
      <vt:lpstr>MC_Tree_1!MC_BP_C_econ_growth_C_rates_growth_normal</vt:lpstr>
      <vt:lpstr>MC_Tree_1!MC_BP_C_econ_growth_D_recession_response</vt:lpstr>
      <vt:lpstr>MC_Tree_1!MC_BP_C_econ_infra_C_geo_infra_crisis</vt:lpstr>
      <vt:lpstr>MC_Tree_1!MC_BP_C_econ_infra_C_rates_infra_boom</vt:lpstr>
      <vt:lpstr>MC_Tree_1!MC_BP_C_econ_infra_C_rates_infra_normal</vt:lpstr>
      <vt:lpstr>MC_Tree_1!MC_BP_C_econ_infra_D_infra_recession</vt:lpstr>
      <vt:lpstr>MC_Tree_1!MC_BP_C_geo_bal_crisis_T_bal_crisis_stable</vt:lpstr>
      <vt:lpstr>MC_Tree_1!MC_BP_C_geo_bal_crisis_T_bal_crisis_unstable</vt:lpstr>
      <vt:lpstr>MC_Tree_1!MC_BP_C_geo_def_crisis_T_def_crisis_stable</vt:lpstr>
      <vt:lpstr>MC_Tree_1!MC_BP_C_geo_def_crisis_T_def_crisis_unstable</vt:lpstr>
      <vt:lpstr>MC_Tree_1!MC_BP_C_geo_growth_crisis_T_growth_crisis_stable</vt:lpstr>
      <vt:lpstr>MC_Tree_1!MC_BP_C_geo_growth_crisis_T_growth_crisis_unstable</vt:lpstr>
      <vt:lpstr>MC_Tree_1!MC_BP_C_geo_infra_crisis_T_infra_crisis_stable</vt:lpstr>
      <vt:lpstr>MC_Tree_1!MC_BP_C_geo_infra_crisis_T_infra_crisis_unstable</vt:lpstr>
      <vt:lpstr>MC_Tree_1!MC_BP_C_geo_infra_double_T_infra_double_disruption</vt:lpstr>
      <vt:lpstr>MC_Tree_1!MC_BP_C_geo_infra_double_T_infra_double_stable</vt:lpstr>
      <vt:lpstr>MC_Tree_1!MC_BP_C_geo_infra_double_T_infra_double_tension</vt:lpstr>
      <vt:lpstr>MC_Tree_1!MC_BP_C_geo_infra_hold_T_infra_hold_disruption</vt:lpstr>
      <vt:lpstr>MC_Tree_1!MC_BP_C_geo_infra_hold_T_infra_hold_stable</vt:lpstr>
      <vt:lpstr>MC_Tree_1!MC_BP_C_geo_infra_hold_T_infra_hold_tension</vt:lpstr>
      <vt:lpstr>MC_Tree_1!MC_BP_C_geo_opportunistic_T_opp_disruption</vt:lpstr>
      <vt:lpstr>MC_Tree_1!MC_BP_C_geo_opportunistic_T_opp_stable</vt:lpstr>
      <vt:lpstr>MC_Tree_1!MC_BP_C_geo_opportunistic_T_opp_tension</vt:lpstr>
      <vt:lpstr>MC_Tree_1!MC_BP_C_geo_rebal_def_T_rebal_disruption</vt:lpstr>
      <vt:lpstr>MC_Tree_1!MC_BP_C_geo_rebal_def_T_rebal_stable</vt:lpstr>
      <vt:lpstr>MC_Tree_1!MC_BP_C_geo_rebal_def_T_rebal_tension</vt:lpstr>
      <vt:lpstr>MC_Tree_1!MC_BP_C_geo_stay_course_T_stay_disruption</vt:lpstr>
      <vt:lpstr>MC_Tree_1!MC_BP_C_geo_stay_course_T_stay_stable</vt:lpstr>
      <vt:lpstr>MC_Tree_1!MC_BP_C_geo_stay_course_T_stay_tension</vt:lpstr>
      <vt:lpstr>MC_Tree_1!MC_BP_C_rates_bal_boom_T_bal_boom_falling</vt:lpstr>
      <vt:lpstr>MC_Tree_1!MC_BP_C_rates_bal_boom_T_bal_boom_rising</vt:lpstr>
      <vt:lpstr>MC_Tree_1!MC_BP_C_rates_bal_boom_T_bal_boom_stable</vt:lpstr>
      <vt:lpstr>MC_Tree_1!MC_BP_C_rates_bal_normal_T_bal_norm_falling</vt:lpstr>
      <vt:lpstr>MC_Tree_1!MC_BP_C_rates_bal_normal_T_bal_norm_rising</vt:lpstr>
      <vt:lpstr>MC_Tree_1!MC_BP_C_rates_bal_normal_T_bal_norm_stable</vt:lpstr>
      <vt:lpstr>MC_Tree_1!MC_BP_C_rates_bal_recession_T_bal_rec_falling</vt:lpstr>
      <vt:lpstr>MC_Tree_1!MC_BP_C_rates_bal_recession_T_bal_rec_rising</vt:lpstr>
      <vt:lpstr>MC_Tree_1!MC_BP_C_rates_bal_recession_T_bal_rec_stable</vt:lpstr>
      <vt:lpstr>MC_Tree_1!MC_BP_C_rates_def_boom_T_def_boom_falling</vt:lpstr>
      <vt:lpstr>MC_Tree_1!MC_BP_C_rates_def_boom_T_def_boom_rising</vt:lpstr>
      <vt:lpstr>MC_Tree_1!MC_BP_C_rates_def_boom_T_def_boom_stable</vt:lpstr>
      <vt:lpstr>MC_Tree_1!MC_BP_C_rates_def_normal_T_def_norm_falling</vt:lpstr>
      <vt:lpstr>MC_Tree_1!MC_BP_C_rates_def_normal_T_def_norm_rising</vt:lpstr>
      <vt:lpstr>MC_Tree_1!MC_BP_C_rates_def_normal_T_def_norm_stable</vt:lpstr>
      <vt:lpstr>MC_Tree_1!MC_BP_C_rates_def_recession_T_def_rec_falling</vt:lpstr>
      <vt:lpstr>MC_Tree_1!MC_BP_C_rates_def_recession_T_def_rec_rising</vt:lpstr>
      <vt:lpstr>MC_Tree_1!MC_BP_C_rates_def_recession_T_def_rec_stable</vt:lpstr>
      <vt:lpstr>MC_Tree_1!MC_BP_C_rates_growth_boom_T_growth_boom_falling</vt:lpstr>
      <vt:lpstr>MC_Tree_1!MC_BP_C_rates_growth_boom_T_growth_boom_rising</vt:lpstr>
      <vt:lpstr>MC_Tree_1!MC_BP_C_rates_growth_boom_T_growth_boom_stable</vt:lpstr>
      <vt:lpstr>MC_Tree_1!MC_BP_C_rates_growth_normal_T_growth_norm_falling</vt:lpstr>
      <vt:lpstr>MC_Tree_1!MC_BP_C_rates_growth_normal_T_growth_norm_rising</vt:lpstr>
      <vt:lpstr>MC_Tree_1!MC_BP_C_rates_growth_normal_T_growth_norm_stable</vt:lpstr>
      <vt:lpstr>MC_Tree_1!MC_BP_C_rates_infra_boom_T_infra_boom_falling</vt:lpstr>
      <vt:lpstr>MC_Tree_1!MC_BP_C_rates_infra_boom_T_infra_boom_rising</vt:lpstr>
      <vt:lpstr>MC_Tree_1!MC_BP_C_rates_infra_boom_T_infra_boom_stable</vt:lpstr>
      <vt:lpstr>MC_Tree_1!MC_BP_C_rates_infra_normal_T_infra_norm_falling</vt:lpstr>
      <vt:lpstr>MC_Tree_1!MC_BP_C_rates_infra_normal_T_infra_norm_rising</vt:lpstr>
      <vt:lpstr>MC_Tree_1!MC_BP_C_rates_infra_normal_T_infra_norm_stable</vt:lpstr>
      <vt:lpstr>MC_Tree_1!MC_BV_C_econ_balanced_C_geo_bal_crisis</vt:lpstr>
      <vt:lpstr>MC_Tree_1!MC_BV_C_econ_balanced_C_rates_bal_boom</vt:lpstr>
      <vt:lpstr>MC_Tree_1!MC_BV_C_econ_balanced_C_rates_bal_normal</vt:lpstr>
      <vt:lpstr>MC_Tree_1!MC_BV_C_econ_balanced_C_rates_bal_recession</vt:lpstr>
      <vt:lpstr>MC_Tree_1!MC_BV_C_econ_defensive_C_geo_def_crisis</vt:lpstr>
      <vt:lpstr>MC_Tree_1!MC_BV_C_econ_defensive_C_rates_def_boom</vt:lpstr>
      <vt:lpstr>MC_Tree_1!MC_BV_C_econ_defensive_C_rates_def_normal</vt:lpstr>
      <vt:lpstr>MC_Tree_1!MC_BV_C_econ_defensive_C_rates_def_recession</vt:lpstr>
      <vt:lpstr>MC_Tree_1!MC_BV_C_econ_growth_C_geo_growth_crisis</vt:lpstr>
      <vt:lpstr>MC_Tree_1!MC_BV_C_econ_growth_C_rates_growth_boom</vt:lpstr>
      <vt:lpstr>MC_Tree_1!MC_BV_C_econ_growth_C_rates_growth_normal</vt:lpstr>
      <vt:lpstr>MC_Tree_1!MC_BV_C_econ_growth_D_recession_response</vt:lpstr>
      <vt:lpstr>MC_Tree_1!MC_BV_C_econ_infra_C_geo_infra_crisis</vt:lpstr>
      <vt:lpstr>MC_Tree_1!MC_BV_C_econ_infra_C_rates_infra_boom</vt:lpstr>
      <vt:lpstr>MC_Tree_1!MC_BV_C_econ_infra_C_rates_infra_normal</vt:lpstr>
      <vt:lpstr>MC_Tree_1!MC_BV_C_econ_infra_D_infra_recession</vt:lpstr>
      <vt:lpstr>MC_Tree_1!MC_BV_C_geo_bal_crisis_T_bal_crisis_stable</vt:lpstr>
      <vt:lpstr>MC_Tree_1!MC_BV_C_geo_bal_crisis_T_bal_crisis_unstable</vt:lpstr>
      <vt:lpstr>MC_Tree_1!MC_BV_C_geo_def_crisis_T_def_crisis_stable</vt:lpstr>
      <vt:lpstr>MC_Tree_1!MC_BV_C_geo_def_crisis_T_def_crisis_unstable</vt:lpstr>
      <vt:lpstr>MC_Tree_1!MC_BV_C_geo_growth_crisis_T_growth_crisis_stable</vt:lpstr>
      <vt:lpstr>MC_Tree_1!MC_BV_C_geo_growth_crisis_T_growth_crisis_unstable</vt:lpstr>
      <vt:lpstr>MC_Tree_1!MC_BV_C_geo_infra_crisis_T_infra_crisis_stable</vt:lpstr>
      <vt:lpstr>MC_Tree_1!MC_BV_C_geo_infra_crisis_T_infra_crisis_unstable</vt:lpstr>
      <vt:lpstr>MC_Tree_1!MC_BV_C_geo_infra_double_T_infra_double_disruption</vt:lpstr>
      <vt:lpstr>MC_Tree_1!MC_BV_C_geo_infra_double_T_infra_double_stable</vt:lpstr>
      <vt:lpstr>MC_Tree_1!MC_BV_C_geo_infra_double_T_infra_double_tension</vt:lpstr>
      <vt:lpstr>MC_Tree_1!MC_BV_C_geo_infra_hold_T_infra_hold_disruption</vt:lpstr>
      <vt:lpstr>MC_Tree_1!MC_BV_C_geo_infra_hold_T_infra_hold_stable</vt:lpstr>
      <vt:lpstr>MC_Tree_1!MC_BV_C_geo_infra_hold_T_infra_hold_tension</vt:lpstr>
      <vt:lpstr>MC_Tree_1!MC_BV_C_geo_opportunistic_T_opp_disruption</vt:lpstr>
      <vt:lpstr>MC_Tree_1!MC_BV_C_geo_opportunistic_T_opp_stable</vt:lpstr>
      <vt:lpstr>MC_Tree_1!MC_BV_C_geo_opportunistic_T_opp_tension</vt:lpstr>
      <vt:lpstr>MC_Tree_1!MC_BV_C_geo_rebal_def_T_rebal_disruption</vt:lpstr>
      <vt:lpstr>MC_Tree_1!MC_BV_C_geo_rebal_def_T_rebal_stable</vt:lpstr>
      <vt:lpstr>MC_Tree_1!MC_BV_C_geo_rebal_def_T_rebal_tension</vt:lpstr>
      <vt:lpstr>MC_Tree_1!MC_BV_C_geo_stay_course_T_stay_disruption</vt:lpstr>
      <vt:lpstr>MC_Tree_1!MC_BV_C_geo_stay_course_T_stay_stable</vt:lpstr>
      <vt:lpstr>MC_Tree_1!MC_BV_C_geo_stay_course_T_stay_tension</vt:lpstr>
      <vt:lpstr>MC_Tree_1!MC_BV_C_rates_bal_boom_T_bal_boom_falling</vt:lpstr>
      <vt:lpstr>MC_Tree_1!MC_BV_C_rates_bal_boom_T_bal_boom_rising</vt:lpstr>
      <vt:lpstr>MC_Tree_1!MC_BV_C_rates_bal_boom_T_bal_boom_stable</vt:lpstr>
      <vt:lpstr>MC_Tree_1!MC_BV_C_rates_bal_normal_T_bal_norm_falling</vt:lpstr>
      <vt:lpstr>MC_Tree_1!MC_BV_C_rates_bal_normal_T_bal_norm_rising</vt:lpstr>
      <vt:lpstr>MC_Tree_1!MC_BV_C_rates_bal_normal_T_bal_norm_stable</vt:lpstr>
      <vt:lpstr>MC_Tree_1!MC_BV_C_rates_bal_recession_T_bal_rec_falling</vt:lpstr>
      <vt:lpstr>MC_Tree_1!MC_BV_C_rates_bal_recession_T_bal_rec_rising</vt:lpstr>
      <vt:lpstr>MC_Tree_1!MC_BV_C_rates_bal_recession_T_bal_rec_stable</vt:lpstr>
      <vt:lpstr>MC_Tree_1!MC_BV_C_rates_def_boom_T_def_boom_falling</vt:lpstr>
      <vt:lpstr>MC_Tree_1!MC_BV_C_rates_def_boom_T_def_boom_rising</vt:lpstr>
      <vt:lpstr>MC_Tree_1!MC_BV_C_rates_def_boom_T_def_boom_stable</vt:lpstr>
      <vt:lpstr>MC_Tree_1!MC_BV_C_rates_def_normal_T_def_norm_falling</vt:lpstr>
      <vt:lpstr>MC_Tree_1!MC_BV_C_rates_def_normal_T_def_norm_rising</vt:lpstr>
      <vt:lpstr>MC_Tree_1!MC_BV_C_rates_def_normal_T_def_norm_stable</vt:lpstr>
      <vt:lpstr>MC_Tree_1!MC_BV_C_rates_def_recession_T_def_rec_falling</vt:lpstr>
      <vt:lpstr>MC_Tree_1!MC_BV_C_rates_def_recession_T_def_rec_rising</vt:lpstr>
      <vt:lpstr>MC_Tree_1!MC_BV_C_rates_def_recession_T_def_rec_stable</vt:lpstr>
      <vt:lpstr>MC_Tree_1!MC_BV_C_rates_growth_boom_T_growth_boom_falling</vt:lpstr>
      <vt:lpstr>MC_Tree_1!MC_BV_C_rates_growth_boom_T_growth_boom_rising</vt:lpstr>
      <vt:lpstr>MC_Tree_1!MC_BV_C_rates_growth_boom_T_growth_boom_stable</vt:lpstr>
      <vt:lpstr>MC_Tree_1!MC_BV_C_rates_growth_normal_T_growth_norm_falling</vt:lpstr>
      <vt:lpstr>MC_Tree_1!MC_BV_C_rates_growth_normal_T_growth_norm_rising</vt:lpstr>
      <vt:lpstr>MC_Tree_1!MC_BV_C_rates_growth_normal_T_growth_norm_stable</vt:lpstr>
      <vt:lpstr>MC_Tree_1!MC_BV_C_rates_infra_boom_T_infra_boom_falling</vt:lpstr>
      <vt:lpstr>MC_Tree_1!MC_BV_C_rates_infra_boom_T_infra_boom_rising</vt:lpstr>
      <vt:lpstr>MC_Tree_1!MC_BV_C_rates_infra_boom_T_infra_boom_stable</vt:lpstr>
      <vt:lpstr>MC_Tree_1!MC_BV_C_rates_infra_normal_T_infra_norm_falling</vt:lpstr>
      <vt:lpstr>MC_Tree_1!MC_BV_C_rates_infra_normal_T_infra_norm_rising</vt:lpstr>
      <vt:lpstr>MC_Tree_1!MC_BV_C_rates_infra_normal_T_infra_norm_stable</vt:lpstr>
      <vt:lpstr>MC_Tree_1!MC_BV_D_infra_recession_C_geo_infra_double</vt:lpstr>
      <vt:lpstr>MC_Tree_1!MC_BV_D_infra_recession_C_geo_infra_hold</vt:lpstr>
      <vt:lpstr>MC_Tree_1!MC_BV_D_infra_recession_T_infra_fire_sale</vt:lpstr>
      <vt:lpstr>MC_Tree_1!MC_BV_D_recession_response_C_geo_opportunistic</vt:lpstr>
      <vt:lpstr>MC_Tree_1!MC_BV_D_recession_response_C_geo_rebal_def</vt:lpstr>
      <vt:lpstr>MC_Tree_1!MC_BV_D_recession_response_C_geo_stay_course</vt:lpstr>
      <vt:lpstr>MC_Tree_1!MC_BV_D_root_C_econ_balanced</vt:lpstr>
      <vt:lpstr>MC_Tree_1!MC_BV_D_root_C_econ_defensive</vt:lpstr>
      <vt:lpstr>MC_Tree_1!MC_BV_D_root_C_econ_growth</vt:lpstr>
      <vt:lpstr>MC_Tree_1!MC_BV_D_root_C_econ_infra</vt:lpstr>
      <vt:lpstr>MC_Tree_1!MC_N_C_econ_balanced</vt:lpstr>
      <vt:lpstr>MC_Tree_1!MC_N_C_econ_defensive</vt:lpstr>
      <vt:lpstr>MC_Tree_1!MC_N_C_econ_growth</vt:lpstr>
      <vt:lpstr>MC_Tree_1!MC_N_C_econ_infra</vt:lpstr>
      <vt:lpstr>MC_Tree_1!MC_N_C_geo_bal_crisis</vt:lpstr>
      <vt:lpstr>MC_Tree_1!MC_N_C_geo_def_crisis</vt:lpstr>
      <vt:lpstr>MC_Tree_1!MC_N_C_geo_growth_crisis</vt:lpstr>
      <vt:lpstr>MC_Tree_1!MC_N_C_geo_infra_crisis</vt:lpstr>
      <vt:lpstr>MC_Tree_1!MC_N_C_geo_infra_double</vt:lpstr>
      <vt:lpstr>MC_Tree_1!MC_N_C_geo_infra_hold</vt:lpstr>
      <vt:lpstr>MC_Tree_1!MC_N_C_geo_opportunistic</vt:lpstr>
      <vt:lpstr>MC_Tree_1!MC_N_C_geo_rebal_def</vt:lpstr>
      <vt:lpstr>MC_Tree_1!MC_N_C_geo_stay_course</vt:lpstr>
      <vt:lpstr>MC_Tree_1!MC_N_C_rates_bal_boom</vt:lpstr>
      <vt:lpstr>MC_Tree_1!MC_N_C_rates_bal_normal</vt:lpstr>
      <vt:lpstr>MC_Tree_1!MC_N_C_rates_bal_recession</vt:lpstr>
      <vt:lpstr>MC_Tree_1!MC_N_C_rates_def_boom</vt:lpstr>
      <vt:lpstr>MC_Tree_1!MC_N_C_rates_def_normal</vt:lpstr>
      <vt:lpstr>MC_Tree_1!MC_N_C_rates_def_recession</vt:lpstr>
      <vt:lpstr>MC_Tree_1!MC_N_C_rates_growth_boom</vt:lpstr>
      <vt:lpstr>MC_Tree_1!MC_N_C_rates_growth_normal</vt:lpstr>
      <vt:lpstr>MC_Tree_1!MC_N_C_rates_infra_boom</vt:lpstr>
      <vt:lpstr>MC_Tree_1!MC_N_C_rates_infra_normal</vt:lpstr>
      <vt:lpstr>MC_Tree_1!MC_N_D_infra_recession</vt:lpstr>
      <vt:lpstr>MC_Tree_1!MC_N_D_recession_response</vt:lpstr>
      <vt:lpstr>MC_Tree_1!MC_N_D_root</vt:lpstr>
      <vt:lpstr>MC_Tree_1!MC_NP_T_bal_boom_falling</vt:lpstr>
      <vt:lpstr>MC_Tree_1!MC_NP_T_bal_boom_rising</vt:lpstr>
      <vt:lpstr>MC_Tree_1!MC_NP_T_bal_boom_stable</vt:lpstr>
      <vt:lpstr>MC_Tree_1!MC_NP_T_bal_crisis_stable</vt:lpstr>
      <vt:lpstr>MC_Tree_1!MC_NP_T_bal_crisis_unstable</vt:lpstr>
      <vt:lpstr>MC_Tree_1!MC_NP_T_bal_norm_falling</vt:lpstr>
      <vt:lpstr>MC_Tree_1!MC_NP_T_bal_norm_rising</vt:lpstr>
      <vt:lpstr>MC_Tree_1!MC_NP_T_bal_norm_stable</vt:lpstr>
      <vt:lpstr>MC_Tree_1!MC_NP_T_bal_rec_falling</vt:lpstr>
      <vt:lpstr>MC_Tree_1!MC_NP_T_bal_rec_rising</vt:lpstr>
      <vt:lpstr>MC_Tree_1!MC_NP_T_bal_rec_stable</vt:lpstr>
      <vt:lpstr>MC_Tree_1!MC_NP_T_def_boom_falling</vt:lpstr>
      <vt:lpstr>MC_Tree_1!MC_NP_T_def_boom_rising</vt:lpstr>
      <vt:lpstr>MC_Tree_1!MC_NP_T_def_boom_stable</vt:lpstr>
      <vt:lpstr>MC_Tree_1!MC_NP_T_def_crisis_stable</vt:lpstr>
      <vt:lpstr>MC_Tree_1!MC_NP_T_def_crisis_unstable</vt:lpstr>
      <vt:lpstr>MC_Tree_1!MC_NP_T_def_norm_falling</vt:lpstr>
      <vt:lpstr>MC_Tree_1!MC_NP_T_def_norm_rising</vt:lpstr>
      <vt:lpstr>MC_Tree_1!MC_NP_T_def_norm_stable</vt:lpstr>
      <vt:lpstr>MC_Tree_1!MC_NP_T_def_rec_falling</vt:lpstr>
      <vt:lpstr>MC_Tree_1!MC_NP_T_def_rec_rising</vt:lpstr>
      <vt:lpstr>MC_Tree_1!MC_NP_T_def_rec_stable</vt:lpstr>
      <vt:lpstr>MC_Tree_1!MC_NP_T_growth_boom_falling</vt:lpstr>
      <vt:lpstr>MC_Tree_1!MC_NP_T_growth_boom_rising</vt:lpstr>
      <vt:lpstr>MC_Tree_1!MC_NP_T_growth_boom_stable</vt:lpstr>
      <vt:lpstr>MC_Tree_1!MC_NP_T_growth_crisis_stable</vt:lpstr>
      <vt:lpstr>MC_Tree_1!MC_NP_T_growth_crisis_unstable</vt:lpstr>
      <vt:lpstr>MC_Tree_1!MC_NP_T_growth_norm_falling</vt:lpstr>
      <vt:lpstr>MC_Tree_1!MC_NP_T_growth_norm_rising</vt:lpstr>
      <vt:lpstr>MC_Tree_1!MC_NP_T_growth_norm_stable</vt:lpstr>
      <vt:lpstr>MC_Tree_1!MC_NP_T_infra_boom_falling</vt:lpstr>
      <vt:lpstr>MC_Tree_1!MC_NP_T_infra_boom_rising</vt:lpstr>
      <vt:lpstr>MC_Tree_1!MC_NP_T_infra_boom_stable</vt:lpstr>
      <vt:lpstr>MC_Tree_1!MC_NP_T_infra_crisis_stable</vt:lpstr>
      <vt:lpstr>MC_Tree_1!MC_NP_T_infra_crisis_unstable</vt:lpstr>
      <vt:lpstr>MC_Tree_1!MC_NP_T_infra_double_disruption</vt:lpstr>
      <vt:lpstr>MC_Tree_1!MC_NP_T_infra_double_stable</vt:lpstr>
      <vt:lpstr>MC_Tree_1!MC_NP_T_infra_double_tension</vt:lpstr>
      <vt:lpstr>MC_Tree_1!MC_NP_T_infra_fire_sale</vt:lpstr>
      <vt:lpstr>MC_Tree_1!MC_NP_T_infra_hold_disruption</vt:lpstr>
      <vt:lpstr>MC_Tree_1!MC_NP_T_infra_hold_stable</vt:lpstr>
      <vt:lpstr>MC_Tree_1!MC_NP_T_infra_hold_tension</vt:lpstr>
      <vt:lpstr>MC_Tree_1!MC_NP_T_infra_norm_falling</vt:lpstr>
      <vt:lpstr>MC_Tree_1!MC_NP_T_infra_norm_rising</vt:lpstr>
      <vt:lpstr>MC_Tree_1!MC_NP_T_infra_norm_stable</vt:lpstr>
      <vt:lpstr>MC_Tree_1!MC_NP_T_opp_disruption</vt:lpstr>
      <vt:lpstr>MC_Tree_1!MC_NP_T_opp_stable</vt:lpstr>
      <vt:lpstr>MC_Tree_1!MC_NP_T_opp_tension</vt:lpstr>
      <vt:lpstr>MC_Tree_1!MC_NP_T_rebal_disruption</vt:lpstr>
      <vt:lpstr>MC_Tree_1!MC_NP_T_rebal_stable</vt:lpstr>
      <vt:lpstr>MC_Tree_1!MC_NP_T_rebal_tension</vt:lpstr>
      <vt:lpstr>MC_Tree_1!MC_NP_T_stay_disruption</vt:lpstr>
      <vt:lpstr>MC_Tree_1!MC_NP_T_stay_stable</vt:lpstr>
      <vt:lpstr>MC_Tree_1!MC_NP_T_stay_tension</vt:lpstr>
      <vt:lpstr>MC_Tree_1!MC_V_C_econ_balanced</vt:lpstr>
      <vt:lpstr>MC_Tree_1!MC_V_C_econ_defensive</vt:lpstr>
      <vt:lpstr>MC_Tree_1!MC_V_C_econ_growth</vt:lpstr>
      <vt:lpstr>MC_Tree_1!MC_V_C_econ_infra</vt:lpstr>
      <vt:lpstr>MC_Tree_1!MC_V_C_geo_bal_crisis</vt:lpstr>
      <vt:lpstr>MC_Tree_1!MC_V_C_geo_def_crisis</vt:lpstr>
      <vt:lpstr>MC_Tree_1!MC_V_C_geo_growth_crisis</vt:lpstr>
      <vt:lpstr>MC_Tree_1!MC_V_C_geo_infra_crisis</vt:lpstr>
      <vt:lpstr>MC_Tree_1!MC_V_C_geo_infra_double</vt:lpstr>
      <vt:lpstr>MC_Tree_1!MC_V_C_geo_infra_hold</vt:lpstr>
      <vt:lpstr>MC_Tree_1!MC_V_C_geo_opportunistic</vt:lpstr>
      <vt:lpstr>MC_Tree_1!MC_V_C_geo_rebal_def</vt:lpstr>
      <vt:lpstr>MC_Tree_1!MC_V_C_geo_stay_course</vt:lpstr>
      <vt:lpstr>MC_Tree_1!MC_V_C_rates_bal_boom</vt:lpstr>
      <vt:lpstr>MC_Tree_1!MC_V_C_rates_bal_normal</vt:lpstr>
      <vt:lpstr>MC_Tree_1!MC_V_C_rates_bal_recession</vt:lpstr>
      <vt:lpstr>MC_Tree_1!MC_V_C_rates_def_boom</vt:lpstr>
      <vt:lpstr>MC_Tree_1!MC_V_C_rates_def_normal</vt:lpstr>
      <vt:lpstr>MC_Tree_1!MC_V_C_rates_def_recession</vt:lpstr>
      <vt:lpstr>MC_Tree_1!MC_V_C_rates_growth_boom</vt:lpstr>
      <vt:lpstr>MC_Tree_1!MC_V_C_rates_growth_normal</vt:lpstr>
      <vt:lpstr>MC_Tree_1!MC_V_C_rates_infra_boom</vt:lpstr>
      <vt:lpstr>MC_Tree_1!MC_V_C_rates_infra_normal</vt:lpstr>
      <vt:lpstr>MC_Tree_1!MC_V_D_infra_recession</vt:lpstr>
      <vt:lpstr>MC_Tree_1!MC_V_D_recession_response</vt:lpstr>
      <vt:lpstr>MC_Tree_1!MC_V_D_root</vt:lpstr>
      <vt:lpstr>MC_Tree_1!MC_V_T_bal_boom_falling</vt:lpstr>
      <vt:lpstr>MC_Tree_1!MC_V_T_bal_boom_rising</vt:lpstr>
      <vt:lpstr>MC_Tree_1!MC_V_T_bal_boom_stable</vt:lpstr>
      <vt:lpstr>MC_Tree_1!MC_V_T_bal_crisis_stable</vt:lpstr>
      <vt:lpstr>MC_Tree_1!MC_V_T_bal_crisis_unstable</vt:lpstr>
      <vt:lpstr>MC_Tree_1!MC_V_T_bal_norm_falling</vt:lpstr>
      <vt:lpstr>MC_Tree_1!MC_V_T_bal_norm_rising</vt:lpstr>
      <vt:lpstr>MC_Tree_1!MC_V_T_bal_norm_stable</vt:lpstr>
      <vt:lpstr>MC_Tree_1!MC_V_T_bal_rec_falling</vt:lpstr>
      <vt:lpstr>MC_Tree_1!MC_V_T_bal_rec_rising</vt:lpstr>
      <vt:lpstr>MC_Tree_1!MC_V_T_bal_rec_stable</vt:lpstr>
      <vt:lpstr>MC_Tree_1!MC_V_T_def_boom_falling</vt:lpstr>
      <vt:lpstr>MC_Tree_1!MC_V_T_def_boom_rising</vt:lpstr>
      <vt:lpstr>MC_Tree_1!MC_V_T_def_boom_stable</vt:lpstr>
      <vt:lpstr>MC_Tree_1!MC_V_T_def_crisis_stable</vt:lpstr>
      <vt:lpstr>MC_Tree_1!MC_V_T_def_crisis_unstable</vt:lpstr>
      <vt:lpstr>MC_Tree_1!MC_V_T_def_norm_falling</vt:lpstr>
      <vt:lpstr>MC_Tree_1!MC_V_T_def_norm_rising</vt:lpstr>
      <vt:lpstr>MC_Tree_1!MC_V_T_def_norm_stable</vt:lpstr>
      <vt:lpstr>MC_Tree_1!MC_V_T_def_rec_falling</vt:lpstr>
      <vt:lpstr>MC_Tree_1!MC_V_T_def_rec_rising</vt:lpstr>
      <vt:lpstr>MC_Tree_1!MC_V_T_def_rec_stable</vt:lpstr>
      <vt:lpstr>MC_Tree_1!MC_V_T_growth_boom_falling</vt:lpstr>
      <vt:lpstr>MC_Tree_1!MC_V_T_growth_boom_rising</vt:lpstr>
      <vt:lpstr>MC_Tree_1!MC_V_T_growth_boom_stable</vt:lpstr>
      <vt:lpstr>MC_Tree_1!MC_V_T_growth_crisis_stable</vt:lpstr>
      <vt:lpstr>MC_Tree_1!MC_V_T_growth_crisis_unstable</vt:lpstr>
      <vt:lpstr>MC_Tree_1!MC_V_T_growth_norm_falling</vt:lpstr>
      <vt:lpstr>MC_Tree_1!MC_V_T_growth_norm_rising</vt:lpstr>
      <vt:lpstr>MC_Tree_1!MC_V_T_growth_norm_stable</vt:lpstr>
      <vt:lpstr>MC_Tree_1!MC_V_T_infra_boom_falling</vt:lpstr>
      <vt:lpstr>MC_Tree_1!MC_V_T_infra_boom_rising</vt:lpstr>
      <vt:lpstr>MC_Tree_1!MC_V_T_infra_boom_stable</vt:lpstr>
      <vt:lpstr>MC_Tree_1!MC_V_T_infra_crisis_stable</vt:lpstr>
      <vt:lpstr>MC_Tree_1!MC_V_T_infra_crisis_unstable</vt:lpstr>
      <vt:lpstr>MC_Tree_1!MC_V_T_infra_double_disruption</vt:lpstr>
      <vt:lpstr>MC_Tree_1!MC_V_T_infra_double_stable</vt:lpstr>
      <vt:lpstr>MC_Tree_1!MC_V_T_infra_double_tension</vt:lpstr>
      <vt:lpstr>MC_Tree_1!MC_V_T_infra_fire_sale</vt:lpstr>
      <vt:lpstr>MC_Tree_1!MC_V_T_infra_hold_disruption</vt:lpstr>
      <vt:lpstr>MC_Tree_1!MC_V_T_infra_hold_stable</vt:lpstr>
      <vt:lpstr>MC_Tree_1!MC_V_T_infra_hold_tension</vt:lpstr>
      <vt:lpstr>MC_Tree_1!MC_V_T_infra_norm_falling</vt:lpstr>
      <vt:lpstr>MC_Tree_1!MC_V_T_infra_norm_rising</vt:lpstr>
      <vt:lpstr>MC_Tree_1!MC_V_T_infra_norm_stable</vt:lpstr>
      <vt:lpstr>MC_Tree_1!MC_V_T_opp_disruption</vt:lpstr>
      <vt:lpstr>MC_Tree_1!MC_V_T_opp_stable</vt:lpstr>
      <vt:lpstr>MC_Tree_1!MC_V_T_opp_tension</vt:lpstr>
      <vt:lpstr>MC_Tree_1!MC_V_T_rebal_disruption</vt:lpstr>
      <vt:lpstr>MC_Tree_1!MC_V_T_rebal_stable</vt:lpstr>
      <vt:lpstr>MC_Tree_1!MC_V_T_rebal_tension</vt:lpstr>
      <vt:lpstr>MC_Tree_1!MC_V_T_stay_disruption</vt:lpstr>
      <vt:lpstr>MC_Tree_1!MC_V_T_stay_stable</vt:lpstr>
      <vt:lpstr>MC_Tree_1!MC_V_T_stay_tension</vt:lpstr>
      <vt:lpstr>OpportunisticBuyingCost</vt:lpstr>
      <vt:lpstr>RebalanceToDefensiveCost</vt:lpstr>
      <vt:lpstr>SellAtDiscountValue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Timour Koupeev</dc:creator>
  <cp:lastModifiedBy>Timour Koupeev</cp:lastModifiedBy>
  <dcterms:created xsi:type="dcterms:W3CDTF">2026-03-27T14:37:24Z</dcterms:created>
  <dcterms:modified xsi:type="dcterms:W3CDTF">2026-03-27T14:37:45Z</dcterms:modified>
</cp:coreProperties>
</file>