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8F7C68F2-CFD1-4950-95F3-A1DFE02A6923}" xr6:coauthVersionLast="47" xr6:coauthVersionMax="47" xr10:uidLastSave="{00000000-0000-0000-0000-000000000000}"/>
  <bookViews>
    <workbookView xWindow="-98" yWindow="-98" windowWidth="21795" windowHeight="12975" firstSheet="2" activeTab="2" xr2:uid="{F59F81E9-87AB-4923-939B-FB1BE44FA2CC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_MC_Calc!$A$1:$DH$1</definedName>
    <definedName name="ConvertToBiofuels500mCost">MC_Tree_1!$C$8</definedName>
    <definedName name="FullCokerAddition800mCost">MC_Tree_1!$C$6</definedName>
    <definedName name="HydrotreaterUpgrade300mCost">MC_Tree_1!$C$7</definedName>
    <definedName name="MC_BD_D_root_C_bio_demand" localSheetId="3">MC_Tree_1!$C$82</definedName>
    <definedName name="MC_BD_D_root_C_coker_margin" localSheetId="3">MC_Tree_1!$C$28</definedName>
    <definedName name="MC_BD_D_root_C_hydro_margin" localSheetId="3">MC_Tree_1!$C$56</definedName>
    <definedName name="MC_BD_D_root_C_sell_market" localSheetId="3">MC_Tree_1!$C$102</definedName>
    <definedName name="MC_BP_C_bio_demand_C_bio_reg_moderate" localSheetId="3">MC_Tree_1!$D$86</definedName>
    <definedName name="MC_BP_C_bio_demand_C_bio_reg_strong" localSheetId="3">MC_Tree_1!$D$76</definedName>
    <definedName name="MC_BP_C_bio_demand_C_bio_reg_weak" localSheetId="3">MC_Tree_1!$D$94</definedName>
    <definedName name="MC_BP_C_bio_reg_moderate_T_bio_mm" localSheetId="3">MC_Tree_1!$E$88</definedName>
    <definedName name="MC_BP_C_bio_reg_moderate_T_bio_ms" localSheetId="3">MC_Tree_1!$E$84</definedName>
    <definedName name="MC_BP_C_bio_reg_moderate_T_bio_mw" localSheetId="3">MC_Tree_1!$E$90</definedName>
    <definedName name="MC_BP_C_bio_reg_strong_T_bio_sm" localSheetId="3">MC_Tree_1!$E$78</definedName>
    <definedName name="MC_BP_C_bio_reg_strong_T_bio_ss" localSheetId="3">MC_Tree_1!$E$74</definedName>
    <definedName name="MC_BP_C_bio_reg_strong_T_bio_sw" localSheetId="3">MC_Tree_1!$E$80</definedName>
    <definedName name="MC_BP_C_bio_reg_weak_T_bio_wm" localSheetId="3">MC_Tree_1!$E$96</definedName>
    <definedName name="MC_BP_C_bio_reg_weak_T_bio_ws" localSheetId="3">MC_Tree_1!$E$92</definedName>
    <definedName name="MC_BP_C_bio_reg_weak_T_bio_ww" localSheetId="3">MC_Tree_1!$E$98</definedName>
    <definedName name="MC_BP_C_coker_diff_narrow_T_coker_rl" localSheetId="3">MC_Tree_1!$E$38</definedName>
    <definedName name="MC_BP_C_coker_diff_narrow_T_coker_rm" localSheetId="3">MC_Tree_1!$E$42</definedName>
    <definedName name="MC_BP_C_coker_diff_narrow_T_coker_rs" localSheetId="3">MC_Tree_1!$E$44</definedName>
    <definedName name="MC_BP_C_coker_diff_normal_T_coker_nl" localSheetId="3">MC_Tree_1!$E$30</definedName>
    <definedName name="MC_BP_C_coker_diff_normal_T_coker_nm" localSheetId="3">MC_Tree_1!$E$34</definedName>
    <definedName name="MC_BP_C_coker_diff_normal_T_coker_ns" localSheetId="3">MC_Tree_1!$E$36</definedName>
    <definedName name="MC_BP_C_coker_diff_wide_T_coker_wl" localSheetId="3">MC_Tree_1!$E$20</definedName>
    <definedName name="MC_BP_C_coker_diff_wide_T_coker_wm" localSheetId="3">MC_Tree_1!$E$24</definedName>
    <definedName name="MC_BP_C_coker_diff_wide_T_coker_ws" localSheetId="3">MC_Tree_1!$E$26</definedName>
    <definedName name="MC_BP_C_coker_margin_C_coker_diff_narrow" localSheetId="3">MC_Tree_1!$D$40</definedName>
    <definedName name="MC_BP_C_coker_margin_C_coker_diff_normal" localSheetId="3">MC_Tree_1!$D$32</definedName>
    <definedName name="MC_BP_C_coker_margin_C_coker_diff_wide" localSheetId="3">MC_Tree_1!$D$22</definedName>
    <definedName name="MC_BP_C_hydro_margin_C_hydro_reg_narrow" localSheetId="3">MC_Tree_1!$D$68</definedName>
    <definedName name="MC_BP_C_hydro_margin_C_hydro_reg_normal" localSheetId="3">MC_Tree_1!$D$60</definedName>
    <definedName name="MC_BP_C_hydro_margin_C_hydro_reg_wide" localSheetId="3">MC_Tree_1!$D$50</definedName>
    <definedName name="MC_BP_C_hydro_reg_narrow_T_hydro_rm" localSheetId="3">MC_Tree_1!$E$70</definedName>
    <definedName name="MC_BP_C_hydro_reg_narrow_T_hydro_rq" localSheetId="3">MC_Tree_1!$E$72</definedName>
    <definedName name="MC_BP_C_hydro_reg_narrow_T_hydro_rs" localSheetId="3">MC_Tree_1!$E$66</definedName>
    <definedName name="MC_BP_C_hydro_reg_normal_T_hydro_nm" localSheetId="3">MC_Tree_1!$E$62</definedName>
    <definedName name="MC_BP_C_hydro_reg_normal_T_hydro_nq" localSheetId="3">MC_Tree_1!$E$64</definedName>
    <definedName name="MC_BP_C_hydro_reg_normal_T_hydro_ns" localSheetId="3">MC_Tree_1!$E$58</definedName>
    <definedName name="MC_BP_C_hydro_reg_wide_T_hydro_wm" localSheetId="3">MC_Tree_1!$E$52</definedName>
    <definedName name="MC_BP_C_hydro_reg_wide_T_hydro_wq" localSheetId="3">MC_Tree_1!$E$54</definedName>
    <definedName name="MC_BP_C_hydro_reg_wide_T_hydro_ws" localSheetId="3">MC_Tree_1!$E$48</definedName>
    <definedName name="MC_BP_C_sell_market_T_sell_high" localSheetId="3">MC_Tree_1!$D$100</definedName>
    <definedName name="MC_BP_C_sell_market_T_sell_low" localSheetId="3">MC_Tree_1!$D$106</definedName>
    <definedName name="MC_BP_C_sell_market_T_sell_mid" localSheetId="3">MC_Tree_1!$D$104</definedName>
    <definedName name="MC_BV_C_bio_demand_C_bio_reg_moderate" localSheetId="3">MC_Tree_1!$D$87</definedName>
    <definedName name="MC_BV_C_bio_demand_C_bio_reg_strong" localSheetId="3">MC_Tree_1!$D$77</definedName>
    <definedName name="MC_BV_C_bio_demand_C_bio_reg_weak" localSheetId="3">MC_Tree_1!$D$95</definedName>
    <definedName name="MC_BV_C_bio_reg_moderate_T_bio_mm" localSheetId="3">MC_Tree_1!$E$89</definedName>
    <definedName name="MC_BV_C_bio_reg_moderate_T_bio_ms" localSheetId="3">MC_Tree_1!$E$85</definedName>
    <definedName name="MC_BV_C_bio_reg_moderate_T_bio_mw" localSheetId="3">MC_Tree_1!$E$91</definedName>
    <definedName name="MC_BV_C_bio_reg_strong_T_bio_sm" localSheetId="3">MC_Tree_1!$E$79</definedName>
    <definedName name="MC_BV_C_bio_reg_strong_T_bio_ss" localSheetId="3">MC_Tree_1!$E$75</definedName>
    <definedName name="MC_BV_C_bio_reg_strong_T_bio_sw" localSheetId="3">MC_Tree_1!$E$81</definedName>
    <definedName name="MC_BV_C_bio_reg_weak_T_bio_wm" localSheetId="3">MC_Tree_1!$E$97</definedName>
    <definedName name="MC_BV_C_bio_reg_weak_T_bio_ws" localSheetId="3">MC_Tree_1!$E$93</definedName>
    <definedName name="MC_BV_C_bio_reg_weak_T_bio_ww" localSheetId="3">MC_Tree_1!$E$99</definedName>
    <definedName name="MC_BV_C_coker_diff_narrow_T_coker_rl" localSheetId="3">MC_Tree_1!$E$39</definedName>
    <definedName name="MC_BV_C_coker_diff_narrow_T_coker_rm" localSheetId="3">MC_Tree_1!$E$43</definedName>
    <definedName name="MC_BV_C_coker_diff_narrow_T_coker_rs" localSheetId="3">MC_Tree_1!$E$45</definedName>
    <definedName name="MC_BV_C_coker_diff_normal_T_coker_nl" localSheetId="3">MC_Tree_1!$E$31</definedName>
    <definedName name="MC_BV_C_coker_diff_normal_T_coker_nm" localSheetId="3">MC_Tree_1!$E$35</definedName>
    <definedName name="MC_BV_C_coker_diff_normal_T_coker_ns" localSheetId="3">MC_Tree_1!$E$37</definedName>
    <definedName name="MC_BV_C_coker_diff_wide_T_coker_wl" localSheetId="3">MC_Tree_1!$E$21</definedName>
    <definedName name="MC_BV_C_coker_diff_wide_T_coker_wm" localSheetId="3">MC_Tree_1!$E$25</definedName>
    <definedName name="MC_BV_C_coker_diff_wide_T_coker_ws" localSheetId="3">MC_Tree_1!$E$27</definedName>
    <definedName name="MC_BV_C_coker_margin_C_coker_diff_narrow" localSheetId="3">MC_Tree_1!$D$41</definedName>
    <definedName name="MC_BV_C_coker_margin_C_coker_diff_normal" localSheetId="3">MC_Tree_1!$D$33</definedName>
    <definedName name="MC_BV_C_coker_margin_C_coker_diff_wide" localSheetId="3">MC_Tree_1!$D$23</definedName>
    <definedName name="MC_BV_C_hydro_margin_C_hydro_reg_narrow" localSheetId="3">MC_Tree_1!$D$69</definedName>
    <definedName name="MC_BV_C_hydro_margin_C_hydro_reg_normal" localSheetId="3">MC_Tree_1!$D$61</definedName>
    <definedName name="MC_BV_C_hydro_margin_C_hydro_reg_wide" localSheetId="3">MC_Tree_1!$D$51</definedName>
    <definedName name="MC_BV_C_hydro_reg_narrow_T_hydro_rm" localSheetId="3">MC_Tree_1!$E$71</definedName>
    <definedName name="MC_BV_C_hydro_reg_narrow_T_hydro_rq" localSheetId="3">MC_Tree_1!$E$73</definedName>
    <definedName name="MC_BV_C_hydro_reg_narrow_T_hydro_rs" localSheetId="3">MC_Tree_1!$E$67</definedName>
    <definedName name="MC_BV_C_hydro_reg_normal_T_hydro_nm" localSheetId="3">MC_Tree_1!$E$63</definedName>
    <definedName name="MC_BV_C_hydro_reg_normal_T_hydro_nq" localSheetId="3">MC_Tree_1!$E$65</definedName>
    <definedName name="MC_BV_C_hydro_reg_normal_T_hydro_ns" localSheetId="3">MC_Tree_1!$E$59</definedName>
    <definedName name="MC_BV_C_hydro_reg_wide_T_hydro_wm" localSheetId="3">MC_Tree_1!$E$53</definedName>
    <definedName name="MC_BV_C_hydro_reg_wide_T_hydro_wq" localSheetId="3">MC_Tree_1!$E$55</definedName>
    <definedName name="MC_BV_C_hydro_reg_wide_T_hydro_ws" localSheetId="3">MC_Tree_1!$E$49</definedName>
    <definedName name="MC_BV_C_sell_market_T_sell_high" localSheetId="3">MC_Tree_1!$D$101</definedName>
    <definedName name="MC_BV_C_sell_market_T_sell_low" localSheetId="3">MC_Tree_1!$D$107</definedName>
    <definedName name="MC_BV_C_sell_market_T_sell_mid" localSheetId="3">MC_Tree_1!$D$105</definedName>
    <definedName name="MC_BV_D_root_C_bio_demand" localSheetId="3">MC_Tree_1!$C$83</definedName>
    <definedName name="MC_BV_D_root_C_coker_margin" localSheetId="3">MC_Tree_1!$C$29</definedName>
    <definedName name="MC_BV_D_root_C_hydro_margin" localSheetId="3">MC_Tree_1!$C$57</definedName>
    <definedName name="MC_BV_D_root_C_sell_market" localSheetId="3">MC_Tree_1!$C$103</definedName>
    <definedName name="MC_N_C_bio_demand" localSheetId="3">MC_Tree_1!$D$82</definedName>
    <definedName name="MC_N_C_bio_reg_moderate" localSheetId="3">MC_Tree_1!$E$86</definedName>
    <definedName name="MC_N_C_bio_reg_strong" localSheetId="3">MC_Tree_1!$E$76</definedName>
    <definedName name="MC_N_C_bio_reg_weak" localSheetId="3">MC_Tree_1!$E$94</definedName>
    <definedName name="MC_N_C_coker_diff_narrow" localSheetId="3">MC_Tree_1!$E$40</definedName>
    <definedName name="MC_N_C_coker_diff_normal" localSheetId="3">MC_Tree_1!$E$32</definedName>
    <definedName name="MC_N_C_coker_diff_wide" localSheetId="3">MC_Tree_1!$E$22</definedName>
    <definedName name="MC_N_C_coker_margin" localSheetId="3">MC_Tree_1!$D$28</definedName>
    <definedName name="MC_N_C_hydro_margin" localSheetId="3">MC_Tree_1!$D$56</definedName>
    <definedName name="MC_N_C_hydro_reg_narrow" localSheetId="3">MC_Tree_1!$E$68</definedName>
    <definedName name="MC_N_C_hydro_reg_normal" localSheetId="3">MC_Tree_1!$E$60</definedName>
    <definedName name="MC_N_C_hydro_reg_wide" localSheetId="3">MC_Tree_1!$E$50</definedName>
    <definedName name="MC_N_C_sell_market" localSheetId="3">MC_Tree_1!$D$102</definedName>
    <definedName name="MC_N_D_root" localSheetId="3">MC_Tree_1!$C$46</definedName>
    <definedName name="MC_NP_T_bio_mm" localSheetId="3">MC_Tree_1!$F$88</definedName>
    <definedName name="MC_NP_T_bio_ms" localSheetId="3">MC_Tree_1!$F$84</definedName>
    <definedName name="MC_NP_T_bio_mw" localSheetId="3">MC_Tree_1!$F$90</definedName>
    <definedName name="MC_NP_T_bio_sm" localSheetId="3">MC_Tree_1!$F$78</definedName>
    <definedName name="MC_NP_T_bio_ss" localSheetId="3">MC_Tree_1!$F$74</definedName>
    <definedName name="MC_NP_T_bio_sw" localSheetId="3">MC_Tree_1!$F$80</definedName>
    <definedName name="MC_NP_T_bio_wm" localSheetId="3">MC_Tree_1!$F$96</definedName>
    <definedName name="MC_NP_T_bio_ws" localSheetId="3">MC_Tree_1!$F$92</definedName>
    <definedName name="MC_NP_T_bio_ww" localSheetId="3">MC_Tree_1!$F$98</definedName>
    <definedName name="MC_NP_T_coker_nl" localSheetId="3">MC_Tree_1!$F$30</definedName>
    <definedName name="MC_NP_T_coker_nm" localSheetId="3">MC_Tree_1!$F$34</definedName>
    <definedName name="MC_NP_T_coker_ns" localSheetId="3">MC_Tree_1!$F$36</definedName>
    <definedName name="MC_NP_T_coker_rl" localSheetId="3">MC_Tree_1!$F$38</definedName>
    <definedName name="MC_NP_T_coker_rm" localSheetId="3">MC_Tree_1!$F$42</definedName>
    <definedName name="MC_NP_T_coker_rs" localSheetId="3">MC_Tree_1!$F$44</definedName>
    <definedName name="MC_NP_T_coker_wl" localSheetId="3">MC_Tree_1!$F$20</definedName>
    <definedName name="MC_NP_T_coker_wm" localSheetId="3">MC_Tree_1!$F$24</definedName>
    <definedName name="MC_NP_T_coker_ws" localSheetId="3">MC_Tree_1!$F$26</definedName>
    <definedName name="MC_NP_T_hydro_nm" localSheetId="3">MC_Tree_1!$F$62</definedName>
    <definedName name="MC_NP_T_hydro_nq" localSheetId="3">MC_Tree_1!$F$64</definedName>
    <definedName name="MC_NP_T_hydro_ns" localSheetId="3">MC_Tree_1!$F$58</definedName>
    <definedName name="MC_NP_T_hydro_rm" localSheetId="3">MC_Tree_1!$F$70</definedName>
    <definedName name="MC_NP_T_hydro_rq" localSheetId="3">MC_Tree_1!$F$72</definedName>
    <definedName name="MC_NP_T_hydro_rs" localSheetId="3">MC_Tree_1!$F$66</definedName>
    <definedName name="MC_NP_T_hydro_wm" localSheetId="3">MC_Tree_1!$F$52</definedName>
    <definedName name="MC_NP_T_hydro_wq" localSheetId="3">MC_Tree_1!$F$54</definedName>
    <definedName name="MC_NP_T_hydro_ws" localSheetId="3">MC_Tree_1!$F$48</definedName>
    <definedName name="MC_NP_T_sell_high" localSheetId="3">MC_Tree_1!$E$100</definedName>
    <definedName name="MC_NP_T_sell_low" localSheetId="3">MC_Tree_1!$E$106</definedName>
    <definedName name="MC_NP_T_sell_mid" localSheetId="3">MC_Tree_1!$E$104</definedName>
    <definedName name="MC_V_C_bio_demand" localSheetId="3">MC_Tree_1!$D$83</definedName>
    <definedName name="MC_V_C_bio_reg_moderate" localSheetId="3">MC_Tree_1!$E$87</definedName>
    <definedName name="MC_V_C_bio_reg_strong" localSheetId="3">MC_Tree_1!$E$77</definedName>
    <definedName name="MC_V_C_bio_reg_weak" localSheetId="3">MC_Tree_1!$E$95</definedName>
    <definedName name="MC_V_C_coker_diff_narrow" localSheetId="3">MC_Tree_1!$E$41</definedName>
    <definedName name="MC_V_C_coker_diff_normal" localSheetId="3">MC_Tree_1!$E$33</definedName>
    <definedName name="MC_V_C_coker_diff_wide" localSheetId="3">MC_Tree_1!$E$23</definedName>
    <definedName name="MC_V_C_coker_margin" localSheetId="3">MC_Tree_1!$D$29</definedName>
    <definedName name="MC_V_C_hydro_margin" localSheetId="3">MC_Tree_1!$D$57</definedName>
    <definedName name="MC_V_C_hydro_reg_narrow" localSheetId="3">MC_Tree_1!$E$69</definedName>
    <definedName name="MC_V_C_hydro_reg_normal" localSheetId="3">MC_Tree_1!$E$61</definedName>
    <definedName name="MC_V_C_hydro_reg_wide" localSheetId="3">MC_Tree_1!$E$51</definedName>
    <definedName name="MC_V_C_sell_market" localSheetId="3">MC_Tree_1!$D$103</definedName>
    <definedName name="MC_V_D_root" localSheetId="3">MC_Tree_1!$C$47</definedName>
    <definedName name="MC_V_T_bio_mm" localSheetId="3">MC_Tree_1!$F$89</definedName>
    <definedName name="MC_V_T_bio_ms" localSheetId="3">MC_Tree_1!$F$85</definedName>
    <definedName name="MC_V_T_bio_mw" localSheetId="3">MC_Tree_1!$F$91</definedName>
    <definedName name="MC_V_T_bio_sm" localSheetId="3">MC_Tree_1!$F$79</definedName>
    <definedName name="MC_V_T_bio_ss" localSheetId="3">MC_Tree_1!$F$75</definedName>
    <definedName name="MC_V_T_bio_sw" localSheetId="3">MC_Tree_1!$F$81</definedName>
    <definedName name="MC_V_T_bio_wm" localSheetId="3">MC_Tree_1!$F$97</definedName>
    <definedName name="MC_V_T_bio_ws" localSheetId="3">MC_Tree_1!$F$93</definedName>
    <definedName name="MC_V_T_bio_ww" localSheetId="3">MC_Tree_1!$F$99</definedName>
    <definedName name="MC_V_T_coker_nl" localSheetId="3">MC_Tree_1!$F$31</definedName>
    <definedName name="MC_V_T_coker_nm" localSheetId="3">MC_Tree_1!$F$35</definedName>
    <definedName name="MC_V_T_coker_ns" localSheetId="3">MC_Tree_1!$F$37</definedName>
    <definedName name="MC_V_T_coker_rl" localSheetId="3">MC_Tree_1!$F$39</definedName>
    <definedName name="MC_V_T_coker_rm" localSheetId="3">MC_Tree_1!$F$43</definedName>
    <definedName name="MC_V_T_coker_rs" localSheetId="3">MC_Tree_1!$F$45</definedName>
    <definedName name="MC_V_T_coker_wl" localSheetId="3">MC_Tree_1!$F$21</definedName>
    <definedName name="MC_V_T_coker_wm" localSheetId="3">MC_Tree_1!$F$25</definedName>
    <definedName name="MC_V_T_coker_ws" localSheetId="3">MC_Tree_1!$F$27</definedName>
    <definedName name="MC_V_T_hydro_nm" localSheetId="3">MC_Tree_1!$F$63</definedName>
    <definedName name="MC_V_T_hydro_nq" localSheetId="3">MC_Tree_1!$F$65</definedName>
    <definedName name="MC_V_T_hydro_ns" localSheetId="3">MC_Tree_1!$F$59</definedName>
    <definedName name="MC_V_T_hydro_rm" localSheetId="3">MC_Tree_1!$F$71</definedName>
    <definedName name="MC_V_T_hydro_rq" localSheetId="3">MC_Tree_1!$F$73</definedName>
    <definedName name="MC_V_T_hydro_rs" localSheetId="3">MC_Tree_1!$F$67</definedName>
    <definedName name="MC_V_T_hydro_wm" localSheetId="3">MC_Tree_1!$F$53</definedName>
    <definedName name="MC_V_T_hydro_wq" localSheetId="3">MC_Tree_1!$F$55</definedName>
    <definedName name="MC_V_T_hydro_ws" localSheetId="3">MC_Tree_1!$F$49</definedName>
    <definedName name="MC_V_T_sell_high" localSheetId="3">MC_Tree_1!$E$101</definedName>
    <definedName name="MC_V_T_sell_low" localSheetId="3">MC_Tree_1!$E$107</definedName>
    <definedName name="MC_V_T_sell_mid" localSheetId="3">MC_Tree_1!$E$105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3" l="1"/>
  <c r="C29" i="3"/>
  <c r="C83" i="3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101" i="3"/>
  <c r="F92" i="3"/>
  <c r="D83" i="3"/>
  <c r="F73" i="3"/>
  <c r="F64" i="3"/>
  <c r="F54" i="3"/>
  <c r="F44" i="3"/>
  <c r="F35" i="3"/>
  <c r="F25" i="3"/>
  <c r="C82" i="3"/>
  <c r="C56" i="3"/>
  <c r="E87" i="3"/>
  <c r="F48" i="3"/>
  <c r="D29" i="3"/>
  <c r="E95" i="3"/>
  <c r="C47" i="3"/>
  <c r="F93" i="3"/>
  <c r="F65" i="3"/>
  <c r="F45" i="3"/>
  <c r="F26" i="3"/>
  <c r="C102" i="3"/>
  <c r="E100" i="3"/>
  <c r="F91" i="3"/>
  <c r="F81" i="3"/>
  <c r="F72" i="3"/>
  <c r="F63" i="3"/>
  <c r="F53" i="3"/>
  <c r="F43" i="3"/>
  <c r="F34" i="3"/>
  <c r="F24" i="3"/>
  <c r="F96" i="3"/>
  <c r="F99" i="3"/>
  <c r="F90" i="3"/>
  <c r="F80" i="3"/>
  <c r="F71" i="3"/>
  <c r="F62" i="3"/>
  <c r="F52" i="3"/>
  <c r="F42" i="3"/>
  <c r="E33" i="3"/>
  <c r="E23" i="3"/>
  <c r="C28" i="3"/>
  <c r="F31" i="3"/>
  <c r="F58" i="3"/>
  <c r="D57" i="3"/>
  <c r="F27" i="3"/>
  <c r="D103" i="3"/>
  <c r="F55" i="3"/>
  <c r="F36" i="3"/>
  <c r="E107" i="3"/>
  <c r="F98" i="3"/>
  <c r="F89" i="3"/>
  <c r="F79" i="3"/>
  <c r="F70" i="3"/>
  <c r="E61" i="3"/>
  <c r="E51" i="3"/>
  <c r="E41" i="3"/>
  <c r="F21" i="3"/>
  <c r="E77" i="3"/>
  <c r="F84" i="3"/>
  <c r="E106" i="3"/>
  <c r="F97" i="3"/>
  <c r="F88" i="3"/>
  <c r="F78" i="3"/>
  <c r="E69" i="3"/>
  <c r="F59" i="3"/>
  <c r="F49" i="3"/>
  <c r="F39" i="3"/>
  <c r="F30" i="3"/>
  <c r="F20" i="3"/>
  <c r="E105" i="3"/>
  <c r="F67" i="3"/>
  <c r="F38" i="3"/>
  <c r="E104" i="3"/>
  <c r="F85" i="3"/>
  <c r="F75" i="3"/>
  <c r="F66" i="3"/>
  <c r="F37" i="3"/>
  <c r="F74" i="3"/>
</calcChain>
</file>

<file path=xl/sharedStrings.xml><?xml version="1.0" encoding="utf-8"?>
<sst xmlns="http://schemas.openxmlformats.org/spreadsheetml/2006/main" count="97" uniqueCount="92">
  <si>
    <t>{"_v":2,"trees":{"MC_Tree_1":"{\r\n  \"RootId\": \"D_root\",\r\n  \"Nodes\": {\r\n    \"D_root\": {\r\n      \"type\": \"decision\",\r\n      \"id\": \"D_root\",\r\n      \"name\": \"Refinery Upgrade Strategy\",\r\n      \"options\": [\r\n        {\r\n          \"name\": \"Full Coker Addition ($800M)\",\r\n          \"childId\": \"C_coker_margin\",\r\n          \"value\": -800000000\r\n        },\r\n        {\r\n          \"name\": \"Hydrotreater Upgrade ($300M)\",\r\n          \"childId\": \"C_hydro_margin\",\r\n          \"value\": -300000000\r\n        },\r\n        {\r\n          \"name\": \"Convert to Biofuels ($500M)\",\r\n          \"childId\": \"C_bio_demand\",\r\n          \"value\": -500000000\r\n        },\r\n        {\r\n          \"name\": \"Sell Refinery As-Is\",\r\n          \"childId\": \"C_sell_market\"\r\n        }\r\n      ]\r\n    },\r\n    \"C_coker_margin\": {\r\n      \"type\": \"chance\",\r\n      \"id\": \"C_coker_margin\",\r\n      \"name\": \"Crack Spread Environment\",\r\n      \"branches\": [\r\n        {\r\n          \"name\": \"Wide Crack Spreads\",\r\n          \"probability\": 0.3,\r\n          \"childId\": \"C_coker_diff_wide\"\r\n        },\r\n        {\r\n          \"name\": \"Normal Crack Spreads\",\r\n          \"probability\": 0.45,\r\n          \"childId\": \"C_coker_diff_normal\"\r\n        },\r\n        {\r\n          \"name\": \"Narrow Crack Spreads\",\r\n          \"probability\": 0.25,\r\n          \"childId\": \"C_coker_diff_narrow\"\r\n        }\r\n      ]\r\n    },\r\n    \"C_coker_diff_wide\": {\r\n      \"type\": \"chance\",\r\n      \"id\": \"C_coker_diff_wide\",\r\n      \"name\": \"Heavy-Light Differential (Wide)\",\r\n      \"branches\": [\r\n        {\r\n          \"name\": \"Large H-L Differential\",\r\n          \"probability\": 0.35,\r\n          \"childId\": \"T_coker_wl\",\r\n          \"value\": 2800000000\r\n        },\r\n        {\r\n          \"name\": \"Moderate H-L Differential\",\r\n          \"probability\": 0.4,\r\n          \"childId\": \"T_coker_wm\",\r\n          \"value\": 2200000000\r\n        },\r\n        {\r\n          \"name\": \"Small H-L Differential\",\r\n          \"probability\": 0.25,\r\n          \"childId\": \"T_coker_ws\",\r\n          \"value\": 1600000000\r\n        }\r\n      ]\r\n    },\r\n    \"T_coker_wl\": {\r\n      \"type\": \"terminal\",\r\n      \"id\": \"T_coker_wl\",\r\n      \"name\": \"Coker: Wide+Large Diff\",\r\n      \"value\": 0\r\n    },\r\n    \"T_coker_wm\": {\r\n      \"type\": \"terminal\",\r\n      \"id\": \"T_coker_wm\",\r\n      \"name\": \"Coker: Wide+Moderate Diff\",\r\n      \"value\": 0\r\n    },\r\n    \"T_coker_ws\": {\r\n      \"type\": \"terminal\",\r\n      \"id\": \"T_coker_ws\",\r\n      \"name\": \"Coker: Wide+Small Diff\",\r\n      \"value\": 0\r\n    },\r\n    \"C_coker_diff_normal\": {\r\n      \"type\": \"chance\",\r\n      \"id\": \"C_coker_diff_normal\",\r\n      \"name\": \"Heavy-Light Differential (Normal)\",\r\n      \"branches\": [\r\n        {\r\n          \"name\": \"Large H-L Differential\",\r\n          \"probability\": 0.35,\r\n          \"childId\": \"T_coker_nl\",\r\n          \"value\": 2100000000\r\n        },\r\n        {\r\n          \"name\": \"Moderate H-L Differential\",\r\n          \"probability\": 0.4,\r\n          \"childId\": \"T_coker_nm\",\r\n          \"value\": 1500000000\r\n        },\r\n        {\r\n          \"name\": \"Small H-L Differential\",\r\n          \"probability\": 0.25,\r\n          \"childId\": \"T_coker_ns\",\r\n          \"value\": 900000000\r\n        }\r\n      ]\r\n    },\r\n    \"T_coker_nl\": {\r\n      \"type\": \"terminal\",\r\n      \"id\": \"T_coker_nl\",\r\n      \"name\": \"Coker: Normal+Large Diff\",\r\n      \"value\": 0\r\n    },\r\n    \"T_coker_nm\": {\r\n      \"type\": \"terminal\",\r\n      \"id\": \"T_coker_nm\",\r\n      \"name\": \"Coker: Normal+Moderate Diff\",\r\n      \"value\": 0\r\n    },\r\n    \"T_coker_ns\": {\r\n      \"type\": \"terminal\",\r\n      \"id\": \"T_coker_ns\",\r\n      \"name\": \"Coker: Normal+Small Diff\",\r\n      \"value\": 0\r\n    },\r\n    \"C_coker_diff_narrow\": {\r\n      \"type\": \"chance\",\r\n      \"id\": \"C_coker_diff_narrow\",\r\n      \"name\": \"Heavy-Light Differential (Narrow)\",\r\n      \"branches\": [\r\n        {\r\n          \"name\": \"Large H-L Differential\",\r\n          \"probability\": 0.35,\r\n          \"childId\": \"T_coker_rl\",\r\n          \"value\": 1300000000\r\n        },\r\n        {\r\n          \"name\": \"Moderate H-L Differential\",\r\n          \"probability\": 0.4,\r\n          \"childId\": \"T_coker_rm\",\r\n          \"value\": 800000000\r\n        },\r\n        {\r\n          \"name\": \"Small H-L Differential\",\r\n          \"probability\": 0.25,\r\n          \"childId\": \"T_coker_rs\",\r\n          \"value\": 350000000\r\n        }\r\n      ]\r\n    },\r\n    \"T_coker_rl\": {\r\n      \"type\": \"terminal\",\r\n      \"id\": \"T_coker_rl\",\r\n      \"name\": \"Coker: Narrow+Large Diff\",\r\n      \"value\": 0\r\n    },\r\n    \"T_coker_rm\": {\r\n      \"type\": \"terminal\",\r\n      \"id\": \"T_coker_rm\",\r\n      \"name\": \"Coker: Narrow+Moderate Diff\",\r\n      \"value\": 0\r\n    },\r\n    \"T_coker_rs\": {\r\n      \"type\": \"terminal\",\r\n      \"id\": \"T_coker_rs\",\r\n      \"name\": \"Coker: Narrow+Small Diff\",\r\n      \"value\": 0\r\n    },\r\n    \"C_hydro_margin\": {\r\n      \"type\": \"chance\",\r\n      \"id\": \"C_hydro_margin\",\r\n      \"name\": \"Crack Spread (Hydrotreater)\",\r\n      \"branches\": [\r\n        {\r\n          \"name\": \"Wide Crack Spreads\",\r\n          \"probability\": 0.3,\r\n          \"childId\": \"C_hydro_reg_wide\"\r\n        },\r\n        {\r\n          \"name\": \"Normal Crack Spreads\",\r\n          \"probability\": 0.45,\r\n          \"childId\": \"C_hydro_reg_normal\"\r\n        },\r\n        {\r\n          \"name\": \"Narrow Crack Spreads\",\r\n          \"probability\": 0.25,\r\n          \"childId\": \"C_hydro_reg_narrow\"\r\n        }\r\n      ]\r\n    },\r\n    \"C_hydro_reg_wide\": {\r\n      \"type\": \"chance\",\r\n      \"id\": \"C_hydro_reg_wide\",\r\n      \"name\": \"Regulatory Environment (Wide)\",\r\n      \"branches\": [\r\n        {\r\n          \"name\": \"Strict New Regulations\",\r\n          \"probability\": 0.3,\r\n          \"childId\": \"T_hydro_ws\",\r\n          \"value\": 1400000000\r\n        },\r\n        {\r\n          \"name\": \"Moderate Regulation\",\r\n          \"probability\": 0.45,\r\n          \"childId\": \"T_hydro_wm\",\r\n          \"value\": 1200000000\r\n        },\r\n        {\r\n          \"name\": \"Status Quo Regulation\",\r\n          \"probability\": 0.25,\r\n          \"childId\": \"T_hydro_wq\",\r\n          \"value\": 1050000000\r\n        }\r\n      ]\r\n    },\r\n    \"T_hydro_ws\": {\r\n      \"type\": \"terminal\",\r\n      \"id\": \"T_hydro_ws\",\r\n      \"name\": \"Hydro: Wide+Strict Regs\",\r\n      \"value\": 0\r\n    },\r\n    \"T_hydro_wm\": {\r\n      \"type\": \"terminal\",\r\n      \"id\": \"T_hydro_wm\",\r\n      \"name\": \"Hydro: Wide+Moderate Regs\",\r\n      \"value\": 0\r\n    },\r\n    \"T_hydro_wq\": {\r\n      \"type\": \"terminal\",\r\n      \"id\": \"T_hydro_wq\",\r\n      \"name\": \"Hydro: Wide+Status Quo\",\r\n      \"value\": 0\r\n    },\r\n    \"C_hydro_reg_normal\": {\r\n      \"type\": \"chance\",\r\n      \"id\": \"C_hydro_reg_normal\",\r\n      \"name\": \"Regulatory Environment (Normal)\",\r\n      \"branches\": [\r\n        {\r\n          \"name\": \"Strict New Regulations\",\r\n          \"probability\": 0.3,\r\n          \"childId\": \"T_hydro_ns\",\r\n          \"value\": 950000000\r\n        },\r\n        {\r\n          \"name\": \"Moderate Regulation\",\r\n          \"probability\": 0.45,\r\n          \"childId\": \"T_hydro_nm\",\r\n          \"value\": 800000000\r\n        },\r\n        {\r\n          \"name\": \"Status Quo Regulation\",\r\n          \"probability\": 0.25,\r\n          \"childId\": \"T_hydro_nq\",\r\n          \"value\": 700000000\r\n        }\r\n      ]\r\n    },\r\n    \"T_hydro_ns\": {\r\n      \"type\": \"terminal\",\r\n      \"id\": \"T_hydro_ns\",\r\n      \"name\": \"Hydro: Normal+Strict Regs\",\r\n      \"value\": 0\r\n    },\r\n    \"T_hydro_nm\": {\r\n      \"type\": \"terminal\",\r\n      \"id\": \"T_hydro_nm\",\r\n      \"name\": \"Hydro: Normal+Moderate Regs\",\r\n      \"value\": 0\r\n    },\r\n    \"T_hydro_nq\": {\r\n      \"type\": \"terminal\",\r\n      \"id\": \"T_hydro_nq\",\r\n      \"name\": \"Hydro: Normal+Status Quo\",\r\n      \"value\": 0\r\n    },\r\n    \"C_hydro_reg_narrow\": {\r\n      \"type\": \"chance\",\r\n      \"id\": \"C_hydro_reg_narrow\",\r\n      \"name\": \"Regulatory Environment (Narrow)\",\r\n      \"branches\": [\r\n        {\r\n          \"name\": \"Strict New Regulations\",\r\n          \"probability\": 0.3,\r\n          \"childId\": \"T_hydro_rs\",\r\n          \"value\": 550000000\r\n        },\r\n        {\r\n          \"name\": \"Moderate Regulation\",\r\n          \"probability\": 0.45,\r\n          \"childId\": \"T_hydro_rm\",\r\n          \"value\": 420000000\r\n        },\r\n        {\r\n          \"name\": \"Status Quo Regulation\",\r\n          \"probability\": 0.25,\r\n          \"childId\": \"T_hydro_rq\",\r\n          \"value\": 350000000\r\n        }\r\n      ]\r\n    },\r\n    \"T_hydro_rs\": {\r\n      \"type\": \"terminal\",\r\n      \"id\": \"T_hydro_rs\",\r\n      \"name\": \"Hydro: Narrow+Strict Regs\",\r\n      \"value\": 0\r\n    },\r\n    \"T_hydro_rm\": {\r\n      \"type\": \"terminal\",\r\n      \"id\": \"T_hydro_rm\",\r\n      \"name\": \"Hydro: Narrow+Moderate Regs\",\r\n      \"value\": 0\r\n    },\r\n    \"T_hydro_rq\": {\r\n      \"type\": \"terminal\",\r\n      \"id\": \"T_hydro_rq\",\r\n      \"name\": \"Hydro: Narrow+Status Quo\",\r\n      \"value\": 0\r\n    },\r\n    \"C_bio_demand\": {\r\n      \"type\": \"chance\",\r\n      \"id\": \"C_bio_demand\",\r\n      \"name\": \"Biofuel Demand Outlook\",\r\n      \"branches\": [\r\n        {\r\n          \"name\": \"Strong Biofuel Demand\",\r\n          \"probability\": 0.25,\r\n          \"childId\": \"C_bio_reg_strong\"\r\n        },\r\n        {\r\n          \"name\": \"Moderate Biofuel Demand\",\r\n          \"probability\": 0.45,\r\n          \"childId\": \"C_bio_reg_moderate\"\r\n        },\r\n        {\r\n          \"name\": \"Weak Biofuel Demand\",\r\n          \"probability\": 0.3,\r\n          \"childId\": \"C_bio_reg_weak\"\r\n        }\r\n      ]\r\n    },\r\n    \"C_bio_reg_strong\": {\r\n      \"type\": \"chance\",\r\n      \"id\": \"C_bio_reg_strong\",\r\n      \"name\": \"Policy Support (Strong Demand)\",\r\n      \"branches\": [\r\n        {\r\n          \"name\": \"Strong Policy Support\",\r\n          \"probability\": 0.4,\r\n          \"childId\": \"T_bio_ss\",\r\n          \"value\": 2200000000\r\n        },\r\n        {\r\n          \"name\": \"Moderate Policy Support\",\r\n          \"probability\": 0.35,\r\n          \"childId\": \"T_bio_sm\",\r\n          \"value\": 1700000000\r\n        },\r\n        {\r\n          \"name\": \"Weak Policy Support\",\r\n          \"probability\": 0.25,\r\n          \"childId\": \"T_bio_sw\",\r\n          \"value\": 1200000000\r\n        }\r\n      ]\r\n    },\r\n    \"T_bio_ss\": {\r\n      \"type\": \"terminal\",\r\n      \"id\": \"T_bio_ss\",\r\n      \"name\": \"Bio: Strong Demand+Strong Policy\",\r\n      \"value\": 0\r\n    },\r\n    \"T_bio_sm\": {\r\n      \"type\": \"terminal\",\r\n      \"id\": \"T_bio_sm\",\r\n      \"name\": \"Bio: Strong Demand+Moderate Policy\",\r\n      \"value\": 0\r\n    },\r\n    \"T_bio_sw\": {\r\n      \"type\": \"terminal\",\r\n      \"id\": \"T_bio_sw\",\r\n      \"name\": \"Bio: Strong Demand+Weak Policy\",\r\n      \"value\": 0\r\n    },\r\n    \"C_bio_reg_moderate\": {\r\n      \"type\": \"chance\",\r\n      \"id\": \"C_bio_reg_moderate\",\r\n      \"name\": \"Policy Support (Moderate Demand)\",\r\n      \"branches\": [\r\n        {\r\n          \"name\": \"Strong Policy Support\",\r\n          \"probability\": 0.4,\r\n          \"childId\": \"T_bio_ms\",\r\n          \"value\": 1400000000\r\n        },\r\n        {\r\n          \"name\": \"Moderate Policy Support\",\r\n          \"probability\": 0.35,\r\n          \"childId\": \"T_bio_mm\",\r\n          \"value\": 1000000000\r\n        },\r\n        {\r\n          \"name\": \"Weak Policy Support\",\r\n          \"probability\": 0.25,\r\n          \"childId\": \"T_bio_mw\",\r\n          \"value\": 650000000\r\n        }\r\n      ]\r\n    },\r\n    \"T_bio_ms\": {\r\n      \"type\": \"terminal\",\r\n      \"id\": \"T_bio_ms\",\r\n      \"name\": \"Bio: Moderate Demand+Strong Policy\",\r\n      \"value\": 0\r\n    },\r\n    \"T_bio_mm\": {\r\n      \"type\": \"terminal\",\r\n      \"id\": \"T_bio_mm\",\r\n      \"name\": \"Bio: Moderate Demand+Moderate Policy\",\r\n      \"value\": 0\r\n    },\r\n    \"T_bio_mw\": {\r\n      \"type\": \"terminal\",\r\n      \"id\": \"T_bio_mw\",\r\n      \"name\": \"Bio: Moderate Demand+Weak Policy\",\r\n      \"value\": 0\r\n    },\r\n    \"C_bio_reg_weak\": {\r\n      \"type\": \"chance\",\r\n      \"id\": \"C_bio_reg_weak\",\r\n      \"name\": \"Policy Support (Weak Demand)\",\r\n      \"branches\": [\r\n        {\r\n          \"name\": \"Strong Policy Support\",\r\n          \"probability\": 0.4,\r\n          \"childId\": \"T_bio_ws\",\r\n          \"value\": 800000000\r\n        },\r\n        {\r\n          \"name\": \"Moderate Policy Support\",\r\n          \"probability\": 0.35,\r\n          \"childId\": \"T_bio_wm\",\r\n          \"value\": 450000000\r\n        },\r\n        {\r\n          \"name\": \"Weak Policy Support\",\r\n          \"probability\": 0.25,\r\n          \"childId\": \"T_bio_ww\",\r\n          \"value\": 200000000\r\n        }\r\n      ]\r\n    },\r\n    \"T_bio_ws\": {\r\n      \"type\": \"terminal\",\r\n      \"id\": \"T_bio_ws\",\r\n      \"name\": \"Bio: Weak Demand+Strong Policy\",\r\n      \"value\": 0\r\n    },\r\n    \"T_bio_wm\": {\r\n      \"type\": \"terminal\",\r\n      \"id\": \"T_bio_wm\",\r\n      \"name\": \"Bio: Weak Demand+Moderate Policy\",\r\n      \"value\": 0\r\n    },\r\n    \"T_bio_ww\": {\r\n      \"type\": \"terminal\",\r\n      \"id\": \"T_bio_ww\",\r\n      \"name\": \"Bio: Weak Demand+Weak Policy\",\r\n      \"value\": 0\r\n    },\r\n    \"C_sell_market\": {\r\n      \"type\": \"chance\",\r\n      \"id\": \"C_sell_market\",\r\n      \"name\": \"Refinery Sale Market\",\r\n      \"branches\": [\r\n        {\r\n          \"name\": \"Strong Buyer Interest\",\r\n          \"probability\": 0.3,\r\n          \"childId\": \"T_sell_high\",\r\n          \"value\": 600000000\r\n        },\r\n        {\r\n          \"name\": \"Moderate Interest\",\r\n          \"probability\": 0.4,\r\n          \"childId\": \"T_sell_mid\",\r\n          \"value\": 400000000\r\n        },\r\n        {\r\n          \"name\": \"Weak Market\",\r\n          \"probability\": 0.3,\r\n          \"childId\": \"T_sell_low\",\r\n          \"value\": 250000000\r\n        }\r\n      ]\r\n    },\r\n    \"T_sell_high\": {\r\n      \"type\": \"terminal\",\r\n      \"id\": \"T_sell_high\",\r\n      \"name\": \"Sell: Strong Market\",\r\n      \"value\": 0\r\n    },\r\n    \"T_sell_mid\": {\r\n      \"type\": \"terminal\",\r\n      \"id\": \"T_sell_mid\",\r\n      \"name\": \"Sell: Moderate Market\",\r\n      \"value\": 0\r\n    },\r\n    \"T_sell_low\": {\r\n      \"type\": \"terminal\",\r\n      \"id\": \"T_sell_low\",\r\n      \"name\": \"Sell: Weak Market\",\r\n      \"value\": 0\r\n    }\r\n  },\r\n  \"Settings\": {\r\n    \"ModelName\": \"Refinery Upgrade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\"MC_BV_D_root_C_coker_margin\": \"=-FullCokerAddition800mCost\",\r\n      \"MC_BV_D_root_C_hydro_margin\": \"=-HydrotreaterUpgrade300mCost\",\r\n      \"MC_BV_D_root_C_bio_demand\": \"=-ConvertToBiofuels500mCost\"\r\n  }\r\n}"}}</t>
  </si>
  <si>
    <t>Heavy-Light Differential (Wide)</t>
  </si>
  <si>
    <t>Crack Spread Environment</t>
  </si>
  <si>
    <t>Heavy-Light Differential (Normal)</t>
  </si>
  <si>
    <t>Heavy-Light Differential (Narrow)</t>
  </si>
  <si>
    <t>Refinery Upgrade Strategy</t>
  </si>
  <si>
    <t>Regulatory Environment (Wide)</t>
  </si>
  <si>
    <t>Crack Spread (Hydrotreater)</t>
  </si>
  <si>
    <t>Regulatory Environment (Normal)</t>
  </si>
  <si>
    <t>Regulatory Environment (Narrow)</t>
  </si>
  <si>
    <t>Policy Support (Strong Demand)</t>
  </si>
  <si>
    <t>Biofuel Demand Outlook</t>
  </si>
  <si>
    <t>Policy Support (Moderate Demand)</t>
  </si>
  <si>
    <t>Policy Support (Weak Demand)</t>
  </si>
  <si>
    <t>Refinery Sale Market</t>
  </si>
  <si>
    <t>Refinery Upgrade Decision — Control Panel</t>
  </si>
  <si>
    <t>Adjust parameters below to update the decision tree instantly</t>
  </si>
  <si>
    <t>Parameter</t>
  </si>
  <si>
    <t>Value</t>
  </si>
  <si>
    <t>Units</t>
  </si>
  <si>
    <t>Notes</t>
  </si>
  <si>
    <t>Full Coker Addition ($800M)</t>
  </si>
  <si>
    <t>$</t>
  </si>
  <si>
    <t>Investment for Crack Spread Environment path</t>
  </si>
  <si>
    <t>Hydrotreater Upgrade ($300M)</t>
  </si>
  <si>
    <t>Investment for Crack Spread (Hydrotreater) path</t>
  </si>
  <si>
    <t>Convert to Biofuels ($500M)</t>
  </si>
  <si>
    <t>Investment for Biofuel Demand Outlook path</t>
  </si>
  <si>
    <t>Refinery Upgrade Decision</t>
  </si>
  <si>
    <t>ModelChoice Example Model</t>
  </si>
  <si>
    <t>Background</t>
  </si>
  <si>
    <t>A 150,000 bbl/day refinery built in the 1970s faces increasing pressure from</t>
  </si>
  <si>
    <t>tightening emissions regulations, aging equipment, and shifting crude supply</t>
  </si>
  <si>
    <t>patterns toward heavier, more sour crudes. The owner must decide on a major</t>
  </si>
  <si>
    <t>capital investment strategy for the next 20 years. The energy transition adds</t>
  </si>
  <si>
    <t>uncertainty about long-term demand for refined petroleum products.</t>
  </si>
  <si>
    <t>Option 1: Full Coker Addition ($800M)</t>
  </si>
  <si>
    <t>Install a delayed coker unit to process heavy sour crude at a significant</t>
  </si>
  <si>
    <t>discount to light sweet benchmarks. This is the highest-cost option but</t>
  </si>
  <si>
    <t>captures the heavy-light crude differential and widens the refinery's</t>
  </si>
  <si>
    <t>crude slate. Returns depend heavily on crack spreads and the H-L differential.</t>
  </si>
  <si>
    <t>Option 2: Hydrotreater Upgrade ($300M)</t>
  </si>
  <si>
    <t>Upgrade the hydrotreating capacity to meet Tier 3 gasoline and IMO 2020</t>
  </si>
  <si>
    <t>marine fuel specs. Enables processing of medium sour crudes. Lower capital</t>
  </si>
  <si>
    <t>requirement but doesn't capture the heavy crude discount.</t>
  </si>
  <si>
    <t>Option 3: Convert to Biofuels Terminal ($500M)</t>
  </si>
  <si>
    <t>Repurpose the refinery for renewable diesel and sustainable aviation fuel</t>
  </si>
  <si>
    <t>production. An energy transition play that bets on strong biofuel demand</t>
  </si>
  <si>
    <t>and supportive government policy (RFS credits, LCFS, blender's tax credit).</t>
  </si>
  <si>
    <t>Option 4: Sell Refinery As-Is</t>
  </si>
  <si>
    <t>Sell the facility to another operator or financial buyer. Sale price depends</t>
  </si>
  <si>
    <t>on current refining market conditions and buyer appetite.</t>
  </si>
  <si>
    <t>Decision Objective</t>
  </si>
  <si>
    <t>Maximize expected NPV over a 20-year horizon. The decision involves tradeoffs</t>
  </si>
  <si>
    <t>between traditional refining profitability, energy transition risk, and the</t>
  </si>
  <si>
    <t>option value of selling before committing major capital.</t>
  </si>
  <si>
    <t>Key Assumptions</t>
  </si>
  <si>
    <t>Coker Addition Capital</t>
  </si>
  <si>
    <t>Delayed coker + utilities, 3-year build</t>
  </si>
  <si>
    <t>Hydrotreater Capital</t>
  </si>
  <si>
    <t>New HDS unit + hydrogen plant</t>
  </si>
  <si>
    <t>Biofuels Conversion Capital</t>
  </si>
  <si>
    <t>Pretreatment + hydrotreating reactors</t>
  </si>
  <si>
    <t>Refinery Capacity</t>
  </si>
  <si>
    <t>150,000 bbl/day</t>
  </si>
  <si>
    <t>Current nameplate, Gulf Coast location</t>
  </si>
  <si>
    <t>Evaluation Horizon</t>
  </si>
  <si>
    <t>20 years</t>
  </si>
  <si>
    <t>NPV of operating cash flows</t>
  </si>
  <si>
    <t>Crack Spread (Wide)</t>
  </si>
  <si>
    <t>$18-22/bbl</t>
  </si>
  <si>
    <t>Strong refining margins cycle</t>
  </si>
  <si>
    <t>Crack Spread (Normal)</t>
  </si>
  <si>
    <t>$12-15/bbl</t>
  </si>
  <si>
    <t>Mid-cycle refining margins</t>
  </si>
  <si>
    <t>Crack Spread (Narrow)</t>
  </si>
  <si>
    <t>$6-9/bbl</t>
  </si>
  <si>
    <t>Weak margins, overcapacity</t>
  </si>
  <si>
    <t>Heavy-Light Differential</t>
  </si>
  <si>
    <t>$5-20/bbl</t>
  </si>
  <si>
    <t>Key driver for coker economics</t>
  </si>
  <si>
    <t>Biofuel Policy Risk</t>
  </si>
  <si>
    <t>High</t>
  </si>
  <si>
    <t>Credits range $0.50-2.00/gal, uncertain</t>
  </si>
  <si>
    <t>Sale Price Range</t>
  </si>
  <si>
    <t>$250-600M</t>
  </si>
  <si>
    <t>Depends on buyer market conditions</t>
  </si>
  <si>
    <t>Suggested Analyses</t>
  </si>
  <si>
    <t>▶ Strategy Table - Compare coker vs hydrotreater vs biofuels vs sell</t>
  </si>
  <si>
    <t>▶ Sensitivity Analysis - Impact of crack spreads and H-L differential on coker NPV</t>
  </si>
  <si>
    <t>▶ Risk Profile - Compare downside exposure of each investment path</t>
  </si>
  <si>
    <t>▶ Two-Way Sensitivity - Biofuel demand vs policy support for conversion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</si>
</sst>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46</xdr:row>
      <xdr:rowOff>0</xdr:rowOff>
    </xdr:from>
    <xdr:to>
      <xdr:col>2</xdr:col>
      <xdr:colOff>9525</xdr:colOff>
      <xdr:row>46</xdr:row>
      <xdr:rowOff>0</xdr:rowOff>
    </xdr:to>
    <xdr:cxnSp macro="">
      <xdr:nvCxnSpPr>
        <xdr:cNvPr id="149" name="MC_Entry">
          <a:extLst>
            <a:ext uri="{FF2B5EF4-FFF2-40B4-BE49-F238E27FC236}">
              <a16:creationId xmlns:a16="http://schemas.microsoft.com/office/drawing/2014/main" id="{09625F41-EA1A-5AD4-350C-D327E805FF60}"/>
            </a:ext>
          </a:extLst>
        </xdr:cNvPr>
        <xdr:cNvCxnSpPr/>
      </xdr:nvCxnSpPr>
      <xdr:spPr>
        <a:xfrm>
          <a:off x="665163" y="8705850"/>
          <a:ext cx="1935162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45</xdr:row>
      <xdr:rowOff>99251</xdr:rowOff>
    </xdr:from>
    <xdr:ext cx="1302985" cy="182550"/>
    <xdr:sp macro="_xll.MC_OnTreeNameClick" textlink="">
      <xdr:nvSpPr>
        <xdr:cNvPr id="150" name="MC_TreeName">
          <a:extLst>
            <a:ext uri="{FF2B5EF4-FFF2-40B4-BE49-F238E27FC236}">
              <a16:creationId xmlns:a16="http://schemas.microsoft.com/office/drawing/2014/main" id="{D5A9CDC1-0F42-99AA-6E67-2A48EDAD7052}"/>
            </a:ext>
          </a:extLst>
        </xdr:cNvPr>
        <xdr:cNvSpPr txBox="1"/>
      </xdr:nvSpPr>
      <xdr:spPr>
        <a:xfrm>
          <a:off x="665163" y="8614601"/>
          <a:ext cx="13029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Refinery Upgrade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74695</xdr:colOff>
      <xdr:row>27</xdr:row>
      <xdr:rowOff>174625</xdr:rowOff>
    </xdr:from>
    <xdr:to>
      <xdr:col>3</xdr:col>
      <xdr:colOff>47626</xdr:colOff>
      <xdr:row>46</xdr:row>
      <xdr:rowOff>771</xdr:rowOff>
    </xdr:to>
    <xdr:sp macro="" textlink="">
      <xdr:nvSpPr>
        <xdr:cNvPr id="151" name="MC_BR_D_root_C_coker_margin">
          <a:extLst>
            <a:ext uri="{FF2B5EF4-FFF2-40B4-BE49-F238E27FC236}">
              <a16:creationId xmlns:a16="http://schemas.microsoft.com/office/drawing/2014/main" id="{C204FBB4-4784-F5C3-9B57-E3C05ED80D01}"/>
            </a:ext>
          </a:extLst>
        </xdr:cNvPr>
        <xdr:cNvSpPr/>
      </xdr:nvSpPr>
      <xdr:spPr>
        <a:xfrm>
          <a:off x="2665495" y="5260975"/>
          <a:ext cx="2692319" cy="3445646"/>
        </a:xfrm>
        <a:custGeom>
          <a:avLst/>
          <a:gdLst/>
          <a:ahLst/>
          <a:cxnLst/>
          <a:rect l="0" t="0" r="0" b="0"/>
          <a:pathLst>
            <a:path w="2692319" h="3445646">
              <a:moveTo>
                <a:pt x="0" y="3444105"/>
              </a:moveTo>
              <a:lnTo>
                <a:pt x="166624" y="15105"/>
              </a:lnTo>
              <a:lnTo>
                <a:pt x="182480" y="0"/>
              </a:lnTo>
              <a:lnTo>
                <a:pt x="2692318" y="0"/>
              </a:lnTo>
              <a:lnTo>
                <a:pt x="2692318" y="31750"/>
              </a:lnTo>
              <a:lnTo>
                <a:pt x="182480" y="31750"/>
              </a:lnTo>
              <a:lnTo>
                <a:pt x="198336" y="16645"/>
              </a:lnTo>
              <a:lnTo>
                <a:pt x="31712" y="344564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332737" cy="182550"/>
    <xdr:sp macro="_xll.MC_OnBranchLabelClick" textlink="">
      <xdr:nvSpPr>
        <xdr:cNvPr id="152" name="MC_BN_D_root_C_coker_margin">
          <a:extLst>
            <a:ext uri="{FF2B5EF4-FFF2-40B4-BE49-F238E27FC236}">
              <a16:creationId xmlns:a16="http://schemas.microsoft.com/office/drawing/2014/main" id="{2FE33C97-B5F9-D913-135A-29D1DAE4BD2A}"/>
            </a:ext>
          </a:extLst>
        </xdr:cNvPr>
        <xdr:cNvSpPr txBox="1"/>
      </xdr:nvSpPr>
      <xdr:spPr>
        <a:xfrm>
          <a:off x="2877185" y="5185601"/>
          <a:ext cx="13327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Coker Addition ($800M)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45</xdr:row>
      <xdr:rowOff>189947</xdr:rowOff>
    </xdr:from>
    <xdr:to>
      <xdr:col>3</xdr:col>
      <xdr:colOff>47626</xdr:colOff>
      <xdr:row>56</xdr:row>
      <xdr:rowOff>6351</xdr:rowOff>
    </xdr:to>
    <xdr:sp macro="" textlink="">
      <xdr:nvSpPr>
        <xdr:cNvPr id="153" name="MC_BR_D_root_C_hydro_margin">
          <a:extLst>
            <a:ext uri="{FF2B5EF4-FFF2-40B4-BE49-F238E27FC236}">
              <a16:creationId xmlns:a16="http://schemas.microsoft.com/office/drawing/2014/main" id="{7BAFF3CF-913D-951C-9261-6CD2E79A7DF2}"/>
            </a:ext>
          </a:extLst>
        </xdr:cNvPr>
        <xdr:cNvSpPr/>
      </xdr:nvSpPr>
      <xdr:spPr>
        <a:xfrm>
          <a:off x="2675025" y="8705297"/>
          <a:ext cx="2682789" cy="1911904"/>
        </a:xfrm>
        <a:custGeom>
          <a:avLst/>
          <a:gdLst/>
          <a:ahLst/>
          <a:cxnLst/>
          <a:rect l="0" t="0" r="0" b="0"/>
          <a:pathLst>
            <a:path w="268278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682788" y="1899203"/>
              </a:lnTo>
              <a:lnTo>
                <a:pt x="268278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55</xdr:row>
      <xdr:rowOff>99251</xdr:rowOff>
    </xdr:from>
    <xdr:ext cx="1458413" cy="182550"/>
    <xdr:sp macro="_xll.MC_OnBranchLabelClick" textlink="">
      <xdr:nvSpPr>
        <xdr:cNvPr id="154" name="MC_BN_D_root_C_hydro_margin">
          <a:extLst>
            <a:ext uri="{FF2B5EF4-FFF2-40B4-BE49-F238E27FC236}">
              <a16:creationId xmlns:a16="http://schemas.microsoft.com/office/drawing/2014/main" id="{11F9476C-2AC7-BED5-CAE4-086C740B88C3}"/>
            </a:ext>
          </a:extLst>
        </xdr:cNvPr>
        <xdr:cNvSpPr txBox="1"/>
      </xdr:nvSpPr>
      <xdr:spPr>
        <a:xfrm>
          <a:off x="2877185" y="10519601"/>
          <a:ext cx="14584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Hydrotreater Upgrade ($300M)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45</xdr:row>
      <xdr:rowOff>190346</xdr:rowOff>
    </xdr:from>
    <xdr:to>
      <xdr:col>3</xdr:col>
      <xdr:colOff>47626</xdr:colOff>
      <xdr:row>82</xdr:row>
      <xdr:rowOff>6351</xdr:rowOff>
    </xdr:to>
    <xdr:sp macro="" textlink="">
      <xdr:nvSpPr>
        <xdr:cNvPr id="155" name="MC_BR_D_root_C_bio_demand">
          <a:extLst>
            <a:ext uri="{FF2B5EF4-FFF2-40B4-BE49-F238E27FC236}">
              <a16:creationId xmlns:a16="http://schemas.microsoft.com/office/drawing/2014/main" id="{D979392F-57BE-3A2E-48F0-AC5C43CC6B49}"/>
            </a:ext>
          </a:extLst>
        </xdr:cNvPr>
        <xdr:cNvSpPr/>
      </xdr:nvSpPr>
      <xdr:spPr>
        <a:xfrm>
          <a:off x="2675003" y="8705696"/>
          <a:ext cx="2682811" cy="6864505"/>
        </a:xfrm>
        <a:custGeom>
          <a:avLst/>
          <a:gdLst/>
          <a:ahLst/>
          <a:cxnLst/>
          <a:rect l="0" t="0" r="0" b="0"/>
          <a:pathLst>
            <a:path w="2682811" h="6864505">
              <a:moveTo>
                <a:pt x="12696" y="0"/>
              </a:moveTo>
              <a:lnTo>
                <a:pt x="179320" y="6858001"/>
              </a:lnTo>
              <a:lnTo>
                <a:pt x="172972" y="6851804"/>
              </a:lnTo>
              <a:lnTo>
                <a:pt x="2682810" y="6851804"/>
              </a:lnTo>
              <a:lnTo>
                <a:pt x="2682810" y="6864504"/>
              </a:lnTo>
              <a:lnTo>
                <a:pt x="172972" y="6864504"/>
              </a:lnTo>
              <a:lnTo>
                <a:pt x="166624" y="6858307"/>
              </a:lnTo>
              <a:lnTo>
                <a:pt x="0" y="30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81</xdr:row>
      <xdr:rowOff>99250</xdr:rowOff>
    </xdr:from>
    <xdr:ext cx="1332929" cy="182550"/>
    <xdr:sp macro="_xll.MC_OnBranchLabelClick" textlink="">
      <xdr:nvSpPr>
        <xdr:cNvPr id="156" name="MC_BN_D_root_C_bio_demand">
          <a:extLst>
            <a:ext uri="{FF2B5EF4-FFF2-40B4-BE49-F238E27FC236}">
              <a16:creationId xmlns:a16="http://schemas.microsoft.com/office/drawing/2014/main" id="{1A869A7A-68F3-954C-247C-FC4FAAE6B10D}"/>
            </a:ext>
          </a:extLst>
        </xdr:cNvPr>
        <xdr:cNvSpPr txBox="1"/>
      </xdr:nvSpPr>
      <xdr:spPr>
        <a:xfrm>
          <a:off x="2877185" y="15472600"/>
          <a:ext cx="13329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Convert to Biofuels ($500M)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45</xdr:row>
      <xdr:rowOff>190401</xdr:rowOff>
    </xdr:from>
    <xdr:to>
      <xdr:col>3</xdr:col>
      <xdr:colOff>47626</xdr:colOff>
      <xdr:row>102</xdr:row>
      <xdr:rowOff>6351</xdr:rowOff>
    </xdr:to>
    <xdr:sp macro="" textlink="">
      <xdr:nvSpPr>
        <xdr:cNvPr id="157" name="MC_BR_D_root_C_sell_market">
          <a:extLst>
            <a:ext uri="{FF2B5EF4-FFF2-40B4-BE49-F238E27FC236}">
              <a16:creationId xmlns:a16="http://schemas.microsoft.com/office/drawing/2014/main" id="{FD5079CE-2412-1DB1-CCCA-D3265DC86065}"/>
            </a:ext>
          </a:extLst>
        </xdr:cNvPr>
        <xdr:cNvSpPr/>
      </xdr:nvSpPr>
      <xdr:spPr>
        <a:xfrm>
          <a:off x="2675002" y="8705751"/>
          <a:ext cx="2682812" cy="10674450"/>
        </a:xfrm>
        <a:custGeom>
          <a:avLst/>
          <a:gdLst/>
          <a:ahLst/>
          <a:cxnLst/>
          <a:rect l="0" t="0" r="0" b="0"/>
          <a:pathLst>
            <a:path w="2682812" h="10674450">
              <a:moveTo>
                <a:pt x="12698" y="0"/>
              </a:moveTo>
              <a:lnTo>
                <a:pt x="179322" y="10668000"/>
              </a:lnTo>
              <a:lnTo>
                <a:pt x="172973" y="10661749"/>
              </a:lnTo>
              <a:lnTo>
                <a:pt x="2682811" y="10661749"/>
              </a:lnTo>
              <a:lnTo>
                <a:pt x="2682811" y="10674449"/>
              </a:lnTo>
              <a:lnTo>
                <a:pt x="172973" y="10674449"/>
              </a:lnTo>
              <a:lnTo>
                <a:pt x="166624" y="10668198"/>
              </a:lnTo>
              <a:lnTo>
                <a:pt x="0" y="19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101</xdr:row>
      <xdr:rowOff>99250</xdr:rowOff>
    </xdr:from>
    <xdr:ext cx="899221" cy="182550"/>
    <xdr:sp macro="_xll.MC_OnBranchLabelClick" textlink="">
      <xdr:nvSpPr>
        <xdr:cNvPr id="158" name="MC_BN_D_root_C_sell_market">
          <a:extLst>
            <a:ext uri="{FF2B5EF4-FFF2-40B4-BE49-F238E27FC236}">
              <a16:creationId xmlns:a16="http://schemas.microsoft.com/office/drawing/2014/main" id="{62708180-7292-0214-03F3-3DB7144F673E}"/>
            </a:ext>
          </a:extLst>
        </xdr:cNvPr>
        <xdr:cNvSpPr txBox="1"/>
      </xdr:nvSpPr>
      <xdr:spPr>
        <a:xfrm>
          <a:off x="2877185" y="19282600"/>
          <a:ext cx="8992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Refinery As-Is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21</xdr:row>
      <xdr:rowOff>174625</xdr:rowOff>
    </xdr:from>
    <xdr:to>
      <xdr:col>4</xdr:col>
      <xdr:colOff>47626</xdr:colOff>
      <xdr:row>28</xdr:row>
      <xdr:rowOff>2291</xdr:rowOff>
    </xdr:to>
    <xdr:sp macro="" textlink="">
      <xdr:nvSpPr>
        <xdr:cNvPr id="159" name="MC_BR_C_coker_margin_C_coker_diff_wide">
          <a:extLst>
            <a:ext uri="{FF2B5EF4-FFF2-40B4-BE49-F238E27FC236}">
              <a16:creationId xmlns:a16="http://schemas.microsoft.com/office/drawing/2014/main" id="{53FB153C-8D4F-DC5C-B91F-C174B2156E58}"/>
            </a:ext>
          </a:extLst>
        </xdr:cNvPr>
        <xdr:cNvSpPr/>
      </xdr:nvSpPr>
      <xdr:spPr>
        <a:xfrm>
          <a:off x="5385029" y="4117975"/>
          <a:ext cx="2615972" cy="1161166"/>
        </a:xfrm>
        <a:custGeom>
          <a:avLst/>
          <a:gdLst/>
          <a:ahLst/>
          <a:cxnLst/>
          <a:rect l="0" t="0" r="0" b="0"/>
          <a:pathLst>
            <a:path w="2615972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615971" y="0"/>
              </a:lnTo>
              <a:lnTo>
                <a:pt x="2615971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996235" cy="182550"/>
    <xdr:sp macro="_xll.MC_OnBranchLabelClick" textlink="">
      <xdr:nvSpPr>
        <xdr:cNvPr id="160" name="MC_BN_C_coker_margin_C_coker_diff_wide">
          <a:extLst>
            <a:ext uri="{FF2B5EF4-FFF2-40B4-BE49-F238E27FC236}">
              <a16:creationId xmlns:a16="http://schemas.microsoft.com/office/drawing/2014/main" id="{93CB2278-25A0-BAAA-A766-E124E0C6F59A}"/>
            </a:ext>
          </a:extLst>
        </xdr:cNvPr>
        <xdr:cNvSpPr txBox="1"/>
      </xdr:nvSpPr>
      <xdr:spPr>
        <a:xfrm>
          <a:off x="5596572" y="4042601"/>
          <a:ext cx="9962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Wide Crack Spreads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27</xdr:row>
      <xdr:rowOff>187109</xdr:rowOff>
    </xdr:from>
    <xdr:to>
      <xdr:col>4</xdr:col>
      <xdr:colOff>47626</xdr:colOff>
      <xdr:row>32</xdr:row>
      <xdr:rowOff>15876</xdr:rowOff>
    </xdr:to>
    <xdr:sp macro="" textlink="">
      <xdr:nvSpPr>
        <xdr:cNvPr id="161" name="MC_BR_C_coker_margin_C_coker_diff_normal">
          <a:extLst>
            <a:ext uri="{FF2B5EF4-FFF2-40B4-BE49-F238E27FC236}">
              <a16:creationId xmlns:a16="http://schemas.microsoft.com/office/drawing/2014/main" id="{B078C504-7D9F-0818-B801-C28AEB7721EE}"/>
            </a:ext>
          </a:extLst>
        </xdr:cNvPr>
        <xdr:cNvSpPr/>
      </xdr:nvSpPr>
      <xdr:spPr>
        <a:xfrm>
          <a:off x="5385230" y="5273459"/>
          <a:ext cx="2615771" cy="781267"/>
        </a:xfrm>
        <a:custGeom>
          <a:avLst/>
          <a:gdLst/>
          <a:ahLst/>
          <a:cxnLst/>
          <a:rect l="0" t="0" r="0" b="0"/>
          <a:pathLst>
            <a:path w="26157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615770" y="749516"/>
              </a:lnTo>
              <a:lnTo>
                <a:pt x="26157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1093120" cy="182550"/>
    <xdr:sp macro="_xll.MC_OnBranchLabelClick" textlink="">
      <xdr:nvSpPr>
        <xdr:cNvPr id="162" name="MC_BN_C_coker_margin_C_coker_diff_normal">
          <a:extLst>
            <a:ext uri="{FF2B5EF4-FFF2-40B4-BE49-F238E27FC236}">
              <a16:creationId xmlns:a16="http://schemas.microsoft.com/office/drawing/2014/main" id="{7F39F62F-F596-B44C-63DE-7FACEEB29058}"/>
            </a:ext>
          </a:extLst>
        </xdr:cNvPr>
        <xdr:cNvSpPr txBox="1"/>
      </xdr:nvSpPr>
      <xdr:spPr>
        <a:xfrm>
          <a:off x="5596572" y="5947601"/>
          <a:ext cx="10931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Crack Spreads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74717</xdr:colOff>
      <xdr:row>27</xdr:row>
      <xdr:rowOff>189346</xdr:rowOff>
    </xdr:from>
    <xdr:to>
      <xdr:col>4</xdr:col>
      <xdr:colOff>47626</xdr:colOff>
      <xdr:row>40</xdr:row>
      <xdr:rowOff>15876</xdr:rowOff>
    </xdr:to>
    <xdr:sp macro="" textlink="">
      <xdr:nvSpPr>
        <xdr:cNvPr id="163" name="MC_BR_C_coker_margin_C_coker_diff_narrow">
          <a:extLst>
            <a:ext uri="{FF2B5EF4-FFF2-40B4-BE49-F238E27FC236}">
              <a16:creationId xmlns:a16="http://schemas.microsoft.com/office/drawing/2014/main" id="{B0876C15-6DAC-A120-298F-A5896CB98EE8}"/>
            </a:ext>
          </a:extLst>
        </xdr:cNvPr>
        <xdr:cNvSpPr/>
      </xdr:nvSpPr>
      <xdr:spPr>
        <a:xfrm>
          <a:off x="5384905" y="5275696"/>
          <a:ext cx="2616096" cy="2303030"/>
        </a:xfrm>
        <a:custGeom>
          <a:avLst/>
          <a:gdLst/>
          <a:ahLst/>
          <a:cxnLst/>
          <a:rect l="0" t="0" r="0" b="0"/>
          <a:pathLst>
            <a:path w="2616096" h="2303030">
              <a:moveTo>
                <a:pt x="31666" y="0"/>
              </a:moveTo>
              <a:lnTo>
                <a:pt x="198291" y="2286000"/>
              </a:lnTo>
              <a:lnTo>
                <a:pt x="182458" y="2271279"/>
              </a:lnTo>
              <a:lnTo>
                <a:pt x="2616095" y="2271279"/>
              </a:lnTo>
              <a:lnTo>
                <a:pt x="2616095" y="2303029"/>
              </a:lnTo>
              <a:lnTo>
                <a:pt x="182458" y="2303029"/>
              </a:lnTo>
              <a:lnTo>
                <a:pt x="166624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39</xdr:row>
      <xdr:rowOff>99251</xdr:rowOff>
    </xdr:from>
    <xdr:ext cx="1093120" cy="182550"/>
    <xdr:sp macro="_xll.MC_OnBranchLabelClick" textlink="">
      <xdr:nvSpPr>
        <xdr:cNvPr id="164" name="MC_BN_C_coker_margin_C_coker_diff_narrow">
          <a:extLst>
            <a:ext uri="{FF2B5EF4-FFF2-40B4-BE49-F238E27FC236}">
              <a16:creationId xmlns:a16="http://schemas.microsoft.com/office/drawing/2014/main" id="{3AA983DC-DA5C-E4A6-7EF7-55805BDE4306}"/>
            </a:ext>
          </a:extLst>
        </xdr:cNvPr>
        <xdr:cNvSpPr txBox="1"/>
      </xdr:nvSpPr>
      <xdr:spPr>
        <a:xfrm>
          <a:off x="5596572" y="7471601"/>
          <a:ext cx="10931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Narrow Crack Spreads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19</xdr:row>
      <xdr:rowOff>174625</xdr:rowOff>
    </xdr:from>
    <xdr:to>
      <xdr:col>5</xdr:col>
      <xdr:colOff>47626</xdr:colOff>
      <xdr:row>22</xdr:row>
      <xdr:rowOff>6362</xdr:rowOff>
    </xdr:to>
    <xdr:sp macro="" textlink="">
      <xdr:nvSpPr>
        <xdr:cNvPr id="165" name="MC_BR_C_coker_diff_wide_T_coker_wl">
          <a:extLst>
            <a:ext uri="{FF2B5EF4-FFF2-40B4-BE49-F238E27FC236}">
              <a16:creationId xmlns:a16="http://schemas.microsoft.com/office/drawing/2014/main" id="{54509D87-8BC4-E020-8EC0-2FB6A417F4CA}"/>
            </a:ext>
          </a:extLst>
        </xdr:cNvPr>
        <xdr:cNvSpPr/>
      </xdr:nvSpPr>
      <xdr:spPr>
        <a:xfrm>
          <a:off x="8029381" y="3736975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129157" y="0"/>
              </a:lnTo>
              <a:lnTo>
                <a:pt x="31291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19</xdr:row>
      <xdr:rowOff>99251</xdr:rowOff>
    </xdr:from>
    <xdr:ext cx="1030603" cy="182550"/>
    <xdr:sp macro="_xll.MC_OnBranchLabelClick" textlink="">
      <xdr:nvSpPr>
        <xdr:cNvPr id="166" name="MC_BN_C_coker_diff_wide_T_coker_wl">
          <a:extLst>
            <a:ext uri="{FF2B5EF4-FFF2-40B4-BE49-F238E27FC236}">
              <a16:creationId xmlns:a16="http://schemas.microsoft.com/office/drawing/2014/main" id="{4560A566-E297-CF0B-1830-638725002CE0}"/>
            </a:ext>
          </a:extLst>
        </xdr:cNvPr>
        <xdr:cNvSpPr txBox="1"/>
      </xdr:nvSpPr>
      <xdr:spPr>
        <a:xfrm>
          <a:off x="8239760" y="3661601"/>
          <a:ext cx="10306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Large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21</xdr:row>
      <xdr:rowOff>184139</xdr:rowOff>
    </xdr:from>
    <xdr:to>
      <xdr:col>5</xdr:col>
      <xdr:colOff>47626</xdr:colOff>
      <xdr:row>24</xdr:row>
      <xdr:rowOff>15876</xdr:rowOff>
    </xdr:to>
    <xdr:sp macro="" textlink="">
      <xdr:nvSpPr>
        <xdr:cNvPr id="167" name="MC_BR_C_coker_diff_wide_T_coker_wm">
          <a:extLst>
            <a:ext uri="{FF2B5EF4-FFF2-40B4-BE49-F238E27FC236}">
              <a16:creationId xmlns:a16="http://schemas.microsoft.com/office/drawing/2014/main" id="{972A93FA-10E1-ABDA-5AFB-06F6C7F696DB}"/>
            </a:ext>
          </a:extLst>
        </xdr:cNvPr>
        <xdr:cNvSpPr/>
      </xdr:nvSpPr>
      <xdr:spPr>
        <a:xfrm>
          <a:off x="8029381" y="4127489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3129157" y="371486"/>
              </a:lnTo>
              <a:lnTo>
                <a:pt x="31291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23</xdr:row>
      <xdr:rowOff>99251</xdr:rowOff>
    </xdr:from>
    <xdr:ext cx="1201676" cy="182550"/>
    <xdr:sp macro="_xll.MC_OnBranchLabelClick" textlink="">
      <xdr:nvSpPr>
        <xdr:cNvPr id="168" name="MC_BN_C_coker_diff_wide_T_coker_wm">
          <a:extLst>
            <a:ext uri="{FF2B5EF4-FFF2-40B4-BE49-F238E27FC236}">
              <a16:creationId xmlns:a16="http://schemas.microsoft.com/office/drawing/2014/main" id="{1F7802B1-20AE-370B-51C1-955F5073FF48}"/>
            </a:ext>
          </a:extLst>
        </xdr:cNvPr>
        <xdr:cNvSpPr txBox="1"/>
      </xdr:nvSpPr>
      <xdr:spPr>
        <a:xfrm>
          <a:off x="8239760" y="4423601"/>
          <a:ext cx="1201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21</xdr:row>
      <xdr:rowOff>187109</xdr:rowOff>
    </xdr:from>
    <xdr:to>
      <xdr:col>5</xdr:col>
      <xdr:colOff>47626</xdr:colOff>
      <xdr:row>26</xdr:row>
      <xdr:rowOff>15876</xdr:rowOff>
    </xdr:to>
    <xdr:sp macro="" textlink="">
      <xdr:nvSpPr>
        <xdr:cNvPr id="169" name="MC_BR_C_coker_diff_wide_T_coker_ws">
          <a:extLst>
            <a:ext uri="{FF2B5EF4-FFF2-40B4-BE49-F238E27FC236}">
              <a16:creationId xmlns:a16="http://schemas.microsoft.com/office/drawing/2014/main" id="{958AD73E-5DAD-6280-96A9-773ACE38E0B8}"/>
            </a:ext>
          </a:extLst>
        </xdr:cNvPr>
        <xdr:cNvSpPr/>
      </xdr:nvSpPr>
      <xdr:spPr>
        <a:xfrm>
          <a:off x="8028418" y="4130459"/>
          <a:ext cx="3130121" cy="781267"/>
        </a:xfrm>
        <a:custGeom>
          <a:avLst/>
          <a:gdLst/>
          <a:ahLst/>
          <a:cxnLst/>
          <a:rect l="0" t="0" r="0" b="0"/>
          <a:pathLst>
            <a:path w="313012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3130120" y="749516"/>
              </a:lnTo>
              <a:lnTo>
                <a:pt x="313012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25</xdr:row>
      <xdr:rowOff>99251</xdr:rowOff>
    </xdr:from>
    <xdr:ext cx="1024639" cy="182550"/>
    <xdr:sp macro="_xll.MC_OnBranchLabelClick" textlink="">
      <xdr:nvSpPr>
        <xdr:cNvPr id="170" name="MC_BN_C_coker_diff_wide_T_coker_ws">
          <a:extLst>
            <a:ext uri="{FF2B5EF4-FFF2-40B4-BE49-F238E27FC236}">
              <a16:creationId xmlns:a16="http://schemas.microsoft.com/office/drawing/2014/main" id="{672B9A27-E134-DAD8-3E18-CF7F521D5797}"/>
            </a:ext>
          </a:extLst>
        </xdr:cNvPr>
        <xdr:cNvSpPr txBox="1"/>
      </xdr:nvSpPr>
      <xdr:spPr>
        <a:xfrm>
          <a:off x="8239760" y="4804601"/>
          <a:ext cx="1024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Small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29</xdr:row>
      <xdr:rowOff>174625</xdr:rowOff>
    </xdr:from>
    <xdr:to>
      <xdr:col>5</xdr:col>
      <xdr:colOff>47626</xdr:colOff>
      <xdr:row>32</xdr:row>
      <xdr:rowOff>6362</xdr:rowOff>
    </xdr:to>
    <xdr:sp macro="" textlink="">
      <xdr:nvSpPr>
        <xdr:cNvPr id="171" name="MC_BR_C_coker_diff_normal_T_coker_nl">
          <a:extLst>
            <a:ext uri="{FF2B5EF4-FFF2-40B4-BE49-F238E27FC236}">
              <a16:creationId xmlns:a16="http://schemas.microsoft.com/office/drawing/2014/main" id="{ADABCBAF-CD90-1D86-B9CC-165F1C4C235A}"/>
            </a:ext>
          </a:extLst>
        </xdr:cNvPr>
        <xdr:cNvSpPr/>
      </xdr:nvSpPr>
      <xdr:spPr>
        <a:xfrm>
          <a:off x="8029381" y="5641975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129157" y="0"/>
              </a:lnTo>
              <a:lnTo>
                <a:pt x="31291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1030603" cy="182550"/>
    <xdr:sp macro="_xll.MC_OnBranchLabelClick" textlink="">
      <xdr:nvSpPr>
        <xdr:cNvPr id="172" name="MC_BN_C_coker_diff_normal_T_coker_nl">
          <a:extLst>
            <a:ext uri="{FF2B5EF4-FFF2-40B4-BE49-F238E27FC236}">
              <a16:creationId xmlns:a16="http://schemas.microsoft.com/office/drawing/2014/main" id="{1C141AE6-D4A8-12A5-EF87-F11F7F3D891B}"/>
            </a:ext>
          </a:extLst>
        </xdr:cNvPr>
        <xdr:cNvSpPr txBox="1"/>
      </xdr:nvSpPr>
      <xdr:spPr>
        <a:xfrm>
          <a:off x="8239760" y="5566601"/>
          <a:ext cx="10306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Large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31</xdr:row>
      <xdr:rowOff>184139</xdr:rowOff>
    </xdr:from>
    <xdr:to>
      <xdr:col>5</xdr:col>
      <xdr:colOff>47626</xdr:colOff>
      <xdr:row>34</xdr:row>
      <xdr:rowOff>15876</xdr:rowOff>
    </xdr:to>
    <xdr:sp macro="" textlink="">
      <xdr:nvSpPr>
        <xdr:cNvPr id="173" name="MC_BR_C_coker_diff_normal_T_coker_nm">
          <a:extLst>
            <a:ext uri="{FF2B5EF4-FFF2-40B4-BE49-F238E27FC236}">
              <a16:creationId xmlns:a16="http://schemas.microsoft.com/office/drawing/2014/main" id="{CD7516DE-275E-11FA-5CC5-514F58AAD56D}"/>
            </a:ext>
          </a:extLst>
        </xdr:cNvPr>
        <xdr:cNvSpPr/>
      </xdr:nvSpPr>
      <xdr:spPr>
        <a:xfrm>
          <a:off x="8029381" y="6032489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3129157" y="371486"/>
              </a:lnTo>
              <a:lnTo>
                <a:pt x="31291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1201676" cy="182550"/>
    <xdr:sp macro="_xll.MC_OnBranchLabelClick" textlink="">
      <xdr:nvSpPr>
        <xdr:cNvPr id="174" name="MC_BN_C_coker_diff_normal_T_coker_nm">
          <a:extLst>
            <a:ext uri="{FF2B5EF4-FFF2-40B4-BE49-F238E27FC236}">
              <a16:creationId xmlns:a16="http://schemas.microsoft.com/office/drawing/2014/main" id="{FC96D5E4-9451-CD60-CE7A-7DD29151F546}"/>
            </a:ext>
          </a:extLst>
        </xdr:cNvPr>
        <xdr:cNvSpPr txBox="1"/>
      </xdr:nvSpPr>
      <xdr:spPr>
        <a:xfrm>
          <a:off x="8239760" y="6328601"/>
          <a:ext cx="1201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31</xdr:row>
      <xdr:rowOff>187109</xdr:rowOff>
    </xdr:from>
    <xdr:to>
      <xdr:col>5</xdr:col>
      <xdr:colOff>47626</xdr:colOff>
      <xdr:row>36</xdr:row>
      <xdr:rowOff>15876</xdr:rowOff>
    </xdr:to>
    <xdr:sp macro="" textlink="">
      <xdr:nvSpPr>
        <xdr:cNvPr id="175" name="MC_BR_C_coker_diff_normal_T_coker_ns">
          <a:extLst>
            <a:ext uri="{FF2B5EF4-FFF2-40B4-BE49-F238E27FC236}">
              <a16:creationId xmlns:a16="http://schemas.microsoft.com/office/drawing/2014/main" id="{00A4E2B7-0572-765B-A515-6132CB2165C7}"/>
            </a:ext>
          </a:extLst>
        </xdr:cNvPr>
        <xdr:cNvSpPr/>
      </xdr:nvSpPr>
      <xdr:spPr>
        <a:xfrm>
          <a:off x="8028418" y="6035459"/>
          <a:ext cx="3130121" cy="781267"/>
        </a:xfrm>
        <a:custGeom>
          <a:avLst/>
          <a:gdLst/>
          <a:ahLst/>
          <a:cxnLst/>
          <a:rect l="0" t="0" r="0" b="0"/>
          <a:pathLst>
            <a:path w="313012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3130120" y="749516"/>
              </a:lnTo>
              <a:lnTo>
                <a:pt x="313012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1024639" cy="182550"/>
    <xdr:sp macro="_xll.MC_OnBranchLabelClick" textlink="">
      <xdr:nvSpPr>
        <xdr:cNvPr id="176" name="MC_BN_C_coker_diff_normal_T_coker_ns">
          <a:extLst>
            <a:ext uri="{FF2B5EF4-FFF2-40B4-BE49-F238E27FC236}">
              <a16:creationId xmlns:a16="http://schemas.microsoft.com/office/drawing/2014/main" id="{150CB535-1400-121F-27C4-F31DE102A806}"/>
            </a:ext>
          </a:extLst>
        </xdr:cNvPr>
        <xdr:cNvSpPr txBox="1"/>
      </xdr:nvSpPr>
      <xdr:spPr>
        <a:xfrm>
          <a:off x="8239760" y="6709601"/>
          <a:ext cx="1024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Small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37</xdr:row>
      <xdr:rowOff>174625</xdr:rowOff>
    </xdr:from>
    <xdr:to>
      <xdr:col>5</xdr:col>
      <xdr:colOff>47626</xdr:colOff>
      <xdr:row>40</xdr:row>
      <xdr:rowOff>6362</xdr:rowOff>
    </xdr:to>
    <xdr:sp macro="" textlink="">
      <xdr:nvSpPr>
        <xdr:cNvPr id="177" name="MC_BR_C_coker_diff_narrow_T_coker_rl">
          <a:extLst>
            <a:ext uri="{FF2B5EF4-FFF2-40B4-BE49-F238E27FC236}">
              <a16:creationId xmlns:a16="http://schemas.microsoft.com/office/drawing/2014/main" id="{4252CCFE-BCE4-E148-8C9C-F3B9BBDFFA4D}"/>
            </a:ext>
          </a:extLst>
        </xdr:cNvPr>
        <xdr:cNvSpPr/>
      </xdr:nvSpPr>
      <xdr:spPr>
        <a:xfrm>
          <a:off x="8029381" y="7165975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129157" y="0"/>
              </a:lnTo>
              <a:lnTo>
                <a:pt x="31291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1030603" cy="182550"/>
    <xdr:sp macro="_xll.MC_OnBranchLabelClick" textlink="">
      <xdr:nvSpPr>
        <xdr:cNvPr id="178" name="MC_BN_C_coker_diff_narrow_T_coker_rl">
          <a:extLst>
            <a:ext uri="{FF2B5EF4-FFF2-40B4-BE49-F238E27FC236}">
              <a16:creationId xmlns:a16="http://schemas.microsoft.com/office/drawing/2014/main" id="{955BC49A-88A4-D99D-750C-164DDCD36EE9}"/>
            </a:ext>
          </a:extLst>
        </xdr:cNvPr>
        <xdr:cNvSpPr txBox="1"/>
      </xdr:nvSpPr>
      <xdr:spPr>
        <a:xfrm>
          <a:off x="8239760" y="7090601"/>
          <a:ext cx="10306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Large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39</xdr:row>
      <xdr:rowOff>184139</xdr:rowOff>
    </xdr:from>
    <xdr:to>
      <xdr:col>5</xdr:col>
      <xdr:colOff>47626</xdr:colOff>
      <xdr:row>42</xdr:row>
      <xdr:rowOff>15876</xdr:rowOff>
    </xdr:to>
    <xdr:sp macro="" textlink="">
      <xdr:nvSpPr>
        <xdr:cNvPr id="179" name="MC_BR_C_coker_diff_narrow_T_coker_rm">
          <a:extLst>
            <a:ext uri="{FF2B5EF4-FFF2-40B4-BE49-F238E27FC236}">
              <a16:creationId xmlns:a16="http://schemas.microsoft.com/office/drawing/2014/main" id="{D133192F-4659-4CB5-D9DB-49C9C248C0EE}"/>
            </a:ext>
          </a:extLst>
        </xdr:cNvPr>
        <xdr:cNvSpPr/>
      </xdr:nvSpPr>
      <xdr:spPr>
        <a:xfrm>
          <a:off x="8029381" y="7556489"/>
          <a:ext cx="3129158" cy="403237"/>
        </a:xfrm>
        <a:custGeom>
          <a:avLst/>
          <a:gdLst/>
          <a:ahLst/>
          <a:cxnLst/>
          <a:rect l="0" t="0" r="0" b="0"/>
          <a:pathLst>
            <a:path w="31291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3129157" y="371486"/>
              </a:lnTo>
              <a:lnTo>
                <a:pt x="31291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41</xdr:row>
      <xdr:rowOff>99251</xdr:rowOff>
    </xdr:from>
    <xdr:ext cx="1201676" cy="182550"/>
    <xdr:sp macro="_xll.MC_OnBranchLabelClick" textlink="">
      <xdr:nvSpPr>
        <xdr:cNvPr id="180" name="MC_BN_C_coker_diff_narrow_T_coker_rm">
          <a:extLst>
            <a:ext uri="{FF2B5EF4-FFF2-40B4-BE49-F238E27FC236}">
              <a16:creationId xmlns:a16="http://schemas.microsoft.com/office/drawing/2014/main" id="{7C658DB5-A3D6-3871-660D-BB81C4C2C58C}"/>
            </a:ext>
          </a:extLst>
        </xdr:cNvPr>
        <xdr:cNvSpPr txBox="1"/>
      </xdr:nvSpPr>
      <xdr:spPr>
        <a:xfrm>
          <a:off x="8239760" y="7852601"/>
          <a:ext cx="1201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39</xdr:row>
      <xdr:rowOff>187109</xdr:rowOff>
    </xdr:from>
    <xdr:to>
      <xdr:col>5</xdr:col>
      <xdr:colOff>47626</xdr:colOff>
      <xdr:row>44</xdr:row>
      <xdr:rowOff>15876</xdr:rowOff>
    </xdr:to>
    <xdr:sp macro="" textlink="">
      <xdr:nvSpPr>
        <xdr:cNvPr id="181" name="MC_BR_C_coker_diff_narrow_T_coker_rs">
          <a:extLst>
            <a:ext uri="{FF2B5EF4-FFF2-40B4-BE49-F238E27FC236}">
              <a16:creationId xmlns:a16="http://schemas.microsoft.com/office/drawing/2014/main" id="{B398FFAC-DC0E-E351-557E-3ED2A312286D}"/>
            </a:ext>
          </a:extLst>
        </xdr:cNvPr>
        <xdr:cNvSpPr/>
      </xdr:nvSpPr>
      <xdr:spPr>
        <a:xfrm>
          <a:off x="8028418" y="7559459"/>
          <a:ext cx="3130121" cy="781267"/>
        </a:xfrm>
        <a:custGeom>
          <a:avLst/>
          <a:gdLst/>
          <a:ahLst/>
          <a:cxnLst/>
          <a:rect l="0" t="0" r="0" b="0"/>
          <a:pathLst>
            <a:path w="313012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3130120" y="749516"/>
              </a:lnTo>
              <a:lnTo>
                <a:pt x="313012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43</xdr:row>
      <xdr:rowOff>99251</xdr:rowOff>
    </xdr:from>
    <xdr:ext cx="1024639" cy="182550"/>
    <xdr:sp macro="_xll.MC_OnBranchLabelClick" textlink="">
      <xdr:nvSpPr>
        <xdr:cNvPr id="182" name="MC_BN_C_coker_diff_narrow_T_coker_rs">
          <a:extLst>
            <a:ext uri="{FF2B5EF4-FFF2-40B4-BE49-F238E27FC236}">
              <a16:creationId xmlns:a16="http://schemas.microsoft.com/office/drawing/2014/main" id="{74D5EAA7-3FAB-1E80-E975-C1A6FE66516D}"/>
            </a:ext>
          </a:extLst>
        </xdr:cNvPr>
        <xdr:cNvSpPr txBox="1"/>
      </xdr:nvSpPr>
      <xdr:spPr>
        <a:xfrm>
          <a:off x="8239760" y="8233601"/>
          <a:ext cx="1024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Small H-L Differential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49</xdr:row>
      <xdr:rowOff>184150</xdr:rowOff>
    </xdr:from>
    <xdr:to>
      <xdr:col>4</xdr:col>
      <xdr:colOff>47626</xdr:colOff>
      <xdr:row>56</xdr:row>
      <xdr:rowOff>917</xdr:rowOff>
    </xdr:to>
    <xdr:sp macro="" textlink="">
      <xdr:nvSpPr>
        <xdr:cNvPr id="183" name="MC_BR_C_hydro_margin_C_hydro_reg_wide">
          <a:extLst>
            <a:ext uri="{FF2B5EF4-FFF2-40B4-BE49-F238E27FC236}">
              <a16:creationId xmlns:a16="http://schemas.microsoft.com/office/drawing/2014/main" id="{18EB1E36-22B0-EE66-B3B8-707FA295998B}"/>
            </a:ext>
          </a:extLst>
        </xdr:cNvPr>
        <xdr:cNvSpPr/>
      </xdr:nvSpPr>
      <xdr:spPr>
        <a:xfrm>
          <a:off x="5394455" y="9461500"/>
          <a:ext cx="2606546" cy="1150267"/>
        </a:xfrm>
        <a:custGeom>
          <a:avLst/>
          <a:gdLst/>
          <a:ahLst/>
          <a:cxnLst/>
          <a:rect l="0" t="0" r="0" b="0"/>
          <a:pathLst>
            <a:path w="26065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06545" y="0"/>
              </a:lnTo>
              <a:lnTo>
                <a:pt x="26065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996235" cy="182550"/>
    <xdr:sp macro="_xll.MC_OnBranchLabelClick" textlink="">
      <xdr:nvSpPr>
        <xdr:cNvPr id="184" name="MC_BN_C_hydro_margin_C_hydro_reg_wide">
          <a:extLst>
            <a:ext uri="{FF2B5EF4-FFF2-40B4-BE49-F238E27FC236}">
              <a16:creationId xmlns:a16="http://schemas.microsoft.com/office/drawing/2014/main" id="{67BCAD1C-E799-A0CC-F121-BC82B69BF4FD}"/>
            </a:ext>
          </a:extLst>
        </xdr:cNvPr>
        <xdr:cNvSpPr txBox="1"/>
      </xdr:nvSpPr>
      <xdr:spPr>
        <a:xfrm>
          <a:off x="5596572" y="9376601"/>
          <a:ext cx="9962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Wide Crack Spreads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55</xdr:row>
      <xdr:rowOff>189143</xdr:rowOff>
    </xdr:from>
    <xdr:to>
      <xdr:col>4</xdr:col>
      <xdr:colOff>47626</xdr:colOff>
      <xdr:row>60</xdr:row>
      <xdr:rowOff>6351</xdr:rowOff>
    </xdr:to>
    <xdr:sp macro="" textlink="">
      <xdr:nvSpPr>
        <xdr:cNvPr id="185" name="MC_BR_C_hydro_margin_C_hydro_reg_normal">
          <a:extLst>
            <a:ext uri="{FF2B5EF4-FFF2-40B4-BE49-F238E27FC236}">
              <a16:creationId xmlns:a16="http://schemas.microsoft.com/office/drawing/2014/main" id="{637215DB-878B-2C67-5C5A-4A2C9ABB11AB}"/>
            </a:ext>
          </a:extLst>
        </xdr:cNvPr>
        <xdr:cNvSpPr/>
      </xdr:nvSpPr>
      <xdr:spPr>
        <a:xfrm>
          <a:off x="5394535" y="10609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59</xdr:row>
      <xdr:rowOff>99251</xdr:rowOff>
    </xdr:from>
    <xdr:ext cx="1093120" cy="182550"/>
    <xdr:sp macro="_xll.MC_OnBranchLabelClick" textlink="">
      <xdr:nvSpPr>
        <xdr:cNvPr id="186" name="MC_BN_C_hydro_margin_C_hydro_reg_normal">
          <a:extLst>
            <a:ext uri="{FF2B5EF4-FFF2-40B4-BE49-F238E27FC236}">
              <a16:creationId xmlns:a16="http://schemas.microsoft.com/office/drawing/2014/main" id="{3A485027-D12F-E9CC-D360-E27C7C041EBC}"/>
            </a:ext>
          </a:extLst>
        </xdr:cNvPr>
        <xdr:cNvSpPr txBox="1"/>
      </xdr:nvSpPr>
      <xdr:spPr>
        <a:xfrm>
          <a:off x="5596572" y="11281601"/>
          <a:ext cx="10931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Crack Spreads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84217</xdr:colOff>
      <xdr:row>55</xdr:row>
      <xdr:rowOff>190038</xdr:rowOff>
    </xdr:from>
    <xdr:to>
      <xdr:col>4</xdr:col>
      <xdr:colOff>47626</xdr:colOff>
      <xdr:row>68</xdr:row>
      <xdr:rowOff>6351</xdr:rowOff>
    </xdr:to>
    <xdr:sp macro="" textlink="">
      <xdr:nvSpPr>
        <xdr:cNvPr id="187" name="MC_BR_C_hydro_margin_C_hydro_reg_narrow">
          <a:extLst>
            <a:ext uri="{FF2B5EF4-FFF2-40B4-BE49-F238E27FC236}">
              <a16:creationId xmlns:a16="http://schemas.microsoft.com/office/drawing/2014/main" id="{C086CB04-62A5-0D17-7A92-D48A3C1AF98F}"/>
            </a:ext>
          </a:extLst>
        </xdr:cNvPr>
        <xdr:cNvSpPr/>
      </xdr:nvSpPr>
      <xdr:spPr>
        <a:xfrm>
          <a:off x="5394405" y="10610388"/>
          <a:ext cx="2606596" cy="2292813"/>
        </a:xfrm>
        <a:custGeom>
          <a:avLst/>
          <a:gdLst/>
          <a:ahLst/>
          <a:cxnLst/>
          <a:rect l="0" t="0" r="0" b="0"/>
          <a:pathLst>
            <a:path w="2606596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606595" y="2280112"/>
              </a:lnTo>
              <a:lnTo>
                <a:pt x="2606595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1093120" cy="182550"/>
    <xdr:sp macro="_xll.MC_OnBranchLabelClick" textlink="">
      <xdr:nvSpPr>
        <xdr:cNvPr id="188" name="MC_BN_C_hydro_margin_C_hydro_reg_narrow">
          <a:extLst>
            <a:ext uri="{FF2B5EF4-FFF2-40B4-BE49-F238E27FC236}">
              <a16:creationId xmlns:a16="http://schemas.microsoft.com/office/drawing/2014/main" id="{112EE700-7713-E36C-5FAD-9D31948AC056}"/>
            </a:ext>
          </a:extLst>
        </xdr:cNvPr>
        <xdr:cNvSpPr txBox="1"/>
      </xdr:nvSpPr>
      <xdr:spPr>
        <a:xfrm>
          <a:off x="5596572" y="12805601"/>
          <a:ext cx="10931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Narrow Crack Spreads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47</xdr:row>
      <xdr:rowOff>184150</xdr:rowOff>
    </xdr:from>
    <xdr:to>
      <xdr:col>5</xdr:col>
      <xdr:colOff>47626</xdr:colOff>
      <xdr:row>50</xdr:row>
      <xdr:rowOff>2545</xdr:rowOff>
    </xdr:to>
    <xdr:sp macro="" textlink="">
      <xdr:nvSpPr>
        <xdr:cNvPr id="189" name="MC_BR_C_hydro_reg_wide_T_hydro_ws">
          <a:extLst>
            <a:ext uri="{FF2B5EF4-FFF2-40B4-BE49-F238E27FC236}">
              <a16:creationId xmlns:a16="http://schemas.microsoft.com/office/drawing/2014/main" id="{2696E70D-897C-2F3C-1F1D-BD86B39B3423}"/>
            </a:ext>
          </a:extLst>
        </xdr:cNvPr>
        <xdr:cNvSpPr/>
      </xdr:nvSpPr>
      <xdr:spPr>
        <a:xfrm>
          <a:off x="8038108" y="9080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47</xdr:row>
      <xdr:rowOff>99251</xdr:rowOff>
    </xdr:from>
    <xdr:ext cx="1093184" cy="182550"/>
    <xdr:sp macro="_xll.MC_OnBranchLabelClick" textlink="">
      <xdr:nvSpPr>
        <xdr:cNvPr id="190" name="MC_BN_C_hydro_reg_wide_T_hydro_ws">
          <a:extLst>
            <a:ext uri="{FF2B5EF4-FFF2-40B4-BE49-F238E27FC236}">
              <a16:creationId xmlns:a16="http://schemas.microsoft.com/office/drawing/2014/main" id="{FD314CC4-9123-EE56-560E-33E217CFF693}"/>
            </a:ext>
          </a:extLst>
        </xdr:cNvPr>
        <xdr:cNvSpPr txBox="1"/>
      </xdr:nvSpPr>
      <xdr:spPr>
        <a:xfrm>
          <a:off x="8239760" y="8995601"/>
          <a:ext cx="1093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Strict New Regulations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49</xdr:row>
      <xdr:rowOff>187956</xdr:rowOff>
    </xdr:from>
    <xdr:to>
      <xdr:col>5</xdr:col>
      <xdr:colOff>47626</xdr:colOff>
      <xdr:row>52</xdr:row>
      <xdr:rowOff>6351</xdr:rowOff>
    </xdr:to>
    <xdr:sp macro="" textlink="">
      <xdr:nvSpPr>
        <xdr:cNvPr id="191" name="MC_BR_C_hydro_reg_wide_T_hydro_wm">
          <a:extLst>
            <a:ext uri="{FF2B5EF4-FFF2-40B4-BE49-F238E27FC236}">
              <a16:creationId xmlns:a16="http://schemas.microsoft.com/office/drawing/2014/main" id="{C6C0DA02-80CB-2508-D4AD-0938DDADD5C2}"/>
            </a:ext>
          </a:extLst>
        </xdr:cNvPr>
        <xdr:cNvSpPr/>
      </xdr:nvSpPr>
      <xdr:spPr>
        <a:xfrm>
          <a:off x="8038108" y="9465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51</xdr:row>
      <xdr:rowOff>99251</xdr:rowOff>
    </xdr:from>
    <xdr:ext cx="1007968" cy="182550"/>
    <xdr:sp macro="_xll.MC_OnBranchLabelClick" textlink="">
      <xdr:nvSpPr>
        <xdr:cNvPr id="192" name="MC_BN_C_hydro_reg_wide_T_hydro_wm">
          <a:extLst>
            <a:ext uri="{FF2B5EF4-FFF2-40B4-BE49-F238E27FC236}">
              <a16:creationId xmlns:a16="http://schemas.microsoft.com/office/drawing/2014/main" id="{40799D61-C7D0-4FF8-C976-E41668A020AB}"/>
            </a:ext>
          </a:extLst>
        </xdr:cNvPr>
        <xdr:cNvSpPr txBox="1"/>
      </xdr:nvSpPr>
      <xdr:spPr>
        <a:xfrm>
          <a:off x="8239760" y="9757601"/>
          <a:ext cx="10079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49</xdr:row>
      <xdr:rowOff>189143</xdr:rowOff>
    </xdr:from>
    <xdr:to>
      <xdr:col>5</xdr:col>
      <xdr:colOff>47626</xdr:colOff>
      <xdr:row>54</xdr:row>
      <xdr:rowOff>6351</xdr:rowOff>
    </xdr:to>
    <xdr:sp macro="" textlink="">
      <xdr:nvSpPr>
        <xdr:cNvPr id="193" name="MC_BR_C_hydro_reg_wide_T_hydro_wq">
          <a:extLst>
            <a:ext uri="{FF2B5EF4-FFF2-40B4-BE49-F238E27FC236}">
              <a16:creationId xmlns:a16="http://schemas.microsoft.com/office/drawing/2014/main" id="{53573394-9668-CCCE-2370-E8A2D0291EC9}"/>
            </a:ext>
          </a:extLst>
        </xdr:cNvPr>
        <xdr:cNvSpPr/>
      </xdr:nvSpPr>
      <xdr:spPr>
        <a:xfrm>
          <a:off x="8037723" y="9466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1087862" cy="182550"/>
    <xdr:sp macro="_xll.MC_OnBranchLabelClick" textlink="">
      <xdr:nvSpPr>
        <xdr:cNvPr id="194" name="MC_BN_C_hydro_reg_wide_T_hydro_wq">
          <a:extLst>
            <a:ext uri="{FF2B5EF4-FFF2-40B4-BE49-F238E27FC236}">
              <a16:creationId xmlns:a16="http://schemas.microsoft.com/office/drawing/2014/main" id="{CE865083-1AEB-D98A-A6FD-3806641FA115}"/>
            </a:ext>
          </a:extLst>
        </xdr:cNvPr>
        <xdr:cNvSpPr txBox="1"/>
      </xdr:nvSpPr>
      <xdr:spPr>
        <a:xfrm>
          <a:off x="8239760" y="10138601"/>
          <a:ext cx="10878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Status Quo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57</xdr:row>
      <xdr:rowOff>184150</xdr:rowOff>
    </xdr:from>
    <xdr:to>
      <xdr:col>5</xdr:col>
      <xdr:colOff>47626</xdr:colOff>
      <xdr:row>60</xdr:row>
      <xdr:rowOff>2545</xdr:rowOff>
    </xdr:to>
    <xdr:sp macro="" textlink="">
      <xdr:nvSpPr>
        <xdr:cNvPr id="195" name="MC_BR_C_hydro_reg_normal_T_hydro_ns">
          <a:extLst>
            <a:ext uri="{FF2B5EF4-FFF2-40B4-BE49-F238E27FC236}">
              <a16:creationId xmlns:a16="http://schemas.microsoft.com/office/drawing/2014/main" id="{F39E5664-838D-9FD2-10F4-ABC0237448C5}"/>
            </a:ext>
          </a:extLst>
        </xdr:cNvPr>
        <xdr:cNvSpPr/>
      </xdr:nvSpPr>
      <xdr:spPr>
        <a:xfrm>
          <a:off x="8038108" y="10985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57</xdr:row>
      <xdr:rowOff>99251</xdr:rowOff>
    </xdr:from>
    <xdr:ext cx="1093184" cy="182550"/>
    <xdr:sp macro="_xll.MC_OnBranchLabelClick" textlink="">
      <xdr:nvSpPr>
        <xdr:cNvPr id="196" name="MC_BN_C_hydro_reg_normal_T_hydro_ns">
          <a:extLst>
            <a:ext uri="{FF2B5EF4-FFF2-40B4-BE49-F238E27FC236}">
              <a16:creationId xmlns:a16="http://schemas.microsoft.com/office/drawing/2014/main" id="{8A5E5E1B-980B-35E1-F4F9-D8D30B47FEAA}"/>
            </a:ext>
          </a:extLst>
        </xdr:cNvPr>
        <xdr:cNvSpPr txBox="1"/>
      </xdr:nvSpPr>
      <xdr:spPr>
        <a:xfrm>
          <a:off x="8239760" y="10900601"/>
          <a:ext cx="1093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Strict New Regulations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59</xdr:row>
      <xdr:rowOff>187956</xdr:rowOff>
    </xdr:from>
    <xdr:to>
      <xdr:col>5</xdr:col>
      <xdr:colOff>47626</xdr:colOff>
      <xdr:row>62</xdr:row>
      <xdr:rowOff>6351</xdr:rowOff>
    </xdr:to>
    <xdr:sp macro="" textlink="">
      <xdr:nvSpPr>
        <xdr:cNvPr id="197" name="MC_BR_C_hydro_reg_normal_T_hydro_nm">
          <a:extLst>
            <a:ext uri="{FF2B5EF4-FFF2-40B4-BE49-F238E27FC236}">
              <a16:creationId xmlns:a16="http://schemas.microsoft.com/office/drawing/2014/main" id="{73CF88B7-05C9-A8F8-CEFE-3C725967D19F}"/>
            </a:ext>
          </a:extLst>
        </xdr:cNvPr>
        <xdr:cNvSpPr/>
      </xdr:nvSpPr>
      <xdr:spPr>
        <a:xfrm>
          <a:off x="8038108" y="11370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61</xdr:row>
      <xdr:rowOff>99251</xdr:rowOff>
    </xdr:from>
    <xdr:ext cx="1007968" cy="182550"/>
    <xdr:sp macro="_xll.MC_OnBranchLabelClick" textlink="">
      <xdr:nvSpPr>
        <xdr:cNvPr id="198" name="MC_BN_C_hydro_reg_normal_T_hydro_nm">
          <a:extLst>
            <a:ext uri="{FF2B5EF4-FFF2-40B4-BE49-F238E27FC236}">
              <a16:creationId xmlns:a16="http://schemas.microsoft.com/office/drawing/2014/main" id="{59FFFD05-D91E-0078-1166-D2A685221DC2}"/>
            </a:ext>
          </a:extLst>
        </xdr:cNvPr>
        <xdr:cNvSpPr txBox="1"/>
      </xdr:nvSpPr>
      <xdr:spPr>
        <a:xfrm>
          <a:off x="8239760" y="11662601"/>
          <a:ext cx="10079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59</xdr:row>
      <xdr:rowOff>189143</xdr:rowOff>
    </xdr:from>
    <xdr:to>
      <xdr:col>5</xdr:col>
      <xdr:colOff>47626</xdr:colOff>
      <xdr:row>64</xdr:row>
      <xdr:rowOff>6351</xdr:rowOff>
    </xdr:to>
    <xdr:sp macro="" textlink="">
      <xdr:nvSpPr>
        <xdr:cNvPr id="199" name="MC_BR_C_hydro_reg_normal_T_hydro_nq">
          <a:extLst>
            <a:ext uri="{FF2B5EF4-FFF2-40B4-BE49-F238E27FC236}">
              <a16:creationId xmlns:a16="http://schemas.microsoft.com/office/drawing/2014/main" id="{8779ECCD-EE50-4378-DA2C-D7F06F6E4029}"/>
            </a:ext>
          </a:extLst>
        </xdr:cNvPr>
        <xdr:cNvSpPr/>
      </xdr:nvSpPr>
      <xdr:spPr>
        <a:xfrm>
          <a:off x="8037723" y="11371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1087862" cy="182550"/>
    <xdr:sp macro="_xll.MC_OnBranchLabelClick" textlink="">
      <xdr:nvSpPr>
        <xdr:cNvPr id="200" name="MC_BN_C_hydro_reg_normal_T_hydro_nq">
          <a:extLst>
            <a:ext uri="{FF2B5EF4-FFF2-40B4-BE49-F238E27FC236}">
              <a16:creationId xmlns:a16="http://schemas.microsoft.com/office/drawing/2014/main" id="{9B154CD6-D456-64E6-197B-A1B60AE5C661}"/>
            </a:ext>
          </a:extLst>
        </xdr:cNvPr>
        <xdr:cNvSpPr txBox="1"/>
      </xdr:nvSpPr>
      <xdr:spPr>
        <a:xfrm>
          <a:off x="8239760" y="12043601"/>
          <a:ext cx="10878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Status Quo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65</xdr:row>
      <xdr:rowOff>184150</xdr:rowOff>
    </xdr:from>
    <xdr:to>
      <xdr:col>5</xdr:col>
      <xdr:colOff>47626</xdr:colOff>
      <xdr:row>68</xdr:row>
      <xdr:rowOff>2545</xdr:rowOff>
    </xdr:to>
    <xdr:sp macro="" textlink="">
      <xdr:nvSpPr>
        <xdr:cNvPr id="201" name="MC_BR_C_hydro_reg_narrow_T_hydro_rs">
          <a:extLst>
            <a:ext uri="{FF2B5EF4-FFF2-40B4-BE49-F238E27FC236}">
              <a16:creationId xmlns:a16="http://schemas.microsoft.com/office/drawing/2014/main" id="{34BB0130-78BC-30C7-FAA4-CE8262352EC7}"/>
            </a:ext>
          </a:extLst>
        </xdr:cNvPr>
        <xdr:cNvSpPr/>
      </xdr:nvSpPr>
      <xdr:spPr>
        <a:xfrm>
          <a:off x="8038108" y="12509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65</xdr:row>
      <xdr:rowOff>99251</xdr:rowOff>
    </xdr:from>
    <xdr:ext cx="1093184" cy="182550"/>
    <xdr:sp macro="_xll.MC_OnBranchLabelClick" textlink="">
      <xdr:nvSpPr>
        <xdr:cNvPr id="202" name="MC_BN_C_hydro_reg_narrow_T_hydro_rs">
          <a:extLst>
            <a:ext uri="{FF2B5EF4-FFF2-40B4-BE49-F238E27FC236}">
              <a16:creationId xmlns:a16="http://schemas.microsoft.com/office/drawing/2014/main" id="{0109E9F2-615E-FDAF-FC06-D40BA429DB89}"/>
            </a:ext>
          </a:extLst>
        </xdr:cNvPr>
        <xdr:cNvSpPr txBox="1"/>
      </xdr:nvSpPr>
      <xdr:spPr>
        <a:xfrm>
          <a:off x="8239760" y="12424601"/>
          <a:ext cx="1093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Strict New Regulations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67</xdr:row>
      <xdr:rowOff>187956</xdr:rowOff>
    </xdr:from>
    <xdr:to>
      <xdr:col>5</xdr:col>
      <xdr:colOff>47626</xdr:colOff>
      <xdr:row>70</xdr:row>
      <xdr:rowOff>6351</xdr:rowOff>
    </xdr:to>
    <xdr:sp macro="" textlink="">
      <xdr:nvSpPr>
        <xdr:cNvPr id="203" name="MC_BR_C_hydro_reg_narrow_T_hydro_rm">
          <a:extLst>
            <a:ext uri="{FF2B5EF4-FFF2-40B4-BE49-F238E27FC236}">
              <a16:creationId xmlns:a16="http://schemas.microsoft.com/office/drawing/2014/main" id="{9169EF29-A985-D258-8EEF-BC81273A1BA6}"/>
            </a:ext>
          </a:extLst>
        </xdr:cNvPr>
        <xdr:cNvSpPr/>
      </xdr:nvSpPr>
      <xdr:spPr>
        <a:xfrm>
          <a:off x="8038108" y="12894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1007968" cy="182550"/>
    <xdr:sp macro="_xll.MC_OnBranchLabelClick" textlink="">
      <xdr:nvSpPr>
        <xdr:cNvPr id="204" name="MC_BN_C_hydro_reg_narrow_T_hydro_rm">
          <a:extLst>
            <a:ext uri="{FF2B5EF4-FFF2-40B4-BE49-F238E27FC236}">
              <a16:creationId xmlns:a16="http://schemas.microsoft.com/office/drawing/2014/main" id="{0E3625C4-562D-9636-82FC-C785F1FCCF1F}"/>
            </a:ext>
          </a:extLst>
        </xdr:cNvPr>
        <xdr:cNvSpPr txBox="1"/>
      </xdr:nvSpPr>
      <xdr:spPr>
        <a:xfrm>
          <a:off x="8239760" y="13186600"/>
          <a:ext cx="10079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67</xdr:row>
      <xdr:rowOff>189143</xdr:rowOff>
    </xdr:from>
    <xdr:to>
      <xdr:col>5</xdr:col>
      <xdr:colOff>47626</xdr:colOff>
      <xdr:row>72</xdr:row>
      <xdr:rowOff>6351</xdr:rowOff>
    </xdr:to>
    <xdr:sp macro="" textlink="">
      <xdr:nvSpPr>
        <xdr:cNvPr id="205" name="MC_BR_C_hydro_reg_narrow_T_hydro_rq">
          <a:extLst>
            <a:ext uri="{FF2B5EF4-FFF2-40B4-BE49-F238E27FC236}">
              <a16:creationId xmlns:a16="http://schemas.microsoft.com/office/drawing/2014/main" id="{77C5409D-1CD6-9C26-2D7E-E4249437574A}"/>
            </a:ext>
          </a:extLst>
        </xdr:cNvPr>
        <xdr:cNvSpPr/>
      </xdr:nvSpPr>
      <xdr:spPr>
        <a:xfrm>
          <a:off x="8037723" y="12895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71</xdr:row>
      <xdr:rowOff>99250</xdr:rowOff>
    </xdr:from>
    <xdr:ext cx="1087862" cy="182550"/>
    <xdr:sp macro="_xll.MC_OnBranchLabelClick" textlink="">
      <xdr:nvSpPr>
        <xdr:cNvPr id="206" name="MC_BN_C_hydro_reg_narrow_T_hydro_rq">
          <a:extLst>
            <a:ext uri="{FF2B5EF4-FFF2-40B4-BE49-F238E27FC236}">
              <a16:creationId xmlns:a16="http://schemas.microsoft.com/office/drawing/2014/main" id="{0A3F217C-E945-2735-D9F8-F7EEEAFD5F0A}"/>
            </a:ext>
          </a:extLst>
        </xdr:cNvPr>
        <xdr:cNvSpPr txBox="1"/>
      </xdr:nvSpPr>
      <xdr:spPr>
        <a:xfrm>
          <a:off x="8239760" y="13567600"/>
          <a:ext cx="10878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Status Quo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75</xdr:row>
      <xdr:rowOff>184150</xdr:rowOff>
    </xdr:from>
    <xdr:to>
      <xdr:col>4</xdr:col>
      <xdr:colOff>47626</xdr:colOff>
      <xdr:row>82</xdr:row>
      <xdr:rowOff>917</xdr:rowOff>
    </xdr:to>
    <xdr:sp macro="" textlink="">
      <xdr:nvSpPr>
        <xdr:cNvPr id="207" name="MC_BR_C_bio_demand_C_bio_reg_strong">
          <a:extLst>
            <a:ext uri="{FF2B5EF4-FFF2-40B4-BE49-F238E27FC236}">
              <a16:creationId xmlns:a16="http://schemas.microsoft.com/office/drawing/2014/main" id="{789687B5-3679-8D90-0D99-8DE44B2F4CBE}"/>
            </a:ext>
          </a:extLst>
        </xdr:cNvPr>
        <xdr:cNvSpPr/>
      </xdr:nvSpPr>
      <xdr:spPr>
        <a:xfrm>
          <a:off x="5394455" y="14414500"/>
          <a:ext cx="2606546" cy="1150267"/>
        </a:xfrm>
        <a:custGeom>
          <a:avLst/>
          <a:gdLst/>
          <a:ahLst/>
          <a:cxnLst/>
          <a:rect l="0" t="0" r="0" b="0"/>
          <a:pathLst>
            <a:path w="26065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06545" y="0"/>
              </a:lnTo>
              <a:lnTo>
                <a:pt x="26065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75</xdr:row>
      <xdr:rowOff>99250</xdr:rowOff>
    </xdr:from>
    <xdr:ext cx="1116268" cy="182550"/>
    <xdr:sp macro="_xll.MC_OnBranchLabelClick" textlink="">
      <xdr:nvSpPr>
        <xdr:cNvPr id="208" name="MC_BN_C_bio_demand_C_bio_reg_strong">
          <a:extLst>
            <a:ext uri="{FF2B5EF4-FFF2-40B4-BE49-F238E27FC236}">
              <a16:creationId xmlns:a16="http://schemas.microsoft.com/office/drawing/2014/main" id="{F672B35E-0543-35FD-4F74-08C82B6FF5C5}"/>
            </a:ext>
          </a:extLst>
        </xdr:cNvPr>
        <xdr:cNvSpPr txBox="1"/>
      </xdr:nvSpPr>
      <xdr:spPr>
        <a:xfrm>
          <a:off x="5596572" y="14329600"/>
          <a:ext cx="11162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Biofuel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81</xdr:row>
      <xdr:rowOff>189143</xdr:rowOff>
    </xdr:from>
    <xdr:to>
      <xdr:col>4</xdr:col>
      <xdr:colOff>47626</xdr:colOff>
      <xdr:row>86</xdr:row>
      <xdr:rowOff>6351</xdr:rowOff>
    </xdr:to>
    <xdr:sp macro="" textlink="">
      <xdr:nvSpPr>
        <xdr:cNvPr id="209" name="MC_BR_C_bio_demand_C_bio_reg_moderate">
          <a:extLst>
            <a:ext uri="{FF2B5EF4-FFF2-40B4-BE49-F238E27FC236}">
              <a16:creationId xmlns:a16="http://schemas.microsoft.com/office/drawing/2014/main" id="{6983686C-2473-8451-DD47-80184C816E17}"/>
            </a:ext>
          </a:extLst>
        </xdr:cNvPr>
        <xdr:cNvSpPr/>
      </xdr:nvSpPr>
      <xdr:spPr>
        <a:xfrm>
          <a:off x="5394535" y="15562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85</xdr:row>
      <xdr:rowOff>99250</xdr:rowOff>
    </xdr:from>
    <xdr:ext cx="1247457" cy="182550"/>
    <xdr:sp macro="_xll.MC_OnBranchLabelClick" textlink="">
      <xdr:nvSpPr>
        <xdr:cNvPr id="210" name="MC_BN_C_bio_demand_C_bio_reg_moderate">
          <a:extLst>
            <a:ext uri="{FF2B5EF4-FFF2-40B4-BE49-F238E27FC236}">
              <a16:creationId xmlns:a16="http://schemas.microsoft.com/office/drawing/2014/main" id="{795F166A-0C76-DDE0-A193-DC3317D0A098}"/>
            </a:ext>
          </a:extLst>
        </xdr:cNvPr>
        <xdr:cNvSpPr txBox="1"/>
      </xdr:nvSpPr>
      <xdr:spPr>
        <a:xfrm>
          <a:off x="5596572" y="16234600"/>
          <a:ext cx="12474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Biofuel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84217</xdr:colOff>
      <xdr:row>81</xdr:row>
      <xdr:rowOff>190038</xdr:rowOff>
    </xdr:from>
    <xdr:to>
      <xdr:col>4</xdr:col>
      <xdr:colOff>47626</xdr:colOff>
      <xdr:row>94</xdr:row>
      <xdr:rowOff>6351</xdr:rowOff>
    </xdr:to>
    <xdr:sp macro="" textlink="">
      <xdr:nvSpPr>
        <xdr:cNvPr id="211" name="MC_BR_C_bio_demand_C_bio_reg_weak">
          <a:extLst>
            <a:ext uri="{FF2B5EF4-FFF2-40B4-BE49-F238E27FC236}">
              <a16:creationId xmlns:a16="http://schemas.microsoft.com/office/drawing/2014/main" id="{7EFE9B00-84FF-B5B6-7889-BAA4E9629D4F}"/>
            </a:ext>
          </a:extLst>
        </xdr:cNvPr>
        <xdr:cNvSpPr/>
      </xdr:nvSpPr>
      <xdr:spPr>
        <a:xfrm>
          <a:off x="5394405" y="15563388"/>
          <a:ext cx="2606596" cy="2292813"/>
        </a:xfrm>
        <a:custGeom>
          <a:avLst/>
          <a:gdLst/>
          <a:ahLst/>
          <a:cxnLst/>
          <a:rect l="0" t="0" r="0" b="0"/>
          <a:pathLst>
            <a:path w="2606596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606595" y="2280112"/>
              </a:lnTo>
              <a:lnTo>
                <a:pt x="2606595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93</xdr:row>
      <xdr:rowOff>99250</xdr:rowOff>
    </xdr:from>
    <xdr:ext cx="1076192" cy="182550"/>
    <xdr:sp macro="_xll.MC_OnBranchLabelClick" textlink="">
      <xdr:nvSpPr>
        <xdr:cNvPr id="212" name="MC_BN_C_bio_demand_C_bio_reg_weak">
          <a:extLst>
            <a:ext uri="{FF2B5EF4-FFF2-40B4-BE49-F238E27FC236}">
              <a16:creationId xmlns:a16="http://schemas.microsoft.com/office/drawing/2014/main" id="{A44EB599-4E39-F272-6B57-739AEF67C8BB}"/>
            </a:ext>
          </a:extLst>
        </xdr:cNvPr>
        <xdr:cNvSpPr txBox="1"/>
      </xdr:nvSpPr>
      <xdr:spPr>
        <a:xfrm>
          <a:off x="5596572" y="17758600"/>
          <a:ext cx="10761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Biofuel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73</xdr:row>
      <xdr:rowOff>184150</xdr:rowOff>
    </xdr:from>
    <xdr:to>
      <xdr:col>5</xdr:col>
      <xdr:colOff>47626</xdr:colOff>
      <xdr:row>76</xdr:row>
      <xdr:rowOff>2545</xdr:rowOff>
    </xdr:to>
    <xdr:sp macro="" textlink="">
      <xdr:nvSpPr>
        <xdr:cNvPr id="213" name="MC_BR_C_bio_reg_strong_T_bio_ss">
          <a:extLst>
            <a:ext uri="{FF2B5EF4-FFF2-40B4-BE49-F238E27FC236}">
              <a16:creationId xmlns:a16="http://schemas.microsoft.com/office/drawing/2014/main" id="{BB6A0DE5-E1FE-416B-C580-D04B8D5CEF06}"/>
            </a:ext>
          </a:extLst>
        </xdr:cNvPr>
        <xdr:cNvSpPr/>
      </xdr:nvSpPr>
      <xdr:spPr>
        <a:xfrm>
          <a:off x="8038108" y="14033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73</xdr:row>
      <xdr:rowOff>99250</xdr:rowOff>
    </xdr:from>
    <xdr:ext cx="1047787" cy="182550"/>
    <xdr:sp macro="_xll.MC_OnBranchLabelClick" textlink="">
      <xdr:nvSpPr>
        <xdr:cNvPr id="214" name="MC_BN_C_bio_reg_strong_T_bio_ss">
          <a:extLst>
            <a:ext uri="{FF2B5EF4-FFF2-40B4-BE49-F238E27FC236}">
              <a16:creationId xmlns:a16="http://schemas.microsoft.com/office/drawing/2014/main" id="{3743EA39-81C6-0F7C-9F5D-833EDA398688}"/>
            </a:ext>
          </a:extLst>
        </xdr:cNvPr>
        <xdr:cNvSpPr txBox="1"/>
      </xdr:nvSpPr>
      <xdr:spPr>
        <a:xfrm>
          <a:off x="8239760" y="13948600"/>
          <a:ext cx="10477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75</xdr:row>
      <xdr:rowOff>187956</xdr:rowOff>
    </xdr:from>
    <xdr:to>
      <xdr:col>5</xdr:col>
      <xdr:colOff>47626</xdr:colOff>
      <xdr:row>78</xdr:row>
      <xdr:rowOff>6351</xdr:rowOff>
    </xdr:to>
    <xdr:sp macro="" textlink="">
      <xdr:nvSpPr>
        <xdr:cNvPr id="215" name="MC_BR_C_bio_reg_strong_T_bio_sm">
          <a:extLst>
            <a:ext uri="{FF2B5EF4-FFF2-40B4-BE49-F238E27FC236}">
              <a16:creationId xmlns:a16="http://schemas.microsoft.com/office/drawing/2014/main" id="{30E4410E-6A11-0218-E1C4-75C1263EC7F0}"/>
            </a:ext>
          </a:extLst>
        </xdr:cNvPr>
        <xdr:cNvSpPr/>
      </xdr:nvSpPr>
      <xdr:spPr>
        <a:xfrm>
          <a:off x="8038108" y="14418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77</xdr:row>
      <xdr:rowOff>99250</xdr:rowOff>
    </xdr:from>
    <xdr:ext cx="1178977" cy="182550"/>
    <xdr:sp macro="_xll.MC_OnBranchLabelClick" textlink="">
      <xdr:nvSpPr>
        <xdr:cNvPr id="216" name="MC_BN_C_bio_reg_strong_T_bio_sm">
          <a:extLst>
            <a:ext uri="{FF2B5EF4-FFF2-40B4-BE49-F238E27FC236}">
              <a16:creationId xmlns:a16="http://schemas.microsoft.com/office/drawing/2014/main" id="{4C405D8D-8D53-6857-BD83-9C91B0E8E03D}"/>
            </a:ext>
          </a:extLst>
        </xdr:cNvPr>
        <xdr:cNvSpPr txBox="1"/>
      </xdr:nvSpPr>
      <xdr:spPr>
        <a:xfrm>
          <a:off x="8239760" y="14710600"/>
          <a:ext cx="11789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75</xdr:row>
      <xdr:rowOff>189143</xdr:rowOff>
    </xdr:from>
    <xdr:to>
      <xdr:col>5</xdr:col>
      <xdr:colOff>47626</xdr:colOff>
      <xdr:row>80</xdr:row>
      <xdr:rowOff>6351</xdr:rowOff>
    </xdr:to>
    <xdr:sp macro="" textlink="">
      <xdr:nvSpPr>
        <xdr:cNvPr id="217" name="MC_BR_C_bio_reg_strong_T_bio_sw">
          <a:extLst>
            <a:ext uri="{FF2B5EF4-FFF2-40B4-BE49-F238E27FC236}">
              <a16:creationId xmlns:a16="http://schemas.microsoft.com/office/drawing/2014/main" id="{7619F189-00EC-A606-AD2D-60ABA09B937D}"/>
            </a:ext>
          </a:extLst>
        </xdr:cNvPr>
        <xdr:cNvSpPr/>
      </xdr:nvSpPr>
      <xdr:spPr>
        <a:xfrm>
          <a:off x="8037723" y="14419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79</xdr:row>
      <xdr:rowOff>99250</xdr:rowOff>
    </xdr:from>
    <xdr:ext cx="1007712" cy="182550"/>
    <xdr:sp macro="_xll.MC_OnBranchLabelClick" textlink="">
      <xdr:nvSpPr>
        <xdr:cNvPr id="218" name="MC_BN_C_bio_reg_strong_T_bio_sw">
          <a:extLst>
            <a:ext uri="{FF2B5EF4-FFF2-40B4-BE49-F238E27FC236}">
              <a16:creationId xmlns:a16="http://schemas.microsoft.com/office/drawing/2014/main" id="{822FC266-ED4B-8A82-993E-852E9BD1ECE5}"/>
            </a:ext>
          </a:extLst>
        </xdr:cNvPr>
        <xdr:cNvSpPr txBox="1"/>
      </xdr:nvSpPr>
      <xdr:spPr>
        <a:xfrm>
          <a:off x="8239760" y="15091600"/>
          <a:ext cx="10077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83</xdr:row>
      <xdr:rowOff>184150</xdr:rowOff>
    </xdr:from>
    <xdr:to>
      <xdr:col>5</xdr:col>
      <xdr:colOff>47626</xdr:colOff>
      <xdr:row>86</xdr:row>
      <xdr:rowOff>2545</xdr:rowOff>
    </xdr:to>
    <xdr:sp macro="" textlink="">
      <xdr:nvSpPr>
        <xdr:cNvPr id="219" name="MC_BR_C_bio_reg_moderate_T_bio_ms">
          <a:extLst>
            <a:ext uri="{FF2B5EF4-FFF2-40B4-BE49-F238E27FC236}">
              <a16:creationId xmlns:a16="http://schemas.microsoft.com/office/drawing/2014/main" id="{D492D29D-4100-7C74-D4A6-232E4EEA938B}"/>
            </a:ext>
          </a:extLst>
        </xdr:cNvPr>
        <xdr:cNvSpPr/>
      </xdr:nvSpPr>
      <xdr:spPr>
        <a:xfrm>
          <a:off x="8038108" y="15938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83</xdr:row>
      <xdr:rowOff>99250</xdr:rowOff>
    </xdr:from>
    <xdr:ext cx="1047787" cy="182550"/>
    <xdr:sp macro="_xll.MC_OnBranchLabelClick" textlink="">
      <xdr:nvSpPr>
        <xdr:cNvPr id="220" name="MC_BN_C_bio_reg_moderate_T_bio_ms">
          <a:extLst>
            <a:ext uri="{FF2B5EF4-FFF2-40B4-BE49-F238E27FC236}">
              <a16:creationId xmlns:a16="http://schemas.microsoft.com/office/drawing/2014/main" id="{3200C84B-F8F5-796B-5D02-64F95F9C6203}"/>
            </a:ext>
          </a:extLst>
        </xdr:cNvPr>
        <xdr:cNvSpPr txBox="1"/>
      </xdr:nvSpPr>
      <xdr:spPr>
        <a:xfrm>
          <a:off x="8239760" y="15853600"/>
          <a:ext cx="10477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85</xdr:row>
      <xdr:rowOff>187956</xdr:rowOff>
    </xdr:from>
    <xdr:to>
      <xdr:col>5</xdr:col>
      <xdr:colOff>47626</xdr:colOff>
      <xdr:row>88</xdr:row>
      <xdr:rowOff>6351</xdr:rowOff>
    </xdr:to>
    <xdr:sp macro="" textlink="">
      <xdr:nvSpPr>
        <xdr:cNvPr id="221" name="MC_BR_C_bio_reg_moderate_T_bio_mm">
          <a:extLst>
            <a:ext uri="{FF2B5EF4-FFF2-40B4-BE49-F238E27FC236}">
              <a16:creationId xmlns:a16="http://schemas.microsoft.com/office/drawing/2014/main" id="{0C6094C0-B9AE-EE04-4A76-7D9DCB9E6590}"/>
            </a:ext>
          </a:extLst>
        </xdr:cNvPr>
        <xdr:cNvSpPr/>
      </xdr:nvSpPr>
      <xdr:spPr>
        <a:xfrm>
          <a:off x="8038108" y="16323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87</xdr:row>
      <xdr:rowOff>99250</xdr:rowOff>
    </xdr:from>
    <xdr:ext cx="1178977" cy="182550"/>
    <xdr:sp macro="_xll.MC_OnBranchLabelClick" textlink="">
      <xdr:nvSpPr>
        <xdr:cNvPr id="222" name="MC_BN_C_bio_reg_moderate_T_bio_mm">
          <a:extLst>
            <a:ext uri="{FF2B5EF4-FFF2-40B4-BE49-F238E27FC236}">
              <a16:creationId xmlns:a16="http://schemas.microsoft.com/office/drawing/2014/main" id="{B724897C-D32B-7C48-1C83-1C5DE37A84C1}"/>
            </a:ext>
          </a:extLst>
        </xdr:cNvPr>
        <xdr:cNvSpPr txBox="1"/>
      </xdr:nvSpPr>
      <xdr:spPr>
        <a:xfrm>
          <a:off x="8239760" y="16615600"/>
          <a:ext cx="11789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85</xdr:row>
      <xdr:rowOff>189143</xdr:rowOff>
    </xdr:from>
    <xdr:to>
      <xdr:col>5</xdr:col>
      <xdr:colOff>47626</xdr:colOff>
      <xdr:row>90</xdr:row>
      <xdr:rowOff>6351</xdr:rowOff>
    </xdr:to>
    <xdr:sp macro="" textlink="">
      <xdr:nvSpPr>
        <xdr:cNvPr id="223" name="MC_BR_C_bio_reg_moderate_T_bio_mw">
          <a:extLst>
            <a:ext uri="{FF2B5EF4-FFF2-40B4-BE49-F238E27FC236}">
              <a16:creationId xmlns:a16="http://schemas.microsoft.com/office/drawing/2014/main" id="{A27F32A1-6C10-5219-6A49-3484A755CEFC}"/>
            </a:ext>
          </a:extLst>
        </xdr:cNvPr>
        <xdr:cNvSpPr/>
      </xdr:nvSpPr>
      <xdr:spPr>
        <a:xfrm>
          <a:off x="8037723" y="16324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89</xdr:row>
      <xdr:rowOff>99250</xdr:rowOff>
    </xdr:from>
    <xdr:ext cx="1007712" cy="182550"/>
    <xdr:sp macro="_xll.MC_OnBranchLabelClick" textlink="">
      <xdr:nvSpPr>
        <xdr:cNvPr id="224" name="MC_BN_C_bio_reg_moderate_T_bio_mw">
          <a:extLst>
            <a:ext uri="{FF2B5EF4-FFF2-40B4-BE49-F238E27FC236}">
              <a16:creationId xmlns:a16="http://schemas.microsoft.com/office/drawing/2014/main" id="{177BA7D3-AA43-3D5F-0CBD-3233292ED9C8}"/>
            </a:ext>
          </a:extLst>
        </xdr:cNvPr>
        <xdr:cNvSpPr txBox="1"/>
      </xdr:nvSpPr>
      <xdr:spPr>
        <a:xfrm>
          <a:off x="8239760" y="16996600"/>
          <a:ext cx="10077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91</xdr:row>
      <xdr:rowOff>184150</xdr:rowOff>
    </xdr:from>
    <xdr:to>
      <xdr:col>5</xdr:col>
      <xdr:colOff>47626</xdr:colOff>
      <xdr:row>94</xdr:row>
      <xdr:rowOff>2545</xdr:rowOff>
    </xdr:to>
    <xdr:sp macro="" textlink="">
      <xdr:nvSpPr>
        <xdr:cNvPr id="225" name="MC_BR_C_bio_reg_weak_T_bio_ws">
          <a:extLst>
            <a:ext uri="{FF2B5EF4-FFF2-40B4-BE49-F238E27FC236}">
              <a16:creationId xmlns:a16="http://schemas.microsoft.com/office/drawing/2014/main" id="{0D3D2A36-E9E1-A06B-54D6-3AFD4642F73F}"/>
            </a:ext>
          </a:extLst>
        </xdr:cNvPr>
        <xdr:cNvSpPr/>
      </xdr:nvSpPr>
      <xdr:spPr>
        <a:xfrm>
          <a:off x="8038108" y="17462500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120430" y="0"/>
              </a:lnTo>
              <a:lnTo>
                <a:pt x="31204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91</xdr:row>
      <xdr:rowOff>99250</xdr:rowOff>
    </xdr:from>
    <xdr:ext cx="1047787" cy="182550"/>
    <xdr:sp macro="_xll.MC_OnBranchLabelClick" textlink="">
      <xdr:nvSpPr>
        <xdr:cNvPr id="226" name="MC_BN_C_bio_reg_weak_T_bio_ws">
          <a:extLst>
            <a:ext uri="{FF2B5EF4-FFF2-40B4-BE49-F238E27FC236}">
              <a16:creationId xmlns:a16="http://schemas.microsoft.com/office/drawing/2014/main" id="{C1019ED3-05FD-2DAE-C6F7-38E0E40A12BC}"/>
            </a:ext>
          </a:extLst>
        </xdr:cNvPr>
        <xdr:cNvSpPr txBox="1"/>
      </xdr:nvSpPr>
      <xdr:spPr>
        <a:xfrm>
          <a:off x="8239760" y="17377600"/>
          <a:ext cx="10477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93</xdr:row>
      <xdr:rowOff>187956</xdr:rowOff>
    </xdr:from>
    <xdr:to>
      <xdr:col>5</xdr:col>
      <xdr:colOff>47626</xdr:colOff>
      <xdr:row>96</xdr:row>
      <xdr:rowOff>6351</xdr:rowOff>
    </xdr:to>
    <xdr:sp macro="" textlink="">
      <xdr:nvSpPr>
        <xdr:cNvPr id="227" name="MC_BR_C_bio_reg_weak_T_bio_wm">
          <a:extLst>
            <a:ext uri="{FF2B5EF4-FFF2-40B4-BE49-F238E27FC236}">
              <a16:creationId xmlns:a16="http://schemas.microsoft.com/office/drawing/2014/main" id="{0C1349F0-8E58-9575-D1C3-88E78A32FCE3}"/>
            </a:ext>
          </a:extLst>
        </xdr:cNvPr>
        <xdr:cNvSpPr/>
      </xdr:nvSpPr>
      <xdr:spPr>
        <a:xfrm>
          <a:off x="8038108" y="17847306"/>
          <a:ext cx="3120431" cy="389895"/>
        </a:xfrm>
        <a:custGeom>
          <a:avLst/>
          <a:gdLst/>
          <a:ahLst/>
          <a:cxnLst/>
          <a:rect l="0" t="0" r="0" b="0"/>
          <a:pathLst>
            <a:path w="31204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120430" y="377194"/>
              </a:lnTo>
              <a:lnTo>
                <a:pt x="31204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95</xdr:row>
      <xdr:rowOff>99250</xdr:rowOff>
    </xdr:from>
    <xdr:ext cx="1178977" cy="182550"/>
    <xdr:sp macro="_xll.MC_OnBranchLabelClick" textlink="">
      <xdr:nvSpPr>
        <xdr:cNvPr id="228" name="MC_BN_C_bio_reg_weak_T_bio_wm">
          <a:extLst>
            <a:ext uri="{FF2B5EF4-FFF2-40B4-BE49-F238E27FC236}">
              <a16:creationId xmlns:a16="http://schemas.microsoft.com/office/drawing/2014/main" id="{0B7DE620-77A9-F21C-CBAA-C2FB0A96CA06}"/>
            </a:ext>
          </a:extLst>
        </xdr:cNvPr>
        <xdr:cNvSpPr txBox="1"/>
      </xdr:nvSpPr>
      <xdr:spPr>
        <a:xfrm>
          <a:off x="8239760" y="18139600"/>
          <a:ext cx="11789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93</xdr:row>
      <xdr:rowOff>189143</xdr:rowOff>
    </xdr:from>
    <xdr:to>
      <xdr:col>5</xdr:col>
      <xdr:colOff>47626</xdr:colOff>
      <xdr:row>98</xdr:row>
      <xdr:rowOff>6351</xdr:rowOff>
    </xdr:to>
    <xdr:sp macro="" textlink="">
      <xdr:nvSpPr>
        <xdr:cNvPr id="229" name="MC_BR_C_bio_reg_weak_T_bio_ww">
          <a:extLst>
            <a:ext uri="{FF2B5EF4-FFF2-40B4-BE49-F238E27FC236}">
              <a16:creationId xmlns:a16="http://schemas.microsoft.com/office/drawing/2014/main" id="{21A6A976-1710-0783-357A-6058AD335363}"/>
            </a:ext>
          </a:extLst>
        </xdr:cNvPr>
        <xdr:cNvSpPr/>
      </xdr:nvSpPr>
      <xdr:spPr>
        <a:xfrm>
          <a:off x="8037723" y="17848493"/>
          <a:ext cx="3120816" cy="769708"/>
        </a:xfrm>
        <a:custGeom>
          <a:avLst/>
          <a:gdLst/>
          <a:ahLst/>
          <a:cxnLst/>
          <a:rect l="0" t="0" r="0" b="0"/>
          <a:pathLst>
            <a:path w="31208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120815" y="757007"/>
              </a:lnTo>
              <a:lnTo>
                <a:pt x="31208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97</xdr:row>
      <xdr:rowOff>99250</xdr:rowOff>
    </xdr:from>
    <xdr:ext cx="1007712" cy="182550"/>
    <xdr:sp macro="_xll.MC_OnBranchLabelClick" textlink="">
      <xdr:nvSpPr>
        <xdr:cNvPr id="230" name="MC_BN_C_bio_reg_weak_T_bio_ww">
          <a:extLst>
            <a:ext uri="{FF2B5EF4-FFF2-40B4-BE49-F238E27FC236}">
              <a16:creationId xmlns:a16="http://schemas.microsoft.com/office/drawing/2014/main" id="{04F2F928-BFE3-71BC-D41F-1A61736DFB03}"/>
            </a:ext>
          </a:extLst>
        </xdr:cNvPr>
        <xdr:cNvSpPr txBox="1"/>
      </xdr:nvSpPr>
      <xdr:spPr>
        <a:xfrm>
          <a:off x="8239760" y="18520600"/>
          <a:ext cx="10077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Policy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99</xdr:row>
      <xdr:rowOff>184150</xdr:rowOff>
    </xdr:from>
    <xdr:to>
      <xdr:col>4</xdr:col>
      <xdr:colOff>47626</xdr:colOff>
      <xdr:row>102</xdr:row>
      <xdr:rowOff>2545</xdr:rowOff>
    </xdr:to>
    <xdr:sp macro="" textlink="">
      <xdr:nvSpPr>
        <xdr:cNvPr id="231" name="MC_BR_C_sell_market_T_sell_high">
          <a:extLst>
            <a:ext uri="{FF2B5EF4-FFF2-40B4-BE49-F238E27FC236}">
              <a16:creationId xmlns:a16="http://schemas.microsoft.com/office/drawing/2014/main" id="{1C870E79-B956-171D-0CB6-E177599AE02D}"/>
            </a:ext>
          </a:extLst>
        </xdr:cNvPr>
        <xdr:cNvSpPr/>
      </xdr:nvSpPr>
      <xdr:spPr>
        <a:xfrm>
          <a:off x="5394921" y="18986500"/>
          <a:ext cx="2606080" cy="389895"/>
        </a:xfrm>
        <a:custGeom>
          <a:avLst/>
          <a:gdLst/>
          <a:ahLst/>
          <a:cxnLst/>
          <a:rect l="0" t="0" r="0" b="0"/>
          <a:pathLst>
            <a:path w="2606080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06079" y="0"/>
              </a:lnTo>
              <a:lnTo>
                <a:pt x="2606079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99</xdr:row>
      <xdr:rowOff>99250</xdr:rowOff>
    </xdr:from>
    <xdr:ext cx="1025089" cy="182550"/>
    <xdr:sp macro="_xll.MC_OnBranchLabelClick" textlink="">
      <xdr:nvSpPr>
        <xdr:cNvPr id="232" name="MC_BN_C_sell_market_T_sell_high">
          <a:extLst>
            <a:ext uri="{FF2B5EF4-FFF2-40B4-BE49-F238E27FC236}">
              <a16:creationId xmlns:a16="http://schemas.microsoft.com/office/drawing/2014/main" id="{6D2A6B4E-187A-2BF4-6E7F-96FD0A2A1699}"/>
            </a:ext>
          </a:extLst>
        </xdr:cNvPr>
        <xdr:cNvSpPr txBox="1"/>
      </xdr:nvSpPr>
      <xdr:spPr>
        <a:xfrm>
          <a:off x="5596572" y="18901600"/>
          <a:ext cx="10250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Buyer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101</xdr:row>
      <xdr:rowOff>187956</xdr:rowOff>
    </xdr:from>
    <xdr:to>
      <xdr:col>4</xdr:col>
      <xdr:colOff>47626</xdr:colOff>
      <xdr:row>104</xdr:row>
      <xdr:rowOff>6351</xdr:rowOff>
    </xdr:to>
    <xdr:sp macro="" textlink="">
      <xdr:nvSpPr>
        <xdr:cNvPr id="233" name="MC_BR_C_sell_market_T_sell_mid">
          <a:extLst>
            <a:ext uri="{FF2B5EF4-FFF2-40B4-BE49-F238E27FC236}">
              <a16:creationId xmlns:a16="http://schemas.microsoft.com/office/drawing/2014/main" id="{482DAF5B-DEE3-B0A6-7F13-57637E60CCE2}"/>
            </a:ext>
          </a:extLst>
        </xdr:cNvPr>
        <xdr:cNvSpPr/>
      </xdr:nvSpPr>
      <xdr:spPr>
        <a:xfrm>
          <a:off x="5394921" y="19371306"/>
          <a:ext cx="2606080" cy="389895"/>
        </a:xfrm>
        <a:custGeom>
          <a:avLst/>
          <a:gdLst/>
          <a:ahLst/>
          <a:cxnLst/>
          <a:rect l="0" t="0" r="0" b="0"/>
          <a:pathLst>
            <a:path w="2606080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606079" y="377194"/>
              </a:lnTo>
              <a:lnTo>
                <a:pt x="2606079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103</xdr:row>
      <xdr:rowOff>99250</xdr:rowOff>
    </xdr:from>
    <xdr:ext cx="859723" cy="182550"/>
    <xdr:sp macro="_xll.MC_OnBranchLabelClick" textlink="">
      <xdr:nvSpPr>
        <xdr:cNvPr id="234" name="MC_BN_C_sell_market_T_sell_mid">
          <a:extLst>
            <a:ext uri="{FF2B5EF4-FFF2-40B4-BE49-F238E27FC236}">
              <a16:creationId xmlns:a16="http://schemas.microsoft.com/office/drawing/2014/main" id="{3FA019F3-A560-7B6E-A3EF-D507F136B2BE}"/>
            </a:ext>
          </a:extLst>
        </xdr:cNvPr>
        <xdr:cNvSpPr txBox="1"/>
      </xdr:nvSpPr>
      <xdr:spPr>
        <a:xfrm>
          <a:off x="5596572" y="19663600"/>
          <a:ext cx="8597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101</xdr:row>
      <xdr:rowOff>189143</xdr:rowOff>
    </xdr:from>
    <xdr:to>
      <xdr:col>4</xdr:col>
      <xdr:colOff>47626</xdr:colOff>
      <xdr:row>106</xdr:row>
      <xdr:rowOff>6351</xdr:rowOff>
    </xdr:to>
    <xdr:sp macro="" textlink="">
      <xdr:nvSpPr>
        <xdr:cNvPr id="235" name="MC_BR_C_sell_market_T_sell_low">
          <a:extLst>
            <a:ext uri="{FF2B5EF4-FFF2-40B4-BE49-F238E27FC236}">
              <a16:creationId xmlns:a16="http://schemas.microsoft.com/office/drawing/2014/main" id="{B52E27B5-C25A-69D8-844C-1F7288B4E334}"/>
            </a:ext>
          </a:extLst>
        </xdr:cNvPr>
        <xdr:cNvSpPr/>
      </xdr:nvSpPr>
      <xdr:spPr>
        <a:xfrm>
          <a:off x="5394535" y="19372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105</xdr:row>
      <xdr:rowOff>99250</xdr:rowOff>
    </xdr:from>
    <xdr:ext cx="659796" cy="182550"/>
    <xdr:sp macro="_xll.MC_OnBranchLabelClick" textlink="">
      <xdr:nvSpPr>
        <xdr:cNvPr id="236" name="MC_BN_C_sell_market_T_sell_low">
          <a:extLst>
            <a:ext uri="{FF2B5EF4-FFF2-40B4-BE49-F238E27FC236}">
              <a16:creationId xmlns:a16="http://schemas.microsoft.com/office/drawing/2014/main" id="{EC31E5B8-26A4-7767-93B6-DE65CA0673E4}"/>
            </a:ext>
          </a:extLst>
        </xdr:cNvPr>
        <xdr:cNvSpPr txBox="1"/>
      </xdr:nvSpPr>
      <xdr:spPr>
        <a:xfrm>
          <a:off x="5596572" y="20044600"/>
          <a:ext cx="6597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37" name="MC_T_coker_wl">
          <a:extLst>
            <a:ext uri="{FF2B5EF4-FFF2-40B4-BE49-F238E27FC236}">
              <a16:creationId xmlns:a16="http://schemas.microsoft.com/office/drawing/2014/main" id="{C3395A6A-C340-A59B-44B6-06DDE2DAD1C6}"/>
            </a:ext>
          </a:extLst>
        </xdr:cNvPr>
        <xdr:cNvSpPr/>
      </xdr:nvSpPr>
      <xdr:spPr>
        <a:xfrm rot="16200000">
          <a:off x="11120438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38" name="MC_C_coker_diff_wide">
          <a:extLst>
            <a:ext uri="{FF2B5EF4-FFF2-40B4-BE49-F238E27FC236}">
              <a16:creationId xmlns:a16="http://schemas.microsoft.com/office/drawing/2014/main" id="{34F3F102-657C-5002-590D-A02F6DCC5AD5}"/>
            </a:ext>
          </a:extLst>
        </xdr:cNvPr>
        <xdr:cNvSpPr/>
      </xdr:nvSpPr>
      <xdr:spPr>
        <a:xfrm>
          <a:off x="7962900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39" name="MC_T_coker_wm">
          <a:extLst>
            <a:ext uri="{FF2B5EF4-FFF2-40B4-BE49-F238E27FC236}">
              <a16:creationId xmlns:a16="http://schemas.microsoft.com/office/drawing/2014/main" id="{EDB40D00-43C0-1CA3-2F3C-9D67E3A7AFD5}"/>
            </a:ext>
          </a:extLst>
        </xdr:cNvPr>
        <xdr:cNvSpPr/>
      </xdr:nvSpPr>
      <xdr:spPr>
        <a:xfrm rot="16200000">
          <a:off x="11120438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40" name="MC_T_coker_ws">
          <a:extLst>
            <a:ext uri="{FF2B5EF4-FFF2-40B4-BE49-F238E27FC236}">
              <a16:creationId xmlns:a16="http://schemas.microsoft.com/office/drawing/2014/main" id="{0BD2DC25-8123-874E-68A9-77B208004374}"/>
            </a:ext>
          </a:extLst>
        </xdr:cNvPr>
        <xdr:cNvSpPr/>
      </xdr:nvSpPr>
      <xdr:spPr>
        <a:xfrm rot="16200000">
          <a:off x="11120438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41" name="MC_C_coker_margin">
          <a:extLst>
            <a:ext uri="{FF2B5EF4-FFF2-40B4-BE49-F238E27FC236}">
              <a16:creationId xmlns:a16="http://schemas.microsoft.com/office/drawing/2014/main" id="{9CF4746D-A10B-EEAB-A516-D4DC79CE37E5}"/>
            </a:ext>
          </a:extLst>
        </xdr:cNvPr>
        <xdr:cNvSpPr/>
      </xdr:nvSpPr>
      <xdr:spPr>
        <a:xfrm>
          <a:off x="5319713" y="519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42" name="MC_T_coker_nl">
          <a:extLst>
            <a:ext uri="{FF2B5EF4-FFF2-40B4-BE49-F238E27FC236}">
              <a16:creationId xmlns:a16="http://schemas.microsoft.com/office/drawing/2014/main" id="{B6516131-1DC9-3AAB-CA99-B0763B664A0C}"/>
            </a:ext>
          </a:extLst>
        </xdr:cNvPr>
        <xdr:cNvSpPr/>
      </xdr:nvSpPr>
      <xdr:spPr>
        <a:xfrm rot="16200000">
          <a:off x="11120438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43" name="MC_C_coker_diff_normal">
          <a:extLst>
            <a:ext uri="{FF2B5EF4-FFF2-40B4-BE49-F238E27FC236}">
              <a16:creationId xmlns:a16="http://schemas.microsoft.com/office/drawing/2014/main" id="{7AF7BBC8-E137-AB23-A389-1F566283B4D0}"/>
            </a:ext>
          </a:extLst>
        </xdr:cNvPr>
        <xdr:cNvSpPr/>
      </xdr:nvSpPr>
      <xdr:spPr>
        <a:xfrm>
          <a:off x="7962900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44" name="MC_T_coker_nm">
          <a:extLst>
            <a:ext uri="{FF2B5EF4-FFF2-40B4-BE49-F238E27FC236}">
              <a16:creationId xmlns:a16="http://schemas.microsoft.com/office/drawing/2014/main" id="{2ED283F7-8288-500E-29A6-F3EBF7838A42}"/>
            </a:ext>
          </a:extLst>
        </xdr:cNvPr>
        <xdr:cNvSpPr/>
      </xdr:nvSpPr>
      <xdr:spPr>
        <a:xfrm rot="16200000">
          <a:off x="11120438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45" name="MC_T_coker_ns">
          <a:extLst>
            <a:ext uri="{FF2B5EF4-FFF2-40B4-BE49-F238E27FC236}">
              <a16:creationId xmlns:a16="http://schemas.microsoft.com/office/drawing/2014/main" id="{8AA680FC-3F8F-9494-9738-0284C7CA4B19}"/>
            </a:ext>
          </a:extLst>
        </xdr:cNvPr>
        <xdr:cNvSpPr/>
      </xdr:nvSpPr>
      <xdr:spPr>
        <a:xfrm rot="16200000">
          <a:off x="11120438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46" name="MC_T_coker_rl">
          <a:extLst>
            <a:ext uri="{FF2B5EF4-FFF2-40B4-BE49-F238E27FC236}">
              <a16:creationId xmlns:a16="http://schemas.microsoft.com/office/drawing/2014/main" id="{6BBF605D-2782-5B6A-B08D-D0E4873F38BB}"/>
            </a:ext>
          </a:extLst>
        </xdr:cNvPr>
        <xdr:cNvSpPr/>
      </xdr:nvSpPr>
      <xdr:spPr>
        <a:xfrm rot="16200000">
          <a:off x="11120438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39</xdr:row>
      <xdr:rowOff>109538</xdr:rowOff>
    </xdr:from>
    <xdr:to>
      <xdr:col>4</xdr:col>
      <xdr:colOff>180975</xdr:colOff>
      <xdr:row>40</xdr:row>
      <xdr:rowOff>80963</xdr:rowOff>
    </xdr:to>
    <xdr:sp macro="_xll.MC_OnNodeClick" textlink="">
      <xdr:nvSpPr>
        <xdr:cNvPr id="247" name="MC_C_coker_diff_narrow">
          <a:extLst>
            <a:ext uri="{FF2B5EF4-FFF2-40B4-BE49-F238E27FC236}">
              <a16:creationId xmlns:a16="http://schemas.microsoft.com/office/drawing/2014/main" id="{4DBA04CC-77E8-C861-B2B8-4F1DC208D9A2}"/>
            </a:ext>
          </a:extLst>
        </xdr:cNvPr>
        <xdr:cNvSpPr/>
      </xdr:nvSpPr>
      <xdr:spPr>
        <a:xfrm>
          <a:off x="7962900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41</xdr:row>
      <xdr:rowOff>109537</xdr:rowOff>
    </xdr:from>
    <xdr:to>
      <xdr:col>5</xdr:col>
      <xdr:colOff>176213</xdr:colOff>
      <xdr:row>42</xdr:row>
      <xdr:rowOff>80962</xdr:rowOff>
    </xdr:to>
    <xdr:sp macro="_xll.MC_OnNodeClick" textlink="">
      <xdr:nvSpPr>
        <xdr:cNvPr id="248" name="MC_T_coker_rm">
          <a:extLst>
            <a:ext uri="{FF2B5EF4-FFF2-40B4-BE49-F238E27FC236}">
              <a16:creationId xmlns:a16="http://schemas.microsoft.com/office/drawing/2014/main" id="{F7A026E2-51A8-8580-C6F7-7AF30B0D2D16}"/>
            </a:ext>
          </a:extLst>
        </xdr:cNvPr>
        <xdr:cNvSpPr/>
      </xdr:nvSpPr>
      <xdr:spPr>
        <a:xfrm rot="16200000">
          <a:off x="11120438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43</xdr:row>
      <xdr:rowOff>109537</xdr:rowOff>
    </xdr:from>
    <xdr:to>
      <xdr:col>5</xdr:col>
      <xdr:colOff>176213</xdr:colOff>
      <xdr:row>44</xdr:row>
      <xdr:rowOff>80962</xdr:rowOff>
    </xdr:to>
    <xdr:sp macro="_xll.MC_OnNodeClick" textlink="">
      <xdr:nvSpPr>
        <xdr:cNvPr id="249" name="MC_T_coker_rs">
          <a:extLst>
            <a:ext uri="{FF2B5EF4-FFF2-40B4-BE49-F238E27FC236}">
              <a16:creationId xmlns:a16="http://schemas.microsoft.com/office/drawing/2014/main" id="{D0D30D12-F56F-4AC7-47B9-3775AADF011E}"/>
            </a:ext>
          </a:extLst>
        </xdr:cNvPr>
        <xdr:cNvSpPr/>
      </xdr:nvSpPr>
      <xdr:spPr>
        <a:xfrm rot="16200000">
          <a:off x="11120438" y="823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45</xdr:row>
      <xdr:rowOff>109538</xdr:rowOff>
    </xdr:from>
    <xdr:to>
      <xdr:col>2</xdr:col>
      <xdr:colOff>180975</xdr:colOff>
      <xdr:row>46</xdr:row>
      <xdr:rowOff>80963</xdr:rowOff>
    </xdr:to>
    <xdr:sp macro="_xll.MC_OnNodeClick" textlink="">
      <xdr:nvSpPr>
        <xdr:cNvPr id="250" name="MC_D_root">
          <a:extLst>
            <a:ext uri="{FF2B5EF4-FFF2-40B4-BE49-F238E27FC236}">
              <a16:creationId xmlns:a16="http://schemas.microsoft.com/office/drawing/2014/main" id="{14A19DBD-1B0F-35AD-8354-0D5B87653A79}"/>
            </a:ext>
          </a:extLst>
        </xdr:cNvPr>
        <xdr:cNvSpPr/>
      </xdr:nvSpPr>
      <xdr:spPr>
        <a:xfrm>
          <a:off x="2600325" y="862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251" name="MC_T_hydro_ws">
          <a:extLst>
            <a:ext uri="{FF2B5EF4-FFF2-40B4-BE49-F238E27FC236}">
              <a16:creationId xmlns:a16="http://schemas.microsoft.com/office/drawing/2014/main" id="{DDE8C73E-6827-24CA-13E8-77B7FB7F6BDB}"/>
            </a:ext>
          </a:extLst>
        </xdr:cNvPr>
        <xdr:cNvSpPr/>
      </xdr:nvSpPr>
      <xdr:spPr>
        <a:xfrm rot="16200000">
          <a:off x="1112043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252" name="MC_C_hydro_reg_wide">
          <a:extLst>
            <a:ext uri="{FF2B5EF4-FFF2-40B4-BE49-F238E27FC236}">
              <a16:creationId xmlns:a16="http://schemas.microsoft.com/office/drawing/2014/main" id="{EA82524F-2F97-B43E-53AC-8E11E23C0195}"/>
            </a:ext>
          </a:extLst>
        </xdr:cNvPr>
        <xdr:cNvSpPr/>
      </xdr:nvSpPr>
      <xdr:spPr>
        <a:xfrm>
          <a:off x="7962900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253" name="MC_T_hydro_wm">
          <a:extLst>
            <a:ext uri="{FF2B5EF4-FFF2-40B4-BE49-F238E27FC236}">
              <a16:creationId xmlns:a16="http://schemas.microsoft.com/office/drawing/2014/main" id="{E3B2018A-50AC-8874-1880-CB7AAD149DF3}"/>
            </a:ext>
          </a:extLst>
        </xdr:cNvPr>
        <xdr:cNvSpPr/>
      </xdr:nvSpPr>
      <xdr:spPr>
        <a:xfrm rot="16200000">
          <a:off x="11120438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54" name="MC_T_hydro_wq">
          <a:extLst>
            <a:ext uri="{FF2B5EF4-FFF2-40B4-BE49-F238E27FC236}">
              <a16:creationId xmlns:a16="http://schemas.microsoft.com/office/drawing/2014/main" id="{8627B488-9021-3F5A-36F2-7B53EF07778B}"/>
            </a:ext>
          </a:extLst>
        </xdr:cNvPr>
        <xdr:cNvSpPr/>
      </xdr:nvSpPr>
      <xdr:spPr>
        <a:xfrm rot="16200000">
          <a:off x="11120438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55</xdr:row>
      <xdr:rowOff>109538</xdr:rowOff>
    </xdr:from>
    <xdr:to>
      <xdr:col>3</xdr:col>
      <xdr:colOff>180975</xdr:colOff>
      <xdr:row>56</xdr:row>
      <xdr:rowOff>80963</xdr:rowOff>
    </xdr:to>
    <xdr:sp macro="_xll.MC_OnNodeClick" textlink="">
      <xdr:nvSpPr>
        <xdr:cNvPr id="255" name="MC_C_hydro_margin">
          <a:extLst>
            <a:ext uri="{FF2B5EF4-FFF2-40B4-BE49-F238E27FC236}">
              <a16:creationId xmlns:a16="http://schemas.microsoft.com/office/drawing/2014/main" id="{7AE04FE7-DFD5-D828-4CC1-DD9899425E49}"/>
            </a:ext>
          </a:extLst>
        </xdr:cNvPr>
        <xdr:cNvSpPr/>
      </xdr:nvSpPr>
      <xdr:spPr>
        <a:xfrm>
          <a:off x="5319713" y="1052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57</xdr:row>
      <xdr:rowOff>109537</xdr:rowOff>
    </xdr:from>
    <xdr:to>
      <xdr:col>5</xdr:col>
      <xdr:colOff>176213</xdr:colOff>
      <xdr:row>58</xdr:row>
      <xdr:rowOff>80962</xdr:rowOff>
    </xdr:to>
    <xdr:sp macro="_xll.MC_OnNodeClick" textlink="">
      <xdr:nvSpPr>
        <xdr:cNvPr id="256" name="MC_T_hydro_ns">
          <a:extLst>
            <a:ext uri="{FF2B5EF4-FFF2-40B4-BE49-F238E27FC236}">
              <a16:creationId xmlns:a16="http://schemas.microsoft.com/office/drawing/2014/main" id="{FF69C85B-60F7-ED19-6134-C581EDE1CF01}"/>
            </a:ext>
          </a:extLst>
        </xdr:cNvPr>
        <xdr:cNvSpPr/>
      </xdr:nvSpPr>
      <xdr:spPr>
        <a:xfrm rot="16200000">
          <a:off x="11120438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59</xdr:row>
      <xdr:rowOff>109538</xdr:rowOff>
    </xdr:from>
    <xdr:to>
      <xdr:col>4</xdr:col>
      <xdr:colOff>180975</xdr:colOff>
      <xdr:row>60</xdr:row>
      <xdr:rowOff>80963</xdr:rowOff>
    </xdr:to>
    <xdr:sp macro="_xll.MC_OnNodeClick" textlink="">
      <xdr:nvSpPr>
        <xdr:cNvPr id="257" name="MC_C_hydro_reg_normal">
          <a:extLst>
            <a:ext uri="{FF2B5EF4-FFF2-40B4-BE49-F238E27FC236}">
              <a16:creationId xmlns:a16="http://schemas.microsoft.com/office/drawing/2014/main" id="{F08DA75F-5140-D343-68A4-500A521BB1F0}"/>
            </a:ext>
          </a:extLst>
        </xdr:cNvPr>
        <xdr:cNvSpPr/>
      </xdr:nvSpPr>
      <xdr:spPr>
        <a:xfrm>
          <a:off x="7962900" y="1129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258" name="MC_T_hydro_nm">
          <a:extLst>
            <a:ext uri="{FF2B5EF4-FFF2-40B4-BE49-F238E27FC236}">
              <a16:creationId xmlns:a16="http://schemas.microsoft.com/office/drawing/2014/main" id="{C1E11393-C34A-236D-A239-FD6B93B47A7F}"/>
            </a:ext>
          </a:extLst>
        </xdr:cNvPr>
        <xdr:cNvSpPr/>
      </xdr:nvSpPr>
      <xdr:spPr>
        <a:xfrm rot="16200000">
          <a:off x="11120438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59" name="MC_T_hydro_nq">
          <a:extLst>
            <a:ext uri="{FF2B5EF4-FFF2-40B4-BE49-F238E27FC236}">
              <a16:creationId xmlns:a16="http://schemas.microsoft.com/office/drawing/2014/main" id="{1A71AC51-805A-E79C-0037-ABB616CAEF46}"/>
            </a:ext>
          </a:extLst>
        </xdr:cNvPr>
        <xdr:cNvSpPr/>
      </xdr:nvSpPr>
      <xdr:spPr>
        <a:xfrm rot="16200000">
          <a:off x="11120438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60" name="MC_T_hydro_rs">
          <a:extLst>
            <a:ext uri="{FF2B5EF4-FFF2-40B4-BE49-F238E27FC236}">
              <a16:creationId xmlns:a16="http://schemas.microsoft.com/office/drawing/2014/main" id="{E863CEBA-FEFB-894D-832D-0B8DA387477A}"/>
            </a:ext>
          </a:extLst>
        </xdr:cNvPr>
        <xdr:cNvSpPr/>
      </xdr:nvSpPr>
      <xdr:spPr>
        <a:xfrm rot="16200000">
          <a:off x="11120438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67</xdr:row>
      <xdr:rowOff>109538</xdr:rowOff>
    </xdr:from>
    <xdr:to>
      <xdr:col>4</xdr:col>
      <xdr:colOff>180975</xdr:colOff>
      <xdr:row>68</xdr:row>
      <xdr:rowOff>80963</xdr:rowOff>
    </xdr:to>
    <xdr:sp macro="_xll.MC_OnNodeClick" textlink="">
      <xdr:nvSpPr>
        <xdr:cNvPr id="261" name="MC_C_hydro_reg_narrow">
          <a:extLst>
            <a:ext uri="{FF2B5EF4-FFF2-40B4-BE49-F238E27FC236}">
              <a16:creationId xmlns:a16="http://schemas.microsoft.com/office/drawing/2014/main" id="{EA60E069-2113-C727-4B99-381EE54276F8}"/>
            </a:ext>
          </a:extLst>
        </xdr:cNvPr>
        <xdr:cNvSpPr/>
      </xdr:nvSpPr>
      <xdr:spPr>
        <a:xfrm>
          <a:off x="7962900" y="1281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62" name="MC_T_hydro_rm">
          <a:extLst>
            <a:ext uri="{FF2B5EF4-FFF2-40B4-BE49-F238E27FC236}">
              <a16:creationId xmlns:a16="http://schemas.microsoft.com/office/drawing/2014/main" id="{26177141-CDAE-5441-D1A9-41433D555883}"/>
            </a:ext>
          </a:extLst>
        </xdr:cNvPr>
        <xdr:cNvSpPr/>
      </xdr:nvSpPr>
      <xdr:spPr>
        <a:xfrm rot="16200000">
          <a:off x="11120438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263" name="MC_T_hydro_rq">
          <a:extLst>
            <a:ext uri="{FF2B5EF4-FFF2-40B4-BE49-F238E27FC236}">
              <a16:creationId xmlns:a16="http://schemas.microsoft.com/office/drawing/2014/main" id="{7C1A17A8-FBF7-1574-6D28-2E9A1664F121}"/>
            </a:ext>
          </a:extLst>
        </xdr:cNvPr>
        <xdr:cNvSpPr/>
      </xdr:nvSpPr>
      <xdr:spPr>
        <a:xfrm rot="16200000">
          <a:off x="11120438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64" name="MC_T_bio_ss">
          <a:extLst>
            <a:ext uri="{FF2B5EF4-FFF2-40B4-BE49-F238E27FC236}">
              <a16:creationId xmlns:a16="http://schemas.microsoft.com/office/drawing/2014/main" id="{BA0D354B-F1AD-FAFE-7C80-1F004B8CE87F}"/>
            </a:ext>
          </a:extLst>
        </xdr:cNvPr>
        <xdr:cNvSpPr/>
      </xdr:nvSpPr>
      <xdr:spPr>
        <a:xfrm rot="16200000">
          <a:off x="11120438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75</xdr:row>
      <xdr:rowOff>109538</xdr:rowOff>
    </xdr:from>
    <xdr:to>
      <xdr:col>4</xdr:col>
      <xdr:colOff>180975</xdr:colOff>
      <xdr:row>76</xdr:row>
      <xdr:rowOff>80963</xdr:rowOff>
    </xdr:to>
    <xdr:sp macro="_xll.MC_OnNodeClick" textlink="">
      <xdr:nvSpPr>
        <xdr:cNvPr id="265" name="MC_C_bio_reg_strong">
          <a:extLst>
            <a:ext uri="{FF2B5EF4-FFF2-40B4-BE49-F238E27FC236}">
              <a16:creationId xmlns:a16="http://schemas.microsoft.com/office/drawing/2014/main" id="{F08A4CED-EB52-582D-2065-7D29EB36DD8C}"/>
            </a:ext>
          </a:extLst>
        </xdr:cNvPr>
        <xdr:cNvSpPr/>
      </xdr:nvSpPr>
      <xdr:spPr>
        <a:xfrm>
          <a:off x="7962900" y="1433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266" name="MC_T_bio_sm">
          <a:extLst>
            <a:ext uri="{FF2B5EF4-FFF2-40B4-BE49-F238E27FC236}">
              <a16:creationId xmlns:a16="http://schemas.microsoft.com/office/drawing/2014/main" id="{48C14453-83AB-2486-E0CD-999611B4A118}"/>
            </a:ext>
          </a:extLst>
        </xdr:cNvPr>
        <xdr:cNvSpPr/>
      </xdr:nvSpPr>
      <xdr:spPr>
        <a:xfrm rot="16200000">
          <a:off x="11120438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67" name="MC_T_bio_sw">
          <a:extLst>
            <a:ext uri="{FF2B5EF4-FFF2-40B4-BE49-F238E27FC236}">
              <a16:creationId xmlns:a16="http://schemas.microsoft.com/office/drawing/2014/main" id="{C95C44A0-BD6A-A2D9-5E63-C2A5969ADF6F}"/>
            </a:ext>
          </a:extLst>
        </xdr:cNvPr>
        <xdr:cNvSpPr/>
      </xdr:nvSpPr>
      <xdr:spPr>
        <a:xfrm rot="16200000">
          <a:off x="11120438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81</xdr:row>
      <xdr:rowOff>109538</xdr:rowOff>
    </xdr:from>
    <xdr:to>
      <xdr:col>3</xdr:col>
      <xdr:colOff>180975</xdr:colOff>
      <xdr:row>82</xdr:row>
      <xdr:rowOff>80963</xdr:rowOff>
    </xdr:to>
    <xdr:sp macro="_xll.MC_OnNodeClick" textlink="">
      <xdr:nvSpPr>
        <xdr:cNvPr id="268" name="MC_C_bio_demand">
          <a:extLst>
            <a:ext uri="{FF2B5EF4-FFF2-40B4-BE49-F238E27FC236}">
              <a16:creationId xmlns:a16="http://schemas.microsoft.com/office/drawing/2014/main" id="{8B5C1A41-F06B-0483-D77D-B0116C10102B}"/>
            </a:ext>
          </a:extLst>
        </xdr:cNvPr>
        <xdr:cNvSpPr/>
      </xdr:nvSpPr>
      <xdr:spPr>
        <a:xfrm>
          <a:off x="5319713" y="1548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69" name="MC_T_bio_ms">
          <a:extLst>
            <a:ext uri="{FF2B5EF4-FFF2-40B4-BE49-F238E27FC236}">
              <a16:creationId xmlns:a16="http://schemas.microsoft.com/office/drawing/2014/main" id="{01D24455-5C39-E7D0-0043-E18896A0D75D}"/>
            </a:ext>
          </a:extLst>
        </xdr:cNvPr>
        <xdr:cNvSpPr/>
      </xdr:nvSpPr>
      <xdr:spPr>
        <a:xfrm rot="16200000">
          <a:off x="11120438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85</xdr:row>
      <xdr:rowOff>109538</xdr:rowOff>
    </xdr:from>
    <xdr:to>
      <xdr:col>4</xdr:col>
      <xdr:colOff>180975</xdr:colOff>
      <xdr:row>86</xdr:row>
      <xdr:rowOff>80963</xdr:rowOff>
    </xdr:to>
    <xdr:sp macro="_xll.MC_OnNodeClick" textlink="">
      <xdr:nvSpPr>
        <xdr:cNvPr id="270" name="MC_C_bio_reg_moderate">
          <a:extLst>
            <a:ext uri="{FF2B5EF4-FFF2-40B4-BE49-F238E27FC236}">
              <a16:creationId xmlns:a16="http://schemas.microsoft.com/office/drawing/2014/main" id="{D47D6728-77FC-91DA-5575-94374133067C}"/>
            </a:ext>
          </a:extLst>
        </xdr:cNvPr>
        <xdr:cNvSpPr/>
      </xdr:nvSpPr>
      <xdr:spPr>
        <a:xfrm>
          <a:off x="7962900" y="1624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87</xdr:row>
      <xdr:rowOff>109537</xdr:rowOff>
    </xdr:from>
    <xdr:to>
      <xdr:col>5</xdr:col>
      <xdr:colOff>176213</xdr:colOff>
      <xdr:row>88</xdr:row>
      <xdr:rowOff>80962</xdr:rowOff>
    </xdr:to>
    <xdr:sp macro="_xll.MC_OnNodeClick" textlink="">
      <xdr:nvSpPr>
        <xdr:cNvPr id="271" name="MC_T_bio_mm">
          <a:extLst>
            <a:ext uri="{FF2B5EF4-FFF2-40B4-BE49-F238E27FC236}">
              <a16:creationId xmlns:a16="http://schemas.microsoft.com/office/drawing/2014/main" id="{C19F08F7-D48F-68C6-84E0-5FC8B077875F}"/>
            </a:ext>
          </a:extLst>
        </xdr:cNvPr>
        <xdr:cNvSpPr/>
      </xdr:nvSpPr>
      <xdr:spPr>
        <a:xfrm rot="16200000">
          <a:off x="11120438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272" name="MC_T_bio_mw">
          <a:extLst>
            <a:ext uri="{FF2B5EF4-FFF2-40B4-BE49-F238E27FC236}">
              <a16:creationId xmlns:a16="http://schemas.microsoft.com/office/drawing/2014/main" id="{2D3D8B95-8855-34D1-B60E-41152EB67468}"/>
            </a:ext>
          </a:extLst>
        </xdr:cNvPr>
        <xdr:cNvSpPr/>
      </xdr:nvSpPr>
      <xdr:spPr>
        <a:xfrm rot="16200000">
          <a:off x="11120438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91</xdr:row>
      <xdr:rowOff>109537</xdr:rowOff>
    </xdr:from>
    <xdr:to>
      <xdr:col>5</xdr:col>
      <xdr:colOff>176213</xdr:colOff>
      <xdr:row>92</xdr:row>
      <xdr:rowOff>80962</xdr:rowOff>
    </xdr:to>
    <xdr:sp macro="_xll.MC_OnNodeClick" textlink="">
      <xdr:nvSpPr>
        <xdr:cNvPr id="273" name="MC_T_bio_ws">
          <a:extLst>
            <a:ext uri="{FF2B5EF4-FFF2-40B4-BE49-F238E27FC236}">
              <a16:creationId xmlns:a16="http://schemas.microsoft.com/office/drawing/2014/main" id="{B0F0EAFE-2E85-252F-6328-4E589C8E1B78}"/>
            </a:ext>
          </a:extLst>
        </xdr:cNvPr>
        <xdr:cNvSpPr/>
      </xdr:nvSpPr>
      <xdr:spPr>
        <a:xfrm rot="16200000">
          <a:off x="11120438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93</xdr:row>
      <xdr:rowOff>109538</xdr:rowOff>
    </xdr:from>
    <xdr:to>
      <xdr:col>4</xdr:col>
      <xdr:colOff>180975</xdr:colOff>
      <xdr:row>94</xdr:row>
      <xdr:rowOff>80963</xdr:rowOff>
    </xdr:to>
    <xdr:sp macro="_xll.MC_OnNodeClick" textlink="">
      <xdr:nvSpPr>
        <xdr:cNvPr id="274" name="MC_C_bio_reg_weak">
          <a:extLst>
            <a:ext uri="{FF2B5EF4-FFF2-40B4-BE49-F238E27FC236}">
              <a16:creationId xmlns:a16="http://schemas.microsoft.com/office/drawing/2014/main" id="{5DA65F2F-AEE7-D928-9626-943BFAB24F16}"/>
            </a:ext>
          </a:extLst>
        </xdr:cNvPr>
        <xdr:cNvSpPr/>
      </xdr:nvSpPr>
      <xdr:spPr>
        <a:xfrm>
          <a:off x="7962900" y="1776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95</xdr:row>
      <xdr:rowOff>109537</xdr:rowOff>
    </xdr:from>
    <xdr:to>
      <xdr:col>5</xdr:col>
      <xdr:colOff>176213</xdr:colOff>
      <xdr:row>96</xdr:row>
      <xdr:rowOff>80962</xdr:rowOff>
    </xdr:to>
    <xdr:sp macro="_xll.MC_OnNodeClick" textlink="">
      <xdr:nvSpPr>
        <xdr:cNvPr id="275" name="MC_T_bio_wm">
          <a:extLst>
            <a:ext uri="{FF2B5EF4-FFF2-40B4-BE49-F238E27FC236}">
              <a16:creationId xmlns:a16="http://schemas.microsoft.com/office/drawing/2014/main" id="{C82CB7D8-1C49-E016-7203-26A2FB148521}"/>
            </a:ext>
          </a:extLst>
        </xdr:cNvPr>
        <xdr:cNvSpPr/>
      </xdr:nvSpPr>
      <xdr:spPr>
        <a:xfrm rot="16200000">
          <a:off x="11120438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276" name="MC_T_bio_ww">
          <a:extLst>
            <a:ext uri="{FF2B5EF4-FFF2-40B4-BE49-F238E27FC236}">
              <a16:creationId xmlns:a16="http://schemas.microsoft.com/office/drawing/2014/main" id="{D67D7F40-03DE-C044-F127-CF5899A8D439}"/>
            </a:ext>
          </a:extLst>
        </xdr:cNvPr>
        <xdr:cNvSpPr/>
      </xdr:nvSpPr>
      <xdr:spPr>
        <a:xfrm rot="16200000">
          <a:off x="11120438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99</xdr:row>
      <xdr:rowOff>109537</xdr:rowOff>
    </xdr:from>
    <xdr:to>
      <xdr:col>4</xdr:col>
      <xdr:colOff>176213</xdr:colOff>
      <xdr:row>100</xdr:row>
      <xdr:rowOff>80962</xdr:rowOff>
    </xdr:to>
    <xdr:sp macro="_xll.MC_OnNodeClick" textlink="">
      <xdr:nvSpPr>
        <xdr:cNvPr id="277" name="MC_T_sell_high">
          <a:extLst>
            <a:ext uri="{FF2B5EF4-FFF2-40B4-BE49-F238E27FC236}">
              <a16:creationId xmlns:a16="http://schemas.microsoft.com/office/drawing/2014/main" id="{48657561-E9CD-A704-7AEF-63F29E7E166F}"/>
            </a:ext>
          </a:extLst>
        </xdr:cNvPr>
        <xdr:cNvSpPr/>
      </xdr:nvSpPr>
      <xdr:spPr>
        <a:xfrm rot="16200000">
          <a:off x="7962900" y="1890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101</xdr:row>
      <xdr:rowOff>109538</xdr:rowOff>
    </xdr:from>
    <xdr:to>
      <xdr:col>3</xdr:col>
      <xdr:colOff>180975</xdr:colOff>
      <xdr:row>102</xdr:row>
      <xdr:rowOff>80963</xdr:rowOff>
    </xdr:to>
    <xdr:sp macro="_xll.MC_OnNodeClick" textlink="">
      <xdr:nvSpPr>
        <xdr:cNvPr id="278" name="MC_C_sell_market">
          <a:extLst>
            <a:ext uri="{FF2B5EF4-FFF2-40B4-BE49-F238E27FC236}">
              <a16:creationId xmlns:a16="http://schemas.microsoft.com/office/drawing/2014/main" id="{F9E04327-29EF-CF7E-EB01-0709DACBE166}"/>
            </a:ext>
          </a:extLst>
        </xdr:cNvPr>
        <xdr:cNvSpPr/>
      </xdr:nvSpPr>
      <xdr:spPr>
        <a:xfrm>
          <a:off x="5319713" y="1929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103</xdr:row>
      <xdr:rowOff>109537</xdr:rowOff>
    </xdr:from>
    <xdr:to>
      <xdr:col>4</xdr:col>
      <xdr:colOff>176213</xdr:colOff>
      <xdr:row>104</xdr:row>
      <xdr:rowOff>80962</xdr:rowOff>
    </xdr:to>
    <xdr:sp macro="_xll.MC_OnNodeClick" textlink="">
      <xdr:nvSpPr>
        <xdr:cNvPr id="279" name="MC_T_sell_mid">
          <a:extLst>
            <a:ext uri="{FF2B5EF4-FFF2-40B4-BE49-F238E27FC236}">
              <a16:creationId xmlns:a16="http://schemas.microsoft.com/office/drawing/2014/main" id="{20461A9E-1800-267E-EFA8-F5497242CAAE}"/>
            </a:ext>
          </a:extLst>
        </xdr:cNvPr>
        <xdr:cNvSpPr/>
      </xdr:nvSpPr>
      <xdr:spPr>
        <a:xfrm rot="16200000">
          <a:off x="7962900" y="1966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105</xdr:row>
      <xdr:rowOff>109537</xdr:rowOff>
    </xdr:from>
    <xdr:to>
      <xdr:col>4</xdr:col>
      <xdr:colOff>176213</xdr:colOff>
      <xdr:row>106</xdr:row>
      <xdr:rowOff>80962</xdr:rowOff>
    </xdr:to>
    <xdr:sp macro="_xll.MC_OnNodeClick" textlink="">
      <xdr:nvSpPr>
        <xdr:cNvPr id="280" name="MC_T_sell_low">
          <a:extLst>
            <a:ext uri="{FF2B5EF4-FFF2-40B4-BE49-F238E27FC236}">
              <a16:creationId xmlns:a16="http://schemas.microsoft.com/office/drawing/2014/main" id="{695F7E5F-95FB-3AE8-49FE-F091F5E9C9B6}"/>
            </a:ext>
          </a:extLst>
        </xdr:cNvPr>
        <xdr:cNvSpPr/>
      </xdr:nvSpPr>
      <xdr:spPr>
        <a:xfrm rot="16200000">
          <a:off x="7962900" y="2005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2BF8-5BFA-4220-B6D4-0AF7C309A727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995C-903A-46B2-B4E1-F493C69A7926}">
  <dimension ref="A1:DH1"/>
  <sheetViews>
    <sheetView workbookViewId="0"/>
  </sheetViews>
  <sheetFormatPr defaultRowHeight="14.25" x14ac:dyDescent="0.45"/>
  <sheetData>
    <row r="1" spans="1:112" x14ac:dyDescent="0.45">
      <c r="A1">
        <f>MC_Tree_1!MC_BP_C_bio_demand_C_bio_reg_strong</f>
        <v>0.25</v>
      </c>
      <c r="B1">
        <f>MC_Tree_1!MC_BV_C_bio_demand_C_bio_reg_strong</f>
        <v>0</v>
      </c>
      <c r="C1">
        <f>MC_Tree_1!MC_BP_C_bio_demand_C_bio_reg_moderate</f>
        <v>0.45</v>
      </c>
      <c r="D1">
        <f>MC_Tree_1!MC_BV_C_bio_demand_C_bio_reg_moderate</f>
        <v>0</v>
      </c>
      <c r="E1">
        <f>MC_Tree_1!MC_BP_C_bio_demand_C_bio_reg_weak</f>
        <v>0.3</v>
      </c>
      <c r="F1">
        <f>MC_Tree_1!MC_BV_C_bio_demand_C_bio_reg_weak</f>
        <v>0</v>
      </c>
      <c r="G1">
        <f>MC_Tree_1!MC_BP_C_bio_reg_moderate_T_bio_ms</f>
        <v>0.4</v>
      </c>
      <c r="H1">
        <f>MC_Tree_1!MC_BV_C_bio_reg_moderate_T_bio_ms</f>
        <v>1400000000</v>
      </c>
      <c r="I1">
        <f>MC_Tree_1!MC_BP_C_bio_reg_moderate_T_bio_mm</f>
        <v>0.35</v>
      </c>
      <c r="J1">
        <f>MC_Tree_1!MC_BV_C_bio_reg_moderate_T_bio_mm</f>
        <v>1000000000</v>
      </c>
      <c r="K1">
        <f>MC_Tree_1!MC_BP_C_bio_reg_moderate_T_bio_mw</f>
        <v>0.25</v>
      </c>
      <c r="L1">
        <f>MC_Tree_1!MC_BV_C_bio_reg_moderate_T_bio_mw</f>
        <v>650000000</v>
      </c>
      <c r="M1">
        <f>MC_Tree_1!MC_BP_C_bio_reg_strong_T_bio_ss</f>
        <v>0.4</v>
      </c>
      <c r="N1">
        <f>MC_Tree_1!MC_BV_C_bio_reg_strong_T_bio_ss</f>
        <v>2200000000</v>
      </c>
      <c r="O1">
        <f>MC_Tree_1!MC_BP_C_bio_reg_strong_T_bio_sm</f>
        <v>0.35</v>
      </c>
      <c r="P1">
        <f>MC_Tree_1!MC_BV_C_bio_reg_strong_T_bio_sm</f>
        <v>1700000000</v>
      </c>
      <c r="Q1">
        <f>MC_Tree_1!MC_BP_C_bio_reg_strong_T_bio_sw</f>
        <v>0.25</v>
      </c>
      <c r="R1">
        <f>MC_Tree_1!MC_BV_C_bio_reg_strong_T_bio_sw</f>
        <v>1200000000</v>
      </c>
      <c r="S1">
        <f>MC_Tree_1!MC_BP_C_bio_reg_weak_T_bio_ws</f>
        <v>0.4</v>
      </c>
      <c r="T1">
        <f>MC_Tree_1!MC_BV_C_bio_reg_weak_T_bio_ws</f>
        <v>800000000</v>
      </c>
      <c r="U1">
        <f>MC_Tree_1!MC_BP_C_bio_reg_weak_T_bio_wm</f>
        <v>0.35</v>
      </c>
      <c r="V1">
        <f>MC_Tree_1!MC_BV_C_bio_reg_weak_T_bio_wm</f>
        <v>450000000</v>
      </c>
      <c r="W1">
        <f>MC_Tree_1!MC_BP_C_bio_reg_weak_T_bio_ww</f>
        <v>0.25</v>
      </c>
      <c r="X1">
        <f>MC_Tree_1!MC_BV_C_bio_reg_weak_T_bio_ww</f>
        <v>200000000</v>
      </c>
      <c r="Y1">
        <f>MC_Tree_1!MC_BP_C_coker_diff_narrow_T_coker_rl</f>
        <v>0.35</v>
      </c>
      <c r="Z1">
        <f>MC_Tree_1!MC_BV_C_coker_diff_narrow_T_coker_rl</f>
        <v>1300000000</v>
      </c>
      <c r="AA1">
        <f>MC_Tree_1!MC_BP_C_coker_diff_narrow_T_coker_rm</f>
        <v>0.4</v>
      </c>
      <c r="AB1">
        <f>MC_Tree_1!MC_BV_C_coker_diff_narrow_T_coker_rm</f>
        <v>800000000</v>
      </c>
      <c r="AC1">
        <f>MC_Tree_1!MC_BP_C_coker_diff_narrow_T_coker_rs</f>
        <v>0.25</v>
      </c>
      <c r="AD1">
        <f>MC_Tree_1!MC_BV_C_coker_diff_narrow_T_coker_rs</f>
        <v>350000000</v>
      </c>
      <c r="AE1">
        <f>MC_Tree_1!MC_BP_C_coker_diff_normal_T_coker_nl</f>
        <v>0.35</v>
      </c>
      <c r="AF1">
        <f>MC_Tree_1!MC_BV_C_coker_diff_normal_T_coker_nl</f>
        <v>2100000000</v>
      </c>
      <c r="AG1">
        <f>MC_Tree_1!MC_BP_C_coker_diff_normal_T_coker_nm</f>
        <v>0.4</v>
      </c>
      <c r="AH1">
        <f>MC_Tree_1!MC_BV_C_coker_diff_normal_T_coker_nm</f>
        <v>1500000000</v>
      </c>
      <c r="AI1">
        <f>MC_Tree_1!MC_BP_C_coker_diff_normal_T_coker_ns</f>
        <v>0.25</v>
      </c>
      <c r="AJ1">
        <f>MC_Tree_1!MC_BV_C_coker_diff_normal_T_coker_ns</f>
        <v>900000000</v>
      </c>
      <c r="AK1">
        <f>MC_Tree_1!MC_BP_C_coker_diff_wide_T_coker_wl</f>
        <v>0.35</v>
      </c>
      <c r="AL1">
        <f>MC_Tree_1!MC_BV_C_coker_diff_wide_T_coker_wl</f>
        <v>2800000000</v>
      </c>
      <c r="AM1">
        <f>MC_Tree_1!MC_BP_C_coker_diff_wide_T_coker_wm</f>
        <v>0.4</v>
      </c>
      <c r="AN1">
        <f>MC_Tree_1!MC_BV_C_coker_diff_wide_T_coker_wm</f>
        <v>2200000000</v>
      </c>
      <c r="AO1">
        <f>MC_Tree_1!MC_BP_C_coker_diff_wide_T_coker_ws</f>
        <v>0.25</v>
      </c>
      <c r="AP1">
        <f>MC_Tree_1!MC_BV_C_coker_diff_wide_T_coker_ws</f>
        <v>1600000000</v>
      </c>
      <c r="AQ1">
        <f>MC_Tree_1!MC_BP_C_coker_margin_C_coker_diff_wide</f>
        <v>0.3</v>
      </c>
      <c r="AR1">
        <f>MC_Tree_1!MC_BV_C_coker_margin_C_coker_diff_wide</f>
        <v>0</v>
      </c>
      <c r="AS1">
        <f>MC_Tree_1!MC_BP_C_coker_margin_C_coker_diff_normal</f>
        <v>0.45</v>
      </c>
      <c r="AT1">
        <f>MC_Tree_1!MC_BV_C_coker_margin_C_coker_diff_normal</f>
        <v>0</v>
      </c>
      <c r="AU1">
        <f>MC_Tree_1!MC_BP_C_coker_margin_C_coker_diff_narrow</f>
        <v>0.25</v>
      </c>
      <c r="AV1">
        <f>MC_Tree_1!MC_BV_C_coker_margin_C_coker_diff_narrow</f>
        <v>0</v>
      </c>
      <c r="AW1">
        <f>MC_Tree_1!MC_BP_C_hydro_margin_C_hydro_reg_wide</f>
        <v>0.3</v>
      </c>
      <c r="AX1">
        <f>MC_Tree_1!MC_BV_C_hydro_margin_C_hydro_reg_wide</f>
        <v>0</v>
      </c>
      <c r="AY1">
        <f>MC_Tree_1!MC_BP_C_hydro_margin_C_hydro_reg_normal</f>
        <v>0.45</v>
      </c>
      <c r="AZ1">
        <f>MC_Tree_1!MC_BV_C_hydro_margin_C_hydro_reg_normal</f>
        <v>0</v>
      </c>
      <c r="BA1">
        <f>MC_Tree_1!MC_BP_C_hydro_margin_C_hydro_reg_narrow</f>
        <v>0.25</v>
      </c>
      <c r="BB1">
        <f>MC_Tree_1!MC_BV_C_hydro_margin_C_hydro_reg_narrow</f>
        <v>0</v>
      </c>
      <c r="BC1">
        <f>MC_Tree_1!MC_BP_C_hydro_reg_narrow_T_hydro_rs</f>
        <v>0.3</v>
      </c>
      <c r="BD1">
        <f>MC_Tree_1!MC_BV_C_hydro_reg_narrow_T_hydro_rs</f>
        <v>550000000</v>
      </c>
      <c r="BE1">
        <f>MC_Tree_1!MC_BP_C_hydro_reg_narrow_T_hydro_rm</f>
        <v>0.45</v>
      </c>
      <c r="BF1">
        <f>MC_Tree_1!MC_BV_C_hydro_reg_narrow_T_hydro_rm</f>
        <v>420000000</v>
      </c>
      <c r="BG1">
        <f>MC_Tree_1!MC_BP_C_hydro_reg_narrow_T_hydro_rq</f>
        <v>0.25</v>
      </c>
      <c r="BH1">
        <f>MC_Tree_1!MC_BV_C_hydro_reg_narrow_T_hydro_rq</f>
        <v>350000000</v>
      </c>
      <c r="BI1">
        <f>MC_Tree_1!MC_BP_C_hydro_reg_normal_T_hydro_ns</f>
        <v>0.3</v>
      </c>
      <c r="BJ1">
        <f>MC_Tree_1!MC_BV_C_hydro_reg_normal_T_hydro_ns</f>
        <v>950000000</v>
      </c>
      <c r="BK1">
        <f>MC_Tree_1!MC_BP_C_hydro_reg_normal_T_hydro_nm</f>
        <v>0.45</v>
      </c>
      <c r="BL1">
        <f>MC_Tree_1!MC_BV_C_hydro_reg_normal_T_hydro_nm</f>
        <v>800000000</v>
      </c>
      <c r="BM1">
        <f>MC_Tree_1!MC_BP_C_hydro_reg_normal_T_hydro_nq</f>
        <v>0.25</v>
      </c>
      <c r="BN1">
        <f>MC_Tree_1!MC_BV_C_hydro_reg_normal_T_hydro_nq</f>
        <v>700000000</v>
      </c>
      <c r="BO1">
        <f>MC_Tree_1!MC_BP_C_hydro_reg_wide_T_hydro_ws</f>
        <v>0.3</v>
      </c>
      <c r="BP1">
        <f>MC_Tree_1!MC_BV_C_hydro_reg_wide_T_hydro_ws</f>
        <v>1400000000</v>
      </c>
      <c r="BQ1">
        <f>MC_Tree_1!MC_BP_C_hydro_reg_wide_T_hydro_wm</f>
        <v>0.45</v>
      </c>
      <c r="BR1">
        <f>MC_Tree_1!MC_BV_C_hydro_reg_wide_T_hydro_wm</f>
        <v>1200000000</v>
      </c>
      <c r="BS1">
        <f>MC_Tree_1!MC_BP_C_hydro_reg_wide_T_hydro_wq</f>
        <v>0.25</v>
      </c>
      <c r="BT1">
        <f>MC_Tree_1!MC_BV_C_hydro_reg_wide_T_hydro_wq</f>
        <v>1050000000</v>
      </c>
      <c r="BU1">
        <f>MC_Tree_1!MC_BP_C_sell_market_T_sell_high</f>
        <v>0.3</v>
      </c>
      <c r="BV1">
        <f>MC_Tree_1!MC_BV_C_sell_market_T_sell_high</f>
        <v>600000000</v>
      </c>
      <c r="BW1">
        <f>MC_Tree_1!MC_BP_C_sell_market_T_sell_mid</f>
        <v>0.4</v>
      </c>
      <c r="BX1">
        <f>MC_Tree_1!MC_BV_C_sell_market_T_sell_mid</f>
        <v>400000000</v>
      </c>
      <c r="BY1">
        <f>MC_Tree_1!MC_BP_C_sell_market_T_sell_low</f>
        <v>0.3</v>
      </c>
      <c r="BZ1">
        <f>MC_Tree_1!MC_BV_C_sell_market_T_sell_low</f>
        <v>250000000</v>
      </c>
      <c r="CA1">
        <f>MC_Tree_1!MC_BV_D_root_C_coker_margin</f>
        <v>-800000000</v>
      </c>
      <c r="CB1">
        <f>MC_Tree_1!MC_BV_D_root_C_hydro_margin</f>
        <v>-300000000</v>
      </c>
      <c r="CC1">
        <f>MC_Tree_1!MC_BV_D_root_C_bio_demand</f>
        <v>-500000000</v>
      </c>
      <c r="CD1">
        <f>MC_Tree_1!MC_BV_D_root_C_sell_market</f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A6E0-596F-41A8-9D09-8467EDEB26BD}">
  <dimension ref="B2:D61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28</v>
      </c>
    </row>
    <row r="3" spans="2:2" x14ac:dyDescent="0.45">
      <c r="B3" s="10" t="s">
        <v>29</v>
      </c>
    </row>
    <row r="5" spans="2:2" ht="15.75" x14ac:dyDescent="0.5">
      <c r="B5" s="15" t="s">
        <v>30</v>
      </c>
    </row>
    <row r="7" spans="2:2" x14ac:dyDescent="0.45">
      <c r="B7" t="s">
        <v>31</v>
      </c>
    </row>
    <row r="8" spans="2:2" x14ac:dyDescent="0.45">
      <c r="B8" t="s">
        <v>32</v>
      </c>
    </row>
    <row r="9" spans="2:2" x14ac:dyDescent="0.45">
      <c r="B9" t="s">
        <v>33</v>
      </c>
    </row>
    <row r="10" spans="2:2" x14ac:dyDescent="0.45">
      <c r="B10" t="s">
        <v>34</v>
      </c>
    </row>
    <row r="11" spans="2:2" x14ac:dyDescent="0.45">
      <c r="B11" t="s">
        <v>35</v>
      </c>
    </row>
    <row r="13" spans="2:2" x14ac:dyDescent="0.45">
      <c r="B13" s="8" t="s">
        <v>36</v>
      </c>
    </row>
    <row r="14" spans="2:2" x14ac:dyDescent="0.45">
      <c r="B14" t="s">
        <v>37</v>
      </c>
    </row>
    <row r="15" spans="2:2" x14ac:dyDescent="0.45">
      <c r="B15" t="s">
        <v>38</v>
      </c>
    </row>
    <row r="16" spans="2:2" x14ac:dyDescent="0.45">
      <c r="B16" t="s">
        <v>39</v>
      </c>
    </row>
    <row r="17" spans="2:2" x14ac:dyDescent="0.45">
      <c r="B17" t="s">
        <v>40</v>
      </c>
    </row>
    <row r="19" spans="2:2" x14ac:dyDescent="0.45">
      <c r="B19" s="8" t="s">
        <v>41</v>
      </c>
    </row>
    <row r="20" spans="2:2" x14ac:dyDescent="0.45">
      <c r="B20" t="s">
        <v>42</v>
      </c>
    </row>
    <row r="21" spans="2:2" x14ac:dyDescent="0.45">
      <c r="B21" t="s">
        <v>43</v>
      </c>
    </row>
    <row r="22" spans="2:2" x14ac:dyDescent="0.45">
      <c r="B22" t="s">
        <v>44</v>
      </c>
    </row>
    <row r="24" spans="2:2" x14ac:dyDescent="0.45">
      <c r="B24" s="8" t="s">
        <v>45</v>
      </c>
    </row>
    <row r="25" spans="2:2" x14ac:dyDescent="0.45">
      <c r="B25" t="s">
        <v>46</v>
      </c>
    </row>
    <row r="26" spans="2:2" x14ac:dyDescent="0.45">
      <c r="B26" t="s">
        <v>47</v>
      </c>
    </row>
    <row r="27" spans="2:2" x14ac:dyDescent="0.45">
      <c r="B27" t="s">
        <v>48</v>
      </c>
    </row>
    <row r="29" spans="2:2" x14ac:dyDescent="0.45">
      <c r="B29" s="8" t="s">
        <v>49</v>
      </c>
    </row>
    <row r="30" spans="2:2" x14ac:dyDescent="0.45">
      <c r="B30" t="s">
        <v>50</v>
      </c>
    </row>
    <row r="31" spans="2:2" x14ac:dyDescent="0.45">
      <c r="B31" t="s">
        <v>51</v>
      </c>
    </row>
    <row r="33" spans="2:4" ht="15.75" x14ac:dyDescent="0.5">
      <c r="B33" s="15" t="s">
        <v>52</v>
      </c>
    </row>
    <row r="35" spans="2:4" x14ac:dyDescent="0.45">
      <c r="B35" t="s">
        <v>53</v>
      </c>
    </row>
    <row r="36" spans="2:4" x14ac:dyDescent="0.45">
      <c r="B36" t="s">
        <v>54</v>
      </c>
    </row>
    <row r="37" spans="2:4" x14ac:dyDescent="0.45">
      <c r="B37" t="s">
        <v>55</v>
      </c>
    </row>
    <row r="40" spans="2:4" ht="15.75" x14ac:dyDescent="0.5">
      <c r="B40" s="15" t="s">
        <v>56</v>
      </c>
    </row>
    <row r="42" spans="2:4" x14ac:dyDescent="0.45">
      <c r="B42" s="11" t="s">
        <v>17</v>
      </c>
      <c r="C42" s="11" t="s">
        <v>18</v>
      </c>
      <c r="D42" s="11" t="s">
        <v>20</v>
      </c>
    </row>
    <row r="43" spans="2:4" x14ac:dyDescent="0.45">
      <c r="B43" s="12" t="s">
        <v>57</v>
      </c>
      <c r="C43" s="16">
        <v>800000000</v>
      </c>
      <c r="D43" s="12" t="s">
        <v>58</v>
      </c>
    </row>
    <row r="44" spans="2:4" x14ac:dyDescent="0.45">
      <c r="B44" s="12" t="s">
        <v>59</v>
      </c>
      <c r="C44" s="16">
        <v>300000000</v>
      </c>
      <c r="D44" s="12" t="s">
        <v>60</v>
      </c>
    </row>
    <row r="45" spans="2:4" x14ac:dyDescent="0.45">
      <c r="B45" s="12" t="s">
        <v>61</v>
      </c>
      <c r="C45" s="16">
        <v>500000000</v>
      </c>
      <c r="D45" s="12" t="s">
        <v>62</v>
      </c>
    </row>
    <row r="46" spans="2:4" x14ac:dyDescent="0.45">
      <c r="B46" s="12" t="s">
        <v>63</v>
      </c>
      <c r="C46" s="12" t="s">
        <v>64</v>
      </c>
      <c r="D46" s="12" t="s">
        <v>65</v>
      </c>
    </row>
    <row r="47" spans="2:4" x14ac:dyDescent="0.45">
      <c r="B47" s="12" t="s">
        <v>66</v>
      </c>
      <c r="C47" s="12" t="s">
        <v>67</v>
      </c>
      <c r="D47" s="12" t="s">
        <v>68</v>
      </c>
    </row>
    <row r="48" spans="2:4" x14ac:dyDescent="0.45">
      <c r="B48" s="12" t="s">
        <v>69</v>
      </c>
      <c r="C48" s="12" t="s">
        <v>70</v>
      </c>
      <c r="D48" s="12" t="s">
        <v>71</v>
      </c>
    </row>
    <row r="49" spans="2:4" x14ac:dyDescent="0.45">
      <c r="B49" s="12" t="s">
        <v>72</v>
      </c>
      <c r="C49" s="12" t="s">
        <v>73</v>
      </c>
      <c r="D49" s="12" t="s">
        <v>74</v>
      </c>
    </row>
    <row r="50" spans="2:4" x14ac:dyDescent="0.45">
      <c r="B50" s="12" t="s">
        <v>75</v>
      </c>
      <c r="C50" s="12" t="s">
        <v>76</v>
      </c>
      <c r="D50" s="12" t="s">
        <v>77</v>
      </c>
    </row>
    <row r="51" spans="2:4" x14ac:dyDescent="0.45">
      <c r="B51" s="12" t="s">
        <v>78</v>
      </c>
      <c r="C51" s="12" t="s">
        <v>79</v>
      </c>
      <c r="D51" s="12" t="s">
        <v>80</v>
      </c>
    </row>
    <row r="52" spans="2:4" x14ac:dyDescent="0.45">
      <c r="B52" s="12" t="s">
        <v>81</v>
      </c>
      <c r="C52" s="12" t="s">
        <v>82</v>
      </c>
      <c r="D52" s="12" t="s">
        <v>83</v>
      </c>
    </row>
    <row r="53" spans="2:4" x14ac:dyDescent="0.45">
      <c r="B53" s="12" t="s">
        <v>84</v>
      </c>
      <c r="C53" s="12" t="s">
        <v>85</v>
      </c>
      <c r="D53" s="12" t="s">
        <v>86</v>
      </c>
    </row>
    <row r="56" spans="2:4" ht="15.75" x14ac:dyDescent="0.5">
      <c r="B56" s="15" t="s">
        <v>87</v>
      </c>
    </row>
    <row r="58" spans="2:4" x14ac:dyDescent="0.45">
      <c r="B58" t="s">
        <v>88</v>
      </c>
    </row>
    <row r="59" spans="2:4" x14ac:dyDescent="0.45">
      <c r="B59" t="s">
        <v>89</v>
      </c>
    </row>
    <row r="60" spans="2:4" x14ac:dyDescent="0.45">
      <c r="B60" t="s">
        <v>90</v>
      </c>
    </row>
    <row r="61" spans="2:4" x14ac:dyDescent="0.45">
      <c r="B61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2C50-0CA5-4C0F-9A09-6B86030F75B2}">
  <dimension ref="B2:F110"/>
  <sheetViews>
    <sheetView showGridLines="0" workbookViewId="0"/>
  </sheetViews>
  <sheetFormatPr defaultRowHeight="14.25" x14ac:dyDescent="0.45"/>
  <cols>
    <col min="1" max="1" width="8.59765625" customWidth="1"/>
    <col min="2" max="2" width="27.6640625" customWidth="1"/>
    <col min="3" max="3" width="38.06640625" customWidth="1"/>
    <col min="4" max="4" width="37" customWidth="1"/>
    <col min="5" max="5" width="44.19921875" customWidth="1"/>
    <col min="6" max="6" width="45.59765625" customWidth="1"/>
  </cols>
  <sheetData>
    <row r="2" spans="2:5" ht="15" customHeight="1" x14ac:dyDescent="0.55000000000000004">
      <c r="B2" s="9" t="s">
        <v>15</v>
      </c>
    </row>
    <row r="3" spans="2:5" ht="15" customHeight="1" x14ac:dyDescent="0.45">
      <c r="B3" s="10" t="s">
        <v>16</v>
      </c>
    </row>
    <row r="4" spans="2:5" ht="15" customHeight="1" x14ac:dyDescent="0.45"/>
    <row r="5" spans="2:5" ht="15" customHeight="1" x14ac:dyDescent="0.45">
      <c r="B5" s="11" t="s">
        <v>17</v>
      </c>
      <c r="C5" s="11" t="s">
        <v>18</v>
      </c>
      <c r="D5" s="11" t="s">
        <v>19</v>
      </c>
      <c r="E5" s="11" t="s">
        <v>20</v>
      </c>
    </row>
    <row r="6" spans="2:5" ht="15" customHeight="1" x14ac:dyDescent="0.45">
      <c r="B6" s="12" t="s">
        <v>21</v>
      </c>
      <c r="C6" s="13">
        <v>800000000</v>
      </c>
      <c r="D6" s="12" t="s">
        <v>22</v>
      </c>
      <c r="E6" s="12" t="s">
        <v>23</v>
      </c>
    </row>
    <row r="7" spans="2:5" ht="15" customHeight="1" x14ac:dyDescent="0.45">
      <c r="B7" s="12" t="s">
        <v>24</v>
      </c>
      <c r="C7" s="13">
        <v>300000000</v>
      </c>
      <c r="D7" s="12" t="s">
        <v>22</v>
      </c>
      <c r="E7" s="12" t="s">
        <v>25</v>
      </c>
    </row>
    <row r="8" spans="2:5" ht="15" customHeight="1" x14ac:dyDescent="0.45">
      <c r="B8" s="12" t="s">
        <v>26</v>
      </c>
      <c r="C8" s="13">
        <v>500000000</v>
      </c>
      <c r="D8" s="12" t="s">
        <v>22</v>
      </c>
      <c r="E8" s="12" t="s">
        <v>27</v>
      </c>
    </row>
    <row r="9" spans="2:5" ht="15" customHeight="1" x14ac:dyDescent="0.45"/>
    <row r="10" spans="2:5" ht="15" customHeight="1" x14ac:dyDescent="0.45"/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0.35</v>
      </c>
      <c r="F20" s="1">
        <f>_xll.MC_NodeProbability(_MC_Calc_1,"T_coker_wl")</f>
        <v>0.105</v>
      </c>
    </row>
    <row r="21" spans="3:6" ht="15" customHeight="1" x14ac:dyDescent="0.45">
      <c r="E21" s="7">
        <v>2800000000</v>
      </c>
      <c r="F21" s="6">
        <f>_xll.MC_NodeValue(_MC_Calc_1,"T_coker_wl")</f>
        <v>2000000000</v>
      </c>
    </row>
    <row r="22" spans="3:6" ht="15" customHeight="1" x14ac:dyDescent="0.45">
      <c r="D22" s="5">
        <v>0.3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_xll.MC_NodeValue(_MC_Calc_1,"C_coker_diff_wide")</f>
        <v>1460000000</v>
      </c>
    </row>
    <row r="24" spans="3:6" ht="15" customHeight="1" x14ac:dyDescent="0.45">
      <c r="E24" s="5">
        <v>0.4</v>
      </c>
      <c r="F24" s="1">
        <f>_xll.MC_NodeProbability(_MC_Calc_1,"T_coker_wm")</f>
        <v>0.12</v>
      </c>
    </row>
    <row r="25" spans="3:6" ht="15" customHeight="1" x14ac:dyDescent="0.45">
      <c r="E25" s="7">
        <v>2200000000</v>
      </c>
      <c r="F25" s="6">
        <f>_xll.MC_NodeValue(_MC_Calc_1,"T_coker_wm")</f>
        <v>1400000000</v>
      </c>
    </row>
    <row r="26" spans="3:6" ht="15" customHeight="1" x14ac:dyDescent="0.45">
      <c r="E26" s="5">
        <v>0.25</v>
      </c>
      <c r="F26" s="1">
        <f>_xll.MC_NodeProbability(_MC_Calc_1,"T_coker_ws")</f>
        <v>7.4999999999999997E-2</v>
      </c>
    </row>
    <row r="27" spans="3:6" ht="15" customHeight="1" x14ac:dyDescent="0.45">
      <c r="E27" s="7">
        <v>1600000000</v>
      </c>
      <c r="F27" s="6">
        <f>_xll.MC_NodeValue(_MC_Calc_1,"T_coker_ws")</f>
        <v>800000000</v>
      </c>
    </row>
    <row r="28" spans="3:6" ht="15" customHeight="1" x14ac:dyDescent="0.45">
      <c r="C28" s="4" t="str">
        <f>_xll.MC_NodeDecision(_MC_Calc_1,"C_coker_margin")</f>
        <v>optimal</v>
      </c>
      <c r="D28" s="2" t="s">
        <v>2</v>
      </c>
    </row>
    <row r="29" spans="3:6" ht="15" customHeight="1" x14ac:dyDescent="0.45">
      <c r="C29" s="7">
        <f>-FullCokerAddition800mCost</f>
        <v>-800000000</v>
      </c>
      <c r="D29" s="6">
        <f>_xll.MC_NodeValue(_MC_Calc_1,"C_coker_margin")</f>
        <v>795625000</v>
      </c>
    </row>
    <row r="30" spans="3:6" ht="15" customHeight="1" x14ac:dyDescent="0.45">
      <c r="E30" s="5">
        <v>0.35</v>
      </c>
      <c r="F30" s="1">
        <f>_xll.MC_NodeProbability(_MC_Calc_1,"T_coker_nl")</f>
        <v>0.1575</v>
      </c>
    </row>
    <row r="31" spans="3:6" ht="15" customHeight="1" x14ac:dyDescent="0.45">
      <c r="E31" s="7">
        <v>2100000000</v>
      </c>
      <c r="F31" s="6">
        <f>_xll.MC_NodeValue(_MC_Calc_1,"T_coker_nl")</f>
        <v>1300000000</v>
      </c>
    </row>
    <row r="32" spans="3:6" ht="15" customHeight="1" x14ac:dyDescent="0.45">
      <c r="D32" s="5">
        <v>0.45</v>
      </c>
      <c r="E32" s="2" t="s">
        <v>3</v>
      </c>
    </row>
    <row r="33" spans="3:6" ht="15" customHeight="1" x14ac:dyDescent="0.45">
      <c r="D33" s="7">
        <v>0</v>
      </c>
      <c r="E33" s="6">
        <f>_xll.MC_NodeValue(_MC_Calc_1,"C_coker_diff_normal")</f>
        <v>760000000</v>
      </c>
    </row>
    <row r="34" spans="3:6" ht="15" customHeight="1" x14ac:dyDescent="0.45">
      <c r="E34" s="5">
        <v>0.4</v>
      </c>
      <c r="F34" s="1">
        <f>_xll.MC_NodeProbability(_MC_Calc_1,"T_coker_nm")</f>
        <v>0.18000000000000002</v>
      </c>
    </row>
    <row r="35" spans="3:6" ht="15" customHeight="1" x14ac:dyDescent="0.45">
      <c r="E35" s="7">
        <v>1500000000</v>
      </c>
      <c r="F35" s="6">
        <f>_xll.MC_NodeValue(_MC_Calc_1,"T_coker_nm")</f>
        <v>700000000</v>
      </c>
    </row>
    <row r="36" spans="3:6" ht="15" customHeight="1" x14ac:dyDescent="0.45">
      <c r="E36" s="5">
        <v>0.25</v>
      </c>
      <c r="F36" s="1">
        <f>_xll.MC_NodeProbability(_MC_Calc_1,"T_coker_ns")</f>
        <v>0.1125</v>
      </c>
    </row>
    <row r="37" spans="3:6" ht="15" customHeight="1" x14ac:dyDescent="0.45">
      <c r="E37" s="7">
        <v>900000000</v>
      </c>
      <c r="F37" s="6">
        <f>_xll.MC_NodeValue(_MC_Calc_1,"T_coker_ns")</f>
        <v>100000000</v>
      </c>
    </row>
    <row r="38" spans="3:6" ht="15" customHeight="1" x14ac:dyDescent="0.45">
      <c r="E38" s="5">
        <v>0.35</v>
      </c>
      <c r="F38" s="1">
        <f>_xll.MC_NodeProbability(_MC_Calc_1,"T_coker_rl")</f>
        <v>8.7499999999999994E-2</v>
      </c>
    </row>
    <row r="39" spans="3:6" ht="15" customHeight="1" x14ac:dyDescent="0.45">
      <c r="E39" s="7">
        <v>1300000000</v>
      </c>
      <c r="F39" s="6">
        <f>_xll.MC_NodeValue(_MC_Calc_1,"T_coker_rl")</f>
        <v>500000000</v>
      </c>
    </row>
    <row r="40" spans="3:6" ht="15" customHeight="1" x14ac:dyDescent="0.45">
      <c r="D40" s="5">
        <v>0.25</v>
      </c>
      <c r="E40" s="2" t="s">
        <v>4</v>
      </c>
    </row>
    <row r="41" spans="3:6" ht="15" customHeight="1" x14ac:dyDescent="0.45">
      <c r="D41" s="7">
        <v>0</v>
      </c>
      <c r="E41" s="6">
        <f>_xll.MC_NodeValue(_MC_Calc_1,"C_coker_diff_narrow")</f>
        <v>62500000</v>
      </c>
    </row>
    <row r="42" spans="3:6" ht="15" customHeight="1" x14ac:dyDescent="0.45">
      <c r="E42" s="5">
        <v>0.4</v>
      </c>
      <c r="F42" s="1">
        <f>_xll.MC_NodeProbability(_MC_Calc_1,"T_coker_rm")</f>
        <v>0.1</v>
      </c>
    </row>
    <row r="43" spans="3:6" ht="15" customHeight="1" x14ac:dyDescent="0.45">
      <c r="E43" s="7">
        <v>800000000</v>
      </c>
      <c r="F43" s="6">
        <f>_xll.MC_NodeValue(_MC_Calc_1,"T_coker_rm")</f>
        <v>0</v>
      </c>
    </row>
    <row r="44" spans="3:6" ht="15" customHeight="1" x14ac:dyDescent="0.45">
      <c r="E44" s="5">
        <v>0.25</v>
      </c>
      <c r="F44" s="1">
        <f>_xll.MC_NodeProbability(_MC_Calc_1,"T_coker_rs")</f>
        <v>6.25E-2</v>
      </c>
    </row>
    <row r="45" spans="3:6" ht="15" customHeight="1" x14ac:dyDescent="0.45">
      <c r="E45" s="7">
        <v>350000000</v>
      </c>
      <c r="F45" s="6">
        <f>_xll.MC_NodeValue(_MC_Calc_1,"T_coker_rs")</f>
        <v>-450000000</v>
      </c>
    </row>
    <row r="46" spans="3:6" ht="15" customHeight="1" x14ac:dyDescent="0.45">
      <c r="C46" s="3" t="s">
        <v>5</v>
      </c>
    </row>
    <row r="47" spans="3:6" ht="15" customHeight="1" x14ac:dyDescent="0.45">
      <c r="C47" s="6">
        <f>_xll.MC_NodeValue(_MC_Calc_1,"D_root")</f>
        <v>795625000</v>
      </c>
    </row>
    <row r="48" spans="3:6" ht="15" customHeight="1" x14ac:dyDescent="0.45">
      <c r="E48" s="5">
        <v>0.3</v>
      </c>
      <c r="F48" s="1">
        <f>_xll.MC_NodeProbability(_MC_Calc_1,"T_hydro_ws")</f>
        <v>0.09</v>
      </c>
    </row>
    <row r="49" spans="3:6" ht="15" customHeight="1" x14ac:dyDescent="0.45">
      <c r="E49" s="7">
        <v>1400000000</v>
      </c>
      <c r="F49" s="6">
        <f>_xll.MC_NodeValue(_MC_Calc_1,"T_hydro_ws")</f>
        <v>1100000000</v>
      </c>
    </row>
    <row r="50" spans="3:6" ht="15" customHeight="1" x14ac:dyDescent="0.45">
      <c r="D50" s="5">
        <v>0.3</v>
      </c>
      <c r="E50" s="2" t="s">
        <v>6</v>
      </c>
    </row>
    <row r="51" spans="3:6" ht="15" customHeight="1" x14ac:dyDescent="0.45">
      <c r="D51" s="7">
        <v>0</v>
      </c>
      <c r="E51" s="6">
        <f>_xll.MC_NodeValue(_MC_Calc_1,"C_hydro_reg_wide")</f>
        <v>922500000</v>
      </c>
    </row>
    <row r="52" spans="3:6" ht="15" customHeight="1" x14ac:dyDescent="0.45">
      <c r="E52" s="5">
        <v>0.45</v>
      </c>
      <c r="F52" s="1">
        <f>_xll.MC_NodeProbability(_MC_Calc_1,"T_hydro_wm")</f>
        <v>0.13500000000000001</v>
      </c>
    </row>
    <row r="53" spans="3:6" ht="15" customHeight="1" x14ac:dyDescent="0.45">
      <c r="E53" s="7">
        <v>1200000000</v>
      </c>
      <c r="F53" s="6">
        <f>_xll.MC_NodeValue(_MC_Calc_1,"T_hydro_wm")</f>
        <v>900000000</v>
      </c>
    </row>
    <row r="54" spans="3:6" ht="15" customHeight="1" x14ac:dyDescent="0.45">
      <c r="E54" s="5">
        <v>0.25</v>
      </c>
      <c r="F54" s="1">
        <f>_xll.MC_NodeProbability(_MC_Calc_1,"T_hydro_wq")</f>
        <v>7.4999999999999997E-2</v>
      </c>
    </row>
    <row r="55" spans="3:6" ht="15" customHeight="1" x14ac:dyDescent="0.45">
      <c r="E55" s="7">
        <v>1050000000</v>
      </c>
      <c r="F55" s="6">
        <f>_xll.MC_NodeValue(_MC_Calc_1,"T_hydro_wq")</f>
        <v>750000000</v>
      </c>
    </row>
    <row r="56" spans="3:6" ht="15" customHeight="1" x14ac:dyDescent="0.45">
      <c r="C56" s="4" t="str">
        <f>_xll.MC_NodeDecision(_MC_Calc_1,"C_hydro_margin")</f>
        <v/>
      </c>
      <c r="D56" s="2" t="s">
        <v>7</v>
      </c>
    </row>
    <row r="57" spans="3:6" ht="15" customHeight="1" x14ac:dyDescent="0.45">
      <c r="C57" s="7">
        <f>-HydrotreaterUpgrade300mCost</f>
        <v>-300000000</v>
      </c>
      <c r="D57" s="6">
        <f>_xll.MC_NodeValue(_MC_Calc_1,"C_hydro_margin")</f>
        <v>546125000</v>
      </c>
    </row>
    <row r="58" spans="3:6" ht="15" customHeight="1" x14ac:dyDescent="0.45">
      <c r="E58" s="5">
        <v>0.3</v>
      </c>
      <c r="F58" s="1">
        <f>_xll.MC_NodeProbability(_MC_Calc_1,"T_hydro_ns")</f>
        <v>0.13500000000000001</v>
      </c>
    </row>
    <row r="59" spans="3:6" ht="15" customHeight="1" x14ac:dyDescent="0.45">
      <c r="E59" s="7">
        <v>950000000</v>
      </c>
      <c r="F59" s="6">
        <f>_xll.MC_NodeValue(_MC_Calc_1,"T_hydro_ns")</f>
        <v>650000000</v>
      </c>
    </row>
    <row r="60" spans="3:6" ht="15" customHeight="1" x14ac:dyDescent="0.45">
      <c r="D60" s="5">
        <v>0.45</v>
      </c>
      <c r="E60" s="2" t="s">
        <v>8</v>
      </c>
    </row>
    <row r="61" spans="3:6" ht="15" customHeight="1" x14ac:dyDescent="0.45">
      <c r="D61" s="7">
        <v>0</v>
      </c>
      <c r="E61" s="6">
        <f>_xll.MC_NodeValue(_MC_Calc_1,"C_hydro_reg_normal")</f>
        <v>520000000</v>
      </c>
    </row>
    <row r="62" spans="3:6" ht="15" customHeight="1" x14ac:dyDescent="0.45">
      <c r="E62" s="5">
        <v>0.45</v>
      </c>
      <c r="F62" s="1">
        <f>_xll.MC_NodeProbability(_MC_Calc_1,"T_hydro_nm")</f>
        <v>0.20250000000000001</v>
      </c>
    </row>
    <row r="63" spans="3:6" ht="15" customHeight="1" x14ac:dyDescent="0.45">
      <c r="E63" s="7">
        <v>800000000</v>
      </c>
      <c r="F63" s="6">
        <f>_xll.MC_NodeValue(_MC_Calc_1,"T_hydro_nm")</f>
        <v>500000000</v>
      </c>
    </row>
    <row r="64" spans="3:6" ht="15" customHeight="1" x14ac:dyDescent="0.45">
      <c r="E64" s="5">
        <v>0.25</v>
      </c>
      <c r="F64" s="1">
        <f>_xll.MC_NodeProbability(_MC_Calc_1,"T_hydro_nq")</f>
        <v>0.1125</v>
      </c>
    </row>
    <row r="65" spans="4:6" ht="15" customHeight="1" x14ac:dyDescent="0.45">
      <c r="E65" s="7">
        <v>700000000</v>
      </c>
      <c r="F65" s="6">
        <f>_xll.MC_NodeValue(_MC_Calc_1,"T_hydro_nq")</f>
        <v>400000000</v>
      </c>
    </row>
    <row r="66" spans="4:6" ht="15" customHeight="1" x14ac:dyDescent="0.45">
      <c r="E66" s="5">
        <v>0.3</v>
      </c>
      <c r="F66" s="1">
        <f>_xll.MC_NodeProbability(_MC_Calc_1,"T_hydro_rs")</f>
        <v>7.4999999999999997E-2</v>
      </c>
    </row>
    <row r="67" spans="4:6" ht="15" customHeight="1" x14ac:dyDescent="0.45">
      <c r="E67" s="7">
        <v>550000000</v>
      </c>
      <c r="F67" s="6">
        <f>_xll.MC_NodeValue(_MC_Calc_1,"T_hydro_rs")</f>
        <v>250000000</v>
      </c>
    </row>
    <row r="68" spans="4:6" ht="15" customHeight="1" x14ac:dyDescent="0.45">
      <c r="D68" s="5">
        <v>0.25</v>
      </c>
      <c r="E68" s="2" t="s">
        <v>9</v>
      </c>
    </row>
    <row r="69" spans="4:6" ht="15" customHeight="1" x14ac:dyDescent="0.45">
      <c r="D69" s="7">
        <v>0</v>
      </c>
      <c r="E69" s="6">
        <f>_xll.MC_NodeValue(_MC_Calc_1,"C_hydro_reg_narrow")</f>
        <v>141500000</v>
      </c>
    </row>
    <row r="70" spans="4:6" ht="15" customHeight="1" x14ac:dyDescent="0.45">
      <c r="E70" s="5">
        <v>0.45</v>
      </c>
      <c r="F70" s="1">
        <f>_xll.MC_NodeProbability(_MC_Calc_1,"T_hydro_rm")</f>
        <v>0.1125</v>
      </c>
    </row>
    <row r="71" spans="4:6" ht="15" customHeight="1" x14ac:dyDescent="0.45">
      <c r="E71" s="7">
        <v>420000000</v>
      </c>
      <c r="F71" s="6">
        <f>_xll.MC_NodeValue(_MC_Calc_1,"T_hydro_rm")</f>
        <v>120000000</v>
      </c>
    </row>
    <row r="72" spans="4:6" ht="15" customHeight="1" x14ac:dyDescent="0.45">
      <c r="E72" s="5">
        <v>0.25</v>
      </c>
      <c r="F72" s="1">
        <f>_xll.MC_NodeProbability(_MC_Calc_1,"T_hydro_rq")</f>
        <v>6.25E-2</v>
      </c>
    </row>
    <row r="73" spans="4:6" ht="15" customHeight="1" x14ac:dyDescent="0.45">
      <c r="E73" s="7">
        <v>350000000</v>
      </c>
      <c r="F73" s="6">
        <f>_xll.MC_NodeValue(_MC_Calc_1,"T_hydro_rq")</f>
        <v>50000000</v>
      </c>
    </row>
    <row r="74" spans="4:6" ht="15" customHeight="1" x14ac:dyDescent="0.45">
      <c r="E74" s="5">
        <v>0.4</v>
      </c>
      <c r="F74" s="1">
        <f>_xll.MC_NodeProbability(_MC_Calc_1,"T_bio_ss")</f>
        <v>0.1</v>
      </c>
    </row>
    <row r="75" spans="4:6" ht="15" customHeight="1" x14ac:dyDescent="0.45">
      <c r="E75" s="7">
        <v>2200000000</v>
      </c>
      <c r="F75" s="6">
        <f>_xll.MC_NodeValue(_MC_Calc_1,"T_bio_ss")</f>
        <v>1700000000</v>
      </c>
    </row>
    <row r="76" spans="4:6" ht="15" customHeight="1" x14ac:dyDescent="0.45">
      <c r="D76" s="5">
        <v>0.25</v>
      </c>
      <c r="E76" s="2" t="s">
        <v>10</v>
      </c>
    </row>
    <row r="77" spans="4:6" ht="15" customHeight="1" x14ac:dyDescent="0.45">
      <c r="D77" s="7">
        <v>0</v>
      </c>
      <c r="E77" s="6">
        <f>_xll.MC_NodeValue(_MC_Calc_1,"C_bio_reg_strong")</f>
        <v>1275000000</v>
      </c>
    </row>
    <row r="78" spans="4:6" ht="15" customHeight="1" x14ac:dyDescent="0.45">
      <c r="E78" s="5">
        <v>0.35</v>
      </c>
      <c r="F78" s="1">
        <f>_xll.MC_NodeProbability(_MC_Calc_1,"T_bio_sm")</f>
        <v>8.7499999999999994E-2</v>
      </c>
    </row>
    <row r="79" spans="4:6" ht="15" customHeight="1" x14ac:dyDescent="0.45">
      <c r="E79" s="7">
        <v>1700000000</v>
      </c>
      <c r="F79" s="6">
        <f>_xll.MC_NodeValue(_MC_Calc_1,"T_bio_sm")</f>
        <v>1200000000</v>
      </c>
    </row>
    <row r="80" spans="4:6" ht="15" customHeight="1" x14ac:dyDescent="0.45">
      <c r="E80" s="5">
        <v>0.25</v>
      </c>
      <c r="F80" s="1">
        <f>_xll.MC_NodeProbability(_MC_Calc_1,"T_bio_sw")</f>
        <v>6.25E-2</v>
      </c>
    </row>
    <row r="81" spans="3:6" ht="15" customHeight="1" x14ac:dyDescent="0.45">
      <c r="E81" s="7">
        <v>1200000000</v>
      </c>
      <c r="F81" s="6">
        <f>_xll.MC_NodeValue(_MC_Calc_1,"T_bio_sw")</f>
        <v>700000000</v>
      </c>
    </row>
    <row r="82" spans="3:6" ht="15" customHeight="1" x14ac:dyDescent="0.45">
      <c r="C82" s="4" t="str">
        <f>_xll.MC_NodeDecision(_MC_Calc_1,"C_bio_demand")</f>
        <v/>
      </c>
      <c r="D82" s="2" t="s">
        <v>11</v>
      </c>
    </row>
    <row r="83" spans="3:6" ht="15" customHeight="1" x14ac:dyDescent="0.45">
      <c r="C83" s="7">
        <f>-ConvertToBiofuels500mCost</f>
        <v>-500000000</v>
      </c>
      <c r="D83" s="6">
        <f>_xll.MC_NodeValue(_MC_Calc_1,"C_bio_demand")</f>
        <v>584625000</v>
      </c>
    </row>
    <row r="84" spans="3:6" ht="15" customHeight="1" x14ac:dyDescent="0.45">
      <c r="E84" s="5">
        <v>0.4</v>
      </c>
      <c r="F84" s="1">
        <f>_xll.MC_NodeProbability(_MC_Calc_1,"T_bio_ms")</f>
        <v>0.18000000000000002</v>
      </c>
    </row>
    <row r="85" spans="3:6" ht="15" customHeight="1" x14ac:dyDescent="0.45">
      <c r="E85" s="7">
        <v>1400000000</v>
      </c>
      <c r="F85" s="6">
        <f>_xll.MC_NodeValue(_MC_Calc_1,"T_bio_ms")</f>
        <v>900000000</v>
      </c>
    </row>
    <row r="86" spans="3:6" ht="15" customHeight="1" x14ac:dyDescent="0.45">
      <c r="D86" s="5">
        <v>0.45</v>
      </c>
      <c r="E86" s="2" t="s">
        <v>12</v>
      </c>
    </row>
    <row r="87" spans="3:6" ht="15" customHeight="1" x14ac:dyDescent="0.45">
      <c r="D87" s="7">
        <v>0</v>
      </c>
      <c r="E87" s="6">
        <f>_xll.MC_NodeValue(_MC_Calc_1,"C_bio_reg_moderate")</f>
        <v>572500000</v>
      </c>
    </row>
    <row r="88" spans="3:6" ht="15" customHeight="1" x14ac:dyDescent="0.45">
      <c r="E88" s="5">
        <v>0.35</v>
      </c>
      <c r="F88" s="1">
        <f>_xll.MC_NodeProbability(_MC_Calc_1,"T_bio_mm")</f>
        <v>0.1575</v>
      </c>
    </row>
    <row r="89" spans="3:6" ht="15" customHeight="1" x14ac:dyDescent="0.45">
      <c r="E89" s="7">
        <v>1000000000</v>
      </c>
      <c r="F89" s="6">
        <f>_xll.MC_NodeValue(_MC_Calc_1,"T_bio_mm")</f>
        <v>500000000</v>
      </c>
    </row>
    <row r="90" spans="3:6" ht="15" customHeight="1" x14ac:dyDescent="0.45">
      <c r="E90" s="5">
        <v>0.25</v>
      </c>
      <c r="F90" s="1">
        <f>_xll.MC_NodeProbability(_MC_Calc_1,"T_bio_mw")</f>
        <v>0.1125</v>
      </c>
    </row>
    <row r="91" spans="3:6" ht="15" customHeight="1" x14ac:dyDescent="0.45">
      <c r="E91" s="7">
        <v>650000000</v>
      </c>
      <c r="F91" s="6">
        <f>_xll.MC_NodeValue(_MC_Calc_1,"T_bio_mw")</f>
        <v>150000000</v>
      </c>
    </row>
    <row r="92" spans="3:6" ht="15" customHeight="1" x14ac:dyDescent="0.45">
      <c r="E92" s="5">
        <v>0.4</v>
      </c>
      <c r="F92" s="1">
        <f>_xll.MC_NodeProbability(_MC_Calc_1,"T_bio_ws")</f>
        <v>0.12</v>
      </c>
    </row>
    <row r="93" spans="3:6" ht="15" customHeight="1" x14ac:dyDescent="0.45">
      <c r="E93" s="7">
        <v>800000000</v>
      </c>
      <c r="F93" s="6">
        <f>_xll.MC_NodeValue(_MC_Calc_1,"T_bio_ws")</f>
        <v>300000000</v>
      </c>
    </row>
    <row r="94" spans="3:6" ht="15" customHeight="1" x14ac:dyDescent="0.45">
      <c r="D94" s="5">
        <v>0.3</v>
      </c>
      <c r="E94" s="2" t="s">
        <v>13</v>
      </c>
    </row>
    <row r="95" spans="3:6" ht="15" customHeight="1" x14ac:dyDescent="0.45">
      <c r="D95" s="7">
        <v>0</v>
      </c>
      <c r="E95" s="6">
        <f>_xll.MC_NodeValue(_MC_Calc_1,"C_bio_reg_weak")</f>
        <v>27500000</v>
      </c>
    </row>
    <row r="96" spans="3:6" ht="15" customHeight="1" x14ac:dyDescent="0.45">
      <c r="E96" s="5">
        <v>0.35</v>
      </c>
      <c r="F96" s="1">
        <f>_xll.MC_NodeProbability(_MC_Calc_1,"T_bio_wm")</f>
        <v>0.105</v>
      </c>
    </row>
    <row r="97" spans="3:6" ht="15" customHeight="1" x14ac:dyDescent="0.45">
      <c r="E97" s="7">
        <v>450000000</v>
      </c>
      <c r="F97" s="6">
        <f>_xll.MC_NodeValue(_MC_Calc_1,"T_bio_wm")</f>
        <v>-50000000</v>
      </c>
    </row>
    <row r="98" spans="3:6" ht="15" customHeight="1" x14ac:dyDescent="0.45">
      <c r="E98" s="5">
        <v>0.25</v>
      </c>
      <c r="F98" s="1">
        <f>_xll.MC_NodeProbability(_MC_Calc_1,"T_bio_ww")</f>
        <v>7.4999999999999997E-2</v>
      </c>
    </row>
    <row r="99" spans="3:6" ht="15" customHeight="1" x14ac:dyDescent="0.45">
      <c r="E99" s="7">
        <v>200000000</v>
      </c>
      <c r="F99" s="6">
        <f>_xll.MC_NodeValue(_MC_Calc_1,"T_bio_ww")</f>
        <v>-300000000</v>
      </c>
    </row>
    <row r="100" spans="3:6" ht="15" customHeight="1" x14ac:dyDescent="0.45">
      <c r="D100" s="5">
        <v>0.3</v>
      </c>
      <c r="E100" s="1">
        <f>_xll.MC_NodeProbability(_MC_Calc_1,"T_sell_high")</f>
        <v>0.3</v>
      </c>
    </row>
    <row r="101" spans="3:6" ht="15" customHeight="1" x14ac:dyDescent="0.45">
      <c r="D101" s="7">
        <v>600000000</v>
      </c>
      <c r="E101" s="6">
        <f>_xll.MC_NodeValue(_MC_Calc_1,"T_sell_high")</f>
        <v>600000000</v>
      </c>
    </row>
    <row r="102" spans="3:6" ht="15" customHeight="1" x14ac:dyDescent="0.45">
      <c r="C102" s="4" t="str">
        <f>_xll.MC_NodeDecision(_MC_Calc_1,"C_sell_market")</f>
        <v/>
      </c>
      <c r="D102" s="2" t="s">
        <v>14</v>
      </c>
    </row>
    <row r="103" spans="3:6" ht="15" customHeight="1" x14ac:dyDescent="0.45">
      <c r="C103" s="7">
        <v>0</v>
      </c>
      <c r="D103" s="6">
        <f>_xll.MC_NodeValue(_MC_Calc_1,"C_sell_market")</f>
        <v>415000000</v>
      </c>
    </row>
    <row r="104" spans="3:6" ht="15" customHeight="1" x14ac:dyDescent="0.45">
      <c r="D104" s="5">
        <v>0.4</v>
      </c>
      <c r="E104" s="1">
        <f>_xll.MC_NodeProbability(_MC_Calc_1,"T_sell_mid")</f>
        <v>0.4</v>
      </c>
    </row>
    <row r="105" spans="3:6" ht="15" customHeight="1" x14ac:dyDescent="0.45">
      <c r="D105" s="7">
        <v>400000000</v>
      </c>
      <c r="E105" s="6">
        <f>_xll.MC_NodeValue(_MC_Calc_1,"T_sell_mid")</f>
        <v>400000000</v>
      </c>
    </row>
    <row r="106" spans="3:6" ht="15" customHeight="1" x14ac:dyDescent="0.45">
      <c r="D106" s="5">
        <v>0.3</v>
      </c>
      <c r="E106" s="1">
        <f>_xll.MC_NodeProbability(_MC_Calc_1,"T_sell_low")</f>
        <v>0.3</v>
      </c>
    </row>
    <row r="107" spans="3:6" ht="15" customHeight="1" x14ac:dyDescent="0.45">
      <c r="D107" s="7">
        <v>250000000</v>
      </c>
      <c r="E107" s="6">
        <f>_xll.MC_NodeValue(_MC_Calc_1,"T_sell_low")</f>
        <v>250000000</v>
      </c>
    </row>
    <row r="108" spans="3:6" ht="15" customHeight="1" x14ac:dyDescent="0.45"/>
    <row r="109" spans="3:6" ht="15" customHeight="1" x14ac:dyDescent="0.45"/>
    <row r="110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178</vt:i4>
      </vt:variant>
    </vt:vector>
  </HeadingPairs>
  <TitlesOfParts>
    <vt:vector size="180" baseType="lpstr">
      <vt:lpstr>Problem</vt:lpstr>
      <vt:lpstr>MC_Tree_1</vt:lpstr>
      <vt:lpstr>_MC_Calc_1</vt:lpstr>
      <vt:lpstr>ConvertToBiofuels500mCost</vt:lpstr>
      <vt:lpstr>FullCokerAddition800mCost</vt:lpstr>
      <vt:lpstr>HydrotreaterUpgrade300mCost</vt:lpstr>
      <vt:lpstr>MC_Tree_1!MC_BD_D_root_C_bio_demand</vt:lpstr>
      <vt:lpstr>MC_Tree_1!MC_BD_D_root_C_coker_margin</vt:lpstr>
      <vt:lpstr>MC_Tree_1!MC_BD_D_root_C_hydro_margin</vt:lpstr>
      <vt:lpstr>MC_Tree_1!MC_BD_D_root_C_sell_market</vt:lpstr>
      <vt:lpstr>MC_Tree_1!MC_BP_C_bio_demand_C_bio_reg_moderate</vt:lpstr>
      <vt:lpstr>MC_Tree_1!MC_BP_C_bio_demand_C_bio_reg_strong</vt:lpstr>
      <vt:lpstr>MC_Tree_1!MC_BP_C_bio_demand_C_bio_reg_weak</vt:lpstr>
      <vt:lpstr>MC_Tree_1!MC_BP_C_bio_reg_moderate_T_bio_mm</vt:lpstr>
      <vt:lpstr>MC_Tree_1!MC_BP_C_bio_reg_moderate_T_bio_ms</vt:lpstr>
      <vt:lpstr>MC_Tree_1!MC_BP_C_bio_reg_moderate_T_bio_mw</vt:lpstr>
      <vt:lpstr>MC_Tree_1!MC_BP_C_bio_reg_strong_T_bio_sm</vt:lpstr>
      <vt:lpstr>MC_Tree_1!MC_BP_C_bio_reg_strong_T_bio_ss</vt:lpstr>
      <vt:lpstr>MC_Tree_1!MC_BP_C_bio_reg_strong_T_bio_sw</vt:lpstr>
      <vt:lpstr>MC_Tree_1!MC_BP_C_bio_reg_weak_T_bio_wm</vt:lpstr>
      <vt:lpstr>MC_Tree_1!MC_BP_C_bio_reg_weak_T_bio_ws</vt:lpstr>
      <vt:lpstr>MC_Tree_1!MC_BP_C_bio_reg_weak_T_bio_ww</vt:lpstr>
      <vt:lpstr>MC_Tree_1!MC_BP_C_coker_diff_narrow_T_coker_rl</vt:lpstr>
      <vt:lpstr>MC_Tree_1!MC_BP_C_coker_diff_narrow_T_coker_rm</vt:lpstr>
      <vt:lpstr>MC_Tree_1!MC_BP_C_coker_diff_narrow_T_coker_rs</vt:lpstr>
      <vt:lpstr>MC_Tree_1!MC_BP_C_coker_diff_normal_T_coker_nl</vt:lpstr>
      <vt:lpstr>MC_Tree_1!MC_BP_C_coker_diff_normal_T_coker_nm</vt:lpstr>
      <vt:lpstr>MC_Tree_1!MC_BP_C_coker_diff_normal_T_coker_ns</vt:lpstr>
      <vt:lpstr>MC_Tree_1!MC_BP_C_coker_diff_wide_T_coker_wl</vt:lpstr>
      <vt:lpstr>MC_Tree_1!MC_BP_C_coker_diff_wide_T_coker_wm</vt:lpstr>
      <vt:lpstr>MC_Tree_1!MC_BP_C_coker_diff_wide_T_coker_ws</vt:lpstr>
      <vt:lpstr>MC_Tree_1!MC_BP_C_coker_margin_C_coker_diff_narrow</vt:lpstr>
      <vt:lpstr>MC_Tree_1!MC_BP_C_coker_margin_C_coker_diff_normal</vt:lpstr>
      <vt:lpstr>MC_Tree_1!MC_BP_C_coker_margin_C_coker_diff_wide</vt:lpstr>
      <vt:lpstr>MC_Tree_1!MC_BP_C_hydro_margin_C_hydro_reg_narrow</vt:lpstr>
      <vt:lpstr>MC_Tree_1!MC_BP_C_hydro_margin_C_hydro_reg_normal</vt:lpstr>
      <vt:lpstr>MC_Tree_1!MC_BP_C_hydro_margin_C_hydro_reg_wide</vt:lpstr>
      <vt:lpstr>MC_Tree_1!MC_BP_C_hydro_reg_narrow_T_hydro_rm</vt:lpstr>
      <vt:lpstr>MC_Tree_1!MC_BP_C_hydro_reg_narrow_T_hydro_rq</vt:lpstr>
      <vt:lpstr>MC_Tree_1!MC_BP_C_hydro_reg_narrow_T_hydro_rs</vt:lpstr>
      <vt:lpstr>MC_Tree_1!MC_BP_C_hydro_reg_normal_T_hydro_nm</vt:lpstr>
      <vt:lpstr>MC_Tree_1!MC_BP_C_hydro_reg_normal_T_hydro_nq</vt:lpstr>
      <vt:lpstr>MC_Tree_1!MC_BP_C_hydro_reg_normal_T_hydro_ns</vt:lpstr>
      <vt:lpstr>MC_Tree_1!MC_BP_C_hydro_reg_wide_T_hydro_wm</vt:lpstr>
      <vt:lpstr>MC_Tree_1!MC_BP_C_hydro_reg_wide_T_hydro_wq</vt:lpstr>
      <vt:lpstr>MC_Tree_1!MC_BP_C_hydro_reg_wide_T_hydro_ws</vt:lpstr>
      <vt:lpstr>MC_Tree_1!MC_BP_C_sell_market_T_sell_high</vt:lpstr>
      <vt:lpstr>MC_Tree_1!MC_BP_C_sell_market_T_sell_low</vt:lpstr>
      <vt:lpstr>MC_Tree_1!MC_BP_C_sell_market_T_sell_mid</vt:lpstr>
      <vt:lpstr>MC_Tree_1!MC_BV_C_bio_demand_C_bio_reg_moderate</vt:lpstr>
      <vt:lpstr>MC_Tree_1!MC_BV_C_bio_demand_C_bio_reg_strong</vt:lpstr>
      <vt:lpstr>MC_Tree_1!MC_BV_C_bio_demand_C_bio_reg_weak</vt:lpstr>
      <vt:lpstr>MC_Tree_1!MC_BV_C_bio_reg_moderate_T_bio_mm</vt:lpstr>
      <vt:lpstr>MC_Tree_1!MC_BV_C_bio_reg_moderate_T_bio_ms</vt:lpstr>
      <vt:lpstr>MC_Tree_1!MC_BV_C_bio_reg_moderate_T_bio_mw</vt:lpstr>
      <vt:lpstr>MC_Tree_1!MC_BV_C_bio_reg_strong_T_bio_sm</vt:lpstr>
      <vt:lpstr>MC_Tree_1!MC_BV_C_bio_reg_strong_T_bio_ss</vt:lpstr>
      <vt:lpstr>MC_Tree_1!MC_BV_C_bio_reg_strong_T_bio_sw</vt:lpstr>
      <vt:lpstr>MC_Tree_1!MC_BV_C_bio_reg_weak_T_bio_wm</vt:lpstr>
      <vt:lpstr>MC_Tree_1!MC_BV_C_bio_reg_weak_T_bio_ws</vt:lpstr>
      <vt:lpstr>MC_Tree_1!MC_BV_C_bio_reg_weak_T_bio_ww</vt:lpstr>
      <vt:lpstr>MC_Tree_1!MC_BV_C_coker_diff_narrow_T_coker_rl</vt:lpstr>
      <vt:lpstr>MC_Tree_1!MC_BV_C_coker_diff_narrow_T_coker_rm</vt:lpstr>
      <vt:lpstr>MC_Tree_1!MC_BV_C_coker_diff_narrow_T_coker_rs</vt:lpstr>
      <vt:lpstr>MC_Tree_1!MC_BV_C_coker_diff_normal_T_coker_nl</vt:lpstr>
      <vt:lpstr>MC_Tree_1!MC_BV_C_coker_diff_normal_T_coker_nm</vt:lpstr>
      <vt:lpstr>MC_Tree_1!MC_BV_C_coker_diff_normal_T_coker_ns</vt:lpstr>
      <vt:lpstr>MC_Tree_1!MC_BV_C_coker_diff_wide_T_coker_wl</vt:lpstr>
      <vt:lpstr>MC_Tree_1!MC_BV_C_coker_diff_wide_T_coker_wm</vt:lpstr>
      <vt:lpstr>MC_Tree_1!MC_BV_C_coker_diff_wide_T_coker_ws</vt:lpstr>
      <vt:lpstr>MC_Tree_1!MC_BV_C_coker_margin_C_coker_diff_narrow</vt:lpstr>
      <vt:lpstr>MC_Tree_1!MC_BV_C_coker_margin_C_coker_diff_normal</vt:lpstr>
      <vt:lpstr>MC_Tree_1!MC_BV_C_coker_margin_C_coker_diff_wide</vt:lpstr>
      <vt:lpstr>MC_Tree_1!MC_BV_C_hydro_margin_C_hydro_reg_narrow</vt:lpstr>
      <vt:lpstr>MC_Tree_1!MC_BV_C_hydro_margin_C_hydro_reg_normal</vt:lpstr>
      <vt:lpstr>MC_Tree_1!MC_BV_C_hydro_margin_C_hydro_reg_wide</vt:lpstr>
      <vt:lpstr>MC_Tree_1!MC_BV_C_hydro_reg_narrow_T_hydro_rm</vt:lpstr>
      <vt:lpstr>MC_Tree_1!MC_BV_C_hydro_reg_narrow_T_hydro_rq</vt:lpstr>
      <vt:lpstr>MC_Tree_1!MC_BV_C_hydro_reg_narrow_T_hydro_rs</vt:lpstr>
      <vt:lpstr>MC_Tree_1!MC_BV_C_hydro_reg_normal_T_hydro_nm</vt:lpstr>
      <vt:lpstr>MC_Tree_1!MC_BV_C_hydro_reg_normal_T_hydro_nq</vt:lpstr>
      <vt:lpstr>MC_Tree_1!MC_BV_C_hydro_reg_normal_T_hydro_ns</vt:lpstr>
      <vt:lpstr>MC_Tree_1!MC_BV_C_hydro_reg_wide_T_hydro_wm</vt:lpstr>
      <vt:lpstr>MC_Tree_1!MC_BV_C_hydro_reg_wide_T_hydro_wq</vt:lpstr>
      <vt:lpstr>MC_Tree_1!MC_BV_C_hydro_reg_wide_T_hydro_ws</vt:lpstr>
      <vt:lpstr>MC_Tree_1!MC_BV_C_sell_market_T_sell_high</vt:lpstr>
      <vt:lpstr>MC_Tree_1!MC_BV_C_sell_market_T_sell_low</vt:lpstr>
      <vt:lpstr>MC_Tree_1!MC_BV_C_sell_market_T_sell_mid</vt:lpstr>
      <vt:lpstr>MC_Tree_1!MC_BV_D_root_C_bio_demand</vt:lpstr>
      <vt:lpstr>MC_Tree_1!MC_BV_D_root_C_coker_margin</vt:lpstr>
      <vt:lpstr>MC_Tree_1!MC_BV_D_root_C_hydro_margin</vt:lpstr>
      <vt:lpstr>MC_Tree_1!MC_BV_D_root_C_sell_market</vt:lpstr>
      <vt:lpstr>MC_Tree_1!MC_N_C_bio_demand</vt:lpstr>
      <vt:lpstr>MC_Tree_1!MC_N_C_bio_reg_moderate</vt:lpstr>
      <vt:lpstr>MC_Tree_1!MC_N_C_bio_reg_strong</vt:lpstr>
      <vt:lpstr>MC_Tree_1!MC_N_C_bio_reg_weak</vt:lpstr>
      <vt:lpstr>MC_Tree_1!MC_N_C_coker_diff_narrow</vt:lpstr>
      <vt:lpstr>MC_Tree_1!MC_N_C_coker_diff_normal</vt:lpstr>
      <vt:lpstr>MC_Tree_1!MC_N_C_coker_diff_wide</vt:lpstr>
      <vt:lpstr>MC_Tree_1!MC_N_C_coker_margin</vt:lpstr>
      <vt:lpstr>MC_Tree_1!MC_N_C_hydro_margin</vt:lpstr>
      <vt:lpstr>MC_Tree_1!MC_N_C_hydro_reg_narrow</vt:lpstr>
      <vt:lpstr>MC_Tree_1!MC_N_C_hydro_reg_normal</vt:lpstr>
      <vt:lpstr>MC_Tree_1!MC_N_C_hydro_reg_wide</vt:lpstr>
      <vt:lpstr>MC_Tree_1!MC_N_C_sell_market</vt:lpstr>
      <vt:lpstr>MC_Tree_1!MC_N_D_root</vt:lpstr>
      <vt:lpstr>MC_Tree_1!MC_NP_T_bio_mm</vt:lpstr>
      <vt:lpstr>MC_Tree_1!MC_NP_T_bio_ms</vt:lpstr>
      <vt:lpstr>MC_Tree_1!MC_NP_T_bio_mw</vt:lpstr>
      <vt:lpstr>MC_Tree_1!MC_NP_T_bio_sm</vt:lpstr>
      <vt:lpstr>MC_Tree_1!MC_NP_T_bio_ss</vt:lpstr>
      <vt:lpstr>MC_Tree_1!MC_NP_T_bio_sw</vt:lpstr>
      <vt:lpstr>MC_Tree_1!MC_NP_T_bio_wm</vt:lpstr>
      <vt:lpstr>MC_Tree_1!MC_NP_T_bio_ws</vt:lpstr>
      <vt:lpstr>MC_Tree_1!MC_NP_T_bio_ww</vt:lpstr>
      <vt:lpstr>MC_Tree_1!MC_NP_T_coker_nl</vt:lpstr>
      <vt:lpstr>MC_Tree_1!MC_NP_T_coker_nm</vt:lpstr>
      <vt:lpstr>MC_Tree_1!MC_NP_T_coker_ns</vt:lpstr>
      <vt:lpstr>MC_Tree_1!MC_NP_T_coker_rl</vt:lpstr>
      <vt:lpstr>MC_Tree_1!MC_NP_T_coker_rm</vt:lpstr>
      <vt:lpstr>MC_Tree_1!MC_NP_T_coker_rs</vt:lpstr>
      <vt:lpstr>MC_Tree_1!MC_NP_T_coker_wl</vt:lpstr>
      <vt:lpstr>MC_Tree_1!MC_NP_T_coker_wm</vt:lpstr>
      <vt:lpstr>MC_Tree_1!MC_NP_T_coker_ws</vt:lpstr>
      <vt:lpstr>MC_Tree_1!MC_NP_T_hydro_nm</vt:lpstr>
      <vt:lpstr>MC_Tree_1!MC_NP_T_hydro_nq</vt:lpstr>
      <vt:lpstr>MC_Tree_1!MC_NP_T_hydro_ns</vt:lpstr>
      <vt:lpstr>MC_Tree_1!MC_NP_T_hydro_rm</vt:lpstr>
      <vt:lpstr>MC_Tree_1!MC_NP_T_hydro_rq</vt:lpstr>
      <vt:lpstr>MC_Tree_1!MC_NP_T_hydro_rs</vt:lpstr>
      <vt:lpstr>MC_Tree_1!MC_NP_T_hydro_wm</vt:lpstr>
      <vt:lpstr>MC_Tree_1!MC_NP_T_hydro_wq</vt:lpstr>
      <vt:lpstr>MC_Tree_1!MC_NP_T_hydro_ws</vt:lpstr>
      <vt:lpstr>MC_Tree_1!MC_NP_T_sell_high</vt:lpstr>
      <vt:lpstr>MC_Tree_1!MC_NP_T_sell_low</vt:lpstr>
      <vt:lpstr>MC_Tree_1!MC_NP_T_sell_mid</vt:lpstr>
      <vt:lpstr>MC_Tree_1!MC_V_C_bio_demand</vt:lpstr>
      <vt:lpstr>MC_Tree_1!MC_V_C_bio_reg_moderate</vt:lpstr>
      <vt:lpstr>MC_Tree_1!MC_V_C_bio_reg_strong</vt:lpstr>
      <vt:lpstr>MC_Tree_1!MC_V_C_bio_reg_weak</vt:lpstr>
      <vt:lpstr>MC_Tree_1!MC_V_C_coker_diff_narrow</vt:lpstr>
      <vt:lpstr>MC_Tree_1!MC_V_C_coker_diff_normal</vt:lpstr>
      <vt:lpstr>MC_Tree_1!MC_V_C_coker_diff_wide</vt:lpstr>
      <vt:lpstr>MC_Tree_1!MC_V_C_coker_margin</vt:lpstr>
      <vt:lpstr>MC_Tree_1!MC_V_C_hydro_margin</vt:lpstr>
      <vt:lpstr>MC_Tree_1!MC_V_C_hydro_reg_narrow</vt:lpstr>
      <vt:lpstr>MC_Tree_1!MC_V_C_hydro_reg_normal</vt:lpstr>
      <vt:lpstr>MC_Tree_1!MC_V_C_hydro_reg_wide</vt:lpstr>
      <vt:lpstr>MC_Tree_1!MC_V_C_sell_market</vt:lpstr>
      <vt:lpstr>MC_Tree_1!MC_V_D_root</vt:lpstr>
      <vt:lpstr>MC_Tree_1!MC_V_T_bio_mm</vt:lpstr>
      <vt:lpstr>MC_Tree_1!MC_V_T_bio_ms</vt:lpstr>
      <vt:lpstr>MC_Tree_1!MC_V_T_bio_mw</vt:lpstr>
      <vt:lpstr>MC_Tree_1!MC_V_T_bio_sm</vt:lpstr>
      <vt:lpstr>MC_Tree_1!MC_V_T_bio_ss</vt:lpstr>
      <vt:lpstr>MC_Tree_1!MC_V_T_bio_sw</vt:lpstr>
      <vt:lpstr>MC_Tree_1!MC_V_T_bio_wm</vt:lpstr>
      <vt:lpstr>MC_Tree_1!MC_V_T_bio_ws</vt:lpstr>
      <vt:lpstr>MC_Tree_1!MC_V_T_bio_ww</vt:lpstr>
      <vt:lpstr>MC_Tree_1!MC_V_T_coker_nl</vt:lpstr>
      <vt:lpstr>MC_Tree_1!MC_V_T_coker_nm</vt:lpstr>
      <vt:lpstr>MC_Tree_1!MC_V_T_coker_ns</vt:lpstr>
      <vt:lpstr>MC_Tree_1!MC_V_T_coker_rl</vt:lpstr>
      <vt:lpstr>MC_Tree_1!MC_V_T_coker_rm</vt:lpstr>
      <vt:lpstr>MC_Tree_1!MC_V_T_coker_rs</vt:lpstr>
      <vt:lpstr>MC_Tree_1!MC_V_T_coker_wl</vt:lpstr>
      <vt:lpstr>MC_Tree_1!MC_V_T_coker_wm</vt:lpstr>
      <vt:lpstr>MC_Tree_1!MC_V_T_coker_ws</vt:lpstr>
      <vt:lpstr>MC_Tree_1!MC_V_T_hydro_nm</vt:lpstr>
      <vt:lpstr>MC_Tree_1!MC_V_T_hydro_nq</vt:lpstr>
      <vt:lpstr>MC_Tree_1!MC_V_T_hydro_ns</vt:lpstr>
      <vt:lpstr>MC_Tree_1!MC_V_T_hydro_rm</vt:lpstr>
      <vt:lpstr>MC_Tree_1!MC_V_T_hydro_rq</vt:lpstr>
      <vt:lpstr>MC_Tree_1!MC_V_T_hydro_rs</vt:lpstr>
      <vt:lpstr>MC_Tree_1!MC_V_T_hydro_wm</vt:lpstr>
      <vt:lpstr>MC_Tree_1!MC_V_T_hydro_wq</vt:lpstr>
      <vt:lpstr>MC_Tree_1!MC_V_T_hydro_ws</vt:lpstr>
      <vt:lpstr>MC_Tree_1!MC_V_T_sell_high</vt:lpstr>
      <vt:lpstr>MC_Tree_1!MC_V_T_sell_low</vt:lpstr>
      <vt:lpstr>MC_Tree_1!MC_V_T_sell_mid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2026-03-27T14:34:34Z</dcterms:created>
  <dcterms:modified xsi:type="dcterms:W3CDTF">2026-03-27T14:34:50Z</dcterms:modified>
</cp:coreProperties>
</file>