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B8353032-1D23-4549-9045-E8D9AA32D262}" xr6:coauthVersionLast="47" xr6:coauthVersionMax="47" xr10:uidLastSave="{00000000-0000-0000-0000-000000000000}"/>
  <bookViews>
    <workbookView xWindow="-98" yWindow="-98" windowWidth="21795" windowHeight="12975" firstSheet="2" activeTab="2" xr2:uid="{9CA8DF79-5ECA-491E-83C2-29D7EF03719D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_MC_Calc!$A$1:$DV$1</definedName>
    <definedName name="BuyoutAt6xMgmtRollover300mCost">MC_Tree_1!$C$7</definedName>
    <definedName name="DividendRecapValue">MC_Tree_1!$C$21</definedName>
    <definedName name="ExerciseCallOptionForControlCost">MC_Tree_1!$C$22</definedName>
    <definedName name="FullBuyoutAt8xEbitda400mCost">MC_Tree_1!$C$6</definedName>
    <definedName name="GrowthEquityMinority100mCost">MC_Tree_1!$C$8</definedName>
    <definedName name="HoldAndRestructureValue">MC_Tree_1!$C$15</definedName>
    <definedName name="IpoValue">MC_Tree_1!$C$16</definedName>
    <definedName name="MC_BD_D_exit_full_hh_C_ipo_full_hh" localSheetId="3">MC_Tree_1!$F$30</definedName>
    <definedName name="MC_BD_D_exit_full_hh_T_sec_full_hh" localSheetId="3">MC_Tree_1!$F$40</definedName>
    <definedName name="MC_BD_D_exit_full_hh_T_strat_full_hh" localSheetId="3">MC_Tree_1!$F$38</definedName>
    <definedName name="MC_BD_D_exit_full_hl_T_hold_full_hl" localSheetId="3">MC_Tree_1!$F$64</definedName>
    <definedName name="MC_BD_D_exit_full_hl_T_sec_full_hl" localSheetId="3">MC_Tree_1!$F$62</definedName>
    <definedName name="MC_BD_D_exit_full_hl_T_strat_full_hl" localSheetId="3">MC_Tree_1!$F$58</definedName>
    <definedName name="MC_BD_D_exit_full_hm_C_ipo_full_hm" localSheetId="3">MC_Tree_1!$F$46</definedName>
    <definedName name="MC_BD_D_exit_full_hm_T_sec_full_hm" localSheetId="3">MC_Tree_1!$F$56</definedName>
    <definedName name="MC_BD_D_exit_full_hm_T_strat_full_hm" localSheetId="3">MC_Tree_1!$F$54</definedName>
    <definedName name="MC_BD_D_exit_mgmt_good_T_mgmt_good_ipo" localSheetId="3">MC_Tree_1!$E$94</definedName>
    <definedName name="MC_BD_D_exit_mgmt_good_T_mgmt_good_sec" localSheetId="3">MC_Tree_1!$E$100</definedName>
    <definedName name="MC_BD_D_exit_mgmt_good_T_mgmt_good_strat" localSheetId="3">MC_Tree_1!$E$98</definedName>
    <definedName name="MC_BD_D_exit_mgmt_mod_T_mgmt_mod_recap" localSheetId="3">MC_Tree_1!$E$110</definedName>
    <definedName name="MC_BD_D_exit_mgmt_mod_T_mgmt_mod_sec" localSheetId="3">MC_Tree_1!$E$108</definedName>
    <definedName name="MC_BD_D_exit_mgmt_mod_T_mgmt_mod_strat" localSheetId="3">MC_Tree_1!$E$104</definedName>
    <definedName name="MC_BD_D_growth_high_C_call_option" localSheetId="3">MC_Tree_1!$E$122</definedName>
    <definedName name="MC_BD_D_growth_high_T_sell_growth_high" localSheetId="3">MC_Tree_1!$E$130</definedName>
    <definedName name="MC_BD_D_root_C_ops_full" localSheetId="3">MC_Tree_1!$C$66</definedName>
    <definedName name="MC_BD_D_root_C_ops_mgmt" localSheetId="3">MC_Tree_1!$C$102</definedName>
    <definedName name="MC_BD_D_root_C_revenue_growth" localSheetId="3">MC_Tree_1!$C$132</definedName>
    <definedName name="MC_BD_D_root_T_pass" localSheetId="3">MC_Tree_1!$C$138</definedName>
    <definedName name="MC_BP_C_call_option_T_call_grows" localSheetId="3">MC_Tree_1!$F$120</definedName>
    <definedName name="MC_BP_C_call_option_T_call_slows" localSheetId="3">MC_Tree_1!$F$124</definedName>
    <definedName name="MC_BP_C_call_option_T_call_stumbles" localSheetId="3">MC_Tree_1!$F$126</definedName>
    <definedName name="MC_BP_C_debt_full_mm_T_full_mm_baddebt" localSheetId="3">MC_Tree_1!$F$80</definedName>
    <definedName name="MC_BP_C_debt_full_mm_T_full_mm_gooddebt" localSheetId="3">MC_Tree_1!$F$76</definedName>
    <definedName name="MC_BP_C_debt_full_ms_T_full_ms_gooddebt" localSheetId="3">MC_Tree_1!$F$68</definedName>
    <definedName name="MC_BP_C_debt_full_ms_T_full_ms_neutdebt" localSheetId="3">MC_Tree_1!$F$72</definedName>
    <definedName name="MC_BP_C_ipo_full_hh_T_ipo_full_hh_hot" localSheetId="3">MC_Tree_1!$G$28</definedName>
    <definedName name="MC_BP_C_ipo_full_hh_T_ipo_full_hh_norm" localSheetId="3">MC_Tree_1!$G$32</definedName>
    <definedName name="MC_BP_C_ipo_full_hh_T_ipo_full_hh_weak" localSheetId="3">MC_Tree_1!$G$34</definedName>
    <definedName name="MC_BP_C_ipo_full_hm_T_ipo_full_hm_hot" localSheetId="3">MC_Tree_1!$G$44</definedName>
    <definedName name="MC_BP_C_ipo_full_hm_T_ipo_full_hm_norm" localSheetId="3">MC_Tree_1!$G$48</definedName>
    <definedName name="MC_BP_C_ipo_full_hm_T_ipo_full_hm_weak" localSheetId="3">MC_Tree_1!$G$50</definedName>
    <definedName name="MC_BP_C_mgmt_under_T_mgmt_decline" localSheetId="3">MC_Tree_1!$E$116</definedName>
    <definedName name="MC_BP_C_mgmt_under_T_mgmt_default" localSheetId="3">MC_Tree_1!$E$118</definedName>
    <definedName name="MC_BP_C_mgmt_under_T_mgmt_stab" localSheetId="3">MC_Tree_1!$E$112</definedName>
    <definedName name="MC_BP_C_ops_full_C_rev_full_high" localSheetId="3">MC_Tree_1!$D$42</definedName>
    <definedName name="MC_BP_C_ops_full_C_rev_full_low" localSheetId="3">MC_Tree_1!$D$86</definedName>
    <definedName name="MC_BP_C_ops_full_C_rev_full_med" localSheetId="3">MC_Tree_1!$D$74</definedName>
    <definedName name="MC_BP_C_ops_mgmt_C_mgmt_under" localSheetId="3">MC_Tree_1!$D$114</definedName>
    <definedName name="MC_BP_C_ops_mgmt_D_exit_mgmt_good" localSheetId="3">MC_Tree_1!$D$96</definedName>
    <definedName name="MC_BP_C_ops_mgmt_D_exit_mgmt_mod" localSheetId="3">MC_Tree_1!$D$106</definedName>
    <definedName name="MC_BP_C_rev_full_high_D_exit_full_hh" localSheetId="3">MC_Tree_1!$E$36</definedName>
    <definedName name="MC_BP_C_rev_full_high_D_exit_full_hl" localSheetId="3">MC_Tree_1!$E$60</definedName>
    <definedName name="MC_BP_C_rev_full_high_D_exit_full_hm" localSheetId="3">MC_Tree_1!$E$52</definedName>
    <definedName name="MC_BP_C_rev_full_low_T_full_low_decline" localSheetId="3">MC_Tree_1!$E$90</definedName>
    <definedName name="MC_BP_C_rev_full_low_T_full_low_flat" localSheetId="3">MC_Tree_1!$E$88</definedName>
    <definedName name="MC_BP_C_rev_full_low_T_full_low_grow" localSheetId="3">MC_Tree_1!$E$84</definedName>
    <definedName name="MC_BP_C_rev_full_med_C_debt_full_mm" localSheetId="3">MC_Tree_1!$E$78</definedName>
    <definedName name="MC_BP_C_rev_full_med_C_debt_full_ms" localSheetId="3">MC_Tree_1!$E$70</definedName>
    <definedName name="MC_BP_C_rev_full_med_T_full_med_flat" localSheetId="3">MC_Tree_1!$E$82</definedName>
    <definedName name="MC_BP_C_revenue_growth_D_growth_high" localSheetId="3">MC_Tree_1!$D$128</definedName>
    <definedName name="MC_BP_C_revenue_growth_T_growth_mod" localSheetId="3">MC_Tree_1!$D$134</definedName>
    <definedName name="MC_BP_C_revenue_growth_T_growth_stag" localSheetId="3">MC_Tree_1!$D$136</definedName>
    <definedName name="MC_BV_C_call_option_T_call_grows" localSheetId="3">MC_Tree_1!$F$121</definedName>
    <definedName name="MC_BV_C_call_option_T_call_slows" localSheetId="3">MC_Tree_1!$F$125</definedName>
    <definedName name="MC_BV_C_call_option_T_call_stumbles" localSheetId="3">MC_Tree_1!$F$127</definedName>
    <definedName name="MC_BV_C_debt_full_mm_T_full_mm_baddebt" localSheetId="3">MC_Tree_1!$F$81</definedName>
    <definedName name="MC_BV_C_debt_full_mm_T_full_mm_gooddebt" localSheetId="3">MC_Tree_1!$F$77</definedName>
    <definedName name="MC_BV_C_debt_full_ms_T_full_ms_gooddebt" localSheetId="3">MC_Tree_1!$F$69</definedName>
    <definedName name="MC_BV_C_debt_full_ms_T_full_ms_neutdebt" localSheetId="3">MC_Tree_1!$F$73</definedName>
    <definedName name="MC_BV_C_ipo_full_hh_T_ipo_full_hh_hot" localSheetId="3">MC_Tree_1!$G$29</definedName>
    <definedName name="MC_BV_C_ipo_full_hh_T_ipo_full_hh_norm" localSheetId="3">MC_Tree_1!$G$33</definedName>
    <definedName name="MC_BV_C_ipo_full_hh_T_ipo_full_hh_weak" localSheetId="3">MC_Tree_1!$G$35</definedName>
    <definedName name="MC_BV_C_ipo_full_hm_T_ipo_full_hm_hot" localSheetId="3">MC_Tree_1!$G$45</definedName>
    <definedName name="MC_BV_C_ipo_full_hm_T_ipo_full_hm_norm" localSheetId="3">MC_Tree_1!$G$49</definedName>
    <definedName name="MC_BV_C_ipo_full_hm_T_ipo_full_hm_weak" localSheetId="3">MC_Tree_1!$G$51</definedName>
    <definedName name="MC_BV_C_mgmt_under_T_mgmt_decline" localSheetId="3">MC_Tree_1!$E$117</definedName>
    <definedName name="MC_BV_C_mgmt_under_T_mgmt_default" localSheetId="3">MC_Tree_1!$E$119</definedName>
    <definedName name="MC_BV_C_mgmt_under_T_mgmt_stab" localSheetId="3">MC_Tree_1!$E$113</definedName>
    <definedName name="MC_BV_C_ops_full_C_rev_full_high" localSheetId="3">MC_Tree_1!$D$43</definedName>
    <definedName name="MC_BV_C_ops_full_C_rev_full_low" localSheetId="3">MC_Tree_1!$D$87</definedName>
    <definedName name="MC_BV_C_ops_full_C_rev_full_med" localSheetId="3">MC_Tree_1!$D$75</definedName>
    <definedName name="MC_BV_C_ops_mgmt_C_mgmt_under" localSheetId="3">MC_Tree_1!$D$115</definedName>
    <definedName name="MC_BV_C_ops_mgmt_D_exit_mgmt_good" localSheetId="3">MC_Tree_1!$D$97</definedName>
    <definedName name="MC_BV_C_ops_mgmt_D_exit_mgmt_mod" localSheetId="3">MC_Tree_1!$D$107</definedName>
    <definedName name="MC_BV_C_rev_full_high_D_exit_full_hh" localSheetId="3">MC_Tree_1!$E$37</definedName>
    <definedName name="MC_BV_C_rev_full_high_D_exit_full_hl" localSheetId="3">MC_Tree_1!$E$61</definedName>
    <definedName name="MC_BV_C_rev_full_high_D_exit_full_hm" localSheetId="3">MC_Tree_1!$E$53</definedName>
    <definedName name="MC_BV_C_rev_full_low_T_full_low_decline" localSheetId="3">MC_Tree_1!$E$91</definedName>
    <definedName name="MC_BV_C_rev_full_low_T_full_low_flat" localSheetId="3">MC_Tree_1!$E$89</definedName>
    <definedName name="MC_BV_C_rev_full_low_T_full_low_grow" localSheetId="3">MC_Tree_1!$E$85</definedName>
    <definedName name="MC_BV_C_rev_full_med_C_debt_full_mm" localSheetId="3">MC_Tree_1!$E$79</definedName>
    <definedName name="MC_BV_C_rev_full_med_C_debt_full_ms" localSheetId="3">MC_Tree_1!$E$71</definedName>
    <definedName name="MC_BV_C_rev_full_med_T_full_med_flat" localSheetId="3">MC_Tree_1!$E$83</definedName>
    <definedName name="MC_BV_C_revenue_growth_D_growth_high" localSheetId="3">MC_Tree_1!$D$129</definedName>
    <definedName name="MC_BV_C_revenue_growth_T_growth_mod" localSheetId="3">MC_Tree_1!$D$135</definedName>
    <definedName name="MC_BV_C_revenue_growth_T_growth_stag" localSheetId="3">MC_Tree_1!$D$137</definedName>
    <definedName name="MC_BV_D_exit_full_hh_C_ipo_full_hh" localSheetId="3">MC_Tree_1!$F$31</definedName>
    <definedName name="MC_BV_D_exit_full_hh_T_sec_full_hh" localSheetId="3">MC_Tree_1!$F$41</definedName>
    <definedName name="MC_BV_D_exit_full_hh_T_strat_full_hh" localSheetId="3">MC_Tree_1!$F$39</definedName>
    <definedName name="MC_BV_D_exit_full_hl_T_hold_full_hl" localSheetId="3">MC_Tree_1!$F$65</definedName>
    <definedName name="MC_BV_D_exit_full_hl_T_sec_full_hl" localSheetId="3">MC_Tree_1!$F$63</definedName>
    <definedName name="MC_BV_D_exit_full_hl_T_strat_full_hl" localSheetId="3">MC_Tree_1!$F$59</definedName>
    <definedName name="MC_BV_D_exit_full_hm_C_ipo_full_hm" localSheetId="3">MC_Tree_1!$F$47</definedName>
    <definedName name="MC_BV_D_exit_full_hm_T_sec_full_hm" localSheetId="3">MC_Tree_1!$F$57</definedName>
    <definedName name="MC_BV_D_exit_full_hm_T_strat_full_hm" localSheetId="3">MC_Tree_1!$F$55</definedName>
    <definedName name="MC_BV_D_exit_mgmt_good_T_mgmt_good_ipo" localSheetId="3">MC_Tree_1!$E$95</definedName>
    <definedName name="MC_BV_D_exit_mgmt_good_T_mgmt_good_sec" localSheetId="3">MC_Tree_1!$E$101</definedName>
    <definedName name="MC_BV_D_exit_mgmt_good_T_mgmt_good_strat" localSheetId="3">MC_Tree_1!$E$99</definedName>
    <definedName name="MC_BV_D_exit_mgmt_mod_T_mgmt_mod_recap" localSheetId="3">MC_Tree_1!$E$111</definedName>
    <definedName name="MC_BV_D_exit_mgmt_mod_T_mgmt_mod_sec" localSheetId="3">MC_Tree_1!$E$109</definedName>
    <definedName name="MC_BV_D_exit_mgmt_mod_T_mgmt_mod_strat" localSheetId="3">MC_Tree_1!$E$105</definedName>
    <definedName name="MC_BV_D_growth_high_C_call_option" localSheetId="3">MC_Tree_1!$E$123</definedName>
    <definedName name="MC_BV_D_growth_high_T_sell_growth_high" localSheetId="3">MC_Tree_1!$E$131</definedName>
    <definedName name="MC_BV_D_root_C_ops_full" localSheetId="3">MC_Tree_1!$C$67</definedName>
    <definedName name="MC_BV_D_root_C_ops_mgmt" localSheetId="3">MC_Tree_1!$C$103</definedName>
    <definedName name="MC_BV_D_root_C_revenue_growth" localSheetId="3">MC_Tree_1!$C$133</definedName>
    <definedName name="MC_BV_D_root_T_pass" localSheetId="3">MC_Tree_1!$C$139</definedName>
    <definedName name="MC_N_C_call_option" localSheetId="3">MC_Tree_1!$F$122</definedName>
    <definedName name="MC_N_C_debt_full_mm" localSheetId="3">MC_Tree_1!$F$78</definedName>
    <definedName name="MC_N_C_debt_full_ms" localSheetId="3">MC_Tree_1!$F$70</definedName>
    <definedName name="MC_N_C_ipo_full_hh" localSheetId="3">MC_Tree_1!$G$30</definedName>
    <definedName name="MC_N_C_ipo_full_hm" localSheetId="3">MC_Tree_1!$G$46</definedName>
    <definedName name="MC_N_C_mgmt_under" localSheetId="3">MC_Tree_1!$E$114</definedName>
    <definedName name="MC_N_C_ops_full" localSheetId="3">MC_Tree_1!$D$66</definedName>
    <definedName name="MC_N_C_ops_mgmt" localSheetId="3">MC_Tree_1!$D$102</definedName>
    <definedName name="MC_N_C_rev_full_high" localSheetId="3">MC_Tree_1!$E$42</definedName>
    <definedName name="MC_N_C_rev_full_low" localSheetId="3">MC_Tree_1!$E$86</definedName>
    <definedName name="MC_N_C_rev_full_med" localSheetId="3">MC_Tree_1!$E$74</definedName>
    <definedName name="MC_N_C_revenue_growth" localSheetId="3">MC_Tree_1!$D$132</definedName>
    <definedName name="MC_N_D_exit_full_hh" localSheetId="3">MC_Tree_1!$F$36</definedName>
    <definedName name="MC_N_D_exit_full_hl" localSheetId="3">MC_Tree_1!$F$60</definedName>
    <definedName name="MC_N_D_exit_full_hm" localSheetId="3">MC_Tree_1!$F$52</definedName>
    <definedName name="MC_N_D_exit_mgmt_good" localSheetId="3">MC_Tree_1!$E$96</definedName>
    <definedName name="MC_N_D_exit_mgmt_mod" localSheetId="3">MC_Tree_1!$E$106</definedName>
    <definedName name="MC_N_D_growth_high" localSheetId="3">MC_Tree_1!$E$128</definedName>
    <definedName name="MC_N_D_root" localSheetId="3">MC_Tree_1!$C$92</definedName>
    <definedName name="MC_NP_T_call_grows" localSheetId="3">MC_Tree_1!$G$120</definedName>
    <definedName name="MC_NP_T_call_slows" localSheetId="3">MC_Tree_1!$G$124</definedName>
    <definedName name="MC_NP_T_call_stumbles" localSheetId="3">MC_Tree_1!$G$126</definedName>
    <definedName name="MC_NP_T_full_low_decline" localSheetId="3">MC_Tree_1!$F$90</definedName>
    <definedName name="MC_NP_T_full_low_flat" localSheetId="3">MC_Tree_1!$F$88</definedName>
    <definedName name="MC_NP_T_full_low_grow" localSheetId="3">MC_Tree_1!$F$84</definedName>
    <definedName name="MC_NP_T_full_med_flat" localSheetId="3">MC_Tree_1!$F$82</definedName>
    <definedName name="MC_NP_T_full_mm_baddebt" localSheetId="3">MC_Tree_1!$G$80</definedName>
    <definedName name="MC_NP_T_full_mm_gooddebt" localSheetId="3">MC_Tree_1!$G$76</definedName>
    <definedName name="MC_NP_T_full_ms_gooddebt" localSheetId="3">MC_Tree_1!$G$68</definedName>
    <definedName name="MC_NP_T_full_ms_neutdebt" localSheetId="3">MC_Tree_1!$G$72</definedName>
    <definedName name="MC_NP_T_growth_mod" localSheetId="3">MC_Tree_1!$E$134</definedName>
    <definedName name="MC_NP_T_growth_stag" localSheetId="3">MC_Tree_1!$E$136</definedName>
    <definedName name="MC_NP_T_hold_full_hl" localSheetId="3">MC_Tree_1!$G$64</definedName>
    <definedName name="MC_NP_T_ipo_full_hh_hot" localSheetId="3">MC_Tree_1!$H$28</definedName>
    <definedName name="MC_NP_T_ipo_full_hh_norm" localSheetId="3">MC_Tree_1!$H$32</definedName>
    <definedName name="MC_NP_T_ipo_full_hh_weak" localSheetId="3">MC_Tree_1!$H$34</definedName>
    <definedName name="MC_NP_T_ipo_full_hm_hot" localSheetId="3">MC_Tree_1!$H$44</definedName>
    <definedName name="MC_NP_T_ipo_full_hm_norm" localSheetId="3">MC_Tree_1!$H$48</definedName>
    <definedName name="MC_NP_T_ipo_full_hm_weak" localSheetId="3">MC_Tree_1!$H$50</definedName>
    <definedName name="MC_NP_T_mgmt_decline" localSheetId="3">MC_Tree_1!$F$116</definedName>
    <definedName name="MC_NP_T_mgmt_default" localSheetId="3">MC_Tree_1!$F$118</definedName>
    <definedName name="MC_NP_T_mgmt_good_ipo" localSheetId="3">MC_Tree_1!$F$94</definedName>
    <definedName name="MC_NP_T_mgmt_good_sec" localSheetId="3">MC_Tree_1!$F$100</definedName>
    <definedName name="MC_NP_T_mgmt_good_strat" localSheetId="3">MC_Tree_1!$F$98</definedName>
    <definedName name="MC_NP_T_mgmt_mod_recap" localSheetId="3">MC_Tree_1!$F$110</definedName>
    <definedName name="MC_NP_T_mgmt_mod_sec" localSheetId="3">MC_Tree_1!$F$108</definedName>
    <definedName name="MC_NP_T_mgmt_mod_strat" localSheetId="3">MC_Tree_1!$F$104</definedName>
    <definedName name="MC_NP_T_mgmt_stab" localSheetId="3">MC_Tree_1!$F$112</definedName>
    <definedName name="MC_NP_T_pass" localSheetId="3">MC_Tree_1!$D$138</definedName>
    <definedName name="MC_NP_T_sec_full_hh" localSheetId="3">MC_Tree_1!$G$40</definedName>
    <definedName name="MC_NP_T_sec_full_hl" localSheetId="3">MC_Tree_1!$G$62</definedName>
    <definedName name="MC_NP_T_sec_full_hm" localSheetId="3">MC_Tree_1!$G$56</definedName>
    <definedName name="MC_NP_T_sell_growth_high" localSheetId="3">MC_Tree_1!$F$130</definedName>
    <definedName name="MC_NP_T_strat_full_hh" localSheetId="3">MC_Tree_1!$G$38</definedName>
    <definedName name="MC_NP_T_strat_full_hl" localSheetId="3">MC_Tree_1!$G$58</definedName>
    <definedName name="MC_NP_T_strat_full_hm" localSheetId="3">MC_Tree_1!$G$54</definedName>
    <definedName name="MC_V_C_call_option" localSheetId="3">MC_Tree_1!$F$123</definedName>
    <definedName name="MC_V_C_debt_full_mm" localSheetId="3">MC_Tree_1!$F$79</definedName>
    <definedName name="MC_V_C_debt_full_ms" localSheetId="3">MC_Tree_1!$F$71</definedName>
    <definedName name="MC_V_C_ipo_full_hh" localSheetId="3">MC_Tree_1!$G$31</definedName>
    <definedName name="MC_V_C_ipo_full_hm" localSheetId="3">MC_Tree_1!$G$47</definedName>
    <definedName name="MC_V_C_mgmt_under" localSheetId="3">MC_Tree_1!$E$115</definedName>
    <definedName name="MC_V_C_ops_full" localSheetId="3">MC_Tree_1!$D$67</definedName>
    <definedName name="MC_V_C_ops_mgmt" localSheetId="3">MC_Tree_1!$D$103</definedName>
    <definedName name="MC_V_C_rev_full_high" localSheetId="3">MC_Tree_1!$E$43</definedName>
    <definedName name="MC_V_C_rev_full_low" localSheetId="3">MC_Tree_1!$E$87</definedName>
    <definedName name="MC_V_C_rev_full_med" localSheetId="3">MC_Tree_1!$E$75</definedName>
    <definedName name="MC_V_C_revenue_growth" localSheetId="3">MC_Tree_1!$D$133</definedName>
    <definedName name="MC_V_D_exit_full_hh" localSheetId="3">MC_Tree_1!$F$37</definedName>
    <definedName name="MC_V_D_exit_full_hl" localSheetId="3">MC_Tree_1!$F$61</definedName>
    <definedName name="MC_V_D_exit_full_hm" localSheetId="3">MC_Tree_1!$F$53</definedName>
    <definedName name="MC_V_D_exit_mgmt_good" localSheetId="3">MC_Tree_1!$E$97</definedName>
    <definedName name="MC_V_D_exit_mgmt_mod" localSheetId="3">MC_Tree_1!$E$107</definedName>
    <definedName name="MC_V_D_growth_high" localSheetId="3">MC_Tree_1!$E$129</definedName>
    <definedName name="MC_V_D_root" localSheetId="3">MC_Tree_1!$C$93</definedName>
    <definedName name="MC_V_T_call_grows" localSheetId="3">MC_Tree_1!$G$121</definedName>
    <definedName name="MC_V_T_call_slows" localSheetId="3">MC_Tree_1!$G$125</definedName>
    <definedName name="MC_V_T_call_stumbles" localSheetId="3">MC_Tree_1!$G$127</definedName>
    <definedName name="MC_V_T_full_low_decline" localSheetId="3">MC_Tree_1!$F$91</definedName>
    <definedName name="MC_V_T_full_low_flat" localSheetId="3">MC_Tree_1!$F$89</definedName>
    <definedName name="MC_V_T_full_low_grow" localSheetId="3">MC_Tree_1!$F$85</definedName>
    <definedName name="MC_V_T_full_med_flat" localSheetId="3">MC_Tree_1!$F$83</definedName>
    <definedName name="MC_V_T_full_mm_baddebt" localSheetId="3">MC_Tree_1!$G$81</definedName>
    <definedName name="MC_V_T_full_mm_gooddebt" localSheetId="3">MC_Tree_1!$G$77</definedName>
    <definedName name="MC_V_T_full_ms_gooddebt" localSheetId="3">MC_Tree_1!$G$69</definedName>
    <definedName name="MC_V_T_full_ms_neutdebt" localSheetId="3">MC_Tree_1!$G$73</definedName>
    <definedName name="MC_V_T_growth_mod" localSheetId="3">MC_Tree_1!$E$135</definedName>
    <definedName name="MC_V_T_growth_stag" localSheetId="3">MC_Tree_1!$E$137</definedName>
    <definedName name="MC_V_T_hold_full_hl" localSheetId="3">MC_Tree_1!$G$65</definedName>
    <definedName name="MC_V_T_ipo_full_hh_hot" localSheetId="3">MC_Tree_1!$H$29</definedName>
    <definedName name="MC_V_T_ipo_full_hh_norm" localSheetId="3">MC_Tree_1!$H$33</definedName>
    <definedName name="MC_V_T_ipo_full_hh_weak" localSheetId="3">MC_Tree_1!$H$35</definedName>
    <definedName name="MC_V_T_ipo_full_hm_hot" localSheetId="3">MC_Tree_1!$H$45</definedName>
    <definedName name="MC_V_T_ipo_full_hm_norm" localSheetId="3">MC_Tree_1!$H$49</definedName>
    <definedName name="MC_V_T_ipo_full_hm_weak" localSheetId="3">MC_Tree_1!$H$51</definedName>
    <definedName name="MC_V_T_mgmt_decline" localSheetId="3">MC_Tree_1!$F$117</definedName>
    <definedName name="MC_V_T_mgmt_default" localSheetId="3">MC_Tree_1!$F$119</definedName>
    <definedName name="MC_V_T_mgmt_good_ipo" localSheetId="3">MC_Tree_1!$F$95</definedName>
    <definedName name="MC_V_T_mgmt_good_sec" localSheetId="3">MC_Tree_1!$F$101</definedName>
    <definedName name="MC_V_T_mgmt_good_strat" localSheetId="3">MC_Tree_1!$F$99</definedName>
    <definedName name="MC_V_T_mgmt_mod_recap" localSheetId="3">MC_Tree_1!$F$111</definedName>
    <definedName name="MC_V_T_mgmt_mod_sec" localSheetId="3">MC_Tree_1!$F$109</definedName>
    <definedName name="MC_V_T_mgmt_mod_strat" localSheetId="3">MC_Tree_1!$F$105</definedName>
    <definedName name="MC_V_T_mgmt_stab" localSheetId="3">MC_Tree_1!$F$113</definedName>
    <definedName name="MC_V_T_pass" localSheetId="3">MC_Tree_1!$D$139</definedName>
    <definedName name="MC_V_T_sec_full_hh" localSheetId="3">MC_Tree_1!$G$41</definedName>
    <definedName name="MC_V_T_sec_full_hl" localSheetId="3">MC_Tree_1!$G$63</definedName>
    <definedName name="MC_V_T_sec_full_hm" localSheetId="3">MC_Tree_1!$G$57</definedName>
    <definedName name="MC_V_T_sell_growth_high" localSheetId="3">MC_Tree_1!$F$131</definedName>
    <definedName name="MC_V_T_strat_full_hh" localSheetId="3">MC_Tree_1!$G$39</definedName>
    <definedName name="MC_V_T_strat_full_hl" localSheetId="3">MC_Tree_1!$G$59</definedName>
    <definedName name="MC_V_T_strat_full_hm" localSheetId="3">MC_Tree_1!$G$55</definedName>
    <definedName name="SecondaryBuyoutValue">MC_Tree_1!$C$10</definedName>
    <definedName name="SecondaryBuyoutValue2">MC_Tree_1!$C$12</definedName>
    <definedName name="SecondaryBuyoutValue3">MC_Tree_1!$C$14</definedName>
    <definedName name="SecondaryBuyoutValue4">MC_Tree_1!$C$18</definedName>
    <definedName name="SecondaryBuyoutValue5">MC_Tree_1!$C$20</definedName>
    <definedName name="SellStakeAtPremiumValue">MC_Tree_1!$C$23</definedName>
    <definedName name="StrategicSale">MC_Tree_1!$C$9</definedName>
    <definedName name="StrategicSale2">MC_Tree_1!$C$11</definedName>
    <definedName name="StrategicSale3">MC_Tree_1!$C$13</definedName>
    <definedName name="StrategicSale4">MC_Tree_1!$C$17</definedName>
    <definedName name="StrategicSale5">MC_Tree_1!$C$19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3" i="3" l="1"/>
  <c r="C103" i="3"/>
  <c r="C67" i="3"/>
  <c r="E131" i="3"/>
  <c r="CG1" i="4" s="1"/>
  <c r="E123" i="3"/>
  <c r="E105" i="3"/>
  <c r="E109" i="3"/>
  <c r="E111" i="3"/>
  <c r="E99" i="3"/>
  <c r="E101" i="3"/>
  <c r="E95" i="3"/>
  <c r="F55" i="3"/>
  <c r="F57" i="3"/>
  <c r="F59" i="3"/>
  <c r="BT1" i="4" s="1"/>
  <c r="F63" i="3"/>
  <c r="F65" i="3"/>
  <c r="F39" i="3"/>
  <c r="F41" i="3"/>
  <c r="CK1" i="4"/>
  <c r="CJ1" i="4"/>
  <c r="CI1" i="4"/>
  <c r="CH1" i="4"/>
  <c r="CF1" i="4"/>
  <c r="CE1" i="4"/>
  <c r="CD1" i="4"/>
  <c r="CC1" i="4"/>
  <c r="CB1" i="4"/>
  <c r="CA1" i="4"/>
  <c r="BZ1" i="4"/>
  <c r="BY1" i="4"/>
  <c r="BX1" i="4"/>
  <c r="BW1" i="4"/>
  <c r="BV1" i="4"/>
  <c r="BU1" i="4"/>
  <c r="BS1" i="4"/>
  <c r="BR1" i="4"/>
  <c r="BQ1" i="4"/>
  <c r="BP1" i="4"/>
  <c r="BO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D133" i="3"/>
  <c r="F123" i="3"/>
  <c r="F113" i="3"/>
  <c r="F104" i="3"/>
  <c r="F94" i="3"/>
  <c r="F84" i="3"/>
  <c r="E75" i="3"/>
  <c r="G64" i="3"/>
  <c r="G55" i="3"/>
  <c r="H45" i="3"/>
  <c r="H35" i="3"/>
  <c r="E130" i="3"/>
  <c r="F64" i="3"/>
  <c r="F30" i="3"/>
  <c r="C138" i="3"/>
  <c r="D138" i="3"/>
  <c r="G81" i="3"/>
  <c r="G41" i="3"/>
  <c r="F54" i="3"/>
  <c r="F46" i="3"/>
  <c r="F131" i="3"/>
  <c r="G121" i="3"/>
  <c r="F112" i="3"/>
  <c r="D103" i="3"/>
  <c r="C93" i="3"/>
  <c r="F83" i="3"/>
  <c r="G73" i="3"/>
  <c r="G63" i="3"/>
  <c r="G54" i="3"/>
  <c r="H44" i="3"/>
  <c r="H34" i="3"/>
  <c r="E122" i="3"/>
  <c r="F62" i="3"/>
  <c r="E110" i="3"/>
  <c r="C132" i="3"/>
  <c r="E129" i="3"/>
  <c r="F110" i="3"/>
  <c r="F90" i="3"/>
  <c r="F61" i="3"/>
  <c r="H32" i="3"/>
  <c r="F56" i="3"/>
  <c r="E104" i="3"/>
  <c r="C66" i="3"/>
  <c r="D139" i="3"/>
  <c r="F130" i="3"/>
  <c r="G120" i="3"/>
  <c r="F111" i="3"/>
  <c r="F101" i="3"/>
  <c r="F91" i="3"/>
  <c r="F82" i="3"/>
  <c r="G72" i="3"/>
  <c r="G62" i="3"/>
  <c r="F53" i="3"/>
  <c r="E43" i="3"/>
  <c r="H33" i="3"/>
  <c r="F58" i="3"/>
  <c r="F119" i="3"/>
  <c r="F100" i="3"/>
  <c r="F71" i="3"/>
  <c r="H51" i="3"/>
  <c r="E137" i="3"/>
  <c r="G127" i="3"/>
  <c r="F118" i="3"/>
  <c r="F109" i="3"/>
  <c r="F99" i="3"/>
  <c r="F89" i="3"/>
  <c r="G80" i="3"/>
  <c r="G69" i="3"/>
  <c r="G59" i="3"/>
  <c r="H50" i="3"/>
  <c r="G40" i="3"/>
  <c r="G31" i="3"/>
  <c r="E136" i="3"/>
  <c r="G126" i="3"/>
  <c r="F117" i="3"/>
  <c r="F108" i="3"/>
  <c r="F98" i="3"/>
  <c r="F88" i="3"/>
  <c r="F79" i="3"/>
  <c r="G68" i="3"/>
  <c r="G58" i="3"/>
  <c r="H49" i="3"/>
  <c r="G39" i="3"/>
  <c r="H29" i="3"/>
  <c r="E135" i="3"/>
  <c r="G125" i="3"/>
  <c r="F116" i="3"/>
  <c r="E107" i="3"/>
  <c r="E97" i="3"/>
  <c r="E87" i="3"/>
  <c r="G77" i="3"/>
  <c r="D67" i="3"/>
  <c r="G57" i="3"/>
  <c r="H48" i="3"/>
  <c r="G38" i="3"/>
  <c r="H28" i="3"/>
  <c r="F40" i="3"/>
  <c r="E134" i="3"/>
  <c r="G124" i="3"/>
  <c r="E115" i="3"/>
  <c r="F105" i="3"/>
  <c r="F95" i="3"/>
  <c r="F85" i="3"/>
  <c r="G76" i="3"/>
  <c r="G65" i="3"/>
  <c r="G56" i="3"/>
  <c r="G47" i="3"/>
  <c r="F37" i="3"/>
  <c r="E94" i="3"/>
  <c r="F38" i="3"/>
  <c r="E108" i="3"/>
  <c r="C102" i="3"/>
  <c r="E100" i="3"/>
  <c r="E98" i="3"/>
</calcChain>
</file>

<file path=xl/sharedStrings.xml><?xml version="1.0" encoding="utf-8"?>
<sst xmlns="http://schemas.openxmlformats.org/spreadsheetml/2006/main" count="138" uniqueCount="109">
  <si>
    <t>{"_v":2,"trees":{"MC_Tree_1":"{\r\n  \"RootId\": \"D_root\",\r\n  \"Nodes\": {\r\n    \"D_root\": {\r\n      \"type\": \"decision\",\r\n      \"id\": \"D_root\",\r\n      \"name\": \"LBO Strategy\",\r\n      \"options\": [\r\n        {\r\n          \"name\": \"Full Buyout at 8x EBITDA ($400M)\",\r\n          \"childId\": \"C_ops_full\",\r\n          \"value\": -400000000\r\n        },\r\n        {\r\n          \"name\": \"Buyout at 6x + Mgmt Rollover ($300M)\",\r\n          \"childId\": \"C_ops_mgmt\",\r\n          \"value\": -300000000\r\n        },\r\n        {\r\n          \"name\": \"Growth Equity Minority ($100M)\",\r\n          \"childId\": \"C_revenue_growth\",\r\n          \"value\": -100000000\r\n        },\r\n        {\r\n          \"name\": \"Pass on Deal\",\r\n          \"childId\": \"T_pass\"\r\n        }\r\n      ]\r\n    },\r\n    \"C_ops_full\": {\r\n      \"type\": \"chance\",\r\n      \"id\": \"C_ops_full\",\r\n      \"name\": \"Operational Improvements (Full)\",\r\n      \"branches\": [\r\n        {\r\n          \"name\": \"Margin Expansion +500bps\",\r\n          \"probability\": 0.25,\r\n          \"childId\": \"C_rev_full_high\"\r\n        },\r\n        {\r\n          \"name\": \"Margin Expansion +200bps\",\r\n          \"probability\": 0.45,\r\n          \"childId\": \"C_rev_full_med\"\r\n        },\r\n        {\r\n          \"name\": \"No Improvement\",\r\n          \"probability\": 0.3,\r\n          \"childId\": \"C_rev_full_low\"\r\n        }\r\n      ]\r\n    },\r\n    \"C_rev_full_high\": {\r\n      \"type\": \"chance\",\r\n      \"id\": \"C_rev_full_high\",\r\n      \"name\": \"Revenue Growth (High Margin)\",\r\n      \"branches\": [\r\n        {\r\n          \"name\": \"Strong Revenue Growth 15%\",\r\n          \"probability\": 0.3,\r\n          \"childId\": \"D_exit_full_hh\"\r\n        },\r\n        {\r\n          \"name\": \"Moderate Growth 8%\",\r\n          \"probability\": 0.45,\r\n          \"childId\": \"D_exit_full_hm\"\r\n        },\r\n        {\r\n          \"name\": \"Flat Revenue\",\r\n          \"probability\": 0.25,\r\n          \"childId\": \"D_exit_full_hl\"\r\n        }\r\n      ]\r\n    },\r\n    \"D_exit_full_hh\": {\r\n      \"type\": \"decision\",\r\n      \"id\": \"D_exit_full_hh\",\r\n      \"name\": \"Exit (High Margin+Strong Rev)\",\r\n      \"options\": [\r\n        {\r\n          \"name\": \"IPO\",\r\n          \"childId\": \"C_ipo_full_hh\"\r\n        },\r\n        {\r\n          \"name\": \"Strategic Sale\",\r\n          \"childId\": \"T_strat_full_hh\",\r\n          \"value\": 1050000000\r\n        },\r\n        {\r\n          \"name\": \"Secondary Buyout\",\r\n          \"childId\": \"T_sec_full_hh\",\r\n          \"value\": 850000000\r\n        }\r\n      ]\r\n    },\r\n    \"C_ipo_full_hh\": {\r\n      \"type\": \"chance\",\r\n      \"id\": \"C_ipo_full_hh\",\r\n      \"name\": \"IPO Market Conditions\",\r\n      \"branches\": [\r\n        {\r\n          \"name\": \"Hot IPO Market\",\r\n          \"probability\": 0.3,\r\n          \"childId\": \"T_ipo_full_hh_hot\",\r\n          \"value\": 1200000000\r\n        },\r\n        {\r\n          \"name\": \"Normal Market\",\r\n          \"probability\": 0.45,\r\n          \"childId\": \"T_ipo_full_hh_norm\",\r\n          \"value\": 950000000\r\n        },\r\n        {\r\n          \"name\": \"Weak Market\",\r\n          \"probability\": 0.25,\r\n          \"childId\": \"T_ipo_full_hh_weak\",\r\n          \"value\": 700000000\r\n        }\r\n      ]\r\n    },\r\n    \"T_ipo_full_hh_hot\": {\r\n      \"type\": \"terminal\",\r\n      \"id\": \"T_ipo_full_hh_hot\",\r\n      \"name\": \"IPO Hot Mkt (Best Case)\",\r\n      \"value\": 0\r\n    },\r\n    \"T_ipo_full_hh_norm\": {\r\n      \"type\": \"terminal\",\r\n      \"id\": \"T_ipo_full_hh_norm\",\r\n      \"name\": \"IPO Normal Mkt (Best Case)\",\r\n      \"value\": 0\r\n    },\r\n    \"T_ipo_full_hh_weak\": {\r\n      \"type\": \"terminal\",\r\n      \"id\": \"T_ipo_full_hh_weak\",\r\n      \"name\": \"IPO Weak Mkt (Best Case)\",\r\n      \"value\": 0\r\n    },\r\n    \"T_strat_full_hh\": {\r\n      \"type\": \"terminal\",\r\n      \"id\": \"T_strat_full_hh\",\r\n      \"name\": \"Strategic Sale (Best Case)\",\r\n      \"value\": 0\r\n    },\r\n    \"T_sec_full_hh\": {\r\n      \"type\": \"terminal\",\r\n      \"id\": \"T_sec_full_hh\",\r\n      \"name\": \"Secondary Buyout (Best Case)\",\r\n      \"value\": 0\r\n    },\r\n    \"D_exit_full_hm\": {\r\n      \"type\": \"decision\",\r\n      \"id\": \"D_exit_full_hm\",\r\n      \"name\": \"Exit (High Margin+Mod Rev)\",\r\n      \"options\": [\r\n        {\r\n          \"name\": \"IPO\",\r\n          \"childId\": \"C_ipo_full_hm\"\r\n        },\r\n        {\r\n          \"name\": \"Strategic Sale\",\r\n          \"childId\": \"T_strat_full_hm\",\r\n          \"value\": 780000000\r\n        },\r\n        {\r\n          \"name\": \"Secondary Buyout\",\r\n          \"childId\": \"T_sec_full_hm\",\r\n          \"value\": 650000000\r\n        }\r\n      ]\r\n    },\r\n    \"C_ipo_full_hm\": {\r\n      \"type\": \"chance\",\r\n      \"id\": \"C_ipo_full_hm\",\r\n      \"name\": \"IPO Market Conditions\",\r\n      \"branches\": [\r\n        {\r\n          \"name\": \"Hot IPO Market\",\r\n          \"probability\": 0.3,\r\n          \"childId\": \"T_ipo_full_hm_hot\",\r\n          \"value\": 900000000\r\n        },\r\n        {\r\n          \"name\": \"Normal Market\",\r\n          \"probability\": 0.45,\r\n          \"childId\": \"T_ipo_full_hm_norm\",\r\n          \"value\": 720000000\r\n        },\r\n        {\r\n          \"name\": \"Weak Market\",\r\n          \"probability\": 0.25,\r\n          \"childId\": \"T_ipo_full_hm_weak\",\r\n          \"value\": 550000000\r\n        }\r\n      ]\r\n    },\r\n    \"T_ipo_full_hm_hot\": {\r\n      \"type\": \"terminal\",\r\n      \"id\": \"T_ipo_full_hm_hot\",\r\n      \"name\": \"IPO Hot (High+Mod)\",\r\n      \"value\": 0\r\n    },\r\n    \"T_ipo_full_hm_norm\": {\r\n      \"type\": \"terminal\",\r\n      \"id\": \"T_ipo_full_hm_norm\",\r\n      \"name\": \"IPO Normal (High+Mod)\",\r\n      \"value\": 0\r\n    },\r\n    \"T_ipo_full_hm_weak\": {\r\n      \"type\": \"terminal\",\r\n      \"id\": \"T_ipo_full_hm_weak\",\r\n      \"name\": \"IPO Weak (High+Mod)\",\r\n      \"value\": 0\r\n    },\r\n    \"T_strat_full_hm\": {\r\n      \"type\": \"terminal\",\r\n      \"id\": \"T_strat_full_hm\",\r\n      \"name\": \"Strategic Sale (High+Mod)\",\r\n      \"value\": 0\r\n    },\r\n    \"T_sec_full_hm\": {\r\n      \"type\": \"terminal\",\r\n      \"id\": \"T_sec_full_hm\",\r\n      \"name\": \"Secondary Buyout (High+Mod)\",\r\n      \"value\": 0\r\n    },\r\n    \"D_exit_full_hl\": {\r\n      \"type\": \"decision\",\r\n      \"id\": \"D_exit_full_hl\",\r\n      \"name\": \"Exit (High Margin+Flat Rev)\",\r\n      \"options\": [\r\n        {\r\n          \"name\": \"Strategic Sale\",\r\n          \"childId\": \"T_strat_full_hl\",\r\n          \"value\": 580000000\r\n        },\r\n        {\r\n          \"name\": \"Secondary Buyout\",\r\n          \"childId\": \"T_sec_full_hl\",\r\n          \"value\": 480000000\r\n        },\r\n        {\r\n          \"name\": \"Hold and Restructure\",\r\n          \"childId\": \"T_hold_full_hl\",\r\n          \"value\": 350000000\r\n        }\r\n      ]\r\n    },\r\n    \"T_strat_full_hl\": {\r\n      \"type\": \"terminal\",\r\n      \"id\": \"T_strat_full_hl\",\r\n      \"name\": \"Strategic Sale (High+Flat)\",\r\n      \"value\": 0\r\n    },\r\n    \"T_sec_full_hl\": {\r\n      \"type\": \"terminal\",\r\n      \"id\": \"T_sec_full_hl\",\r\n      \"name\": \"Secondary Buyout (High+Flat)\",\r\n      \"value\": 0\r\n    },\r\n    \"T_hold_full_hl\": {\r\n      \"type\": \"terminal\",\r\n      \"id\": \"T_hold_full_hl\",\r\n      \"name\": \"Hold + Restructure (High+Flat)\",\r\n      \"value\": 0\r\n    },\r\n    \"C_rev_full_med\": {\r\n      \"type\": \"chance\",\r\n      \"id\": \"C_rev_full_med\",\r\n      \"name\": \"Revenue Growth (Med Margin)\",\r\n      \"branches\": [\r\n        {\r\n          \"name\": \"Strong Revenue Growth\",\r\n          \"probability\": 0.25,\r\n          \"childId\": \"C_debt_full_ms\"\r\n        },\r\n        {\r\n          \"name\": \"Moderate Growth\",\r\n          \"probability\": 0.5,\r\n          \"childId\": \"C_debt_full_mm\"\r\n        },\r\n        {\r\n          \"name\": \"Flat Revenue\",\r\n          \"probability\": 0.25,\r\n          \"childId\": \"T_full_med_flat\",\r\n          \"value\": 280000000\r\n        }\r\n      ]\r\n    },\r\n    \"C_debt_full_ms\": {\r\n      \"type\": \"chance\",\r\n      \"id\": \"C_debt_full_ms\",\r\n      \"name\": \"Debt Refinancing (Med+Strong)\",\r\n      \"branches\": [\r\n        {\r\n          \"name\": \"Favorable Refinance\",\r\n          \"probability\": 0.45,\r\n          \"childId\": \"T_full_ms_gooddebt\",\r\n          \"value\": 750000000\r\n        },\r\n        {\r\n          \"name\": \"Neutral Terms\",\r\n          \"probability\": 0.55,\r\n          \"childId\": \"T_full_ms_neutdebt\",\r\n          \"value\": 600000000\r\n        }\r\n      ]\r\n    },\r\n    \"T_full_ms_gooddebt\": {\r\n      \"type\": \"terminal\",\r\n      \"id\": \"T_full_ms_gooddebt\",\r\n      \"name\": \"Med Margin+Strong+Good Debt\",\r\n      \"value\": 0\r\n    },\r\n    \"T_full_ms_neutdebt\": {\r\n      \"type\": \"terminal\",\r\n      \"id\": \"T_full_ms_neutdebt\",\r\n      \"name\": \"Med Margin+Strong+Neut Debt\",\r\n      \"value\": 0\r\n    },\r\n    \"C_debt_full_mm\": {\r\n      \"type\": \"chance\",\r\n      \"id\": \"C_debt_full_mm\",\r\n      \"name\": \"Debt Refinancing (Med+Mod)\",\r\n      \"branches\": [\r\n        {\r\n          \"name\": \"Favorable Refinance\",\r\n          \"probability\": 0.4,\r\n          \"childId\": \"T_full_mm_gooddebt\",\r\n          \"value\": 520000000\r\n        },\r\n        {\r\n          \"name\": \"Unfavorable Terms\",\r\n          \"probability\": 0.6,\r\n          \"childId\": \"T_full_mm_baddebt\",\r\n          \"value\": 380000000\r\n        }\r\n      ]\r\n    },\r\n    \"T_full_mm_gooddebt\": {\r\n      \"type\": \"terminal\",\r\n      \"id\": \"T_full_mm_gooddebt\",\r\n      \"name\": \"Med Margin+Mod+Good Debt\",\r\n      \"value\": 0\r\n    },\r\n    \"T_full_mm_baddebt\": {\r\n      \"type\": \"terminal\",\r\n      \"id\": \"T_full_mm_baddebt\",\r\n      \"name\": \"Med Margin+Mod+Bad Debt\",\r\n      \"value\": 0\r\n    },\r\n    \"T_full_med_flat\": {\r\n      \"type\": \"terminal\",\r\n      \"id\": \"T_full_med_flat\",\r\n      \"name\": \"Med Margin+Flat Revenue\",\r\n      \"value\": 0\r\n    },\r\n    \"C_rev_full_low\": {\r\n      \"type\": \"chance\",\r\n      \"id\": \"C_rev_full_low\",\r\n      \"name\": \"Revenue Growth (No Improvement)\",\r\n      \"branches\": [\r\n        {\r\n          \"name\": \"Revenue Grows Anyway\",\r\n          \"probability\": 0.2,\r\n          \"childId\": \"T_full_low_grow\",\r\n          \"value\": 350000000\r\n        },\r\n        {\r\n          \"name\": \"Flat Revenue\",\r\n          \"probability\": 0.4,\r\n          \"childId\": \"T_full_low_flat\",\r\n          \"value\": 200000000\r\n        },\r\n        {\r\n          \"name\": \"Revenue Declines\",\r\n          \"probability\": 0.4,\r\n          \"childId\": \"T_full_low_decline\",\r\n          \"value\": 80000000\r\n        }\r\n      ]\r\n    },\r\n    \"T_full_low_grow\": {\r\n      \"type\": \"terminal\",\r\n      \"id\": \"T_full_low_grow\",\r\n      \"name\": \"No Ops Impr+Rev Grows\",\r\n      \"value\": 0\r\n    },\r\n    \"T_full_low_flat\": {\r\n      \"type\": \"terminal\",\r\n      \"id\": \"T_full_low_flat\",\r\n      \"name\": \"No Ops Impr+Rev Flat\",\r\n      \"value\": 0\r\n    },\r\n    \"T_full_low_decline\": {\r\n      \"type\": \"terminal\",\r\n      \"id\": \"T_full_low_decline\",\r\n      \"name\": \"No Ops Impr+Rev Decline\",\r\n      \"value\": 0\r\n    },\r\n    \"C_ops_mgmt\": {\r\n      \"type\": \"chance\",\r\n      \"id\": \"C_ops_mgmt\",\r\n      \"name\": \"Operational Improvements (Mgmt)\",\r\n      \"branches\": [\r\n        {\r\n          \"name\": \"Mgmt Delivers Turnaround\",\r\n          \"probability\": 0.35,\r\n          \"childId\": \"D_exit_mgmt_good\"\r\n        },\r\n        {\r\n          \"name\": \"Moderate Improvement\",\r\n          \"probability\": 0.4,\r\n          \"childId\": \"D_exit_mgmt_mod\"\r\n        },\r\n        {\r\n          \"name\": \"Mgmt Underperforms\",\r\n          \"probability\": 0.25,\r\n          \"childId\": \"C_mgmt_under\"\r\n        }\r\n      ]\r\n    },\r\n    \"D_exit_mgmt_good\": {\r\n      \"type\": \"decision\",\r\n      \"id\": \"D_exit_mgmt_good\",\r\n      \"name\": \"Exit (Mgmt Turnaround)\",\r\n      \"options\": [\r\n        {\r\n          \"name\": \"IPO\",\r\n          \"childId\": \"T_mgmt_good_ipo\",\r\n          \"value\": 900000000\r\n        },\r\n        {\r\n          \"name\": \"Strategic Sale\",\r\n          \"childId\": \"T_mgmt_good_strat\",\r\n          \"value\": 800000000\r\n        },\r\n        {\r\n          \"name\": \"Secondary Buyout\",\r\n          \"childId\": \"T_mgmt_good_sec\",\r\n          \"value\": 680000000\r\n        }\r\n      ]\r\n    },\r\n    \"T_mgmt_good_ipo\": {\r\n      \"type\": \"terminal\",\r\n      \"id\": \"T_mgmt_good_ipo\",\r\n      \"name\": \"Mgmt Turn+IPO\",\r\n      \"value\": 0\r\n    },\r\n    \"T_mgmt_good_strat\": {\r\n      \"type\": \"terminal\",\r\n      \"id\": \"T_mgmt_good_strat\",\r\n      \"name\": \"Mgmt Turn+Strategic Sale\",\r\n      \"value\": 0\r\n    },\r\n    \"T_mgmt_good_sec\": {\r\n      \"type\": \"terminal\",\r\n      \"id\": \"T_mgmt_good_sec\",\r\n      \"name\": \"Mgmt Turn+Secondary\",\r\n      \"value\": 0\r\n    },\r\n    \"D_exit_mgmt_mod\": {\r\n      \"type\": \"decision\",\r\n      \"id\": \"D_exit_mgmt_mod\",\r\n      \"name\": \"Exit (Moderate Improvement)\",\r\n      \"options\": [\r\n        {\r\n          \"name\": \"Strategic Sale\",\r\n          \"childId\": \"T_mgmt_mod_strat\",\r\n          \"value\": 550000000\r\n        },\r\n        {\r\n          \"name\": \"Secondary Buyout\",\r\n          \"childId\": \"T_mgmt_mod_sec\",\r\n          \"value\": 450000000\r\n        },\r\n        {\r\n          \"name\": \"Dividend Recap\",\r\n          \"childId\": \"T_mgmt_mod_recap\",\r\n          \"value\": 380000000\r\n        }\r\n      ]\r\n    },\r\n    \"T_mgmt_mod_strat\": {\r\n      \"type\": \"terminal\",\r\n      \"id\": \"T_mgmt_mod_strat\",\r\n      \"name\": \"Mgmt Mod+Strategic Sale\",\r\n      \"value\": 0\r\n    },\r\n    \"T_mgmt_mod_sec\": {\r\n      \"type\": \"terminal\",\r\n      \"id\": \"T_mgmt_mod_sec\",\r\n      \"name\": \"Mgmt Mod+Secondary\",\r\n      \"value\": 0\r\n    },\r\n    \"T_mgmt_mod_recap\": {\r\n      \"type\": \"terminal\",\r\n      \"id\": \"T_mgmt_mod_recap\",\r\n      \"name\": \"Mgmt Mod+Dividend Recap\",\r\n      \"value\": 0\r\n    },\r\n    \"C_mgmt_under\": {\r\n      \"type\": \"chance\",\r\n      \"id\": \"C_mgmt_under\",\r\n      \"name\": \"Underperformance Outcome\",\r\n      \"branches\": [\r\n        {\r\n          \"name\": \"Stabilizes Eventually\",\r\n          \"probability\": 0.45,\r\n          \"childId\": \"T_mgmt_stab\",\r\n          \"value\": 280000000\r\n        },\r\n        {\r\n          \"name\": \"Continued Decline\",\r\n          \"probability\": 0.35,\r\n          \"childId\": \"T_mgmt_decline\",\r\n          \"value\": 120000000\r\n        },\r\n        {\r\n          \"name\": \"Debt Default Risk\",\r\n          \"probability\": 0.2,\r\n          \"childId\": \"T_mgmt_default\",\r\n          \"value\": 30000000\r\n        }\r\n      ]\r\n    },\r\n    \"T_mgmt_stab\": {\r\n      \"type\": \"terminal\",\r\n      \"id\": \"T_mgmt_stab\",\r\n      \"name\": \"Mgmt Under: Stabilizes\",\r\n      \"value\": 0\r\n    },\r\n    \"T_mgmt_decline\": {\r\n      \"type\": \"terminal\",\r\n      \"id\": \"T_mgmt_decline\",\r\n      \"name\": \"Mgmt Under: Decline\",\r\n      \"value\": 0\r\n    },\r\n    \"T_mgmt_default\": {\r\n      \"type\": \"terminal\",\r\n      \"id\": \"T_mgmt_default\",\r\n      \"name\": \"Mgmt Under: Default Risk\",\r\n      \"value\": 0\r\n    },\r\n    \"C_revenue_growth\": {\r\n      \"type\": \"chance\",\r\n      \"id\": \"C_revenue_growth\",\r\n      \"name\": \"Revenue Growth (Minority)\",\r\n      \"branches\": [\r\n        {\r\n          \"name\": \"High Growth \u003e20%\",\r\n          \"probability\": 0.25,\r\n          \"childId\": \"D_growth_high\"\r\n        },\r\n        {\r\n          \"name\": \"Moderate Growth 10%\",\r\n          \"probability\": 0.45,\r\n          \"childId\": \"T_growth_mod\",\r\n          \"value\": 160000000\r\n        },\r\n        {\r\n          \"name\": \"Stagnation\",\r\n          \"probability\": 0.3,\r\n          \"childId\": \"T_growth_stag\",\r\n          \"value\": 80000000\r\n        }\r\n      ]\r\n    },\r\n    \"D_growth_high\": {\r\n      \"type\": \"decision\",\r\n      \"id\": \"D_growth_high\",\r\n      \"name\": \"High Growth - Next Move\",\r\n      \"options\": [\r\n        {\r\n          \"name\": \"Exercise Call Option for Control\",\r\n          \"childId\": \"C_call_option\",\r\n          \"value\": -150000000\r\n        },\r\n        {\r\n          \"name\": \"Sell Stake at Premium\",\r\n          \"childId\": \"T_sell_growth_high\",\r\n          \"value\": 280000000\r\n        }\r\n      ]\r\n    },\r\n    \"C_call_option\": {\r\n      \"type\": \"chance\",\r\n      \"id\": \"C_call_option\",\r\n      \"name\": \"Full Control Outcome\",\r\n      \"branches\": [\r\n        {\r\n          \"name\": \"Continues Growing\",\r\n          \"probability\": 0.5,\r\n          \"childId\": \"T_call_grows\",\r\n          \"value\": 500000000\r\n        },\r\n        {\r\n          \"name\": \"Growth Slows\",\r\n          \"probability\": 0.35,\r\n          \"childId\": \"T_call_slows\",\r\n          \"value\": 300000000\r\n        },\r\n        {\r\n          \"name\": \"Integration Stumbles\",\r\n          \"probability\": 0.15,\r\n          \"childId\": \"T_call_stumbles\",\r\n          \"value\": 120000000\r\n        }\r\n      ]\r\n    },\r\n    \"T_call_grows\": {\r\n      \"type\": \"terminal\",\r\n      \"id\": \"T_call_grows\",\r\n      \"name\": \"Call Option: Continues Growing\",\r\n      \"value\": 0\r\n    },\r\n    \"T_call_slows\": {\r\n      \"type\": \"terminal\",\r\n      \"id\": \"T_call_slows\",\r\n      \"name\": \"Call Option: Growth Slows\",\r\n      \"value\": 0\r\n    },\r\n    \"T_call_stumbles\": {\r\n      \"type\": \"terminal\",\r\n      \"id\": \"T_call_stumbles\",\r\n      \"name\": \"Call Option: Stumbles\",\r\n      \"value\": 0\r\n    },\r\n    \"T_sell_growth_high\": {\r\n      \"type\": \"terminal\",\r\n      \"id\": \"T_sell_growth_high\",\r\n      \"name\": \"Sell Minority at Premium\",\r\n      \"value\": 0\r\n    },\r\n    \"T_growth_mod\": {\r\n      \"type\": \"terminal\",\r\n      \"id\": \"T_growth_mod\",\r\n      \"name\": \"Moderate Growth Return\",\r\n      \"value\": 0\r\n    },\r\n    \"T_growth_stag\": {\r\n      \"type\": \"terminal\",\r\n      \"id\": \"T_growth_stag\",\r\n      \"name\": \"Stagnation - Flat Return\",\r\n      \"value\": 0\r\n    },\r\n    \"T_pass\": {\r\n      \"type\": \"terminal\",\r\n      \"id\": \"T_pass\",\r\n      \"name\": \"Pass on Deal\",\r\n      \"value\": 0\r\n    }\r\n  },\r\n  \"Settings\": {\r\n    \"ModelName\": \"Private Equity Buyout\",\r\n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28\r\n    },\r\n    \"ChanceProbabilities\": 1,\r\n    \"ProbabilityTolerance\": 0.001,\r\n    \"Simulation\": {\r\n      \"CalculationMode\": 0,\r\n      \"DecisionMode\": 0\r\n    }\r\n  },\r\n  \"NodeMetadata\": {},\r\n  \"UserFormulas\": {\r\n      \"MC_BV_D_root_C_ops_full\": \"=-FullBuyoutAt8xEbitda400mCost\",\r\n      \"MC_BV_D_root_C_ops_mgmt\": \"=-BuyoutAt6xMgmtRollover300mCost\",\r\n      \"MC_BV_D_root_C_revenue_growth\": \"=-GrowthEquityMinority100mCost\",\r\n      \"MC_BV_D_exit_full_hh_T_strat_full_hh\": \"=StrategicSale\",\r\n      \"MC_BV_D_exit_full_hh_T_sec_full_hh\": \"=SecondaryBuyoutValue\",\r\n      \"MC_BV_D_exit_full_hm_T_strat_full_hm\": \"=StrategicSale2\",\r\n      \"MC_BV_D_exit_full_hm_T_sec_full_hm\": \"=SecondaryBuyoutValue2\",\r\n      \"MC_BV_D_exit_full_hl_T_strat_full_hl\": \"=StrategicSale3\",\r\n      \"MC_BV_D_exit_full_hl_T_sec_full_hl\": \"=SecondaryBuyoutValue3\",\r\n      \"MC_BV_D_exit_full_hl_T_hold_full_hl\": \"=HoldAndRestructureValue\",\r\n      \"MC_BV_D_exit_mgmt_good_T_mgmt_good_ipo\": \"=IpoValue\",\r\n      \"MC_BV_D_exit_mgmt_good_T_mgmt_good_strat\": \"=StrategicSale4\",\r\n      \"MC_BV_D_exit_mgmt_good_T_mgmt_good_sec\": \"=SecondaryBuyoutValue4\",\r\n      \"MC_BV_D_exit_mgmt_mod_T_mgmt_mod_strat\": \"=StrategicSale5\",\r\n      \"MC_BV_D_exit_mgmt_mod_T_mgmt_mod_sec\": \"=SecondaryBuyoutValue5\",\r\n      \"MC_BV_D_exit_mgmt_mod_T_mgmt_mod_recap\": \"=DividendRecapValue\",\r\n      \"MC_BV_D_growth_high_C_call_option\": \"=-ExerciseCallOptionForControlCost\",\r\n      \"MC_BV_D_growth_high_T_sell_growth_high\": \"=SellStakeAtPremiumValue\"\r\n  }\r\n}"}}</t>
  </si>
  <si>
    <t>IPO Market Conditions</t>
  </si>
  <si>
    <t>Exit (High Margin+Strong Rev)</t>
  </si>
  <si>
    <t>Revenue Growth (High Margin)</t>
  </si>
  <si>
    <t>Exit (High Margin+Mod Rev)</t>
  </si>
  <si>
    <t>Exit (High Margin+Flat Rev)</t>
  </si>
  <si>
    <t>Operational Improvements (Full)</t>
  </si>
  <si>
    <t>Debt Refinancing (Med+Strong)</t>
  </si>
  <si>
    <t>Revenue Growth (Med Margin)</t>
  </si>
  <si>
    <t>Debt Refinancing (Med+Mod)</t>
  </si>
  <si>
    <t>Revenue Growth (No Improvement)</t>
  </si>
  <si>
    <t>LBO Strategy</t>
  </si>
  <si>
    <t>Exit (Mgmt Turnaround)</t>
  </si>
  <si>
    <t>Operational Improvements (Mgmt)</t>
  </si>
  <si>
    <t>Exit (Moderate Improvement)</t>
  </si>
  <si>
    <t>Underperformance Outcome</t>
  </si>
  <si>
    <t>Full Control Outcome</t>
  </si>
  <si>
    <t>High Growth - Next Move</t>
  </si>
  <si>
    <t>Revenue Growth (Minority)</t>
  </si>
  <si>
    <t>Private Equity Buyout — Control Panel</t>
  </si>
  <si>
    <t>Adjust parameters below to update the decision tree instantly</t>
  </si>
  <si>
    <t>Parameter</t>
  </si>
  <si>
    <t>Value</t>
  </si>
  <si>
    <t>Units</t>
  </si>
  <si>
    <t>Notes</t>
  </si>
  <si>
    <t>Full Buyout at 8x EBITDA ($400M)</t>
  </si>
  <si>
    <t>$</t>
  </si>
  <si>
    <t>Investment for Operational Improvements (Full) path</t>
  </si>
  <si>
    <t>Buyout at 6x + Mgmt Rollover ($300M)</t>
  </si>
  <si>
    <t>Investment for Operational Improvements (Mgmt) path</t>
  </si>
  <si>
    <t>Growth Equity Minority ($100M)</t>
  </si>
  <si>
    <t>Investment for Revenue Growth (Minority) path</t>
  </si>
  <si>
    <t>Strategic Sale</t>
  </si>
  <si>
    <t>Strategic Sale (Best Case)</t>
  </si>
  <si>
    <t>Secondary Buyout</t>
  </si>
  <si>
    <t>Secondary Buyout (Best Case)</t>
  </si>
  <si>
    <t>Strategic Sale (High+Mod)</t>
  </si>
  <si>
    <t>Secondary Buyout (High+Mod)</t>
  </si>
  <si>
    <t>Strategic Sale (High+Flat)</t>
  </si>
  <si>
    <t>Secondary Buyout (High+Flat)</t>
  </si>
  <si>
    <t>Hold and Restructure</t>
  </si>
  <si>
    <t>Hold + Restructure (High+Flat)</t>
  </si>
  <si>
    <t>IPO</t>
  </si>
  <si>
    <t>Mgmt Turn+IPO</t>
  </si>
  <si>
    <t>Mgmt Turn+Strategic Sale</t>
  </si>
  <si>
    <t>Mgmt Turn+Secondary</t>
  </si>
  <si>
    <t>Mgmt Mod+Strategic Sale</t>
  </si>
  <si>
    <t>Mgmt Mod+Secondary</t>
  </si>
  <si>
    <t>Dividend Recap</t>
  </si>
  <si>
    <t>Mgmt Mod+Dividend Recap</t>
  </si>
  <si>
    <t>Exercise Call Option for Control</t>
  </si>
  <si>
    <t>Investment for Full Control Outcome path</t>
  </si>
  <si>
    <t>Sell Stake at Premium</t>
  </si>
  <si>
    <t>Sell Minority at Premium</t>
  </si>
  <si>
    <t>Private Equity Buyout</t>
  </si>
  <si>
    <t>ModelChoice Example Model</t>
  </si>
  <si>
    <t>Background</t>
  </si>
  <si>
    <t>A private equity fund is evaluating a leveraged buyout of a mid-market</t>
  </si>
  <si>
    <t>manufacturing company with $50M EBITDA. The company has strong market</t>
  </si>
  <si>
    <t>position but operational inefficiencies. The fund must decide its investment</t>
  </si>
  <si>
    <t>approach and plan for exit in 3-5 years.</t>
  </si>
  <si>
    <t>Option 1: Full Buyout at 8x EBITDA ($400M)</t>
  </si>
  <si>
    <t>Acquire 100% of the company at a premium multiple. Full control enables</t>
  </si>
  <si>
    <t>aggressive operational improvements. Three possible margin expansion</t>
  </si>
  <si>
    <t>outcomes drive revenue growth potential. Exit via IPO, strategic sale,</t>
  </si>
  <si>
    <t>or secondary buyout.</t>
  </si>
  <si>
    <t>Option 2: Buyout at 6x + Management Rollover ($300M)</t>
  </si>
  <si>
    <t>Lower entry multiple with management retaining equity. Aligned incentives</t>
  </si>
  <si>
    <t>increase turnaround probability (35% vs 25% for full buyout). Management</t>
  </si>
  <si>
    <t>delivers or underperforms with debt default risk.</t>
  </si>
  <si>
    <t>Option 3: Growth Equity Minority ($100M)</t>
  </si>
  <si>
    <t>Take a minority growth equity position. Lower risk, lower return. If high</t>
  </si>
  <si>
    <t>growth materializes, decide whether to exercise a call option for full</t>
  </si>
  <si>
    <t>control or sell the stake at a premium.</t>
  </si>
  <si>
    <t>Option 4: Pass on Deal</t>
  </si>
  <si>
    <t>Decline the investment. Deploy capital elsewhere.</t>
  </si>
  <si>
    <t>Decision Objective</t>
  </si>
  <si>
    <t>Maximize expected return on invested capital. Key uncertainties include</t>
  </si>
  <si>
    <t>operational improvement potential, revenue growth trajectory, debt</t>
  </si>
  <si>
    <t>refinancing terms, exit timing, and public market conditions.</t>
  </si>
  <si>
    <t>Key Assumptions</t>
  </si>
  <si>
    <t>Target EBITDA</t>
  </si>
  <si>
    <t>Mid-market manufacturing company</t>
  </si>
  <si>
    <t>Full Buyout Price (8x)</t>
  </si>
  <si>
    <t>Premium multiple for full control</t>
  </si>
  <si>
    <t>Mgmt Rollover Price (6x)</t>
  </si>
  <si>
    <t>Lower multiple, aligned incentives</t>
  </si>
  <si>
    <t>Growth Equity Investment</t>
  </si>
  <si>
    <t>Minority stake, lower risk</t>
  </si>
  <si>
    <t>Margin Expansion (Best)</t>
  </si>
  <si>
    <t>+500 bps</t>
  </si>
  <si>
    <t>25% probability in full buyout</t>
  </si>
  <si>
    <t>Mgmt Turnaround Probability</t>
  </si>
  <si>
    <t>Higher with management rollover</t>
  </si>
  <si>
    <t>Hold Period</t>
  </si>
  <si>
    <t>3-5 years</t>
  </si>
  <si>
    <t>Typical PE investment horizon</t>
  </si>
  <si>
    <t>IPO Exit Multiple</t>
  </si>
  <si>
    <t>10-12x EBITDA</t>
  </si>
  <si>
    <t>Depends on market conditions</t>
  </si>
  <si>
    <t>Strategic Sale Premium</t>
  </si>
  <si>
    <t>15-20%</t>
  </si>
  <si>
    <t>Premium for strategic synergies</t>
  </si>
  <si>
    <t>Debt Default Risk (Mgmt)</t>
  </si>
  <si>
    <t>If management underperforms</t>
  </si>
  <si>
    <t>Suggested Analyses</t>
  </si>
  <si>
    <t>▶ Strategy Table - Compare full buyout vs mgmt rollover vs growth equity</t>
  </si>
  <si>
    <t>▶ Sensitivity Analysis - How do margin improvements and exit multiples affect returns?</t>
  </si>
  <si>
    <t>▶ Risk Profile - Visualize return distribution for each investment 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</si>
</sst>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92</xdr:row>
      <xdr:rowOff>0</xdr:rowOff>
    </xdr:from>
    <xdr:to>
      <xdr:col>2</xdr:col>
      <xdr:colOff>9525</xdr:colOff>
      <xdr:row>92</xdr:row>
      <xdr:rowOff>0</xdr:rowOff>
    </xdr:to>
    <xdr:cxnSp macro="">
      <xdr:nvCxnSpPr>
        <xdr:cNvPr id="185" name="MC_Entry">
          <a:extLst>
            <a:ext uri="{FF2B5EF4-FFF2-40B4-BE49-F238E27FC236}">
              <a16:creationId xmlns:a16="http://schemas.microsoft.com/office/drawing/2014/main" id="{00E4DFE9-8D09-932D-72CD-584F2EFA4AA4}"/>
            </a:ext>
          </a:extLst>
        </xdr:cNvPr>
        <xdr:cNvCxnSpPr/>
      </xdr:nvCxnSpPr>
      <xdr:spPr>
        <a:xfrm>
          <a:off x="665163" y="17392650"/>
          <a:ext cx="166370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91</xdr:row>
      <xdr:rowOff>99250</xdr:rowOff>
    </xdr:from>
    <xdr:ext cx="1057918" cy="182550"/>
    <xdr:sp macro="_xll.MC_OnTreeNameClick" textlink="">
      <xdr:nvSpPr>
        <xdr:cNvPr id="186" name="MC_TreeName">
          <a:extLst>
            <a:ext uri="{FF2B5EF4-FFF2-40B4-BE49-F238E27FC236}">
              <a16:creationId xmlns:a16="http://schemas.microsoft.com/office/drawing/2014/main" id="{24A30D4C-144B-A4B9-783C-B143CEB1E40E}"/>
            </a:ext>
          </a:extLst>
        </xdr:cNvPr>
        <xdr:cNvSpPr txBox="1"/>
      </xdr:nvSpPr>
      <xdr:spPr>
        <a:xfrm>
          <a:off x="665163" y="17301400"/>
          <a:ext cx="105791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Private Equity Buyout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84204</xdr:colOff>
      <xdr:row>65</xdr:row>
      <xdr:rowOff>184150</xdr:rowOff>
    </xdr:from>
    <xdr:to>
      <xdr:col>3</xdr:col>
      <xdr:colOff>47626</xdr:colOff>
      <xdr:row>92</xdr:row>
      <xdr:rowOff>215</xdr:rowOff>
    </xdr:to>
    <xdr:sp macro="" textlink="">
      <xdr:nvSpPr>
        <xdr:cNvPr id="187" name="MC_BR_D_root_C_ops_full">
          <a:extLst>
            <a:ext uri="{FF2B5EF4-FFF2-40B4-BE49-F238E27FC236}">
              <a16:creationId xmlns:a16="http://schemas.microsoft.com/office/drawing/2014/main" id="{6AE7137A-F2D8-96E4-F639-8F9AC1771844}"/>
            </a:ext>
          </a:extLst>
        </xdr:cNvPr>
        <xdr:cNvSpPr/>
      </xdr:nvSpPr>
      <xdr:spPr>
        <a:xfrm>
          <a:off x="2403542" y="12433300"/>
          <a:ext cx="3220972" cy="4959565"/>
        </a:xfrm>
        <a:custGeom>
          <a:avLst/>
          <a:gdLst/>
          <a:ahLst/>
          <a:cxnLst/>
          <a:rect l="0" t="0" r="0" b="0"/>
          <a:pathLst>
            <a:path w="3220972" h="4959565">
              <a:moveTo>
                <a:pt x="0" y="4959136"/>
              </a:moveTo>
              <a:lnTo>
                <a:pt x="166624" y="6137"/>
              </a:lnTo>
              <a:lnTo>
                <a:pt x="172971" y="0"/>
              </a:lnTo>
              <a:lnTo>
                <a:pt x="3220971" y="0"/>
              </a:lnTo>
              <a:lnTo>
                <a:pt x="3220971" y="12700"/>
              </a:lnTo>
              <a:lnTo>
                <a:pt x="172971" y="12700"/>
              </a:lnTo>
              <a:lnTo>
                <a:pt x="179317" y="6563"/>
              </a:lnTo>
              <a:lnTo>
                <a:pt x="12693" y="495956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65</xdr:row>
      <xdr:rowOff>99251</xdr:rowOff>
    </xdr:from>
    <xdr:ext cx="1629292" cy="182550"/>
    <xdr:sp macro="_xll.MC_OnBranchLabelClick" textlink="">
      <xdr:nvSpPr>
        <xdr:cNvPr id="188" name="MC_BN_D_root_C_ops_full">
          <a:extLst>
            <a:ext uri="{FF2B5EF4-FFF2-40B4-BE49-F238E27FC236}">
              <a16:creationId xmlns:a16="http://schemas.microsoft.com/office/drawing/2014/main" id="{4F631778-064B-B712-C853-D6ABE8F9BF0B}"/>
            </a:ext>
          </a:extLst>
        </xdr:cNvPr>
        <xdr:cNvSpPr txBox="1"/>
      </xdr:nvSpPr>
      <xdr:spPr>
        <a:xfrm>
          <a:off x="2605723" y="12348401"/>
          <a:ext cx="162929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Full Buyout at 8x EBITDA ($400M)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74736</xdr:colOff>
      <xdr:row>91</xdr:row>
      <xdr:rowOff>189117</xdr:rowOff>
    </xdr:from>
    <xdr:to>
      <xdr:col>3</xdr:col>
      <xdr:colOff>47626</xdr:colOff>
      <xdr:row>102</xdr:row>
      <xdr:rowOff>15876</xdr:rowOff>
    </xdr:to>
    <xdr:sp macro="" textlink="">
      <xdr:nvSpPr>
        <xdr:cNvPr id="189" name="MC_BR_D_root_C_ops_mgmt">
          <a:extLst>
            <a:ext uri="{FF2B5EF4-FFF2-40B4-BE49-F238E27FC236}">
              <a16:creationId xmlns:a16="http://schemas.microsoft.com/office/drawing/2014/main" id="{51EE7506-7521-5C68-B19C-C2BAD14DC5F6}"/>
            </a:ext>
          </a:extLst>
        </xdr:cNvPr>
        <xdr:cNvSpPr/>
      </xdr:nvSpPr>
      <xdr:spPr>
        <a:xfrm>
          <a:off x="2394074" y="17391267"/>
          <a:ext cx="3230440" cy="1922259"/>
        </a:xfrm>
        <a:custGeom>
          <a:avLst/>
          <a:gdLst/>
          <a:ahLst/>
          <a:cxnLst/>
          <a:rect l="0" t="0" r="0" b="0"/>
          <a:pathLst>
            <a:path w="3230440" h="1922259">
              <a:moveTo>
                <a:pt x="31629" y="0"/>
              </a:moveTo>
              <a:lnTo>
                <a:pt x="198253" y="1905000"/>
              </a:lnTo>
              <a:lnTo>
                <a:pt x="182439" y="1890508"/>
              </a:lnTo>
              <a:lnTo>
                <a:pt x="3230439" y="1890508"/>
              </a:lnTo>
              <a:lnTo>
                <a:pt x="3230439" y="1922258"/>
              </a:lnTo>
              <a:lnTo>
                <a:pt x="182439" y="1922258"/>
              </a:lnTo>
              <a:lnTo>
                <a:pt x="166624" y="1907766"/>
              </a:lnTo>
              <a:lnTo>
                <a:pt x="0" y="27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101</xdr:row>
      <xdr:rowOff>99250</xdr:rowOff>
    </xdr:from>
    <xdr:ext cx="1814792" cy="182550"/>
    <xdr:sp macro="_xll.MC_OnBranchLabelClick" textlink="">
      <xdr:nvSpPr>
        <xdr:cNvPr id="190" name="MC_BN_D_root_C_ops_mgmt">
          <a:extLst>
            <a:ext uri="{FF2B5EF4-FFF2-40B4-BE49-F238E27FC236}">
              <a16:creationId xmlns:a16="http://schemas.microsoft.com/office/drawing/2014/main" id="{29507BF4-659A-7188-182E-C3DE72695D4B}"/>
            </a:ext>
          </a:extLst>
        </xdr:cNvPr>
        <xdr:cNvSpPr txBox="1"/>
      </xdr:nvSpPr>
      <xdr:spPr>
        <a:xfrm>
          <a:off x="2605723" y="19206400"/>
          <a:ext cx="181479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Buyout at 6x + Mgmt Rollover ($300M)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91</xdr:row>
      <xdr:rowOff>190360</xdr:rowOff>
    </xdr:from>
    <xdr:to>
      <xdr:col>3</xdr:col>
      <xdr:colOff>47626</xdr:colOff>
      <xdr:row>132</xdr:row>
      <xdr:rowOff>6351</xdr:rowOff>
    </xdr:to>
    <xdr:sp macro="" textlink="">
      <xdr:nvSpPr>
        <xdr:cNvPr id="191" name="MC_BR_D_root_C_revenue_growth">
          <a:extLst>
            <a:ext uri="{FF2B5EF4-FFF2-40B4-BE49-F238E27FC236}">
              <a16:creationId xmlns:a16="http://schemas.microsoft.com/office/drawing/2014/main" id="{F0232A93-C389-E078-A230-54920BCFFCE3}"/>
            </a:ext>
          </a:extLst>
        </xdr:cNvPr>
        <xdr:cNvSpPr/>
      </xdr:nvSpPr>
      <xdr:spPr>
        <a:xfrm>
          <a:off x="2403540" y="17392510"/>
          <a:ext cx="3220974" cy="7626491"/>
        </a:xfrm>
        <a:custGeom>
          <a:avLst/>
          <a:gdLst/>
          <a:ahLst/>
          <a:cxnLst/>
          <a:rect l="0" t="0" r="0" b="0"/>
          <a:pathLst>
            <a:path w="3220974" h="7626491">
              <a:moveTo>
                <a:pt x="12697" y="0"/>
              </a:moveTo>
              <a:lnTo>
                <a:pt x="179321" y="7620000"/>
              </a:lnTo>
              <a:lnTo>
                <a:pt x="172973" y="7613790"/>
              </a:lnTo>
              <a:lnTo>
                <a:pt x="3220973" y="7613790"/>
              </a:lnTo>
              <a:lnTo>
                <a:pt x="3220973" y="7626490"/>
              </a:lnTo>
              <a:lnTo>
                <a:pt x="172973" y="7626490"/>
              </a:lnTo>
              <a:lnTo>
                <a:pt x="166624" y="7620280"/>
              </a:lnTo>
              <a:lnTo>
                <a:pt x="0" y="28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131</xdr:row>
      <xdr:rowOff>99250</xdr:rowOff>
    </xdr:from>
    <xdr:ext cx="1498102" cy="182550"/>
    <xdr:sp macro="_xll.MC_OnBranchLabelClick" textlink="">
      <xdr:nvSpPr>
        <xdr:cNvPr id="192" name="MC_BN_D_root_C_revenue_growth">
          <a:extLst>
            <a:ext uri="{FF2B5EF4-FFF2-40B4-BE49-F238E27FC236}">
              <a16:creationId xmlns:a16="http://schemas.microsoft.com/office/drawing/2014/main" id="{CA936417-A790-ECA4-770B-34B18E3D2924}"/>
            </a:ext>
          </a:extLst>
        </xdr:cNvPr>
        <xdr:cNvSpPr txBox="1"/>
      </xdr:nvSpPr>
      <xdr:spPr>
        <a:xfrm>
          <a:off x="2605723" y="24921400"/>
          <a:ext cx="149810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Growth Equity Minority ($100M)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91</xdr:row>
      <xdr:rowOff>190379</xdr:rowOff>
    </xdr:from>
    <xdr:to>
      <xdr:col>3</xdr:col>
      <xdr:colOff>47626</xdr:colOff>
      <xdr:row>138</xdr:row>
      <xdr:rowOff>6351</xdr:rowOff>
    </xdr:to>
    <xdr:sp macro="" textlink="">
      <xdr:nvSpPr>
        <xdr:cNvPr id="193" name="MC_BR_D_root_T_pass">
          <a:extLst>
            <a:ext uri="{FF2B5EF4-FFF2-40B4-BE49-F238E27FC236}">
              <a16:creationId xmlns:a16="http://schemas.microsoft.com/office/drawing/2014/main" id="{6AB61525-2DF1-FCC3-CE07-B513B95B527E}"/>
            </a:ext>
          </a:extLst>
        </xdr:cNvPr>
        <xdr:cNvSpPr/>
      </xdr:nvSpPr>
      <xdr:spPr>
        <a:xfrm>
          <a:off x="2403540" y="17392529"/>
          <a:ext cx="3220974" cy="8769472"/>
        </a:xfrm>
        <a:custGeom>
          <a:avLst/>
          <a:gdLst/>
          <a:ahLst/>
          <a:cxnLst/>
          <a:rect l="0" t="0" r="0" b="0"/>
          <a:pathLst>
            <a:path w="3220974" h="8769472">
              <a:moveTo>
                <a:pt x="12697" y="0"/>
              </a:moveTo>
              <a:lnTo>
                <a:pt x="179321" y="8763000"/>
              </a:lnTo>
              <a:lnTo>
                <a:pt x="172973" y="8756771"/>
              </a:lnTo>
              <a:lnTo>
                <a:pt x="3220973" y="8756771"/>
              </a:lnTo>
              <a:lnTo>
                <a:pt x="3220973" y="8769471"/>
              </a:lnTo>
              <a:lnTo>
                <a:pt x="172973" y="8769471"/>
              </a:lnTo>
              <a:lnTo>
                <a:pt x="166624" y="8763242"/>
              </a:lnTo>
              <a:lnTo>
                <a:pt x="0" y="24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137</xdr:row>
      <xdr:rowOff>99250</xdr:rowOff>
    </xdr:from>
    <xdr:ext cx="665631" cy="182550"/>
    <xdr:sp macro="_xll.MC_OnBranchLabelClick" textlink="">
      <xdr:nvSpPr>
        <xdr:cNvPr id="194" name="MC_BN_D_root_T_pass">
          <a:extLst>
            <a:ext uri="{FF2B5EF4-FFF2-40B4-BE49-F238E27FC236}">
              <a16:creationId xmlns:a16="http://schemas.microsoft.com/office/drawing/2014/main" id="{722E6C6C-0D4A-63EC-6999-3AFBA60EAAEE}"/>
            </a:ext>
          </a:extLst>
        </xdr:cNvPr>
        <xdr:cNvSpPr txBox="1"/>
      </xdr:nvSpPr>
      <xdr:spPr>
        <a:xfrm>
          <a:off x="2605723" y="26064400"/>
          <a:ext cx="6656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Pass on Deal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84205</xdr:colOff>
      <xdr:row>41</xdr:row>
      <xdr:rowOff>184150</xdr:rowOff>
    </xdr:from>
    <xdr:to>
      <xdr:col>4</xdr:col>
      <xdr:colOff>47626</xdr:colOff>
      <xdr:row>66</xdr:row>
      <xdr:rowOff>232</xdr:rowOff>
    </xdr:to>
    <xdr:sp macro="" textlink="">
      <xdr:nvSpPr>
        <xdr:cNvPr id="195" name="MC_BR_C_ops_full_C_rev_full_high">
          <a:extLst>
            <a:ext uri="{FF2B5EF4-FFF2-40B4-BE49-F238E27FC236}">
              <a16:creationId xmlns:a16="http://schemas.microsoft.com/office/drawing/2014/main" id="{85A7505C-DEFE-8482-2CD0-02E6192EC4B3}"/>
            </a:ext>
          </a:extLst>
        </xdr:cNvPr>
        <xdr:cNvSpPr/>
      </xdr:nvSpPr>
      <xdr:spPr>
        <a:xfrm>
          <a:off x="5661093" y="7861300"/>
          <a:ext cx="2949508" cy="4578582"/>
        </a:xfrm>
        <a:custGeom>
          <a:avLst/>
          <a:gdLst/>
          <a:ahLst/>
          <a:cxnLst/>
          <a:rect l="0" t="0" r="0" b="0"/>
          <a:pathLst>
            <a:path w="2949508" h="4578582">
              <a:moveTo>
                <a:pt x="0" y="4578119"/>
              </a:moveTo>
              <a:lnTo>
                <a:pt x="166624" y="6119"/>
              </a:lnTo>
              <a:lnTo>
                <a:pt x="172970" y="0"/>
              </a:lnTo>
              <a:lnTo>
                <a:pt x="2949507" y="0"/>
              </a:lnTo>
              <a:lnTo>
                <a:pt x="2949507" y="12700"/>
              </a:lnTo>
              <a:lnTo>
                <a:pt x="172970" y="12700"/>
              </a:lnTo>
              <a:lnTo>
                <a:pt x="179315" y="6581"/>
              </a:lnTo>
              <a:lnTo>
                <a:pt x="12691" y="4578581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41</xdr:row>
      <xdr:rowOff>99251</xdr:rowOff>
    </xdr:from>
    <xdr:ext cx="1301703" cy="182550"/>
    <xdr:sp macro="_xll.MC_OnBranchLabelClick" textlink="">
      <xdr:nvSpPr>
        <xdr:cNvPr id="196" name="MC_BN_C_ops_full_C_rev_full_high">
          <a:extLst>
            <a:ext uri="{FF2B5EF4-FFF2-40B4-BE49-F238E27FC236}">
              <a16:creationId xmlns:a16="http://schemas.microsoft.com/office/drawing/2014/main" id="{984F6855-86D2-33A1-EFC9-D1DEC3BBD85B}"/>
            </a:ext>
          </a:extLst>
        </xdr:cNvPr>
        <xdr:cNvSpPr txBox="1"/>
      </xdr:nvSpPr>
      <xdr:spPr>
        <a:xfrm>
          <a:off x="5863272" y="7776401"/>
          <a:ext cx="13017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Margin Expansion +500bps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84238</xdr:colOff>
      <xdr:row>65</xdr:row>
      <xdr:rowOff>189810</xdr:rowOff>
    </xdr:from>
    <xdr:to>
      <xdr:col>4</xdr:col>
      <xdr:colOff>47626</xdr:colOff>
      <xdr:row>74</xdr:row>
      <xdr:rowOff>6351</xdr:rowOff>
    </xdr:to>
    <xdr:sp macro="" textlink="">
      <xdr:nvSpPr>
        <xdr:cNvPr id="197" name="MC_BR_C_ops_full_C_rev_full_med">
          <a:extLst>
            <a:ext uri="{FF2B5EF4-FFF2-40B4-BE49-F238E27FC236}">
              <a16:creationId xmlns:a16="http://schemas.microsoft.com/office/drawing/2014/main" id="{5AB832D8-955B-01DD-1F1E-BF01A5A52674}"/>
            </a:ext>
          </a:extLst>
        </xdr:cNvPr>
        <xdr:cNvSpPr/>
      </xdr:nvSpPr>
      <xdr:spPr>
        <a:xfrm>
          <a:off x="5661126" y="12438960"/>
          <a:ext cx="2949475" cy="1531041"/>
        </a:xfrm>
        <a:custGeom>
          <a:avLst/>
          <a:gdLst/>
          <a:ahLst/>
          <a:cxnLst/>
          <a:rect l="0" t="0" r="0" b="0"/>
          <a:pathLst>
            <a:path w="2949475" h="1531041">
              <a:moveTo>
                <a:pt x="12625" y="0"/>
              </a:moveTo>
              <a:lnTo>
                <a:pt x="179249" y="1524000"/>
              </a:lnTo>
              <a:lnTo>
                <a:pt x="172937" y="1518340"/>
              </a:lnTo>
              <a:lnTo>
                <a:pt x="2949474" y="1518340"/>
              </a:lnTo>
              <a:lnTo>
                <a:pt x="2949474" y="1531040"/>
              </a:lnTo>
              <a:lnTo>
                <a:pt x="172937" y="1531040"/>
              </a:lnTo>
              <a:lnTo>
                <a:pt x="166624" y="1525380"/>
              </a:lnTo>
              <a:lnTo>
                <a:pt x="0" y="138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73</xdr:row>
      <xdr:rowOff>99250</xdr:rowOff>
    </xdr:from>
    <xdr:ext cx="1301703" cy="182550"/>
    <xdr:sp macro="_xll.MC_OnBranchLabelClick" textlink="">
      <xdr:nvSpPr>
        <xdr:cNvPr id="198" name="MC_BN_C_ops_full_C_rev_full_med">
          <a:extLst>
            <a:ext uri="{FF2B5EF4-FFF2-40B4-BE49-F238E27FC236}">
              <a16:creationId xmlns:a16="http://schemas.microsoft.com/office/drawing/2014/main" id="{7E478E07-3983-3E6F-0A3A-A431F0F4DA6C}"/>
            </a:ext>
          </a:extLst>
        </xdr:cNvPr>
        <xdr:cNvSpPr txBox="1"/>
      </xdr:nvSpPr>
      <xdr:spPr>
        <a:xfrm>
          <a:off x="5863272" y="13872400"/>
          <a:ext cx="13017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Margin Expansion +200bps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84206</xdr:colOff>
      <xdr:row>65</xdr:row>
      <xdr:rowOff>190222</xdr:rowOff>
    </xdr:from>
    <xdr:to>
      <xdr:col>4</xdr:col>
      <xdr:colOff>47626</xdr:colOff>
      <xdr:row>86</xdr:row>
      <xdr:rowOff>6351</xdr:rowOff>
    </xdr:to>
    <xdr:sp macro="" textlink="">
      <xdr:nvSpPr>
        <xdr:cNvPr id="199" name="MC_BR_C_ops_full_C_rev_full_low">
          <a:extLst>
            <a:ext uri="{FF2B5EF4-FFF2-40B4-BE49-F238E27FC236}">
              <a16:creationId xmlns:a16="http://schemas.microsoft.com/office/drawing/2014/main" id="{6502A177-9C6F-1BBB-7099-BC4D4FC3EFE8}"/>
            </a:ext>
          </a:extLst>
        </xdr:cNvPr>
        <xdr:cNvSpPr/>
      </xdr:nvSpPr>
      <xdr:spPr>
        <a:xfrm>
          <a:off x="5661094" y="12439372"/>
          <a:ext cx="2949507" cy="3816629"/>
        </a:xfrm>
        <a:custGeom>
          <a:avLst/>
          <a:gdLst/>
          <a:ahLst/>
          <a:cxnLst/>
          <a:rect l="0" t="0" r="0" b="0"/>
          <a:pathLst>
            <a:path w="2949507" h="3816629">
              <a:moveTo>
                <a:pt x="12688" y="0"/>
              </a:moveTo>
              <a:lnTo>
                <a:pt x="179312" y="3810000"/>
              </a:lnTo>
              <a:lnTo>
                <a:pt x="172969" y="3803928"/>
              </a:lnTo>
              <a:lnTo>
                <a:pt x="2949506" y="3803928"/>
              </a:lnTo>
              <a:lnTo>
                <a:pt x="2949506" y="3816628"/>
              </a:lnTo>
              <a:lnTo>
                <a:pt x="172969" y="3816628"/>
              </a:lnTo>
              <a:lnTo>
                <a:pt x="166625" y="3810556"/>
              </a:lnTo>
              <a:lnTo>
                <a:pt x="0" y="55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85</xdr:row>
      <xdr:rowOff>99250</xdr:rowOff>
    </xdr:from>
    <xdr:ext cx="813877" cy="182550"/>
    <xdr:sp macro="_xll.MC_OnBranchLabelClick" textlink="">
      <xdr:nvSpPr>
        <xdr:cNvPr id="200" name="MC_BN_C_ops_full_C_rev_full_low">
          <a:extLst>
            <a:ext uri="{FF2B5EF4-FFF2-40B4-BE49-F238E27FC236}">
              <a16:creationId xmlns:a16="http://schemas.microsoft.com/office/drawing/2014/main" id="{018BA0CD-AEC1-C679-639E-70EBD52C9A7D}"/>
            </a:ext>
          </a:extLst>
        </xdr:cNvPr>
        <xdr:cNvSpPr txBox="1"/>
      </xdr:nvSpPr>
      <xdr:spPr>
        <a:xfrm>
          <a:off x="5863272" y="16158400"/>
          <a:ext cx="8138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Improvement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84268</xdr:colOff>
      <xdr:row>35</xdr:row>
      <xdr:rowOff>184150</xdr:rowOff>
    </xdr:from>
    <xdr:to>
      <xdr:col>5</xdr:col>
      <xdr:colOff>47626</xdr:colOff>
      <xdr:row>42</xdr:row>
      <xdr:rowOff>917</xdr:rowOff>
    </xdr:to>
    <xdr:sp macro="" textlink="">
      <xdr:nvSpPr>
        <xdr:cNvPr id="201" name="MC_BR_C_rev_full_high_D_exit_full_hh">
          <a:extLst>
            <a:ext uri="{FF2B5EF4-FFF2-40B4-BE49-F238E27FC236}">
              <a16:creationId xmlns:a16="http://schemas.microsoft.com/office/drawing/2014/main" id="{D73E0868-C7FC-4FFC-B922-648FB1CF13BB}"/>
            </a:ext>
          </a:extLst>
        </xdr:cNvPr>
        <xdr:cNvSpPr/>
      </xdr:nvSpPr>
      <xdr:spPr>
        <a:xfrm>
          <a:off x="8647243" y="6718300"/>
          <a:ext cx="3001833" cy="1150267"/>
        </a:xfrm>
        <a:custGeom>
          <a:avLst/>
          <a:gdLst/>
          <a:ahLst/>
          <a:cxnLst/>
          <a:rect l="0" t="0" r="0" b="0"/>
          <a:pathLst>
            <a:path w="3001833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3001832" y="0"/>
              </a:lnTo>
              <a:lnTo>
                <a:pt x="3001832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35</xdr:row>
      <xdr:rowOff>99251</xdr:rowOff>
    </xdr:from>
    <xdr:ext cx="1390124" cy="182550"/>
    <xdr:sp macro="_xll.MC_OnBranchLabelClick" textlink="">
      <xdr:nvSpPr>
        <xdr:cNvPr id="202" name="MC_BN_C_rev_full_high_D_exit_full_hh">
          <a:extLst>
            <a:ext uri="{FF2B5EF4-FFF2-40B4-BE49-F238E27FC236}">
              <a16:creationId xmlns:a16="http://schemas.microsoft.com/office/drawing/2014/main" id="{0A264FBB-CF0D-974D-0911-88440C57290E}"/>
            </a:ext>
          </a:extLst>
        </xdr:cNvPr>
        <xdr:cNvSpPr txBox="1"/>
      </xdr:nvSpPr>
      <xdr:spPr>
        <a:xfrm>
          <a:off x="8849360" y="6633401"/>
          <a:ext cx="13901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Revenue Growth 15%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84225</xdr:colOff>
      <xdr:row>41</xdr:row>
      <xdr:rowOff>189947</xdr:rowOff>
    </xdr:from>
    <xdr:to>
      <xdr:col>5</xdr:col>
      <xdr:colOff>47626</xdr:colOff>
      <xdr:row>52</xdr:row>
      <xdr:rowOff>6351</xdr:rowOff>
    </xdr:to>
    <xdr:sp macro="" textlink="">
      <xdr:nvSpPr>
        <xdr:cNvPr id="203" name="MC_BR_C_rev_full_high_D_exit_full_hm">
          <a:extLst>
            <a:ext uri="{FF2B5EF4-FFF2-40B4-BE49-F238E27FC236}">
              <a16:creationId xmlns:a16="http://schemas.microsoft.com/office/drawing/2014/main" id="{1E0CB56A-E20F-9148-1C20-38D1C59FA267}"/>
            </a:ext>
          </a:extLst>
        </xdr:cNvPr>
        <xdr:cNvSpPr/>
      </xdr:nvSpPr>
      <xdr:spPr>
        <a:xfrm>
          <a:off x="8647200" y="7867097"/>
          <a:ext cx="3001876" cy="1911904"/>
        </a:xfrm>
        <a:custGeom>
          <a:avLst/>
          <a:gdLst/>
          <a:ahLst/>
          <a:cxnLst/>
          <a:rect l="0" t="0" r="0" b="0"/>
          <a:pathLst>
            <a:path w="3001876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3001875" y="1899203"/>
              </a:lnTo>
              <a:lnTo>
                <a:pt x="3001875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51</xdr:row>
      <xdr:rowOff>99251</xdr:rowOff>
    </xdr:from>
    <xdr:ext cx="1025024" cy="182550"/>
    <xdr:sp macro="_xll.MC_OnBranchLabelClick" textlink="">
      <xdr:nvSpPr>
        <xdr:cNvPr id="204" name="MC_BN_C_rev_full_high_D_exit_full_hm">
          <a:extLst>
            <a:ext uri="{FF2B5EF4-FFF2-40B4-BE49-F238E27FC236}">
              <a16:creationId xmlns:a16="http://schemas.microsoft.com/office/drawing/2014/main" id="{06D54142-05D2-B544-69E6-E3B9CD52DD35}"/>
            </a:ext>
          </a:extLst>
        </xdr:cNvPr>
        <xdr:cNvSpPr txBox="1"/>
      </xdr:nvSpPr>
      <xdr:spPr>
        <a:xfrm>
          <a:off x="8849360" y="9681401"/>
          <a:ext cx="10250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Growth 8%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84209</xdr:colOff>
      <xdr:row>41</xdr:row>
      <xdr:rowOff>190191</xdr:rowOff>
    </xdr:from>
    <xdr:to>
      <xdr:col>5</xdr:col>
      <xdr:colOff>47626</xdr:colOff>
      <xdr:row>60</xdr:row>
      <xdr:rowOff>6351</xdr:rowOff>
    </xdr:to>
    <xdr:sp macro="" textlink="">
      <xdr:nvSpPr>
        <xdr:cNvPr id="205" name="MC_BR_C_rev_full_high_D_exit_full_hl">
          <a:extLst>
            <a:ext uri="{FF2B5EF4-FFF2-40B4-BE49-F238E27FC236}">
              <a16:creationId xmlns:a16="http://schemas.microsoft.com/office/drawing/2014/main" id="{CCC96905-D5E6-A80D-FDC3-9CEF6C574756}"/>
            </a:ext>
          </a:extLst>
        </xdr:cNvPr>
        <xdr:cNvSpPr/>
      </xdr:nvSpPr>
      <xdr:spPr>
        <a:xfrm>
          <a:off x="8647184" y="7867341"/>
          <a:ext cx="3001892" cy="3435660"/>
        </a:xfrm>
        <a:custGeom>
          <a:avLst/>
          <a:gdLst/>
          <a:ahLst/>
          <a:cxnLst/>
          <a:rect l="0" t="0" r="0" b="0"/>
          <a:pathLst>
            <a:path w="3001892" h="3435660">
              <a:moveTo>
                <a:pt x="12684" y="0"/>
              </a:moveTo>
              <a:lnTo>
                <a:pt x="179308" y="3429000"/>
              </a:lnTo>
              <a:lnTo>
                <a:pt x="172966" y="3422959"/>
              </a:lnTo>
              <a:lnTo>
                <a:pt x="3001891" y="3422959"/>
              </a:lnTo>
              <a:lnTo>
                <a:pt x="3001891" y="3435659"/>
              </a:lnTo>
              <a:lnTo>
                <a:pt x="172966" y="3435659"/>
              </a:lnTo>
              <a:lnTo>
                <a:pt x="166624" y="3429618"/>
              </a:lnTo>
              <a:lnTo>
                <a:pt x="0" y="61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59</xdr:row>
      <xdr:rowOff>99251</xdr:rowOff>
    </xdr:from>
    <xdr:ext cx="665631" cy="182550"/>
    <xdr:sp macro="_xll.MC_OnBranchLabelClick" textlink="">
      <xdr:nvSpPr>
        <xdr:cNvPr id="206" name="MC_BN_C_rev_full_high_D_exit_full_hl">
          <a:extLst>
            <a:ext uri="{FF2B5EF4-FFF2-40B4-BE49-F238E27FC236}">
              <a16:creationId xmlns:a16="http://schemas.microsoft.com/office/drawing/2014/main" id="{FFF8081D-7B24-7DBA-4DE5-E21721EC0DBD}"/>
            </a:ext>
          </a:extLst>
        </xdr:cNvPr>
        <xdr:cNvSpPr txBox="1"/>
      </xdr:nvSpPr>
      <xdr:spPr>
        <a:xfrm>
          <a:off x="8849360" y="11205401"/>
          <a:ext cx="6656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Flat Revenue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84268</xdr:colOff>
      <xdr:row>29</xdr:row>
      <xdr:rowOff>184150</xdr:rowOff>
    </xdr:from>
    <xdr:to>
      <xdr:col>6</xdr:col>
      <xdr:colOff>47626</xdr:colOff>
      <xdr:row>36</xdr:row>
      <xdr:rowOff>917</xdr:rowOff>
    </xdr:to>
    <xdr:sp macro="" textlink="">
      <xdr:nvSpPr>
        <xdr:cNvPr id="207" name="MC_BR_D_exit_full_hh_C_ipo_full_hh">
          <a:extLst>
            <a:ext uri="{FF2B5EF4-FFF2-40B4-BE49-F238E27FC236}">
              <a16:creationId xmlns:a16="http://schemas.microsoft.com/office/drawing/2014/main" id="{542B605D-BB8F-9466-7638-033C72F282C8}"/>
            </a:ext>
          </a:extLst>
        </xdr:cNvPr>
        <xdr:cNvSpPr/>
      </xdr:nvSpPr>
      <xdr:spPr>
        <a:xfrm>
          <a:off x="11685718" y="5575300"/>
          <a:ext cx="2777996" cy="1150267"/>
        </a:xfrm>
        <a:custGeom>
          <a:avLst/>
          <a:gdLst/>
          <a:ahLst/>
          <a:cxnLst/>
          <a:rect l="0" t="0" r="0" b="0"/>
          <a:pathLst>
            <a:path w="2777996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2777995" y="0"/>
              </a:lnTo>
              <a:lnTo>
                <a:pt x="2777995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29</xdr:row>
      <xdr:rowOff>99251</xdr:rowOff>
    </xdr:from>
    <xdr:ext cx="232179" cy="182550"/>
    <xdr:sp macro="_xll.MC_OnBranchLabelClick" textlink="">
      <xdr:nvSpPr>
        <xdr:cNvPr id="208" name="MC_BN_D_exit_full_hh_C_ipo_full_hh">
          <a:extLst>
            <a:ext uri="{FF2B5EF4-FFF2-40B4-BE49-F238E27FC236}">
              <a16:creationId xmlns:a16="http://schemas.microsoft.com/office/drawing/2014/main" id="{731CA1F7-242D-65A6-929C-C982166FE85E}"/>
            </a:ext>
          </a:extLst>
        </xdr:cNvPr>
        <xdr:cNvSpPr txBox="1"/>
      </xdr:nvSpPr>
      <xdr:spPr>
        <a:xfrm>
          <a:off x="11887835" y="5490401"/>
          <a:ext cx="2321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IPO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35</xdr:row>
      <xdr:rowOff>187956</xdr:rowOff>
    </xdr:from>
    <xdr:to>
      <xdr:col>6</xdr:col>
      <xdr:colOff>47626</xdr:colOff>
      <xdr:row>38</xdr:row>
      <xdr:rowOff>6351</xdr:rowOff>
    </xdr:to>
    <xdr:sp macro="" textlink="">
      <xdr:nvSpPr>
        <xdr:cNvPr id="209" name="MC_BR_D_exit_full_hh_T_strat_full_hh">
          <a:extLst>
            <a:ext uri="{FF2B5EF4-FFF2-40B4-BE49-F238E27FC236}">
              <a16:creationId xmlns:a16="http://schemas.microsoft.com/office/drawing/2014/main" id="{5071E0C8-678C-5B78-EB20-BD804890AEC2}"/>
            </a:ext>
          </a:extLst>
        </xdr:cNvPr>
        <xdr:cNvSpPr/>
      </xdr:nvSpPr>
      <xdr:spPr>
        <a:xfrm>
          <a:off x="11686183" y="67221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37</xdr:row>
      <xdr:rowOff>99251</xdr:rowOff>
    </xdr:from>
    <xdr:ext cx="694164" cy="182550"/>
    <xdr:sp macro="_xll.MC_OnBranchLabelClick" textlink="">
      <xdr:nvSpPr>
        <xdr:cNvPr id="210" name="MC_BN_D_exit_full_hh_T_strat_full_hh">
          <a:extLst>
            <a:ext uri="{FF2B5EF4-FFF2-40B4-BE49-F238E27FC236}">
              <a16:creationId xmlns:a16="http://schemas.microsoft.com/office/drawing/2014/main" id="{B76AAFAF-82DE-4BCA-1FEA-BD1529FE5B62}"/>
            </a:ext>
          </a:extLst>
        </xdr:cNvPr>
        <xdr:cNvSpPr txBox="1"/>
      </xdr:nvSpPr>
      <xdr:spPr>
        <a:xfrm>
          <a:off x="11887835" y="7014401"/>
          <a:ext cx="6941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Strategic Sale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35</xdr:row>
      <xdr:rowOff>189143</xdr:rowOff>
    </xdr:from>
    <xdr:to>
      <xdr:col>6</xdr:col>
      <xdr:colOff>47626</xdr:colOff>
      <xdr:row>40</xdr:row>
      <xdr:rowOff>6351</xdr:rowOff>
    </xdr:to>
    <xdr:sp macro="" textlink="">
      <xdr:nvSpPr>
        <xdr:cNvPr id="211" name="MC_BR_D_exit_full_hh_T_sec_full_hh">
          <a:extLst>
            <a:ext uri="{FF2B5EF4-FFF2-40B4-BE49-F238E27FC236}">
              <a16:creationId xmlns:a16="http://schemas.microsoft.com/office/drawing/2014/main" id="{E91B9F08-0C3E-FA27-31C0-F292B372C464}"/>
            </a:ext>
          </a:extLst>
        </xdr:cNvPr>
        <xdr:cNvSpPr/>
      </xdr:nvSpPr>
      <xdr:spPr>
        <a:xfrm>
          <a:off x="11685798" y="67232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39</xdr:row>
      <xdr:rowOff>99251</xdr:rowOff>
    </xdr:from>
    <xdr:ext cx="893899" cy="182550"/>
    <xdr:sp macro="_xll.MC_OnBranchLabelClick" textlink="">
      <xdr:nvSpPr>
        <xdr:cNvPr id="212" name="MC_BN_D_exit_full_hh_T_sec_full_hh">
          <a:extLst>
            <a:ext uri="{FF2B5EF4-FFF2-40B4-BE49-F238E27FC236}">
              <a16:creationId xmlns:a16="http://schemas.microsoft.com/office/drawing/2014/main" id="{0FE08407-AB66-723D-500A-8F0A14277E5F}"/>
            </a:ext>
          </a:extLst>
        </xdr:cNvPr>
        <xdr:cNvSpPr txBox="1"/>
      </xdr:nvSpPr>
      <xdr:spPr>
        <a:xfrm>
          <a:off x="11887835" y="7395401"/>
          <a:ext cx="89389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Secondary Buyout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27</xdr:row>
      <xdr:rowOff>184150</xdr:rowOff>
    </xdr:from>
    <xdr:to>
      <xdr:col>7</xdr:col>
      <xdr:colOff>47626</xdr:colOff>
      <xdr:row>30</xdr:row>
      <xdr:rowOff>2545</xdr:rowOff>
    </xdr:to>
    <xdr:sp macro="" textlink="">
      <xdr:nvSpPr>
        <xdr:cNvPr id="213" name="MC_BR_C_ipo_full_hh_T_ipo_full_hh_hot">
          <a:extLst>
            <a:ext uri="{FF2B5EF4-FFF2-40B4-BE49-F238E27FC236}">
              <a16:creationId xmlns:a16="http://schemas.microsoft.com/office/drawing/2014/main" id="{2D5CA67C-2BDB-08C4-DE6A-ECDF14A3CF1F}"/>
            </a:ext>
          </a:extLst>
        </xdr:cNvPr>
        <xdr:cNvSpPr/>
      </xdr:nvSpPr>
      <xdr:spPr>
        <a:xfrm>
          <a:off x="14500820" y="51943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863255" y="0"/>
              </a:lnTo>
              <a:lnTo>
                <a:pt x="28632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27</xdr:row>
      <xdr:rowOff>99251</xdr:rowOff>
    </xdr:from>
    <xdr:ext cx="762516" cy="182550"/>
    <xdr:sp macro="_xll.MC_OnBranchLabelClick" textlink="">
      <xdr:nvSpPr>
        <xdr:cNvPr id="214" name="MC_BN_C_ipo_full_hh_T_ipo_full_hh_hot">
          <a:extLst>
            <a:ext uri="{FF2B5EF4-FFF2-40B4-BE49-F238E27FC236}">
              <a16:creationId xmlns:a16="http://schemas.microsoft.com/office/drawing/2014/main" id="{88F4640F-7BBC-980C-EC07-06474D27A6A1}"/>
            </a:ext>
          </a:extLst>
        </xdr:cNvPr>
        <xdr:cNvSpPr txBox="1"/>
      </xdr:nvSpPr>
      <xdr:spPr>
        <a:xfrm>
          <a:off x="14702473" y="5109401"/>
          <a:ext cx="7625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Hot IPO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29</xdr:row>
      <xdr:rowOff>187956</xdr:rowOff>
    </xdr:from>
    <xdr:to>
      <xdr:col>7</xdr:col>
      <xdr:colOff>47626</xdr:colOff>
      <xdr:row>32</xdr:row>
      <xdr:rowOff>6351</xdr:rowOff>
    </xdr:to>
    <xdr:sp macro="" textlink="">
      <xdr:nvSpPr>
        <xdr:cNvPr id="215" name="MC_BR_C_ipo_full_hh_T_ipo_full_hh_norm">
          <a:extLst>
            <a:ext uri="{FF2B5EF4-FFF2-40B4-BE49-F238E27FC236}">
              <a16:creationId xmlns:a16="http://schemas.microsoft.com/office/drawing/2014/main" id="{1DC30C45-4E0C-E7A8-7F49-85F3880A3BE0}"/>
            </a:ext>
          </a:extLst>
        </xdr:cNvPr>
        <xdr:cNvSpPr/>
      </xdr:nvSpPr>
      <xdr:spPr>
        <a:xfrm>
          <a:off x="14500820" y="55791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31</xdr:row>
      <xdr:rowOff>99251</xdr:rowOff>
    </xdr:from>
    <xdr:ext cx="728148" cy="182550"/>
    <xdr:sp macro="_xll.MC_OnBranchLabelClick" textlink="">
      <xdr:nvSpPr>
        <xdr:cNvPr id="216" name="MC_BN_C_ipo_full_hh_T_ipo_full_hh_norm">
          <a:extLst>
            <a:ext uri="{FF2B5EF4-FFF2-40B4-BE49-F238E27FC236}">
              <a16:creationId xmlns:a16="http://schemas.microsoft.com/office/drawing/2014/main" id="{1B1EB239-9269-6435-8819-B367D4563CE9}"/>
            </a:ext>
          </a:extLst>
        </xdr:cNvPr>
        <xdr:cNvSpPr txBox="1"/>
      </xdr:nvSpPr>
      <xdr:spPr>
        <a:xfrm>
          <a:off x="14702473" y="5871401"/>
          <a:ext cx="7281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84348</xdr:colOff>
      <xdr:row>29</xdr:row>
      <xdr:rowOff>189143</xdr:rowOff>
    </xdr:from>
    <xdr:to>
      <xdr:col>7</xdr:col>
      <xdr:colOff>47626</xdr:colOff>
      <xdr:row>34</xdr:row>
      <xdr:rowOff>6351</xdr:rowOff>
    </xdr:to>
    <xdr:sp macro="" textlink="">
      <xdr:nvSpPr>
        <xdr:cNvPr id="217" name="MC_BR_C_ipo_full_hh_T_ipo_full_hh_weak">
          <a:extLst>
            <a:ext uri="{FF2B5EF4-FFF2-40B4-BE49-F238E27FC236}">
              <a16:creationId xmlns:a16="http://schemas.microsoft.com/office/drawing/2014/main" id="{E79EE1CB-07D9-9A8D-C97B-DD82BC6EA162}"/>
            </a:ext>
          </a:extLst>
        </xdr:cNvPr>
        <xdr:cNvSpPr/>
      </xdr:nvSpPr>
      <xdr:spPr>
        <a:xfrm>
          <a:off x="14500436" y="5580293"/>
          <a:ext cx="2863640" cy="769708"/>
        </a:xfrm>
        <a:custGeom>
          <a:avLst/>
          <a:gdLst/>
          <a:ahLst/>
          <a:cxnLst/>
          <a:rect l="0" t="0" r="0" b="0"/>
          <a:pathLst>
            <a:path w="2863640" h="769708">
              <a:moveTo>
                <a:pt x="12405" y="0"/>
              </a:moveTo>
              <a:lnTo>
                <a:pt x="179029" y="762000"/>
              </a:lnTo>
              <a:lnTo>
                <a:pt x="172827" y="757007"/>
              </a:lnTo>
              <a:lnTo>
                <a:pt x="2863639" y="757007"/>
              </a:lnTo>
              <a:lnTo>
                <a:pt x="2863639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33</xdr:row>
      <xdr:rowOff>99251</xdr:rowOff>
    </xdr:from>
    <xdr:ext cx="659796" cy="182550"/>
    <xdr:sp macro="_xll.MC_OnBranchLabelClick" textlink="">
      <xdr:nvSpPr>
        <xdr:cNvPr id="218" name="MC_BN_C_ipo_full_hh_T_ipo_full_hh_weak">
          <a:extLst>
            <a:ext uri="{FF2B5EF4-FFF2-40B4-BE49-F238E27FC236}">
              <a16:creationId xmlns:a16="http://schemas.microsoft.com/office/drawing/2014/main" id="{B0210841-3559-BAE2-BADC-439F0D789625}"/>
            </a:ext>
          </a:extLst>
        </xdr:cNvPr>
        <xdr:cNvSpPr txBox="1"/>
      </xdr:nvSpPr>
      <xdr:spPr>
        <a:xfrm>
          <a:off x="14702473" y="6252401"/>
          <a:ext cx="65979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84268</xdr:colOff>
      <xdr:row>45</xdr:row>
      <xdr:rowOff>184150</xdr:rowOff>
    </xdr:from>
    <xdr:to>
      <xdr:col>6</xdr:col>
      <xdr:colOff>47626</xdr:colOff>
      <xdr:row>52</xdr:row>
      <xdr:rowOff>917</xdr:rowOff>
    </xdr:to>
    <xdr:sp macro="" textlink="">
      <xdr:nvSpPr>
        <xdr:cNvPr id="219" name="MC_BR_D_exit_full_hm_C_ipo_full_hm">
          <a:extLst>
            <a:ext uri="{FF2B5EF4-FFF2-40B4-BE49-F238E27FC236}">
              <a16:creationId xmlns:a16="http://schemas.microsoft.com/office/drawing/2014/main" id="{90FCBC51-DCC5-39C0-78CF-38C99C0FD19F}"/>
            </a:ext>
          </a:extLst>
        </xdr:cNvPr>
        <xdr:cNvSpPr/>
      </xdr:nvSpPr>
      <xdr:spPr>
        <a:xfrm>
          <a:off x="11685718" y="8623300"/>
          <a:ext cx="2777996" cy="1150267"/>
        </a:xfrm>
        <a:custGeom>
          <a:avLst/>
          <a:gdLst/>
          <a:ahLst/>
          <a:cxnLst/>
          <a:rect l="0" t="0" r="0" b="0"/>
          <a:pathLst>
            <a:path w="2777996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2777995" y="0"/>
              </a:lnTo>
              <a:lnTo>
                <a:pt x="2777995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45</xdr:row>
      <xdr:rowOff>99251</xdr:rowOff>
    </xdr:from>
    <xdr:ext cx="232179" cy="182550"/>
    <xdr:sp macro="_xll.MC_OnBranchLabelClick" textlink="">
      <xdr:nvSpPr>
        <xdr:cNvPr id="220" name="MC_BN_D_exit_full_hm_C_ipo_full_hm">
          <a:extLst>
            <a:ext uri="{FF2B5EF4-FFF2-40B4-BE49-F238E27FC236}">
              <a16:creationId xmlns:a16="http://schemas.microsoft.com/office/drawing/2014/main" id="{03D5ADBE-3AE2-F6A2-F5BD-2B5E26097315}"/>
            </a:ext>
          </a:extLst>
        </xdr:cNvPr>
        <xdr:cNvSpPr txBox="1"/>
      </xdr:nvSpPr>
      <xdr:spPr>
        <a:xfrm>
          <a:off x="11887835" y="8538401"/>
          <a:ext cx="2321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IPO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51</xdr:row>
      <xdr:rowOff>187956</xdr:rowOff>
    </xdr:from>
    <xdr:to>
      <xdr:col>6</xdr:col>
      <xdr:colOff>47626</xdr:colOff>
      <xdr:row>54</xdr:row>
      <xdr:rowOff>6351</xdr:rowOff>
    </xdr:to>
    <xdr:sp macro="" textlink="">
      <xdr:nvSpPr>
        <xdr:cNvPr id="221" name="MC_BR_D_exit_full_hm_T_strat_full_hm">
          <a:extLst>
            <a:ext uri="{FF2B5EF4-FFF2-40B4-BE49-F238E27FC236}">
              <a16:creationId xmlns:a16="http://schemas.microsoft.com/office/drawing/2014/main" id="{E105C4E7-3561-9D77-C9A1-71E4CB0C3ABB}"/>
            </a:ext>
          </a:extLst>
        </xdr:cNvPr>
        <xdr:cNvSpPr/>
      </xdr:nvSpPr>
      <xdr:spPr>
        <a:xfrm>
          <a:off x="11686183" y="97701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53</xdr:row>
      <xdr:rowOff>99251</xdr:rowOff>
    </xdr:from>
    <xdr:ext cx="694164" cy="182550"/>
    <xdr:sp macro="_xll.MC_OnBranchLabelClick" textlink="">
      <xdr:nvSpPr>
        <xdr:cNvPr id="222" name="MC_BN_D_exit_full_hm_T_strat_full_hm">
          <a:extLst>
            <a:ext uri="{FF2B5EF4-FFF2-40B4-BE49-F238E27FC236}">
              <a16:creationId xmlns:a16="http://schemas.microsoft.com/office/drawing/2014/main" id="{55C19106-653E-6B8A-2AD7-047C4BE44EB4}"/>
            </a:ext>
          </a:extLst>
        </xdr:cNvPr>
        <xdr:cNvSpPr txBox="1"/>
      </xdr:nvSpPr>
      <xdr:spPr>
        <a:xfrm>
          <a:off x="11887835" y="10062401"/>
          <a:ext cx="6941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Strategic Sale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51</xdr:row>
      <xdr:rowOff>189143</xdr:rowOff>
    </xdr:from>
    <xdr:to>
      <xdr:col>6</xdr:col>
      <xdr:colOff>47626</xdr:colOff>
      <xdr:row>56</xdr:row>
      <xdr:rowOff>6351</xdr:rowOff>
    </xdr:to>
    <xdr:sp macro="" textlink="">
      <xdr:nvSpPr>
        <xdr:cNvPr id="223" name="MC_BR_D_exit_full_hm_T_sec_full_hm">
          <a:extLst>
            <a:ext uri="{FF2B5EF4-FFF2-40B4-BE49-F238E27FC236}">
              <a16:creationId xmlns:a16="http://schemas.microsoft.com/office/drawing/2014/main" id="{374B2C9E-D002-DE3A-D7AF-A4659AB2F64D}"/>
            </a:ext>
          </a:extLst>
        </xdr:cNvPr>
        <xdr:cNvSpPr/>
      </xdr:nvSpPr>
      <xdr:spPr>
        <a:xfrm>
          <a:off x="11685798" y="97712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55</xdr:row>
      <xdr:rowOff>99251</xdr:rowOff>
    </xdr:from>
    <xdr:ext cx="893899" cy="182550"/>
    <xdr:sp macro="_xll.MC_OnBranchLabelClick" textlink="">
      <xdr:nvSpPr>
        <xdr:cNvPr id="224" name="MC_BN_D_exit_full_hm_T_sec_full_hm">
          <a:extLst>
            <a:ext uri="{FF2B5EF4-FFF2-40B4-BE49-F238E27FC236}">
              <a16:creationId xmlns:a16="http://schemas.microsoft.com/office/drawing/2014/main" id="{863F7CB8-9A45-E635-3EB0-70A654336C08}"/>
            </a:ext>
          </a:extLst>
        </xdr:cNvPr>
        <xdr:cNvSpPr txBox="1"/>
      </xdr:nvSpPr>
      <xdr:spPr>
        <a:xfrm>
          <a:off x="11887835" y="10443401"/>
          <a:ext cx="89389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Secondary Buyout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43</xdr:row>
      <xdr:rowOff>184150</xdr:rowOff>
    </xdr:from>
    <xdr:to>
      <xdr:col>7</xdr:col>
      <xdr:colOff>47626</xdr:colOff>
      <xdr:row>46</xdr:row>
      <xdr:rowOff>2545</xdr:rowOff>
    </xdr:to>
    <xdr:sp macro="" textlink="">
      <xdr:nvSpPr>
        <xdr:cNvPr id="225" name="MC_BR_C_ipo_full_hm_T_ipo_full_hm_hot">
          <a:extLst>
            <a:ext uri="{FF2B5EF4-FFF2-40B4-BE49-F238E27FC236}">
              <a16:creationId xmlns:a16="http://schemas.microsoft.com/office/drawing/2014/main" id="{3DBA5E66-05EF-594F-6F1C-209821FA76F0}"/>
            </a:ext>
          </a:extLst>
        </xdr:cNvPr>
        <xdr:cNvSpPr/>
      </xdr:nvSpPr>
      <xdr:spPr>
        <a:xfrm>
          <a:off x="14500820" y="82423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863255" y="0"/>
              </a:lnTo>
              <a:lnTo>
                <a:pt x="28632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43</xdr:row>
      <xdr:rowOff>99251</xdr:rowOff>
    </xdr:from>
    <xdr:ext cx="762516" cy="182550"/>
    <xdr:sp macro="_xll.MC_OnBranchLabelClick" textlink="">
      <xdr:nvSpPr>
        <xdr:cNvPr id="226" name="MC_BN_C_ipo_full_hm_T_ipo_full_hm_hot">
          <a:extLst>
            <a:ext uri="{FF2B5EF4-FFF2-40B4-BE49-F238E27FC236}">
              <a16:creationId xmlns:a16="http://schemas.microsoft.com/office/drawing/2014/main" id="{26CF4543-A00F-B21E-D25A-66AC447C2DB1}"/>
            </a:ext>
          </a:extLst>
        </xdr:cNvPr>
        <xdr:cNvSpPr txBox="1"/>
      </xdr:nvSpPr>
      <xdr:spPr>
        <a:xfrm>
          <a:off x="14702473" y="8157401"/>
          <a:ext cx="7625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Hot IPO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45</xdr:row>
      <xdr:rowOff>187956</xdr:rowOff>
    </xdr:from>
    <xdr:to>
      <xdr:col>7</xdr:col>
      <xdr:colOff>47626</xdr:colOff>
      <xdr:row>48</xdr:row>
      <xdr:rowOff>6351</xdr:rowOff>
    </xdr:to>
    <xdr:sp macro="" textlink="">
      <xdr:nvSpPr>
        <xdr:cNvPr id="227" name="MC_BR_C_ipo_full_hm_T_ipo_full_hm_norm">
          <a:extLst>
            <a:ext uri="{FF2B5EF4-FFF2-40B4-BE49-F238E27FC236}">
              <a16:creationId xmlns:a16="http://schemas.microsoft.com/office/drawing/2014/main" id="{DA3230AD-1362-7E64-B723-8A8B22BE3F1E}"/>
            </a:ext>
          </a:extLst>
        </xdr:cNvPr>
        <xdr:cNvSpPr/>
      </xdr:nvSpPr>
      <xdr:spPr>
        <a:xfrm>
          <a:off x="14500820" y="86271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47</xdr:row>
      <xdr:rowOff>99251</xdr:rowOff>
    </xdr:from>
    <xdr:ext cx="728148" cy="182550"/>
    <xdr:sp macro="_xll.MC_OnBranchLabelClick" textlink="">
      <xdr:nvSpPr>
        <xdr:cNvPr id="228" name="MC_BN_C_ipo_full_hm_T_ipo_full_hm_norm">
          <a:extLst>
            <a:ext uri="{FF2B5EF4-FFF2-40B4-BE49-F238E27FC236}">
              <a16:creationId xmlns:a16="http://schemas.microsoft.com/office/drawing/2014/main" id="{21D9DE2B-4FDE-083E-2D20-038D22DB441B}"/>
            </a:ext>
          </a:extLst>
        </xdr:cNvPr>
        <xdr:cNvSpPr txBox="1"/>
      </xdr:nvSpPr>
      <xdr:spPr>
        <a:xfrm>
          <a:off x="14702473" y="8919401"/>
          <a:ext cx="7281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84348</xdr:colOff>
      <xdr:row>45</xdr:row>
      <xdr:rowOff>189143</xdr:rowOff>
    </xdr:from>
    <xdr:to>
      <xdr:col>7</xdr:col>
      <xdr:colOff>47626</xdr:colOff>
      <xdr:row>50</xdr:row>
      <xdr:rowOff>6351</xdr:rowOff>
    </xdr:to>
    <xdr:sp macro="" textlink="">
      <xdr:nvSpPr>
        <xdr:cNvPr id="229" name="MC_BR_C_ipo_full_hm_T_ipo_full_hm_weak">
          <a:extLst>
            <a:ext uri="{FF2B5EF4-FFF2-40B4-BE49-F238E27FC236}">
              <a16:creationId xmlns:a16="http://schemas.microsoft.com/office/drawing/2014/main" id="{A821CE15-0F3E-5FAF-37CD-53C39DF6CCAC}"/>
            </a:ext>
          </a:extLst>
        </xdr:cNvPr>
        <xdr:cNvSpPr/>
      </xdr:nvSpPr>
      <xdr:spPr>
        <a:xfrm>
          <a:off x="14500436" y="8628293"/>
          <a:ext cx="2863640" cy="769708"/>
        </a:xfrm>
        <a:custGeom>
          <a:avLst/>
          <a:gdLst/>
          <a:ahLst/>
          <a:cxnLst/>
          <a:rect l="0" t="0" r="0" b="0"/>
          <a:pathLst>
            <a:path w="2863640" h="769708">
              <a:moveTo>
                <a:pt x="12405" y="0"/>
              </a:moveTo>
              <a:lnTo>
                <a:pt x="179029" y="762000"/>
              </a:lnTo>
              <a:lnTo>
                <a:pt x="172827" y="757007"/>
              </a:lnTo>
              <a:lnTo>
                <a:pt x="2863639" y="757007"/>
              </a:lnTo>
              <a:lnTo>
                <a:pt x="2863639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49</xdr:row>
      <xdr:rowOff>99251</xdr:rowOff>
    </xdr:from>
    <xdr:ext cx="659796" cy="182550"/>
    <xdr:sp macro="_xll.MC_OnBranchLabelClick" textlink="">
      <xdr:nvSpPr>
        <xdr:cNvPr id="230" name="MC_BN_C_ipo_full_hm_T_ipo_full_hm_weak">
          <a:extLst>
            <a:ext uri="{FF2B5EF4-FFF2-40B4-BE49-F238E27FC236}">
              <a16:creationId xmlns:a16="http://schemas.microsoft.com/office/drawing/2014/main" id="{B86DFFB8-51FD-FD87-1633-8E08563E757C}"/>
            </a:ext>
          </a:extLst>
        </xdr:cNvPr>
        <xdr:cNvSpPr txBox="1"/>
      </xdr:nvSpPr>
      <xdr:spPr>
        <a:xfrm>
          <a:off x="14702473" y="9300401"/>
          <a:ext cx="65979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57</xdr:row>
      <xdr:rowOff>184150</xdr:rowOff>
    </xdr:from>
    <xdr:to>
      <xdr:col>6</xdr:col>
      <xdr:colOff>47626</xdr:colOff>
      <xdr:row>60</xdr:row>
      <xdr:rowOff>2545</xdr:rowOff>
    </xdr:to>
    <xdr:sp macro="" textlink="">
      <xdr:nvSpPr>
        <xdr:cNvPr id="231" name="MC_BR_D_exit_full_hl_T_strat_full_hl">
          <a:extLst>
            <a:ext uri="{FF2B5EF4-FFF2-40B4-BE49-F238E27FC236}">
              <a16:creationId xmlns:a16="http://schemas.microsoft.com/office/drawing/2014/main" id="{23AA7EA9-E6AF-3A70-DD40-176BC520CCB3}"/>
            </a:ext>
          </a:extLst>
        </xdr:cNvPr>
        <xdr:cNvSpPr/>
      </xdr:nvSpPr>
      <xdr:spPr>
        <a:xfrm>
          <a:off x="11686183" y="109093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57</xdr:row>
      <xdr:rowOff>99251</xdr:rowOff>
    </xdr:from>
    <xdr:ext cx="694164" cy="182550"/>
    <xdr:sp macro="_xll.MC_OnBranchLabelClick" textlink="">
      <xdr:nvSpPr>
        <xdr:cNvPr id="232" name="MC_BN_D_exit_full_hl_T_strat_full_hl">
          <a:extLst>
            <a:ext uri="{FF2B5EF4-FFF2-40B4-BE49-F238E27FC236}">
              <a16:creationId xmlns:a16="http://schemas.microsoft.com/office/drawing/2014/main" id="{B1C407E9-0E26-249C-362C-62694B850A7B}"/>
            </a:ext>
          </a:extLst>
        </xdr:cNvPr>
        <xdr:cNvSpPr txBox="1"/>
      </xdr:nvSpPr>
      <xdr:spPr>
        <a:xfrm>
          <a:off x="11887835" y="10824401"/>
          <a:ext cx="6941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Strategic Sale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59</xdr:row>
      <xdr:rowOff>187956</xdr:rowOff>
    </xdr:from>
    <xdr:to>
      <xdr:col>6</xdr:col>
      <xdr:colOff>47626</xdr:colOff>
      <xdr:row>62</xdr:row>
      <xdr:rowOff>6351</xdr:rowOff>
    </xdr:to>
    <xdr:sp macro="" textlink="">
      <xdr:nvSpPr>
        <xdr:cNvPr id="233" name="MC_BR_D_exit_full_hl_T_sec_full_hl">
          <a:extLst>
            <a:ext uri="{FF2B5EF4-FFF2-40B4-BE49-F238E27FC236}">
              <a16:creationId xmlns:a16="http://schemas.microsoft.com/office/drawing/2014/main" id="{4DFCEDC0-8BAB-1365-6066-4CB3524799F1}"/>
            </a:ext>
          </a:extLst>
        </xdr:cNvPr>
        <xdr:cNvSpPr/>
      </xdr:nvSpPr>
      <xdr:spPr>
        <a:xfrm>
          <a:off x="11686183" y="112941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61</xdr:row>
      <xdr:rowOff>99251</xdr:rowOff>
    </xdr:from>
    <xdr:ext cx="893899" cy="182550"/>
    <xdr:sp macro="_xll.MC_OnBranchLabelClick" textlink="">
      <xdr:nvSpPr>
        <xdr:cNvPr id="234" name="MC_BN_D_exit_full_hl_T_sec_full_hl">
          <a:extLst>
            <a:ext uri="{FF2B5EF4-FFF2-40B4-BE49-F238E27FC236}">
              <a16:creationId xmlns:a16="http://schemas.microsoft.com/office/drawing/2014/main" id="{C2C94AF5-BFA5-D20B-920B-2070DD5C0F39}"/>
            </a:ext>
          </a:extLst>
        </xdr:cNvPr>
        <xdr:cNvSpPr txBox="1"/>
      </xdr:nvSpPr>
      <xdr:spPr>
        <a:xfrm>
          <a:off x="11887835" y="11586401"/>
          <a:ext cx="89389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Secondary Buyout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59</xdr:row>
      <xdr:rowOff>189143</xdr:rowOff>
    </xdr:from>
    <xdr:to>
      <xdr:col>6</xdr:col>
      <xdr:colOff>47626</xdr:colOff>
      <xdr:row>64</xdr:row>
      <xdr:rowOff>6351</xdr:rowOff>
    </xdr:to>
    <xdr:sp macro="" textlink="">
      <xdr:nvSpPr>
        <xdr:cNvPr id="235" name="MC_BR_D_exit_full_hl_T_hold_full_hl">
          <a:extLst>
            <a:ext uri="{FF2B5EF4-FFF2-40B4-BE49-F238E27FC236}">
              <a16:creationId xmlns:a16="http://schemas.microsoft.com/office/drawing/2014/main" id="{CD4A810F-67FC-E5CD-4709-54E62A4FF9B7}"/>
            </a:ext>
          </a:extLst>
        </xdr:cNvPr>
        <xdr:cNvSpPr/>
      </xdr:nvSpPr>
      <xdr:spPr>
        <a:xfrm>
          <a:off x="11685798" y="112952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63</xdr:row>
      <xdr:rowOff>99251</xdr:rowOff>
    </xdr:from>
    <xdr:ext cx="1024961" cy="182550"/>
    <xdr:sp macro="_xll.MC_OnBranchLabelClick" textlink="">
      <xdr:nvSpPr>
        <xdr:cNvPr id="236" name="MC_BN_D_exit_full_hl_T_hold_full_hl">
          <a:extLst>
            <a:ext uri="{FF2B5EF4-FFF2-40B4-BE49-F238E27FC236}">
              <a16:creationId xmlns:a16="http://schemas.microsoft.com/office/drawing/2014/main" id="{7C5D5CD2-4E89-A2ED-83DC-3707E6309AFF}"/>
            </a:ext>
          </a:extLst>
        </xdr:cNvPr>
        <xdr:cNvSpPr txBox="1"/>
      </xdr:nvSpPr>
      <xdr:spPr>
        <a:xfrm>
          <a:off x="11887835" y="11967401"/>
          <a:ext cx="102496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Hold and Restructure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69</xdr:row>
      <xdr:rowOff>184150</xdr:rowOff>
    </xdr:from>
    <xdr:to>
      <xdr:col>5</xdr:col>
      <xdr:colOff>47626</xdr:colOff>
      <xdr:row>74</xdr:row>
      <xdr:rowOff>1358</xdr:rowOff>
    </xdr:to>
    <xdr:sp macro="" textlink="">
      <xdr:nvSpPr>
        <xdr:cNvPr id="237" name="MC_BR_C_rev_full_med_C_debt_full_ms">
          <a:extLst>
            <a:ext uri="{FF2B5EF4-FFF2-40B4-BE49-F238E27FC236}">
              <a16:creationId xmlns:a16="http://schemas.microsoft.com/office/drawing/2014/main" id="{58EE2789-0552-E0F0-485A-16E95AEC2EB5}"/>
            </a:ext>
          </a:extLst>
        </xdr:cNvPr>
        <xdr:cNvSpPr/>
      </xdr:nvSpPr>
      <xdr:spPr>
        <a:xfrm>
          <a:off x="8647323" y="13195300"/>
          <a:ext cx="3001753" cy="769708"/>
        </a:xfrm>
        <a:custGeom>
          <a:avLst/>
          <a:gdLst/>
          <a:ahLst/>
          <a:cxnLst/>
          <a:rect l="0" t="0" r="0" b="0"/>
          <a:pathLst>
            <a:path w="3001753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3001752" y="0"/>
              </a:lnTo>
              <a:lnTo>
                <a:pt x="3001752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69</xdr:row>
      <xdr:rowOff>99250</xdr:rowOff>
    </xdr:from>
    <xdr:ext cx="1156214" cy="182550"/>
    <xdr:sp macro="_xll.MC_OnBranchLabelClick" textlink="">
      <xdr:nvSpPr>
        <xdr:cNvPr id="238" name="MC_BN_C_rev_full_med_C_debt_full_ms">
          <a:extLst>
            <a:ext uri="{FF2B5EF4-FFF2-40B4-BE49-F238E27FC236}">
              <a16:creationId xmlns:a16="http://schemas.microsoft.com/office/drawing/2014/main" id="{4877840C-5966-D06A-42F0-1D2203557694}"/>
            </a:ext>
          </a:extLst>
        </xdr:cNvPr>
        <xdr:cNvSpPr txBox="1"/>
      </xdr:nvSpPr>
      <xdr:spPr>
        <a:xfrm>
          <a:off x="8849360" y="13110400"/>
          <a:ext cx="115621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Revenue Growth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73</xdr:row>
      <xdr:rowOff>189143</xdr:rowOff>
    </xdr:from>
    <xdr:to>
      <xdr:col>5</xdr:col>
      <xdr:colOff>47626</xdr:colOff>
      <xdr:row>78</xdr:row>
      <xdr:rowOff>6351</xdr:rowOff>
    </xdr:to>
    <xdr:sp macro="" textlink="">
      <xdr:nvSpPr>
        <xdr:cNvPr id="239" name="MC_BR_C_rev_full_med_C_debt_full_mm">
          <a:extLst>
            <a:ext uri="{FF2B5EF4-FFF2-40B4-BE49-F238E27FC236}">
              <a16:creationId xmlns:a16="http://schemas.microsoft.com/office/drawing/2014/main" id="{4CBFC942-09CA-4559-E5DF-9F5E9C27D721}"/>
            </a:ext>
          </a:extLst>
        </xdr:cNvPr>
        <xdr:cNvSpPr/>
      </xdr:nvSpPr>
      <xdr:spPr>
        <a:xfrm>
          <a:off x="8647323" y="13962293"/>
          <a:ext cx="3001753" cy="769708"/>
        </a:xfrm>
        <a:custGeom>
          <a:avLst/>
          <a:gdLst/>
          <a:ahLst/>
          <a:cxnLst/>
          <a:rect l="0" t="0" r="0" b="0"/>
          <a:pathLst>
            <a:path w="3001753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001752" y="757007"/>
              </a:lnTo>
              <a:lnTo>
                <a:pt x="3001752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77</xdr:row>
      <xdr:rowOff>99250</xdr:rowOff>
    </xdr:from>
    <xdr:ext cx="848181" cy="182550"/>
    <xdr:sp macro="_xll.MC_OnBranchLabelClick" textlink="">
      <xdr:nvSpPr>
        <xdr:cNvPr id="240" name="MC_BN_C_rev_full_med_C_debt_full_mm">
          <a:extLst>
            <a:ext uri="{FF2B5EF4-FFF2-40B4-BE49-F238E27FC236}">
              <a16:creationId xmlns:a16="http://schemas.microsoft.com/office/drawing/2014/main" id="{874CF24D-93B4-5293-3971-17DEBAB7F98C}"/>
            </a:ext>
          </a:extLst>
        </xdr:cNvPr>
        <xdr:cNvSpPr txBox="1"/>
      </xdr:nvSpPr>
      <xdr:spPr>
        <a:xfrm>
          <a:off x="8849360" y="14634400"/>
          <a:ext cx="84818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Growth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84238</xdr:colOff>
      <xdr:row>73</xdr:row>
      <xdr:rowOff>189810</xdr:rowOff>
    </xdr:from>
    <xdr:to>
      <xdr:col>5</xdr:col>
      <xdr:colOff>47626</xdr:colOff>
      <xdr:row>82</xdr:row>
      <xdr:rowOff>6351</xdr:rowOff>
    </xdr:to>
    <xdr:sp macro="" textlink="">
      <xdr:nvSpPr>
        <xdr:cNvPr id="241" name="MC_BR_C_rev_full_med_T_full_med_flat">
          <a:extLst>
            <a:ext uri="{FF2B5EF4-FFF2-40B4-BE49-F238E27FC236}">
              <a16:creationId xmlns:a16="http://schemas.microsoft.com/office/drawing/2014/main" id="{C63C4D10-0517-63C3-DDBF-E03F9B5A9826}"/>
            </a:ext>
          </a:extLst>
        </xdr:cNvPr>
        <xdr:cNvSpPr/>
      </xdr:nvSpPr>
      <xdr:spPr>
        <a:xfrm>
          <a:off x="8647213" y="13962960"/>
          <a:ext cx="3001863" cy="1531041"/>
        </a:xfrm>
        <a:custGeom>
          <a:avLst/>
          <a:gdLst/>
          <a:ahLst/>
          <a:cxnLst/>
          <a:rect l="0" t="0" r="0" b="0"/>
          <a:pathLst>
            <a:path w="3001863" h="1531041">
              <a:moveTo>
                <a:pt x="12625" y="0"/>
              </a:moveTo>
              <a:lnTo>
                <a:pt x="179249" y="1524000"/>
              </a:lnTo>
              <a:lnTo>
                <a:pt x="172937" y="1518340"/>
              </a:lnTo>
              <a:lnTo>
                <a:pt x="3001862" y="1518340"/>
              </a:lnTo>
              <a:lnTo>
                <a:pt x="3001862" y="1531040"/>
              </a:lnTo>
              <a:lnTo>
                <a:pt x="172937" y="1531040"/>
              </a:lnTo>
              <a:lnTo>
                <a:pt x="166625" y="1525380"/>
              </a:lnTo>
              <a:lnTo>
                <a:pt x="0" y="138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81</xdr:row>
      <xdr:rowOff>99250</xdr:rowOff>
    </xdr:from>
    <xdr:ext cx="665631" cy="182550"/>
    <xdr:sp macro="_xll.MC_OnBranchLabelClick" textlink="">
      <xdr:nvSpPr>
        <xdr:cNvPr id="242" name="MC_BN_C_rev_full_med_T_full_med_flat">
          <a:extLst>
            <a:ext uri="{FF2B5EF4-FFF2-40B4-BE49-F238E27FC236}">
              <a16:creationId xmlns:a16="http://schemas.microsoft.com/office/drawing/2014/main" id="{EE0320B4-63D0-EB41-C221-AA9944D4BFB5}"/>
            </a:ext>
          </a:extLst>
        </xdr:cNvPr>
        <xdr:cNvSpPr txBox="1"/>
      </xdr:nvSpPr>
      <xdr:spPr>
        <a:xfrm>
          <a:off x="8849360" y="15396400"/>
          <a:ext cx="6656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Flat Revenue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67</xdr:row>
      <xdr:rowOff>184150</xdr:rowOff>
    </xdr:from>
    <xdr:to>
      <xdr:col>6</xdr:col>
      <xdr:colOff>47626</xdr:colOff>
      <xdr:row>70</xdr:row>
      <xdr:rowOff>2545</xdr:rowOff>
    </xdr:to>
    <xdr:sp macro="" textlink="">
      <xdr:nvSpPr>
        <xdr:cNvPr id="243" name="MC_BR_C_debt_full_ms_T_full_ms_gooddebt">
          <a:extLst>
            <a:ext uri="{FF2B5EF4-FFF2-40B4-BE49-F238E27FC236}">
              <a16:creationId xmlns:a16="http://schemas.microsoft.com/office/drawing/2014/main" id="{7D253B5C-1318-CD9E-C1E1-E91E5FE2E8DA}"/>
            </a:ext>
          </a:extLst>
        </xdr:cNvPr>
        <xdr:cNvSpPr/>
      </xdr:nvSpPr>
      <xdr:spPr>
        <a:xfrm>
          <a:off x="11686183" y="128143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67</xdr:row>
      <xdr:rowOff>99251</xdr:rowOff>
    </xdr:from>
    <xdr:ext cx="1002134" cy="182550"/>
    <xdr:sp macro="_xll.MC_OnBranchLabelClick" textlink="">
      <xdr:nvSpPr>
        <xdr:cNvPr id="244" name="MC_BN_C_debt_full_ms_T_full_ms_gooddebt">
          <a:extLst>
            <a:ext uri="{FF2B5EF4-FFF2-40B4-BE49-F238E27FC236}">
              <a16:creationId xmlns:a16="http://schemas.microsoft.com/office/drawing/2014/main" id="{A90ADA69-039E-E79F-7CFC-D2008D77482D}"/>
            </a:ext>
          </a:extLst>
        </xdr:cNvPr>
        <xdr:cNvSpPr txBox="1"/>
      </xdr:nvSpPr>
      <xdr:spPr>
        <a:xfrm>
          <a:off x="11887835" y="12729401"/>
          <a:ext cx="100213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Favorable Refinance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69</xdr:row>
      <xdr:rowOff>187956</xdr:rowOff>
    </xdr:from>
    <xdr:to>
      <xdr:col>6</xdr:col>
      <xdr:colOff>47626</xdr:colOff>
      <xdr:row>72</xdr:row>
      <xdr:rowOff>6351</xdr:rowOff>
    </xdr:to>
    <xdr:sp macro="" textlink="">
      <xdr:nvSpPr>
        <xdr:cNvPr id="245" name="MC_BR_C_debt_full_ms_T_full_ms_neutdebt">
          <a:extLst>
            <a:ext uri="{FF2B5EF4-FFF2-40B4-BE49-F238E27FC236}">
              <a16:creationId xmlns:a16="http://schemas.microsoft.com/office/drawing/2014/main" id="{817347DC-AF8E-2D36-68CE-1C5BE9849F76}"/>
            </a:ext>
          </a:extLst>
        </xdr:cNvPr>
        <xdr:cNvSpPr/>
      </xdr:nvSpPr>
      <xdr:spPr>
        <a:xfrm>
          <a:off x="11686183" y="131991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71</xdr:row>
      <xdr:rowOff>99250</xdr:rowOff>
    </xdr:from>
    <xdr:ext cx="705321" cy="182550"/>
    <xdr:sp macro="_xll.MC_OnBranchLabelClick" textlink="">
      <xdr:nvSpPr>
        <xdr:cNvPr id="246" name="MC_BN_C_debt_full_ms_T_full_ms_neutdebt">
          <a:extLst>
            <a:ext uri="{FF2B5EF4-FFF2-40B4-BE49-F238E27FC236}">
              <a16:creationId xmlns:a16="http://schemas.microsoft.com/office/drawing/2014/main" id="{30C0D483-D991-B861-6F3B-B2908D6C17EE}"/>
            </a:ext>
          </a:extLst>
        </xdr:cNvPr>
        <xdr:cNvSpPr txBox="1"/>
      </xdr:nvSpPr>
      <xdr:spPr>
        <a:xfrm>
          <a:off x="11887835" y="13491400"/>
          <a:ext cx="7053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Neutral Terms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75</xdr:row>
      <xdr:rowOff>184150</xdr:rowOff>
    </xdr:from>
    <xdr:to>
      <xdr:col>6</xdr:col>
      <xdr:colOff>47626</xdr:colOff>
      <xdr:row>78</xdr:row>
      <xdr:rowOff>2545</xdr:rowOff>
    </xdr:to>
    <xdr:sp macro="" textlink="">
      <xdr:nvSpPr>
        <xdr:cNvPr id="247" name="MC_BR_C_debt_full_mm_T_full_mm_gooddebt">
          <a:extLst>
            <a:ext uri="{FF2B5EF4-FFF2-40B4-BE49-F238E27FC236}">
              <a16:creationId xmlns:a16="http://schemas.microsoft.com/office/drawing/2014/main" id="{71C2008B-8CC9-A1B6-4C0B-99E3E6E1820A}"/>
            </a:ext>
          </a:extLst>
        </xdr:cNvPr>
        <xdr:cNvSpPr/>
      </xdr:nvSpPr>
      <xdr:spPr>
        <a:xfrm>
          <a:off x="11686183" y="143383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75</xdr:row>
      <xdr:rowOff>99250</xdr:rowOff>
    </xdr:from>
    <xdr:ext cx="1002134" cy="182550"/>
    <xdr:sp macro="_xll.MC_OnBranchLabelClick" textlink="">
      <xdr:nvSpPr>
        <xdr:cNvPr id="248" name="MC_BN_C_debt_full_mm_T_full_mm_gooddebt">
          <a:extLst>
            <a:ext uri="{FF2B5EF4-FFF2-40B4-BE49-F238E27FC236}">
              <a16:creationId xmlns:a16="http://schemas.microsoft.com/office/drawing/2014/main" id="{CB59A063-3733-E8F8-1008-966211E06B36}"/>
            </a:ext>
          </a:extLst>
        </xdr:cNvPr>
        <xdr:cNvSpPr txBox="1"/>
      </xdr:nvSpPr>
      <xdr:spPr>
        <a:xfrm>
          <a:off x="11887835" y="14253400"/>
          <a:ext cx="100213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Favorable Refinance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77</xdr:row>
      <xdr:rowOff>187956</xdr:rowOff>
    </xdr:from>
    <xdr:to>
      <xdr:col>6</xdr:col>
      <xdr:colOff>47626</xdr:colOff>
      <xdr:row>80</xdr:row>
      <xdr:rowOff>6351</xdr:rowOff>
    </xdr:to>
    <xdr:sp macro="" textlink="">
      <xdr:nvSpPr>
        <xdr:cNvPr id="249" name="MC_BR_C_debt_full_mm_T_full_mm_baddebt">
          <a:extLst>
            <a:ext uri="{FF2B5EF4-FFF2-40B4-BE49-F238E27FC236}">
              <a16:creationId xmlns:a16="http://schemas.microsoft.com/office/drawing/2014/main" id="{6CF2436E-4BE9-75B1-B182-41AF0284EE6D}"/>
            </a:ext>
          </a:extLst>
        </xdr:cNvPr>
        <xdr:cNvSpPr/>
      </xdr:nvSpPr>
      <xdr:spPr>
        <a:xfrm>
          <a:off x="11686183" y="147231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79</xdr:row>
      <xdr:rowOff>99250</xdr:rowOff>
    </xdr:from>
    <xdr:ext cx="927818" cy="182550"/>
    <xdr:sp macro="_xll.MC_OnBranchLabelClick" textlink="">
      <xdr:nvSpPr>
        <xdr:cNvPr id="250" name="MC_BN_C_debt_full_mm_T_full_mm_baddebt">
          <a:extLst>
            <a:ext uri="{FF2B5EF4-FFF2-40B4-BE49-F238E27FC236}">
              <a16:creationId xmlns:a16="http://schemas.microsoft.com/office/drawing/2014/main" id="{964A2C95-A90A-862C-0623-58F7E5F6D762}"/>
            </a:ext>
          </a:extLst>
        </xdr:cNvPr>
        <xdr:cNvSpPr txBox="1"/>
      </xdr:nvSpPr>
      <xdr:spPr>
        <a:xfrm>
          <a:off x="11887835" y="15015400"/>
          <a:ext cx="92781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Unfavorable Terms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83</xdr:row>
      <xdr:rowOff>184150</xdr:rowOff>
    </xdr:from>
    <xdr:to>
      <xdr:col>5</xdr:col>
      <xdr:colOff>47626</xdr:colOff>
      <xdr:row>86</xdr:row>
      <xdr:rowOff>2545</xdr:rowOff>
    </xdr:to>
    <xdr:sp macro="" textlink="">
      <xdr:nvSpPr>
        <xdr:cNvPr id="251" name="MC_BR_C_rev_full_low_T_full_low_grow">
          <a:extLst>
            <a:ext uri="{FF2B5EF4-FFF2-40B4-BE49-F238E27FC236}">
              <a16:creationId xmlns:a16="http://schemas.microsoft.com/office/drawing/2014/main" id="{11741193-7A82-CC13-E3CF-F7A6FC1C92D4}"/>
            </a:ext>
          </a:extLst>
        </xdr:cNvPr>
        <xdr:cNvSpPr/>
      </xdr:nvSpPr>
      <xdr:spPr>
        <a:xfrm>
          <a:off x="8647708" y="15862300"/>
          <a:ext cx="3001368" cy="389895"/>
        </a:xfrm>
        <a:custGeom>
          <a:avLst/>
          <a:gdLst/>
          <a:ahLst/>
          <a:cxnLst/>
          <a:rect l="0" t="0" r="0" b="0"/>
          <a:pathLst>
            <a:path w="3001368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3001367" y="0"/>
              </a:lnTo>
              <a:lnTo>
                <a:pt x="3001367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83</xdr:row>
      <xdr:rowOff>99250</xdr:rowOff>
    </xdr:from>
    <xdr:ext cx="1178784" cy="182550"/>
    <xdr:sp macro="_xll.MC_OnBranchLabelClick" textlink="">
      <xdr:nvSpPr>
        <xdr:cNvPr id="252" name="MC_BN_C_rev_full_low_T_full_low_grow">
          <a:extLst>
            <a:ext uri="{FF2B5EF4-FFF2-40B4-BE49-F238E27FC236}">
              <a16:creationId xmlns:a16="http://schemas.microsoft.com/office/drawing/2014/main" id="{63D09B07-6C61-AACF-2679-99472B2FDCCC}"/>
            </a:ext>
          </a:extLst>
        </xdr:cNvPr>
        <xdr:cNvSpPr txBox="1"/>
      </xdr:nvSpPr>
      <xdr:spPr>
        <a:xfrm>
          <a:off x="8849360" y="15777400"/>
          <a:ext cx="117878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Revenue Grows Anyway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85</xdr:row>
      <xdr:rowOff>187956</xdr:rowOff>
    </xdr:from>
    <xdr:to>
      <xdr:col>5</xdr:col>
      <xdr:colOff>47626</xdr:colOff>
      <xdr:row>88</xdr:row>
      <xdr:rowOff>6351</xdr:rowOff>
    </xdr:to>
    <xdr:sp macro="" textlink="">
      <xdr:nvSpPr>
        <xdr:cNvPr id="253" name="MC_BR_C_rev_full_low_T_full_low_flat">
          <a:extLst>
            <a:ext uri="{FF2B5EF4-FFF2-40B4-BE49-F238E27FC236}">
              <a16:creationId xmlns:a16="http://schemas.microsoft.com/office/drawing/2014/main" id="{BBF4F268-4729-A238-303C-5B2D667F2314}"/>
            </a:ext>
          </a:extLst>
        </xdr:cNvPr>
        <xdr:cNvSpPr/>
      </xdr:nvSpPr>
      <xdr:spPr>
        <a:xfrm>
          <a:off x="8647708" y="16247106"/>
          <a:ext cx="3001368" cy="389895"/>
        </a:xfrm>
        <a:custGeom>
          <a:avLst/>
          <a:gdLst/>
          <a:ahLst/>
          <a:cxnLst/>
          <a:rect l="0" t="0" r="0" b="0"/>
          <a:pathLst>
            <a:path w="3001368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3001367" y="377194"/>
              </a:lnTo>
              <a:lnTo>
                <a:pt x="3001367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87</xdr:row>
      <xdr:rowOff>99250</xdr:rowOff>
    </xdr:from>
    <xdr:ext cx="665631" cy="182550"/>
    <xdr:sp macro="_xll.MC_OnBranchLabelClick" textlink="">
      <xdr:nvSpPr>
        <xdr:cNvPr id="254" name="MC_BN_C_rev_full_low_T_full_low_flat">
          <a:extLst>
            <a:ext uri="{FF2B5EF4-FFF2-40B4-BE49-F238E27FC236}">
              <a16:creationId xmlns:a16="http://schemas.microsoft.com/office/drawing/2014/main" id="{625BA2FD-9EBA-96BF-8BCA-60CCE8F7B742}"/>
            </a:ext>
          </a:extLst>
        </xdr:cNvPr>
        <xdr:cNvSpPr txBox="1"/>
      </xdr:nvSpPr>
      <xdr:spPr>
        <a:xfrm>
          <a:off x="8849360" y="16539400"/>
          <a:ext cx="6656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Flat Revenue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85</xdr:row>
      <xdr:rowOff>189143</xdr:rowOff>
    </xdr:from>
    <xdr:to>
      <xdr:col>5</xdr:col>
      <xdr:colOff>47626</xdr:colOff>
      <xdr:row>90</xdr:row>
      <xdr:rowOff>6351</xdr:rowOff>
    </xdr:to>
    <xdr:sp macro="" textlink="">
      <xdr:nvSpPr>
        <xdr:cNvPr id="255" name="MC_BR_C_rev_full_low_T_full_low_decline">
          <a:extLst>
            <a:ext uri="{FF2B5EF4-FFF2-40B4-BE49-F238E27FC236}">
              <a16:creationId xmlns:a16="http://schemas.microsoft.com/office/drawing/2014/main" id="{B56C46FB-C737-7B4C-C900-D335E8AC116E}"/>
            </a:ext>
          </a:extLst>
        </xdr:cNvPr>
        <xdr:cNvSpPr/>
      </xdr:nvSpPr>
      <xdr:spPr>
        <a:xfrm>
          <a:off x="8647323" y="16248293"/>
          <a:ext cx="3001753" cy="769708"/>
        </a:xfrm>
        <a:custGeom>
          <a:avLst/>
          <a:gdLst/>
          <a:ahLst/>
          <a:cxnLst/>
          <a:rect l="0" t="0" r="0" b="0"/>
          <a:pathLst>
            <a:path w="3001753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001752" y="757007"/>
              </a:lnTo>
              <a:lnTo>
                <a:pt x="3001752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89</xdr:row>
      <xdr:rowOff>99250</xdr:rowOff>
    </xdr:from>
    <xdr:ext cx="888000" cy="182550"/>
    <xdr:sp macro="_xll.MC_OnBranchLabelClick" textlink="">
      <xdr:nvSpPr>
        <xdr:cNvPr id="256" name="MC_BN_C_rev_full_low_T_full_low_decline">
          <a:extLst>
            <a:ext uri="{FF2B5EF4-FFF2-40B4-BE49-F238E27FC236}">
              <a16:creationId xmlns:a16="http://schemas.microsoft.com/office/drawing/2014/main" id="{BADE87EE-F326-6325-5D3E-0A94C7FBE3C0}"/>
            </a:ext>
          </a:extLst>
        </xdr:cNvPr>
        <xdr:cNvSpPr txBox="1"/>
      </xdr:nvSpPr>
      <xdr:spPr>
        <a:xfrm>
          <a:off x="8849360" y="16920400"/>
          <a:ext cx="88800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Revenue Declines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74841</xdr:colOff>
      <xdr:row>95</xdr:row>
      <xdr:rowOff>174625</xdr:rowOff>
    </xdr:from>
    <xdr:to>
      <xdr:col>4</xdr:col>
      <xdr:colOff>47626</xdr:colOff>
      <xdr:row>102</xdr:row>
      <xdr:rowOff>2291</xdr:rowOff>
    </xdr:to>
    <xdr:sp macro="" textlink="">
      <xdr:nvSpPr>
        <xdr:cNvPr id="257" name="MC_BR_C_ops_mgmt_D_exit_mgmt_good">
          <a:extLst>
            <a:ext uri="{FF2B5EF4-FFF2-40B4-BE49-F238E27FC236}">
              <a16:creationId xmlns:a16="http://schemas.microsoft.com/office/drawing/2014/main" id="{D018C464-5AC2-A34E-2DD7-BCBE25D6D29A}"/>
            </a:ext>
          </a:extLst>
        </xdr:cNvPr>
        <xdr:cNvSpPr/>
      </xdr:nvSpPr>
      <xdr:spPr>
        <a:xfrm>
          <a:off x="5651729" y="18138775"/>
          <a:ext cx="2958872" cy="1161166"/>
        </a:xfrm>
        <a:custGeom>
          <a:avLst/>
          <a:gdLst/>
          <a:ahLst/>
          <a:cxnLst/>
          <a:rect l="0" t="0" r="0" b="0"/>
          <a:pathLst>
            <a:path w="2958872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958871" y="0"/>
              </a:lnTo>
              <a:lnTo>
                <a:pt x="2958871" y="31750"/>
              </a:lnTo>
              <a:lnTo>
                <a:pt x="182334" y="31750"/>
              </a:lnTo>
              <a:lnTo>
                <a:pt x="198043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95</xdr:row>
      <xdr:rowOff>99250</xdr:rowOff>
    </xdr:from>
    <xdr:ext cx="1269963" cy="182550"/>
    <xdr:sp macro="_xll.MC_OnBranchLabelClick" textlink="">
      <xdr:nvSpPr>
        <xdr:cNvPr id="258" name="MC_BN_C_ops_mgmt_D_exit_mgmt_good">
          <a:extLst>
            <a:ext uri="{FF2B5EF4-FFF2-40B4-BE49-F238E27FC236}">
              <a16:creationId xmlns:a16="http://schemas.microsoft.com/office/drawing/2014/main" id="{9DB7980A-B8A1-3362-24D3-794C02D9D39D}"/>
            </a:ext>
          </a:extLst>
        </xdr:cNvPr>
        <xdr:cNvSpPr txBox="1"/>
      </xdr:nvSpPr>
      <xdr:spPr>
        <a:xfrm>
          <a:off x="5863272" y="18063400"/>
          <a:ext cx="126996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Mgmt Delivers Turnaround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101</xdr:row>
      <xdr:rowOff>187110</xdr:rowOff>
    </xdr:from>
    <xdr:to>
      <xdr:col>4</xdr:col>
      <xdr:colOff>47626</xdr:colOff>
      <xdr:row>106</xdr:row>
      <xdr:rowOff>15876</xdr:rowOff>
    </xdr:to>
    <xdr:sp macro="" textlink="">
      <xdr:nvSpPr>
        <xdr:cNvPr id="259" name="MC_BR_C_ops_mgmt_D_exit_mgmt_mod">
          <a:extLst>
            <a:ext uri="{FF2B5EF4-FFF2-40B4-BE49-F238E27FC236}">
              <a16:creationId xmlns:a16="http://schemas.microsoft.com/office/drawing/2014/main" id="{843E911C-6AAD-1723-FED7-A86F478C3AE1}"/>
            </a:ext>
          </a:extLst>
        </xdr:cNvPr>
        <xdr:cNvSpPr/>
      </xdr:nvSpPr>
      <xdr:spPr>
        <a:xfrm>
          <a:off x="5651930" y="19294260"/>
          <a:ext cx="2958671" cy="781266"/>
        </a:xfrm>
        <a:custGeom>
          <a:avLst/>
          <a:gdLst/>
          <a:ahLst/>
          <a:cxnLst/>
          <a:rect l="0" t="0" r="0" b="0"/>
          <a:pathLst>
            <a:path w="2958671" h="781266">
              <a:moveTo>
                <a:pt x="31017" y="0"/>
              </a:moveTo>
              <a:lnTo>
                <a:pt x="197641" y="762000"/>
              </a:lnTo>
              <a:lnTo>
                <a:pt x="182133" y="749515"/>
              </a:lnTo>
              <a:lnTo>
                <a:pt x="2958670" y="749515"/>
              </a:lnTo>
              <a:lnTo>
                <a:pt x="2958670" y="781265"/>
              </a:lnTo>
              <a:lnTo>
                <a:pt x="182133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105</xdr:row>
      <xdr:rowOff>99250</xdr:rowOff>
    </xdr:from>
    <xdr:ext cx="1116268" cy="182550"/>
    <xdr:sp macro="_xll.MC_OnBranchLabelClick" textlink="">
      <xdr:nvSpPr>
        <xdr:cNvPr id="260" name="MC_BN_C_ops_mgmt_D_exit_mgmt_mod">
          <a:extLst>
            <a:ext uri="{FF2B5EF4-FFF2-40B4-BE49-F238E27FC236}">
              <a16:creationId xmlns:a16="http://schemas.microsoft.com/office/drawing/2014/main" id="{D0684C2C-7C2D-93B7-439C-F450AC48AF52}"/>
            </a:ext>
          </a:extLst>
        </xdr:cNvPr>
        <xdr:cNvSpPr txBox="1"/>
      </xdr:nvSpPr>
      <xdr:spPr>
        <a:xfrm>
          <a:off x="5863272" y="19968400"/>
          <a:ext cx="11162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Improvement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74717</xdr:colOff>
      <xdr:row>101</xdr:row>
      <xdr:rowOff>189347</xdr:rowOff>
    </xdr:from>
    <xdr:to>
      <xdr:col>4</xdr:col>
      <xdr:colOff>47626</xdr:colOff>
      <xdr:row>114</xdr:row>
      <xdr:rowOff>15876</xdr:rowOff>
    </xdr:to>
    <xdr:sp macro="" textlink="">
      <xdr:nvSpPr>
        <xdr:cNvPr id="261" name="MC_BR_C_ops_mgmt_C_mgmt_under">
          <a:extLst>
            <a:ext uri="{FF2B5EF4-FFF2-40B4-BE49-F238E27FC236}">
              <a16:creationId xmlns:a16="http://schemas.microsoft.com/office/drawing/2014/main" id="{F90E0917-39D5-6955-E1BC-C925A8617E66}"/>
            </a:ext>
          </a:extLst>
        </xdr:cNvPr>
        <xdr:cNvSpPr/>
      </xdr:nvSpPr>
      <xdr:spPr>
        <a:xfrm>
          <a:off x="5651605" y="19296497"/>
          <a:ext cx="2958996" cy="2303029"/>
        </a:xfrm>
        <a:custGeom>
          <a:avLst/>
          <a:gdLst/>
          <a:ahLst/>
          <a:cxnLst/>
          <a:rect l="0" t="0" r="0" b="0"/>
          <a:pathLst>
            <a:path w="2958996" h="2303029">
              <a:moveTo>
                <a:pt x="31666" y="0"/>
              </a:moveTo>
              <a:lnTo>
                <a:pt x="198291" y="2286000"/>
              </a:lnTo>
              <a:lnTo>
                <a:pt x="182458" y="2271278"/>
              </a:lnTo>
              <a:lnTo>
                <a:pt x="2958995" y="2271278"/>
              </a:lnTo>
              <a:lnTo>
                <a:pt x="2958995" y="2303028"/>
              </a:lnTo>
              <a:lnTo>
                <a:pt x="182458" y="2303028"/>
              </a:lnTo>
              <a:lnTo>
                <a:pt x="166624" y="2288306"/>
              </a:lnTo>
              <a:lnTo>
                <a:pt x="0" y="230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113</xdr:row>
      <xdr:rowOff>99250</xdr:rowOff>
    </xdr:from>
    <xdr:ext cx="1024768" cy="182550"/>
    <xdr:sp macro="_xll.MC_OnBranchLabelClick" textlink="">
      <xdr:nvSpPr>
        <xdr:cNvPr id="262" name="MC_BN_C_ops_mgmt_C_mgmt_under">
          <a:extLst>
            <a:ext uri="{FF2B5EF4-FFF2-40B4-BE49-F238E27FC236}">
              <a16:creationId xmlns:a16="http://schemas.microsoft.com/office/drawing/2014/main" id="{EACE247B-7F68-0BD5-A9CC-AA076A270D7A}"/>
            </a:ext>
          </a:extLst>
        </xdr:cNvPr>
        <xdr:cNvSpPr txBox="1"/>
      </xdr:nvSpPr>
      <xdr:spPr>
        <a:xfrm>
          <a:off x="5863272" y="21492400"/>
          <a:ext cx="10247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Mgmt Underperforms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93</xdr:row>
      <xdr:rowOff>174625</xdr:rowOff>
    </xdr:from>
    <xdr:to>
      <xdr:col>5</xdr:col>
      <xdr:colOff>47626</xdr:colOff>
      <xdr:row>96</xdr:row>
      <xdr:rowOff>6362</xdr:rowOff>
    </xdr:to>
    <xdr:sp macro="" textlink="">
      <xdr:nvSpPr>
        <xdr:cNvPr id="263" name="MC_BR_D_exit_mgmt_good_T_mgmt_good_ipo">
          <a:extLst>
            <a:ext uri="{FF2B5EF4-FFF2-40B4-BE49-F238E27FC236}">
              <a16:creationId xmlns:a16="http://schemas.microsoft.com/office/drawing/2014/main" id="{B602DA9F-0802-B89E-14FB-9EC62F73A5C0}"/>
            </a:ext>
          </a:extLst>
        </xdr:cNvPr>
        <xdr:cNvSpPr/>
      </xdr:nvSpPr>
      <xdr:spPr>
        <a:xfrm>
          <a:off x="8638981" y="17757775"/>
          <a:ext cx="3010095" cy="403237"/>
        </a:xfrm>
        <a:custGeom>
          <a:avLst/>
          <a:gdLst/>
          <a:ahLst/>
          <a:cxnLst/>
          <a:rect l="0" t="0" r="0" b="0"/>
          <a:pathLst>
            <a:path w="3010095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3010094" y="0"/>
              </a:lnTo>
              <a:lnTo>
                <a:pt x="3010094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93</xdr:row>
      <xdr:rowOff>99250</xdr:rowOff>
    </xdr:from>
    <xdr:ext cx="232179" cy="182550"/>
    <xdr:sp macro="_xll.MC_OnBranchLabelClick" textlink="">
      <xdr:nvSpPr>
        <xdr:cNvPr id="264" name="MC_BN_D_exit_mgmt_good_T_mgmt_good_ipo">
          <a:extLst>
            <a:ext uri="{FF2B5EF4-FFF2-40B4-BE49-F238E27FC236}">
              <a16:creationId xmlns:a16="http://schemas.microsoft.com/office/drawing/2014/main" id="{99CF469E-0927-5351-AB37-4FAADECC52E8}"/>
            </a:ext>
          </a:extLst>
        </xdr:cNvPr>
        <xdr:cNvSpPr txBox="1"/>
      </xdr:nvSpPr>
      <xdr:spPr>
        <a:xfrm>
          <a:off x="8849360" y="17682400"/>
          <a:ext cx="2321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IPO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95</xdr:row>
      <xdr:rowOff>187956</xdr:rowOff>
    </xdr:from>
    <xdr:to>
      <xdr:col>5</xdr:col>
      <xdr:colOff>47626</xdr:colOff>
      <xdr:row>98</xdr:row>
      <xdr:rowOff>6351</xdr:rowOff>
    </xdr:to>
    <xdr:sp macro="" textlink="">
      <xdr:nvSpPr>
        <xdr:cNvPr id="265" name="MC_BR_D_exit_mgmt_good_T_mgmt_good_strat">
          <a:extLst>
            <a:ext uri="{FF2B5EF4-FFF2-40B4-BE49-F238E27FC236}">
              <a16:creationId xmlns:a16="http://schemas.microsoft.com/office/drawing/2014/main" id="{61A0B008-2D92-5FAA-6672-56386611F8F9}"/>
            </a:ext>
          </a:extLst>
        </xdr:cNvPr>
        <xdr:cNvSpPr/>
      </xdr:nvSpPr>
      <xdr:spPr>
        <a:xfrm>
          <a:off x="8647708" y="18152106"/>
          <a:ext cx="3001368" cy="389895"/>
        </a:xfrm>
        <a:custGeom>
          <a:avLst/>
          <a:gdLst/>
          <a:ahLst/>
          <a:cxnLst/>
          <a:rect l="0" t="0" r="0" b="0"/>
          <a:pathLst>
            <a:path w="3001368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3001367" y="377194"/>
              </a:lnTo>
              <a:lnTo>
                <a:pt x="3001367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97</xdr:row>
      <xdr:rowOff>99250</xdr:rowOff>
    </xdr:from>
    <xdr:ext cx="694164" cy="182550"/>
    <xdr:sp macro="_xll.MC_OnBranchLabelClick" textlink="">
      <xdr:nvSpPr>
        <xdr:cNvPr id="266" name="MC_BN_D_exit_mgmt_good_T_mgmt_good_strat">
          <a:extLst>
            <a:ext uri="{FF2B5EF4-FFF2-40B4-BE49-F238E27FC236}">
              <a16:creationId xmlns:a16="http://schemas.microsoft.com/office/drawing/2014/main" id="{84B0AB31-F03E-331D-8D45-B9AD6FC25678}"/>
            </a:ext>
          </a:extLst>
        </xdr:cNvPr>
        <xdr:cNvSpPr txBox="1"/>
      </xdr:nvSpPr>
      <xdr:spPr>
        <a:xfrm>
          <a:off x="8849360" y="18444400"/>
          <a:ext cx="6941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Strategic Sale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95</xdr:row>
      <xdr:rowOff>189143</xdr:rowOff>
    </xdr:from>
    <xdr:to>
      <xdr:col>5</xdr:col>
      <xdr:colOff>47626</xdr:colOff>
      <xdr:row>100</xdr:row>
      <xdr:rowOff>6351</xdr:rowOff>
    </xdr:to>
    <xdr:sp macro="" textlink="">
      <xdr:nvSpPr>
        <xdr:cNvPr id="267" name="MC_BR_D_exit_mgmt_good_T_mgmt_good_sec">
          <a:extLst>
            <a:ext uri="{FF2B5EF4-FFF2-40B4-BE49-F238E27FC236}">
              <a16:creationId xmlns:a16="http://schemas.microsoft.com/office/drawing/2014/main" id="{9BDB0AD0-B9DA-4DC4-0A2F-6122FF8D9203}"/>
            </a:ext>
          </a:extLst>
        </xdr:cNvPr>
        <xdr:cNvSpPr/>
      </xdr:nvSpPr>
      <xdr:spPr>
        <a:xfrm>
          <a:off x="8647323" y="18153293"/>
          <a:ext cx="3001753" cy="769708"/>
        </a:xfrm>
        <a:custGeom>
          <a:avLst/>
          <a:gdLst/>
          <a:ahLst/>
          <a:cxnLst/>
          <a:rect l="0" t="0" r="0" b="0"/>
          <a:pathLst>
            <a:path w="3001753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001752" y="757007"/>
              </a:lnTo>
              <a:lnTo>
                <a:pt x="3001752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99</xdr:row>
      <xdr:rowOff>99250</xdr:rowOff>
    </xdr:from>
    <xdr:ext cx="893899" cy="182550"/>
    <xdr:sp macro="_xll.MC_OnBranchLabelClick" textlink="">
      <xdr:nvSpPr>
        <xdr:cNvPr id="268" name="MC_BN_D_exit_mgmt_good_T_mgmt_good_sec">
          <a:extLst>
            <a:ext uri="{FF2B5EF4-FFF2-40B4-BE49-F238E27FC236}">
              <a16:creationId xmlns:a16="http://schemas.microsoft.com/office/drawing/2014/main" id="{C7454EEE-360D-2422-975E-272A5C62A304}"/>
            </a:ext>
          </a:extLst>
        </xdr:cNvPr>
        <xdr:cNvSpPr txBox="1"/>
      </xdr:nvSpPr>
      <xdr:spPr>
        <a:xfrm>
          <a:off x="8849360" y="18825400"/>
          <a:ext cx="89389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Secondary Buyout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103</xdr:row>
      <xdr:rowOff>174625</xdr:rowOff>
    </xdr:from>
    <xdr:to>
      <xdr:col>5</xdr:col>
      <xdr:colOff>47626</xdr:colOff>
      <xdr:row>106</xdr:row>
      <xdr:rowOff>6362</xdr:rowOff>
    </xdr:to>
    <xdr:sp macro="" textlink="">
      <xdr:nvSpPr>
        <xdr:cNvPr id="269" name="MC_BR_D_exit_mgmt_mod_T_mgmt_mod_strat">
          <a:extLst>
            <a:ext uri="{FF2B5EF4-FFF2-40B4-BE49-F238E27FC236}">
              <a16:creationId xmlns:a16="http://schemas.microsoft.com/office/drawing/2014/main" id="{A420EB24-6EB3-98F5-6155-1E9AEEFE4C05}"/>
            </a:ext>
          </a:extLst>
        </xdr:cNvPr>
        <xdr:cNvSpPr/>
      </xdr:nvSpPr>
      <xdr:spPr>
        <a:xfrm>
          <a:off x="8638981" y="19662775"/>
          <a:ext cx="3010095" cy="403237"/>
        </a:xfrm>
        <a:custGeom>
          <a:avLst/>
          <a:gdLst/>
          <a:ahLst/>
          <a:cxnLst/>
          <a:rect l="0" t="0" r="0" b="0"/>
          <a:pathLst>
            <a:path w="3010095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3010094" y="0"/>
              </a:lnTo>
              <a:lnTo>
                <a:pt x="3010094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103</xdr:row>
      <xdr:rowOff>99250</xdr:rowOff>
    </xdr:from>
    <xdr:ext cx="694164" cy="182550"/>
    <xdr:sp macro="_xll.MC_OnBranchLabelClick" textlink="">
      <xdr:nvSpPr>
        <xdr:cNvPr id="270" name="MC_BN_D_exit_mgmt_mod_T_mgmt_mod_strat">
          <a:extLst>
            <a:ext uri="{FF2B5EF4-FFF2-40B4-BE49-F238E27FC236}">
              <a16:creationId xmlns:a16="http://schemas.microsoft.com/office/drawing/2014/main" id="{19154B5C-54E8-FE06-CBBF-4ABBC4E8F458}"/>
            </a:ext>
          </a:extLst>
        </xdr:cNvPr>
        <xdr:cNvSpPr txBox="1"/>
      </xdr:nvSpPr>
      <xdr:spPr>
        <a:xfrm>
          <a:off x="8849360" y="19587400"/>
          <a:ext cx="6941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Strategic Sale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105</xdr:row>
      <xdr:rowOff>187956</xdr:rowOff>
    </xdr:from>
    <xdr:to>
      <xdr:col>5</xdr:col>
      <xdr:colOff>47626</xdr:colOff>
      <xdr:row>108</xdr:row>
      <xdr:rowOff>6351</xdr:rowOff>
    </xdr:to>
    <xdr:sp macro="" textlink="">
      <xdr:nvSpPr>
        <xdr:cNvPr id="271" name="MC_BR_D_exit_mgmt_mod_T_mgmt_mod_sec">
          <a:extLst>
            <a:ext uri="{FF2B5EF4-FFF2-40B4-BE49-F238E27FC236}">
              <a16:creationId xmlns:a16="http://schemas.microsoft.com/office/drawing/2014/main" id="{E23821C8-F34F-D906-34F7-A221AB237088}"/>
            </a:ext>
          </a:extLst>
        </xdr:cNvPr>
        <xdr:cNvSpPr/>
      </xdr:nvSpPr>
      <xdr:spPr>
        <a:xfrm>
          <a:off x="8647708" y="20057106"/>
          <a:ext cx="3001368" cy="389895"/>
        </a:xfrm>
        <a:custGeom>
          <a:avLst/>
          <a:gdLst/>
          <a:ahLst/>
          <a:cxnLst/>
          <a:rect l="0" t="0" r="0" b="0"/>
          <a:pathLst>
            <a:path w="3001368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3001367" y="377194"/>
              </a:lnTo>
              <a:lnTo>
                <a:pt x="3001367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107</xdr:row>
      <xdr:rowOff>99250</xdr:rowOff>
    </xdr:from>
    <xdr:ext cx="893899" cy="182550"/>
    <xdr:sp macro="_xll.MC_OnBranchLabelClick" textlink="">
      <xdr:nvSpPr>
        <xdr:cNvPr id="272" name="MC_BN_D_exit_mgmt_mod_T_mgmt_mod_sec">
          <a:extLst>
            <a:ext uri="{FF2B5EF4-FFF2-40B4-BE49-F238E27FC236}">
              <a16:creationId xmlns:a16="http://schemas.microsoft.com/office/drawing/2014/main" id="{6FAC12C3-67C5-1C86-E607-67A712C3C682}"/>
            </a:ext>
          </a:extLst>
        </xdr:cNvPr>
        <xdr:cNvSpPr txBox="1"/>
      </xdr:nvSpPr>
      <xdr:spPr>
        <a:xfrm>
          <a:off x="8849360" y="20349400"/>
          <a:ext cx="89389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Secondary Buyout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105</xdr:row>
      <xdr:rowOff>189143</xdr:rowOff>
    </xdr:from>
    <xdr:to>
      <xdr:col>5</xdr:col>
      <xdr:colOff>47626</xdr:colOff>
      <xdr:row>110</xdr:row>
      <xdr:rowOff>6351</xdr:rowOff>
    </xdr:to>
    <xdr:sp macro="" textlink="">
      <xdr:nvSpPr>
        <xdr:cNvPr id="273" name="MC_BR_D_exit_mgmt_mod_T_mgmt_mod_recap">
          <a:extLst>
            <a:ext uri="{FF2B5EF4-FFF2-40B4-BE49-F238E27FC236}">
              <a16:creationId xmlns:a16="http://schemas.microsoft.com/office/drawing/2014/main" id="{5BA277C6-B677-500A-7CE8-55054C840BCB}"/>
            </a:ext>
          </a:extLst>
        </xdr:cNvPr>
        <xdr:cNvSpPr/>
      </xdr:nvSpPr>
      <xdr:spPr>
        <a:xfrm>
          <a:off x="8647323" y="20058293"/>
          <a:ext cx="3001753" cy="769708"/>
        </a:xfrm>
        <a:custGeom>
          <a:avLst/>
          <a:gdLst/>
          <a:ahLst/>
          <a:cxnLst/>
          <a:rect l="0" t="0" r="0" b="0"/>
          <a:pathLst>
            <a:path w="3001753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3001752" y="757007"/>
              </a:lnTo>
              <a:lnTo>
                <a:pt x="3001752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109</xdr:row>
      <xdr:rowOff>99250</xdr:rowOff>
    </xdr:from>
    <xdr:ext cx="779637" cy="182550"/>
    <xdr:sp macro="_xll.MC_OnBranchLabelClick" textlink="">
      <xdr:nvSpPr>
        <xdr:cNvPr id="274" name="MC_BN_D_exit_mgmt_mod_T_mgmt_mod_recap">
          <a:extLst>
            <a:ext uri="{FF2B5EF4-FFF2-40B4-BE49-F238E27FC236}">
              <a16:creationId xmlns:a16="http://schemas.microsoft.com/office/drawing/2014/main" id="{531610A0-9C2B-A636-D135-80B3EB67A729}"/>
            </a:ext>
          </a:extLst>
        </xdr:cNvPr>
        <xdr:cNvSpPr txBox="1"/>
      </xdr:nvSpPr>
      <xdr:spPr>
        <a:xfrm>
          <a:off x="8849360" y="20730400"/>
          <a:ext cx="7796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Dividend Recap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111</xdr:row>
      <xdr:rowOff>174625</xdr:rowOff>
    </xdr:from>
    <xdr:to>
      <xdr:col>5</xdr:col>
      <xdr:colOff>47626</xdr:colOff>
      <xdr:row>114</xdr:row>
      <xdr:rowOff>6362</xdr:rowOff>
    </xdr:to>
    <xdr:sp macro="" textlink="">
      <xdr:nvSpPr>
        <xdr:cNvPr id="275" name="MC_BR_C_mgmt_under_T_mgmt_stab">
          <a:extLst>
            <a:ext uri="{FF2B5EF4-FFF2-40B4-BE49-F238E27FC236}">
              <a16:creationId xmlns:a16="http://schemas.microsoft.com/office/drawing/2014/main" id="{55F11026-D4EC-668B-FB11-7DB53A9A3AB5}"/>
            </a:ext>
          </a:extLst>
        </xdr:cNvPr>
        <xdr:cNvSpPr/>
      </xdr:nvSpPr>
      <xdr:spPr>
        <a:xfrm>
          <a:off x="8638981" y="21186775"/>
          <a:ext cx="3010095" cy="403237"/>
        </a:xfrm>
        <a:custGeom>
          <a:avLst/>
          <a:gdLst/>
          <a:ahLst/>
          <a:cxnLst/>
          <a:rect l="0" t="0" r="0" b="0"/>
          <a:pathLst>
            <a:path w="3010095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3010094" y="0"/>
              </a:lnTo>
              <a:lnTo>
                <a:pt x="3010094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111</xdr:row>
      <xdr:rowOff>99250</xdr:rowOff>
    </xdr:from>
    <xdr:ext cx="996298" cy="182550"/>
    <xdr:sp macro="_xll.MC_OnBranchLabelClick" textlink="">
      <xdr:nvSpPr>
        <xdr:cNvPr id="276" name="MC_BN_C_mgmt_under_T_mgmt_stab">
          <a:extLst>
            <a:ext uri="{FF2B5EF4-FFF2-40B4-BE49-F238E27FC236}">
              <a16:creationId xmlns:a16="http://schemas.microsoft.com/office/drawing/2014/main" id="{419E3196-F656-FF50-0F5A-03363647458E}"/>
            </a:ext>
          </a:extLst>
        </xdr:cNvPr>
        <xdr:cNvSpPr txBox="1"/>
      </xdr:nvSpPr>
      <xdr:spPr>
        <a:xfrm>
          <a:off x="8849360" y="21111400"/>
          <a:ext cx="9962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Stabilizes Eventually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113</xdr:row>
      <xdr:rowOff>184139</xdr:rowOff>
    </xdr:from>
    <xdr:to>
      <xdr:col>5</xdr:col>
      <xdr:colOff>47626</xdr:colOff>
      <xdr:row>116</xdr:row>
      <xdr:rowOff>15876</xdr:rowOff>
    </xdr:to>
    <xdr:sp macro="" textlink="">
      <xdr:nvSpPr>
        <xdr:cNvPr id="277" name="MC_BR_C_mgmt_under_T_mgmt_decline">
          <a:extLst>
            <a:ext uri="{FF2B5EF4-FFF2-40B4-BE49-F238E27FC236}">
              <a16:creationId xmlns:a16="http://schemas.microsoft.com/office/drawing/2014/main" id="{3F11EC2F-79D7-4172-E655-77D1069EE93C}"/>
            </a:ext>
          </a:extLst>
        </xdr:cNvPr>
        <xdr:cNvSpPr/>
      </xdr:nvSpPr>
      <xdr:spPr>
        <a:xfrm>
          <a:off x="8638981" y="21577289"/>
          <a:ext cx="3010095" cy="403237"/>
        </a:xfrm>
        <a:custGeom>
          <a:avLst/>
          <a:gdLst/>
          <a:ahLst/>
          <a:cxnLst/>
          <a:rect l="0" t="0" r="0" b="0"/>
          <a:pathLst>
            <a:path w="3010095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3010094" y="371486"/>
              </a:lnTo>
              <a:lnTo>
                <a:pt x="3010094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115</xdr:row>
      <xdr:rowOff>99250</xdr:rowOff>
    </xdr:from>
    <xdr:ext cx="893771" cy="182550"/>
    <xdr:sp macro="_xll.MC_OnBranchLabelClick" textlink="">
      <xdr:nvSpPr>
        <xdr:cNvPr id="278" name="MC_BN_C_mgmt_under_T_mgmt_decline">
          <a:extLst>
            <a:ext uri="{FF2B5EF4-FFF2-40B4-BE49-F238E27FC236}">
              <a16:creationId xmlns:a16="http://schemas.microsoft.com/office/drawing/2014/main" id="{25E9CF4B-F0C1-1C6E-5DA8-0172B7DB13F4}"/>
            </a:ext>
          </a:extLst>
        </xdr:cNvPr>
        <xdr:cNvSpPr txBox="1"/>
      </xdr:nvSpPr>
      <xdr:spPr>
        <a:xfrm>
          <a:off x="8849360" y="21873400"/>
          <a:ext cx="8937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Continued Decline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113</xdr:row>
      <xdr:rowOff>187110</xdr:rowOff>
    </xdr:from>
    <xdr:to>
      <xdr:col>5</xdr:col>
      <xdr:colOff>47626</xdr:colOff>
      <xdr:row>118</xdr:row>
      <xdr:rowOff>15876</xdr:rowOff>
    </xdr:to>
    <xdr:sp macro="" textlink="">
      <xdr:nvSpPr>
        <xdr:cNvPr id="279" name="MC_BR_C_mgmt_under_T_mgmt_default">
          <a:extLst>
            <a:ext uri="{FF2B5EF4-FFF2-40B4-BE49-F238E27FC236}">
              <a16:creationId xmlns:a16="http://schemas.microsoft.com/office/drawing/2014/main" id="{615BEFF0-E711-A3D5-C8D8-266ADA4FCBB1}"/>
            </a:ext>
          </a:extLst>
        </xdr:cNvPr>
        <xdr:cNvSpPr/>
      </xdr:nvSpPr>
      <xdr:spPr>
        <a:xfrm>
          <a:off x="8638018" y="21580260"/>
          <a:ext cx="3011058" cy="781266"/>
        </a:xfrm>
        <a:custGeom>
          <a:avLst/>
          <a:gdLst/>
          <a:ahLst/>
          <a:cxnLst/>
          <a:rect l="0" t="0" r="0" b="0"/>
          <a:pathLst>
            <a:path w="3011058" h="781266">
              <a:moveTo>
                <a:pt x="31016" y="0"/>
              </a:moveTo>
              <a:lnTo>
                <a:pt x="197640" y="762000"/>
              </a:lnTo>
              <a:lnTo>
                <a:pt x="182132" y="749515"/>
              </a:lnTo>
              <a:lnTo>
                <a:pt x="3011057" y="749515"/>
              </a:lnTo>
              <a:lnTo>
                <a:pt x="3011057" y="781265"/>
              </a:lnTo>
              <a:lnTo>
                <a:pt x="182132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117</xdr:row>
      <xdr:rowOff>99250</xdr:rowOff>
    </xdr:from>
    <xdr:ext cx="853695" cy="182550"/>
    <xdr:sp macro="_xll.MC_OnBranchLabelClick" textlink="">
      <xdr:nvSpPr>
        <xdr:cNvPr id="280" name="MC_BN_C_mgmt_under_T_mgmt_default">
          <a:extLst>
            <a:ext uri="{FF2B5EF4-FFF2-40B4-BE49-F238E27FC236}">
              <a16:creationId xmlns:a16="http://schemas.microsoft.com/office/drawing/2014/main" id="{716425A2-9B87-90A9-BB29-F9BB4F71754A}"/>
            </a:ext>
          </a:extLst>
        </xdr:cNvPr>
        <xdr:cNvSpPr txBox="1"/>
      </xdr:nvSpPr>
      <xdr:spPr>
        <a:xfrm>
          <a:off x="8849360" y="22254400"/>
          <a:ext cx="8536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Debt Default Risk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127</xdr:row>
      <xdr:rowOff>184150</xdr:rowOff>
    </xdr:from>
    <xdr:to>
      <xdr:col>4</xdr:col>
      <xdr:colOff>47626</xdr:colOff>
      <xdr:row>132</xdr:row>
      <xdr:rowOff>1358</xdr:rowOff>
    </xdr:to>
    <xdr:sp macro="" textlink="">
      <xdr:nvSpPr>
        <xdr:cNvPr id="281" name="MC_BR_C_revenue_growth_D_growth_high">
          <a:extLst>
            <a:ext uri="{FF2B5EF4-FFF2-40B4-BE49-F238E27FC236}">
              <a16:creationId xmlns:a16="http://schemas.microsoft.com/office/drawing/2014/main" id="{A8AAE684-966F-B03C-4286-1646710B8C81}"/>
            </a:ext>
          </a:extLst>
        </xdr:cNvPr>
        <xdr:cNvSpPr/>
      </xdr:nvSpPr>
      <xdr:spPr>
        <a:xfrm>
          <a:off x="5661235" y="24244300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0" y="766993"/>
              </a:moveTo>
              <a:lnTo>
                <a:pt x="166624" y="4993"/>
              </a:lnTo>
              <a:lnTo>
                <a:pt x="172828" y="0"/>
              </a:lnTo>
              <a:lnTo>
                <a:pt x="2949365" y="0"/>
              </a:lnTo>
              <a:lnTo>
                <a:pt x="2949365" y="12700"/>
              </a:lnTo>
              <a:lnTo>
                <a:pt x="172828" y="12700"/>
              </a:lnTo>
              <a:lnTo>
                <a:pt x="179031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127</xdr:row>
      <xdr:rowOff>99250</xdr:rowOff>
    </xdr:from>
    <xdr:ext cx="919419" cy="182550"/>
    <xdr:sp macro="_xll.MC_OnBranchLabelClick" textlink="">
      <xdr:nvSpPr>
        <xdr:cNvPr id="282" name="MC_BN_C_revenue_growth_D_growth_high">
          <a:extLst>
            <a:ext uri="{FF2B5EF4-FFF2-40B4-BE49-F238E27FC236}">
              <a16:creationId xmlns:a16="http://schemas.microsoft.com/office/drawing/2014/main" id="{50551A5E-CAA1-C85B-EB47-2F048C88BA23}"/>
            </a:ext>
          </a:extLst>
        </xdr:cNvPr>
        <xdr:cNvSpPr txBox="1"/>
      </xdr:nvSpPr>
      <xdr:spPr>
        <a:xfrm>
          <a:off x="5863272" y="24159400"/>
          <a:ext cx="91941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Growth &gt;20%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131</xdr:row>
      <xdr:rowOff>187956</xdr:rowOff>
    </xdr:from>
    <xdr:to>
      <xdr:col>4</xdr:col>
      <xdr:colOff>47626</xdr:colOff>
      <xdr:row>134</xdr:row>
      <xdr:rowOff>6351</xdr:rowOff>
    </xdr:to>
    <xdr:sp macro="" textlink="">
      <xdr:nvSpPr>
        <xdr:cNvPr id="283" name="MC_BR_C_revenue_growth_T_growth_mod">
          <a:extLst>
            <a:ext uri="{FF2B5EF4-FFF2-40B4-BE49-F238E27FC236}">
              <a16:creationId xmlns:a16="http://schemas.microsoft.com/office/drawing/2014/main" id="{66A1EB56-BA0D-157C-3464-3AC5CC6951E5}"/>
            </a:ext>
          </a:extLst>
        </xdr:cNvPr>
        <xdr:cNvSpPr/>
      </xdr:nvSpPr>
      <xdr:spPr>
        <a:xfrm>
          <a:off x="5661621" y="25010106"/>
          <a:ext cx="2948980" cy="389895"/>
        </a:xfrm>
        <a:custGeom>
          <a:avLst/>
          <a:gdLst/>
          <a:ahLst/>
          <a:cxnLst/>
          <a:rect l="0" t="0" r="0" b="0"/>
          <a:pathLst>
            <a:path w="2948980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948979" y="377194"/>
              </a:lnTo>
              <a:lnTo>
                <a:pt x="2948979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133</xdr:row>
      <xdr:rowOff>99250</xdr:rowOff>
    </xdr:from>
    <xdr:ext cx="1082091" cy="182550"/>
    <xdr:sp macro="_xll.MC_OnBranchLabelClick" textlink="">
      <xdr:nvSpPr>
        <xdr:cNvPr id="284" name="MC_BN_C_revenue_growth_T_growth_mod">
          <a:extLst>
            <a:ext uri="{FF2B5EF4-FFF2-40B4-BE49-F238E27FC236}">
              <a16:creationId xmlns:a16="http://schemas.microsoft.com/office/drawing/2014/main" id="{3ED16C14-7081-2D3B-7759-438A4E5B5B0E}"/>
            </a:ext>
          </a:extLst>
        </xdr:cNvPr>
        <xdr:cNvSpPr txBox="1"/>
      </xdr:nvSpPr>
      <xdr:spPr>
        <a:xfrm>
          <a:off x="5863272" y="25302400"/>
          <a:ext cx="10820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Growth 10%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131</xdr:row>
      <xdr:rowOff>189143</xdr:rowOff>
    </xdr:from>
    <xdr:to>
      <xdr:col>4</xdr:col>
      <xdr:colOff>47626</xdr:colOff>
      <xdr:row>136</xdr:row>
      <xdr:rowOff>6351</xdr:rowOff>
    </xdr:to>
    <xdr:sp macro="" textlink="">
      <xdr:nvSpPr>
        <xdr:cNvPr id="285" name="MC_BR_C_revenue_growth_T_growth_stag">
          <a:extLst>
            <a:ext uri="{FF2B5EF4-FFF2-40B4-BE49-F238E27FC236}">
              <a16:creationId xmlns:a16="http://schemas.microsoft.com/office/drawing/2014/main" id="{A1DB0226-6A61-C09A-4FC4-C2399C6BFA08}"/>
            </a:ext>
          </a:extLst>
        </xdr:cNvPr>
        <xdr:cNvSpPr/>
      </xdr:nvSpPr>
      <xdr:spPr>
        <a:xfrm>
          <a:off x="5661235" y="25011293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949365" y="757007"/>
              </a:lnTo>
              <a:lnTo>
                <a:pt x="29493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135</xdr:row>
      <xdr:rowOff>99250</xdr:rowOff>
    </xdr:from>
    <xdr:ext cx="546047" cy="182550"/>
    <xdr:sp macro="_xll.MC_OnBranchLabelClick" textlink="">
      <xdr:nvSpPr>
        <xdr:cNvPr id="286" name="MC_BN_C_revenue_growth_T_growth_stag">
          <a:extLst>
            <a:ext uri="{FF2B5EF4-FFF2-40B4-BE49-F238E27FC236}">
              <a16:creationId xmlns:a16="http://schemas.microsoft.com/office/drawing/2014/main" id="{89356830-AB13-5AAB-2EA8-6595E90429DF}"/>
            </a:ext>
          </a:extLst>
        </xdr:cNvPr>
        <xdr:cNvSpPr txBox="1"/>
      </xdr:nvSpPr>
      <xdr:spPr>
        <a:xfrm>
          <a:off x="5863272" y="25683400"/>
          <a:ext cx="54604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Stagnation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84268</xdr:colOff>
      <xdr:row>121</xdr:row>
      <xdr:rowOff>184150</xdr:rowOff>
    </xdr:from>
    <xdr:to>
      <xdr:col>5</xdr:col>
      <xdr:colOff>47626</xdr:colOff>
      <xdr:row>128</xdr:row>
      <xdr:rowOff>917</xdr:rowOff>
    </xdr:to>
    <xdr:sp macro="" textlink="">
      <xdr:nvSpPr>
        <xdr:cNvPr id="287" name="MC_BR_D_growth_high_C_call_option">
          <a:extLst>
            <a:ext uri="{FF2B5EF4-FFF2-40B4-BE49-F238E27FC236}">
              <a16:creationId xmlns:a16="http://schemas.microsoft.com/office/drawing/2014/main" id="{D6E8E470-1EE1-B4FC-C01D-4D3DCCCF290A}"/>
            </a:ext>
          </a:extLst>
        </xdr:cNvPr>
        <xdr:cNvSpPr/>
      </xdr:nvSpPr>
      <xdr:spPr>
        <a:xfrm>
          <a:off x="8647243" y="23101300"/>
          <a:ext cx="3001833" cy="1150267"/>
        </a:xfrm>
        <a:custGeom>
          <a:avLst/>
          <a:gdLst/>
          <a:ahLst/>
          <a:cxnLst/>
          <a:rect l="0" t="0" r="0" b="0"/>
          <a:pathLst>
            <a:path w="3001833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3001832" y="0"/>
              </a:lnTo>
              <a:lnTo>
                <a:pt x="3001832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121</xdr:row>
      <xdr:rowOff>99250</xdr:rowOff>
    </xdr:from>
    <xdr:ext cx="1492396" cy="182550"/>
    <xdr:sp macro="_xll.MC_OnBranchLabelClick" textlink="">
      <xdr:nvSpPr>
        <xdr:cNvPr id="288" name="MC_BN_D_growth_high_C_call_option">
          <a:extLst>
            <a:ext uri="{FF2B5EF4-FFF2-40B4-BE49-F238E27FC236}">
              <a16:creationId xmlns:a16="http://schemas.microsoft.com/office/drawing/2014/main" id="{72D84240-7693-50AE-5FCB-06B315B1E665}"/>
            </a:ext>
          </a:extLst>
        </xdr:cNvPr>
        <xdr:cNvSpPr txBox="1"/>
      </xdr:nvSpPr>
      <xdr:spPr>
        <a:xfrm>
          <a:off x="8849360" y="23016400"/>
          <a:ext cx="149239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Exercise Call Option for Control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127</xdr:row>
      <xdr:rowOff>187956</xdr:rowOff>
    </xdr:from>
    <xdr:to>
      <xdr:col>5</xdr:col>
      <xdr:colOff>47626</xdr:colOff>
      <xdr:row>130</xdr:row>
      <xdr:rowOff>6351</xdr:rowOff>
    </xdr:to>
    <xdr:sp macro="" textlink="">
      <xdr:nvSpPr>
        <xdr:cNvPr id="289" name="MC_BR_D_growth_high_T_sell_growth_high">
          <a:extLst>
            <a:ext uri="{FF2B5EF4-FFF2-40B4-BE49-F238E27FC236}">
              <a16:creationId xmlns:a16="http://schemas.microsoft.com/office/drawing/2014/main" id="{AFB3AE1E-57E8-81E3-4547-5F5B97581A19}"/>
            </a:ext>
          </a:extLst>
        </xdr:cNvPr>
        <xdr:cNvSpPr/>
      </xdr:nvSpPr>
      <xdr:spPr>
        <a:xfrm>
          <a:off x="8647708" y="24248106"/>
          <a:ext cx="3001368" cy="389895"/>
        </a:xfrm>
        <a:custGeom>
          <a:avLst/>
          <a:gdLst/>
          <a:ahLst/>
          <a:cxnLst/>
          <a:rect l="0" t="0" r="0" b="0"/>
          <a:pathLst>
            <a:path w="3001368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3001367" y="377194"/>
              </a:lnTo>
              <a:lnTo>
                <a:pt x="3001367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129</xdr:row>
      <xdr:rowOff>99250</xdr:rowOff>
    </xdr:from>
    <xdr:ext cx="1070421" cy="182550"/>
    <xdr:sp macro="_xll.MC_OnBranchLabelClick" textlink="">
      <xdr:nvSpPr>
        <xdr:cNvPr id="290" name="MC_BN_D_growth_high_T_sell_growth_high">
          <a:extLst>
            <a:ext uri="{FF2B5EF4-FFF2-40B4-BE49-F238E27FC236}">
              <a16:creationId xmlns:a16="http://schemas.microsoft.com/office/drawing/2014/main" id="{D6246738-D918-DD18-FBE0-E891B6862F12}"/>
            </a:ext>
          </a:extLst>
        </xdr:cNvPr>
        <xdr:cNvSpPr txBox="1"/>
      </xdr:nvSpPr>
      <xdr:spPr>
        <a:xfrm>
          <a:off x="8849360" y="24540400"/>
          <a:ext cx="10704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Stake at Premium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119</xdr:row>
      <xdr:rowOff>184150</xdr:rowOff>
    </xdr:from>
    <xdr:to>
      <xdr:col>6</xdr:col>
      <xdr:colOff>47626</xdr:colOff>
      <xdr:row>122</xdr:row>
      <xdr:rowOff>2545</xdr:rowOff>
    </xdr:to>
    <xdr:sp macro="" textlink="">
      <xdr:nvSpPr>
        <xdr:cNvPr id="291" name="MC_BR_C_call_option_T_call_grows">
          <a:extLst>
            <a:ext uri="{FF2B5EF4-FFF2-40B4-BE49-F238E27FC236}">
              <a16:creationId xmlns:a16="http://schemas.microsoft.com/office/drawing/2014/main" id="{80E41C53-0969-49E6-E694-E6A0EA2C3C42}"/>
            </a:ext>
          </a:extLst>
        </xdr:cNvPr>
        <xdr:cNvSpPr/>
      </xdr:nvSpPr>
      <xdr:spPr>
        <a:xfrm>
          <a:off x="11686183" y="227203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119</xdr:row>
      <xdr:rowOff>99250</xdr:rowOff>
    </xdr:from>
    <xdr:ext cx="927946" cy="182550"/>
    <xdr:sp macro="_xll.MC_OnBranchLabelClick" textlink="">
      <xdr:nvSpPr>
        <xdr:cNvPr id="292" name="MC_BN_C_call_option_T_call_grows">
          <a:extLst>
            <a:ext uri="{FF2B5EF4-FFF2-40B4-BE49-F238E27FC236}">
              <a16:creationId xmlns:a16="http://schemas.microsoft.com/office/drawing/2014/main" id="{FBFF8A81-F140-48DE-BFBC-5CA043DD72C6}"/>
            </a:ext>
          </a:extLst>
        </xdr:cNvPr>
        <xdr:cNvSpPr txBox="1"/>
      </xdr:nvSpPr>
      <xdr:spPr>
        <a:xfrm>
          <a:off x="11887835" y="22635400"/>
          <a:ext cx="9279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Continues Growing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121</xdr:row>
      <xdr:rowOff>187956</xdr:rowOff>
    </xdr:from>
    <xdr:to>
      <xdr:col>6</xdr:col>
      <xdr:colOff>47626</xdr:colOff>
      <xdr:row>124</xdr:row>
      <xdr:rowOff>6351</xdr:rowOff>
    </xdr:to>
    <xdr:sp macro="" textlink="">
      <xdr:nvSpPr>
        <xdr:cNvPr id="293" name="MC_BR_C_call_option_T_call_slows">
          <a:extLst>
            <a:ext uri="{FF2B5EF4-FFF2-40B4-BE49-F238E27FC236}">
              <a16:creationId xmlns:a16="http://schemas.microsoft.com/office/drawing/2014/main" id="{343C4F62-42BF-7773-9471-527787AE31F5}"/>
            </a:ext>
          </a:extLst>
        </xdr:cNvPr>
        <xdr:cNvSpPr/>
      </xdr:nvSpPr>
      <xdr:spPr>
        <a:xfrm>
          <a:off x="11686183" y="231051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123</xdr:row>
      <xdr:rowOff>99250</xdr:rowOff>
    </xdr:from>
    <xdr:ext cx="688265" cy="182550"/>
    <xdr:sp macro="_xll.MC_OnBranchLabelClick" textlink="">
      <xdr:nvSpPr>
        <xdr:cNvPr id="294" name="MC_BN_C_call_option_T_call_slows">
          <a:extLst>
            <a:ext uri="{FF2B5EF4-FFF2-40B4-BE49-F238E27FC236}">
              <a16:creationId xmlns:a16="http://schemas.microsoft.com/office/drawing/2014/main" id="{5CF5E663-520D-C177-F22C-743098A59DDC}"/>
            </a:ext>
          </a:extLst>
        </xdr:cNvPr>
        <xdr:cNvSpPr txBox="1"/>
      </xdr:nvSpPr>
      <xdr:spPr>
        <a:xfrm>
          <a:off x="11887835" y="23397400"/>
          <a:ext cx="68826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Growth Slows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121</xdr:row>
      <xdr:rowOff>189143</xdr:rowOff>
    </xdr:from>
    <xdr:to>
      <xdr:col>6</xdr:col>
      <xdr:colOff>47626</xdr:colOff>
      <xdr:row>126</xdr:row>
      <xdr:rowOff>6351</xdr:rowOff>
    </xdr:to>
    <xdr:sp macro="" textlink="">
      <xdr:nvSpPr>
        <xdr:cNvPr id="295" name="MC_BR_C_call_option_T_call_stumbles">
          <a:extLst>
            <a:ext uri="{FF2B5EF4-FFF2-40B4-BE49-F238E27FC236}">
              <a16:creationId xmlns:a16="http://schemas.microsoft.com/office/drawing/2014/main" id="{6074AFFF-CE19-E520-C8A2-A3BFAEE8A7CB}"/>
            </a:ext>
          </a:extLst>
        </xdr:cNvPr>
        <xdr:cNvSpPr/>
      </xdr:nvSpPr>
      <xdr:spPr>
        <a:xfrm>
          <a:off x="11685798" y="231062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125</xdr:row>
      <xdr:rowOff>99250</xdr:rowOff>
    </xdr:from>
    <xdr:ext cx="996555" cy="182550"/>
    <xdr:sp macro="_xll.MC_OnBranchLabelClick" textlink="">
      <xdr:nvSpPr>
        <xdr:cNvPr id="296" name="MC_BN_C_call_option_T_call_stumbles">
          <a:extLst>
            <a:ext uri="{FF2B5EF4-FFF2-40B4-BE49-F238E27FC236}">
              <a16:creationId xmlns:a16="http://schemas.microsoft.com/office/drawing/2014/main" id="{FEC17172-58DE-DE80-B4A9-D6FF6E1E9F8E}"/>
            </a:ext>
          </a:extLst>
        </xdr:cNvPr>
        <xdr:cNvSpPr txBox="1"/>
      </xdr:nvSpPr>
      <xdr:spPr>
        <a:xfrm>
          <a:off x="11887835" y="23778400"/>
          <a:ext cx="99655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Integration Stumbles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7</xdr:col>
      <xdr:colOff>4763</xdr:colOff>
      <xdr:row>27</xdr:row>
      <xdr:rowOff>109537</xdr:rowOff>
    </xdr:from>
    <xdr:to>
      <xdr:col>7</xdr:col>
      <xdr:colOff>176213</xdr:colOff>
      <xdr:row>28</xdr:row>
      <xdr:rowOff>80962</xdr:rowOff>
    </xdr:to>
    <xdr:sp macro="_xll.MC_OnNodeClick" textlink="">
      <xdr:nvSpPr>
        <xdr:cNvPr id="297" name="MC_T_ipo_full_hh_hot">
          <a:extLst>
            <a:ext uri="{FF2B5EF4-FFF2-40B4-BE49-F238E27FC236}">
              <a16:creationId xmlns:a16="http://schemas.microsoft.com/office/drawing/2014/main" id="{D83912FD-BFA7-EA1F-5B2A-5AE27CC21151}"/>
            </a:ext>
          </a:extLst>
        </xdr:cNvPr>
        <xdr:cNvSpPr/>
      </xdr:nvSpPr>
      <xdr:spPr>
        <a:xfrm rot="16200000">
          <a:off x="17325975" y="5114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29</xdr:row>
      <xdr:rowOff>109538</xdr:rowOff>
    </xdr:from>
    <xdr:to>
      <xdr:col>6</xdr:col>
      <xdr:colOff>180975</xdr:colOff>
      <xdr:row>30</xdr:row>
      <xdr:rowOff>80963</xdr:rowOff>
    </xdr:to>
    <xdr:sp macro="_xll.MC_OnNodeClick" textlink="">
      <xdr:nvSpPr>
        <xdr:cNvPr id="298" name="MC_C_ipo_full_hh">
          <a:extLst>
            <a:ext uri="{FF2B5EF4-FFF2-40B4-BE49-F238E27FC236}">
              <a16:creationId xmlns:a16="http://schemas.microsoft.com/office/drawing/2014/main" id="{E5A49F19-BA2C-3710-0756-1B55A9DDD42F}"/>
            </a:ext>
          </a:extLst>
        </xdr:cNvPr>
        <xdr:cNvSpPr/>
      </xdr:nvSpPr>
      <xdr:spPr>
        <a:xfrm>
          <a:off x="14425613" y="55006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31</xdr:row>
      <xdr:rowOff>109537</xdr:rowOff>
    </xdr:from>
    <xdr:to>
      <xdr:col>7</xdr:col>
      <xdr:colOff>176213</xdr:colOff>
      <xdr:row>32</xdr:row>
      <xdr:rowOff>80962</xdr:rowOff>
    </xdr:to>
    <xdr:sp macro="_xll.MC_OnNodeClick" textlink="">
      <xdr:nvSpPr>
        <xdr:cNvPr id="299" name="MC_T_ipo_full_hh_norm">
          <a:extLst>
            <a:ext uri="{FF2B5EF4-FFF2-40B4-BE49-F238E27FC236}">
              <a16:creationId xmlns:a16="http://schemas.microsoft.com/office/drawing/2014/main" id="{06958387-5BA6-80B6-33AB-93CCF081D013}"/>
            </a:ext>
          </a:extLst>
        </xdr:cNvPr>
        <xdr:cNvSpPr/>
      </xdr:nvSpPr>
      <xdr:spPr>
        <a:xfrm rot="16200000">
          <a:off x="17325975" y="5876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33</xdr:row>
      <xdr:rowOff>109537</xdr:rowOff>
    </xdr:from>
    <xdr:to>
      <xdr:col>7</xdr:col>
      <xdr:colOff>176213</xdr:colOff>
      <xdr:row>34</xdr:row>
      <xdr:rowOff>80962</xdr:rowOff>
    </xdr:to>
    <xdr:sp macro="_xll.MC_OnNodeClick" textlink="">
      <xdr:nvSpPr>
        <xdr:cNvPr id="300" name="MC_T_ipo_full_hh_weak">
          <a:extLst>
            <a:ext uri="{FF2B5EF4-FFF2-40B4-BE49-F238E27FC236}">
              <a16:creationId xmlns:a16="http://schemas.microsoft.com/office/drawing/2014/main" id="{19B7B171-26CC-9041-2E97-7AFD7CD3AEEE}"/>
            </a:ext>
          </a:extLst>
        </xdr:cNvPr>
        <xdr:cNvSpPr/>
      </xdr:nvSpPr>
      <xdr:spPr>
        <a:xfrm rot="16200000">
          <a:off x="17325975" y="6257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35</xdr:row>
      <xdr:rowOff>109538</xdr:rowOff>
    </xdr:from>
    <xdr:to>
      <xdr:col>5</xdr:col>
      <xdr:colOff>180975</xdr:colOff>
      <xdr:row>36</xdr:row>
      <xdr:rowOff>80963</xdr:rowOff>
    </xdr:to>
    <xdr:sp macro="_xll.MC_OnNodeClick" textlink="">
      <xdr:nvSpPr>
        <xdr:cNvPr id="301" name="MC_D_exit_full_hh">
          <a:extLst>
            <a:ext uri="{FF2B5EF4-FFF2-40B4-BE49-F238E27FC236}">
              <a16:creationId xmlns:a16="http://schemas.microsoft.com/office/drawing/2014/main" id="{043D0FDF-85C5-668E-E52A-51853F5C3099}"/>
            </a:ext>
          </a:extLst>
        </xdr:cNvPr>
        <xdr:cNvSpPr/>
      </xdr:nvSpPr>
      <xdr:spPr>
        <a:xfrm>
          <a:off x="11610975" y="66436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302" name="MC_T_strat_full_hh">
          <a:extLst>
            <a:ext uri="{FF2B5EF4-FFF2-40B4-BE49-F238E27FC236}">
              <a16:creationId xmlns:a16="http://schemas.microsoft.com/office/drawing/2014/main" id="{CC7D3158-7ED5-0386-9048-5D36BC0BA2CC}"/>
            </a:ext>
          </a:extLst>
        </xdr:cNvPr>
        <xdr:cNvSpPr/>
      </xdr:nvSpPr>
      <xdr:spPr>
        <a:xfrm rot="16200000">
          <a:off x="14425613" y="7019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39</xdr:row>
      <xdr:rowOff>109537</xdr:rowOff>
    </xdr:from>
    <xdr:to>
      <xdr:col>6</xdr:col>
      <xdr:colOff>176213</xdr:colOff>
      <xdr:row>40</xdr:row>
      <xdr:rowOff>80962</xdr:rowOff>
    </xdr:to>
    <xdr:sp macro="_xll.MC_OnNodeClick" textlink="">
      <xdr:nvSpPr>
        <xdr:cNvPr id="303" name="MC_T_sec_full_hh">
          <a:extLst>
            <a:ext uri="{FF2B5EF4-FFF2-40B4-BE49-F238E27FC236}">
              <a16:creationId xmlns:a16="http://schemas.microsoft.com/office/drawing/2014/main" id="{AFFFE187-EB41-D6E7-6456-9B04B3E8E527}"/>
            </a:ext>
          </a:extLst>
        </xdr:cNvPr>
        <xdr:cNvSpPr/>
      </xdr:nvSpPr>
      <xdr:spPr>
        <a:xfrm rot="16200000">
          <a:off x="14425613" y="7400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41</xdr:row>
      <xdr:rowOff>109538</xdr:rowOff>
    </xdr:from>
    <xdr:to>
      <xdr:col>4</xdr:col>
      <xdr:colOff>180975</xdr:colOff>
      <xdr:row>42</xdr:row>
      <xdr:rowOff>80963</xdr:rowOff>
    </xdr:to>
    <xdr:sp macro="_xll.MC_OnNodeClick" textlink="">
      <xdr:nvSpPr>
        <xdr:cNvPr id="304" name="MC_C_rev_full_high">
          <a:extLst>
            <a:ext uri="{FF2B5EF4-FFF2-40B4-BE49-F238E27FC236}">
              <a16:creationId xmlns:a16="http://schemas.microsoft.com/office/drawing/2014/main" id="{44EA878E-2BCE-EBDF-0C7B-B9946E08497A}"/>
            </a:ext>
          </a:extLst>
        </xdr:cNvPr>
        <xdr:cNvSpPr/>
      </xdr:nvSpPr>
      <xdr:spPr>
        <a:xfrm>
          <a:off x="8572500" y="77866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43</xdr:row>
      <xdr:rowOff>109537</xdr:rowOff>
    </xdr:from>
    <xdr:to>
      <xdr:col>7</xdr:col>
      <xdr:colOff>176213</xdr:colOff>
      <xdr:row>44</xdr:row>
      <xdr:rowOff>80962</xdr:rowOff>
    </xdr:to>
    <xdr:sp macro="_xll.MC_OnNodeClick" textlink="">
      <xdr:nvSpPr>
        <xdr:cNvPr id="305" name="MC_T_ipo_full_hm_hot">
          <a:extLst>
            <a:ext uri="{FF2B5EF4-FFF2-40B4-BE49-F238E27FC236}">
              <a16:creationId xmlns:a16="http://schemas.microsoft.com/office/drawing/2014/main" id="{E3D663D7-6680-F689-642D-8AA1A8142B5E}"/>
            </a:ext>
          </a:extLst>
        </xdr:cNvPr>
        <xdr:cNvSpPr/>
      </xdr:nvSpPr>
      <xdr:spPr>
        <a:xfrm rot="16200000">
          <a:off x="17325975" y="8162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45</xdr:row>
      <xdr:rowOff>109538</xdr:rowOff>
    </xdr:from>
    <xdr:to>
      <xdr:col>6</xdr:col>
      <xdr:colOff>180975</xdr:colOff>
      <xdr:row>46</xdr:row>
      <xdr:rowOff>80963</xdr:rowOff>
    </xdr:to>
    <xdr:sp macro="_xll.MC_OnNodeClick" textlink="">
      <xdr:nvSpPr>
        <xdr:cNvPr id="306" name="MC_C_ipo_full_hm">
          <a:extLst>
            <a:ext uri="{FF2B5EF4-FFF2-40B4-BE49-F238E27FC236}">
              <a16:creationId xmlns:a16="http://schemas.microsoft.com/office/drawing/2014/main" id="{16C23FD4-6FFB-597E-B570-0DD7A68115CA}"/>
            </a:ext>
          </a:extLst>
        </xdr:cNvPr>
        <xdr:cNvSpPr/>
      </xdr:nvSpPr>
      <xdr:spPr>
        <a:xfrm>
          <a:off x="14425613" y="85486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47</xdr:row>
      <xdr:rowOff>109537</xdr:rowOff>
    </xdr:from>
    <xdr:to>
      <xdr:col>7</xdr:col>
      <xdr:colOff>176213</xdr:colOff>
      <xdr:row>48</xdr:row>
      <xdr:rowOff>80962</xdr:rowOff>
    </xdr:to>
    <xdr:sp macro="_xll.MC_OnNodeClick" textlink="">
      <xdr:nvSpPr>
        <xdr:cNvPr id="307" name="MC_T_ipo_full_hm_norm">
          <a:extLst>
            <a:ext uri="{FF2B5EF4-FFF2-40B4-BE49-F238E27FC236}">
              <a16:creationId xmlns:a16="http://schemas.microsoft.com/office/drawing/2014/main" id="{DEE278FB-D959-59D4-830D-22D8CD5D9359}"/>
            </a:ext>
          </a:extLst>
        </xdr:cNvPr>
        <xdr:cNvSpPr/>
      </xdr:nvSpPr>
      <xdr:spPr>
        <a:xfrm rot="16200000">
          <a:off x="17325975" y="8924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49</xdr:row>
      <xdr:rowOff>109537</xdr:rowOff>
    </xdr:from>
    <xdr:to>
      <xdr:col>7</xdr:col>
      <xdr:colOff>176213</xdr:colOff>
      <xdr:row>50</xdr:row>
      <xdr:rowOff>80962</xdr:rowOff>
    </xdr:to>
    <xdr:sp macro="_xll.MC_OnNodeClick" textlink="">
      <xdr:nvSpPr>
        <xdr:cNvPr id="308" name="MC_T_ipo_full_hm_weak">
          <a:extLst>
            <a:ext uri="{FF2B5EF4-FFF2-40B4-BE49-F238E27FC236}">
              <a16:creationId xmlns:a16="http://schemas.microsoft.com/office/drawing/2014/main" id="{92F834F5-BEF9-5CED-E6E6-DDAB2D9A92D4}"/>
            </a:ext>
          </a:extLst>
        </xdr:cNvPr>
        <xdr:cNvSpPr/>
      </xdr:nvSpPr>
      <xdr:spPr>
        <a:xfrm rot="16200000">
          <a:off x="17325975" y="9305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51</xdr:row>
      <xdr:rowOff>109538</xdr:rowOff>
    </xdr:from>
    <xdr:to>
      <xdr:col>5</xdr:col>
      <xdr:colOff>180975</xdr:colOff>
      <xdr:row>52</xdr:row>
      <xdr:rowOff>80963</xdr:rowOff>
    </xdr:to>
    <xdr:sp macro="_xll.MC_OnNodeClick" textlink="">
      <xdr:nvSpPr>
        <xdr:cNvPr id="309" name="MC_D_exit_full_hm">
          <a:extLst>
            <a:ext uri="{FF2B5EF4-FFF2-40B4-BE49-F238E27FC236}">
              <a16:creationId xmlns:a16="http://schemas.microsoft.com/office/drawing/2014/main" id="{DF15B409-6D40-E5AD-A203-05C6A8AEEF5C}"/>
            </a:ext>
          </a:extLst>
        </xdr:cNvPr>
        <xdr:cNvSpPr/>
      </xdr:nvSpPr>
      <xdr:spPr>
        <a:xfrm>
          <a:off x="11610975" y="96916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53</xdr:row>
      <xdr:rowOff>109537</xdr:rowOff>
    </xdr:from>
    <xdr:to>
      <xdr:col>6</xdr:col>
      <xdr:colOff>176213</xdr:colOff>
      <xdr:row>54</xdr:row>
      <xdr:rowOff>80962</xdr:rowOff>
    </xdr:to>
    <xdr:sp macro="_xll.MC_OnNodeClick" textlink="">
      <xdr:nvSpPr>
        <xdr:cNvPr id="310" name="MC_T_strat_full_hm">
          <a:extLst>
            <a:ext uri="{FF2B5EF4-FFF2-40B4-BE49-F238E27FC236}">
              <a16:creationId xmlns:a16="http://schemas.microsoft.com/office/drawing/2014/main" id="{118B0965-9AEF-5812-1DDF-D9E6665BE397}"/>
            </a:ext>
          </a:extLst>
        </xdr:cNvPr>
        <xdr:cNvSpPr/>
      </xdr:nvSpPr>
      <xdr:spPr>
        <a:xfrm rot="16200000">
          <a:off x="14425613" y="10067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55</xdr:row>
      <xdr:rowOff>109537</xdr:rowOff>
    </xdr:from>
    <xdr:to>
      <xdr:col>6</xdr:col>
      <xdr:colOff>176213</xdr:colOff>
      <xdr:row>56</xdr:row>
      <xdr:rowOff>80962</xdr:rowOff>
    </xdr:to>
    <xdr:sp macro="_xll.MC_OnNodeClick" textlink="">
      <xdr:nvSpPr>
        <xdr:cNvPr id="311" name="MC_T_sec_full_hm">
          <a:extLst>
            <a:ext uri="{FF2B5EF4-FFF2-40B4-BE49-F238E27FC236}">
              <a16:creationId xmlns:a16="http://schemas.microsoft.com/office/drawing/2014/main" id="{C11261C7-77D6-3A21-3E2D-35C1BB4541E8}"/>
            </a:ext>
          </a:extLst>
        </xdr:cNvPr>
        <xdr:cNvSpPr/>
      </xdr:nvSpPr>
      <xdr:spPr>
        <a:xfrm rot="16200000">
          <a:off x="14425613" y="10448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57</xdr:row>
      <xdr:rowOff>109537</xdr:rowOff>
    </xdr:from>
    <xdr:to>
      <xdr:col>6</xdr:col>
      <xdr:colOff>176213</xdr:colOff>
      <xdr:row>58</xdr:row>
      <xdr:rowOff>80962</xdr:rowOff>
    </xdr:to>
    <xdr:sp macro="_xll.MC_OnNodeClick" textlink="">
      <xdr:nvSpPr>
        <xdr:cNvPr id="312" name="MC_T_strat_full_hl">
          <a:extLst>
            <a:ext uri="{FF2B5EF4-FFF2-40B4-BE49-F238E27FC236}">
              <a16:creationId xmlns:a16="http://schemas.microsoft.com/office/drawing/2014/main" id="{E37CFE19-476B-523B-96CD-19F991069E2D}"/>
            </a:ext>
          </a:extLst>
        </xdr:cNvPr>
        <xdr:cNvSpPr/>
      </xdr:nvSpPr>
      <xdr:spPr>
        <a:xfrm rot="16200000">
          <a:off x="14425613" y="10829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59</xdr:row>
      <xdr:rowOff>109538</xdr:rowOff>
    </xdr:from>
    <xdr:to>
      <xdr:col>5</xdr:col>
      <xdr:colOff>180975</xdr:colOff>
      <xdr:row>60</xdr:row>
      <xdr:rowOff>80963</xdr:rowOff>
    </xdr:to>
    <xdr:sp macro="_xll.MC_OnNodeClick" textlink="">
      <xdr:nvSpPr>
        <xdr:cNvPr id="313" name="MC_D_exit_full_hl">
          <a:extLst>
            <a:ext uri="{FF2B5EF4-FFF2-40B4-BE49-F238E27FC236}">
              <a16:creationId xmlns:a16="http://schemas.microsoft.com/office/drawing/2014/main" id="{B42BD62B-3AD6-BBBE-C121-37A61A5A6D3C}"/>
            </a:ext>
          </a:extLst>
        </xdr:cNvPr>
        <xdr:cNvSpPr/>
      </xdr:nvSpPr>
      <xdr:spPr>
        <a:xfrm>
          <a:off x="11610975" y="112156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61</xdr:row>
      <xdr:rowOff>109537</xdr:rowOff>
    </xdr:from>
    <xdr:to>
      <xdr:col>6</xdr:col>
      <xdr:colOff>176213</xdr:colOff>
      <xdr:row>62</xdr:row>
      <xdr:rowOff>80962</xdr:rowOff>
    </xdr:to>
    <xdr:sp macro="_xll.MC_OnNodeClick" textlink="">
      <xdr:nvSpPr>
        <xdr:cNvPr id="314" name="MC_T_sec_full_hl">
          <a:extLst>
            <a:ext uri="{FF2B5EF4-FFF2-40B4-BE49-F238E27FC236}">
              <a16:creationId xmlns:a16="http://schemas.microsoft.com/office/drawing/2014/main" id="{0A8C8D49-E50B-67DE-0ABE-18482269F713}"/>
            </a:ext>
          </a:extLst>
        </xdr:cNvPr>
        <xdr:cNvSpPr/>
      </xdr:nvSpPr>
      <xdr:spPr>
        <a:xfrm rot="16200000">
          <a:off x="14425613" y="11591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63</xdr:row>
      <xdr:rowOff>109537</xdr:rowOff>
    </xdr:from>
    <xdr:to>
      <xdr:col>6</xdr:col>
      <xdr:colOff>176213</xdr:colOff>
      <xdr:row>64</xdr:row>
      <xdr:rowOff>80962</xdr:rowOff>
    </xdr:to>
    <xdr:sp macro="_xll.MC_OnNodeClick" textlink="">
      <xdr:nvSpPr>
        <xdr:cNvPr id="315" name="MC_T_hold_full_hl">
          <a:extLst>
            <a:ext uri="{FF2B5EF4-FFF2-40B4-BE49-F238E27FC236}">
              <a16:creationId xmlns:a16="http://schemas.microsoft.com/office/drawing/2014/main" id="{16AF7DAF-FFB4-C4BF-AE3F-BA49F98122FD}"/>
            </a:ext>
          </a:extLst>
        </xdr:cNvPr>
        <xdr:cNvSpPr/>
      </xdr:nvSpPr>
      <xdr:spPr>
        <a:xfrm rot="16200000">
          <a:off x="14425613" y="11972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65</xdr:row>
      <xdr:rowOff>109538</xdr:rowOff>
    </xdr:from>
    <xdr:to>
      <xdr:col>3</xdr:col>
      <xdr:colOff>180975</xdr:colOff>
      <xdr:row>66</xdr:row>
      <xdr:rowOff>80963</xdr:rowOff>
    </xdr:to>
    <xdr:sp macro="_xll.MC_OnNodeClick" textlink="">
      <xdr:nvSpPr>
        <xdr:cNvPr id="316" name="MC_C_ops_full">
          <a:extLst>
            <a:ext uri="{FF2B5EF4-FFF2-40B4-BE49-F238E27FC236}">
              <a16:creationId xmlns:a16="http://schemas.microsoft.com/office/drawing/2014/main" id="{712B9023-5B69-6B49-A1AF-2126B05D810A}"/>
            </a:ext>
          </a:extLst>
        </xdr:cNvPr>
        <xdr:cNvSpPr/>
      </xdr:nvSpPr>
      <xdr:spPr>
        <a:xfrm>
          <a:off x="5586413" y="123586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67</xdr:row>
      <xdr:rowOff>109537</xdr:rowOff>
    </xdr:from>
    <xdr:to>
      <xdr:col>6</xdr:col>
      <xdr:colOff>176213</xdr:colOff>
      <xdr:row>68</xdr:row>
      <xdr:rowOff>80962</xdr:rowOff>
    </xdr:to>
    <xdr:sp macro="_xll.MC_OnNodeClick" textlink="">
      <xdr:nvSpPr>
        <xdr:cNvPr id="317" name="MC_T_full_ms_gooddebt">
          <a:extLst>
            <a:ext uri="{FF2B5EF4-FFF2-40B4-BE49-F238E27FC236}">
              <a16:creationId xmlns:a16="http://schemas.microsoft.com/office/drawing/2014/main" id="{17EFC93C-C484-9E1B-B0D1-681EDF90900E}"/>
            </a:ext>
          </a:extLst>
        </xdr:cNvPr>
        <xdr:cNvSpPr/>
      </xdr:nvSpPr>
      <xdr:spPr>
        <a:xfrm rot="16200000">
          <a:off x="14425613" y="12734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69</xdr:row>
      <xdr:rowOff>109538</xdr:rowOff>
    </xdr:from>
    <xdr:to>
      <xdr:col>5</xdr:col>
      <xdr:colOff>180975</xdr:colOff>
      <xdr:row>70</xdr:row>
      <xdr:rowOff>80963</xdr:rowOff>
    </xdr:to>
    <xdr:sp macro="_xll.MC_OnNodeClick" textlink="">
      <xdr:nvSpPr>
        <xdr:cNvPr id="318" name="MC_C_debt_full_ms">
          <a:extLst>
            <a:ext uri="{FF2B5EF4-FFF2-40B4-BE49-F238E27FC236}">
              <a16:creationId xmlns:a16="http://schemas.microsoft.com/office/drawing/2014/main" id="{992DB500-0FB4-E846-96CA-BD92DA2C91E8}"/>
            </a:ext>
          </a:extLst>
        </xdr:cNvPr>
        <xdr:cNvSpPr/>
      </xdr:nvSpPr>
      <xdr:spPr>
        <a:xfrm>
          <a:off x="11610975" y="131206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71</xdr:row>
      <xdr:rowOff>109537</xdr:rowOff>
    </xdr:from>
    <xdr:to>
      <xdr:col>6</xdr:col>
      <xdr:colOff>176213</xdr:colOff>
      <xdr:row>72</xdr:row>
      <xdr:rowOff>80962</xdr:rowOff>
    </xdr:to>
    <xdr:sp macro="_xll.MC_OnNodeClick" textlink="">
      <xdr:nvSpPr>
        <xdr:cNvPr id="319" name="MC_T_full_ms_neutdebt">
          <a:extLst>
            <a:ext uri="{FF2B5EF4-FFF2-40B4-BE49-F238E27FC236}">
              <a16:creationId xmlns:a16="http://schemas.microsoft.com/office/drawing/2014/main" id="{33701D0C-9859-8C5D-6FAA-DAD33121DADB}"/>
            </a:ext>
          </a:extLst>
        </xdr:cNvPr>
        <xdr:cNvSpPr/>
      </xdr:nvSpPr>
      <xdr:spPr>
        <a:xfrm rot="16200000">
          <a:off x="14425613" y="13496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73</xdr:row>
      <xdr:rowOff>109538</xdr:rowOff>
    </xdr:from>
    <xdr:to>
      <xdr:col>4</xdr:col>
      <xdr:colOff>180975</xdr:colOff>
      <xdr:row>74</xdr:row>
      <xdr:rowOff>80963</xdr:rowOff>
    </xdr:to>
    <xdr:sp macro="_xll.MC_OnNodeClick" textlink="">
      <xdr:nvSpPr>
        <xdr:cNvPr id="320" name="MC_C_rev_full_med">
          <a:extLst>
            <a:ext uri="{FF2B5EF4-FFF2-40B4-BE49-F238E27FC236}">
              <a16:creationId xmlns:a16="http://schemas.microsoft.com/office/drawing/2014/main" id="{622F6180-BA8E-33CB-F396-1189BCE6309D}"/>
            </a:ext>
          </a:extLst>
        </xdr:cNvPr>
        <xdr:cNvSpPr/>
      </xdr:nvSpPr>
      <xdr:spPr>
        <a:xfrm>
          <a:off x="8572500" y="138826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75</xdr:row>
      <xdr:rowOff>109537</xdr:rowOff>
    </xdr:from>
    <xdr:to>
      <xdr:col>6</xdr:col>
      <xdr:colOff>176213</xdr:colOff>
      <xdr:row>76</xdr:row>
      <xdr:rowOff>80962</xdr:rowOff>
    </xdr:to>
    <xdr:sp macro="_xll.MC_OnNodeClick" textlink="">
      <xdr:nvSpPr>
        <xdr:cNvPr id="321" name="MC_T_full_mm_gooddebt">
          <a:extLst>
            <a:ext uri="{FF2B5EF4-FFF2-40B4-BE49-F238E27FC236}">
              <a16:creationId xmlns:a16="http://schemas.microsoft.com/office/drawing/2014/main" id="{C480DA4A-87C6-A1CF-815E-30DF8405B5AC}"/>
            </a:ext>
          </a:extLst>
        </xdr:cNvPr>
        <xdr:cNvSpPr/>
      </xdr:nvSpPr>
      <xdr:spPr>
        <a:xfrm rot="16200000">
          <a:off x="14425613" y="14258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77</xdr:row>
      <xdr:rowOff>109538</xdr:rowOff>
    </xdr:from>
    <xdr:to>
      <xdr:col>5</xdr:col>
      <xdr:colOff>180975</xdr:colOff>
      <xdr:row>78</xdr:row>
      <xdr:rowOff>80963</xdr:rowOff>
    </xdr:to>
    <xdr:sp macro="_xll.MC_OnNodeClick" textlink="">
      <xdr:nvSpPr>
        <xdr:cNvPr id="322" name="MC_C_debt_full_mm">
          <a:extLst>
            <a:ext uri="{FF2B5EF4-FFF2-40B4-BE49-F238E27FC236}">
              <a16:creationId xmlns:a16="http://schemas.microsoft.com/office/drawing/2014/main" id="{060EC175-9F18-DA8C-1187-C1625AE1AFAC}"/>
            </a:ext>
          </a:extLst>
        </xdr:cNvPr>
        <xdr:cNvSpPr/>
      </xdr:nvSpPr>
      <xdr:spPr>
        <a:xfrm>
          <a:off x="11610975" y="146446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79</xdr:row>
      <xdr:rowOff>109537</xdr:rowOff>
    </xdr:from>
    <xdr:to>
      <xdr:col>6</xdr:col>
      <xdr:colOff>176213</xdr:colOff>
      <xdr:row>80</xdr:row>
      <xdr:rowOff>80962</xdr:rowOff>
    </xdr:to>
    <xdr:sp macro="_xll.MC_OnNodeClick" textlink="">
      <xdr:nvSpPr>
        <xdr:cNvPr id="323" name="MC_T_full_mm_baddebt">
          <a:extLst>
            <a:ext uri="{FF2B5EF4-FFF2-40B4-BE49-F238E27FC236}">
              <a16:creationId xmlns:a16="http://schemas.microsoft.com/office/drawing/2014/main" id="{1C508E3A-6A9D-D1E4-B66A-7ABAA845F923}"/>
            </a:ext>
          </a:extLst>
        </xdr:cNvPr>
        <xdr:cNvSpPr/>
      </xdr:nvSpPr>
      <xdr:spPr>
        <a:xfrm rot="16200000">
          <a:off x="14425613" y="15020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81</xdr:row>
      <xdr:rowOff>109537</xdr:rowOff>
    </xdr:from>
    <xdr:to>
      <xdr:col>5</xdr:col>
      <xdr:colOff>176213</xdr:colOff>
      <xdr:row>82</xdr:row>
      <xdr:rowOff>80962</xdr:rowOff>
    </xdr:to>
    <xdr:sp macro="_xll.MC_OnNodeClick" textlink="">
      <xdr:nvSpPr>
        <xdr:cNvPr id="324" name="MC_T_full_med_flat">
          <a:extLst>
            <a:ext uri="{FF2B5EF4-FFF2-40B4-BE49-F238E27FC236}">
              <a16:creationId xmlns:a16="http://schemas.microsoft.com/office/drawing/2014/main" id="{520805A1-4D83-7B09-26D5-77220C14C1B1}"/>
            </a:ext>
          </a:extLst>
        </xdr:cNvPr>
        <xdr:cNvSpPr/>
      </xdr:nvSpPr>
      <xdr:spPr>
        <a:xfrm rot="16200000">
          <a:off x="11610975" y="15401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83</xdr:row>
      <xdr:rowOff>109537</xdr:rowOff>
    </xdr:from>
    <xdr:to>
      <xdr:col>5</xdr:col>
      <xdr:colOff>176213</xdr:colOff>
      <xdr:row>84</xdr:row>
      <xdr:rowOff>80962</xdr:rowOff>
    </xdr:to>
    <xdr:sp macro="_xll.MC_OnNodeClick" textlink="">
      <xdr:nvSpPr>
        <xdr:cNvPr id="325" name="MC_T_full_low_grow">
          <a:extLst>
            <a:ext uri="{FF2B5EF4-FFF2-40B4-BE49-F238E27FC236}">
              <a16:creationId xmlns:a16="http://schemas.microsoft.com/office/drawing/2014/main" id="{97FA2F00-94DC-AF6E-862A-6CD8AD1863D1}"/>
            </a:ext>
          </a:extLst>
        </xdr:cNvPr>
        <xdr:cNvSpPr/>
      </xdr:nvSpPr>
      <xdr:spPr>
        <a:xfrm rot="16200000">
          <a:off x="11610975" y="15782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85</xdr:row>
      <xdr:rowOff>109538</xdr:rowOff>
    </xdr:from>
    <xdr:to>
      <xdr:col>4</xdr:col>
      <xdr:colOff>180975</xdr:colOff>
      <xdr:row>86</xdr:row>
      <xdr:rowOff>80963</xdr:rowOff>
    </xdr:to>
    <xdr:sp macro="_xll.MC_OnNodeClick" textlink="">
      <xdr:nvSpPr>
        <xdr:cNvPr id="326" name="MC_C_rev_full_low">
          <a:extLst>
            <a:ext uri="{FF2B5EF4-FFF2-40B4-BE49-F238E27FC236}">
              <a16:creationId xmlns:a16="http://schemas.microsoft.com/office/drawing/2014/main" id="{CC928984-EF9B-2025-7BF8-2464D88C5154}"/>
            </a:ext>
          </a:extLst>
        </xdr:cNvPr>
        <xdr:cNvSpPr/>
      </xdr:nvSpPr>
      <xdr:spPr>
        <a:xfrm>
          <a:off x="8572500" y="161686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87</xdr:row>
      <xdr:rowOff>109537</xdr:rowOff>
    </xdr:from>
    <xdr:to>
      <xdr:col>5</xdr:col>
      <xdr:colOff>176213</xdr:colOff>
      <xdr:row>88</xdr:row>
      <xdr:rowOff>80962</xdr:rowOff>
    </xdr:to>
    <xdr:sp macro="_xll.MC_OnNodeClick" textlink="">
      <xdr:nvSpPr>
        <xdr:cNvPr id="327" name="MC_T_full_low_flat">
          <a:extLst>
            <a:ext uri="{FF2B5EF4-FFF2-40B4-BE49-F238E27FC236}">
              <a16:creationId xmlns:a16="http://schemas.microsoft.com/office/drawing/2014/main" id="{3FCFF820-8D4A-0BD2-ED1B-3850B0E8BAC8}"/>
            </a:ext>
          </a:extLst>
        </xdr:cNvPr>
        <xdr:cNvSpPr/>
      </xdr:nvSpPr>
      <xdr:spPr>
        <a:xfrm rot="16200000">
          <a:off x="11610975" y="16544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89</xdr:row>
      <xdr:rowOff>109537</xdr:rowOff>
    </xdr:from>
    <xdr:to>
      <xdr:col>5</xdr:col>
      <xdr:colOff>176213</xdr:colOff>
      <xdr:row>90</xdr:row>
      <xdr:rowOff>80962</xdr:rowOff>
    </xdr:to>
    <xdr:sp macro="_xll.MC_OnNodeClick" textlink="">
      <xdr:nvSpPr>
        <xdr:cNvPr id="328" name="MC_T_full_low_decline">
          <a:extLst>
            <a:ext uri="{FF2B5EF4-FFF2-40B4-BE49-F238E27FC236}">
              <a16:creationId xmlns:a16="http://schemas.microsoft.com/office/drawing/2014/main" id="{F3463F1F-7DE0-F830-9943-4FC1D48C96B8}"/>
            </a:ext>
          </a:extLst>
        </xdr:cNvPr>
        <xdr:cNvSpPr/>
      </xdr:nvSpPr>
      <xdr:spPr>
        <a:xfrm rot="16200000">
          <a:off x="11610975" y="16925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91</xdr:row>
      <xdr:rowOff>109538</xdr:rowOff>
    </xdr:from>
    <xdr:to>
      <xdr:col>2</xdr:col>
      <xdr:colOff>180975</xdr:colOff>
      <xdr:row>92</xdr:row>
      <xdr:rowOff>80963</xdr:rowOff>
    </xdr:to>
    <xdr:sp macro="_xll.MC_OnNodeClick" textlink="">
      <xdr:nvSpPr>
        <xdr:cNvPr id="329" name="MC_D_root">
          <a:extLst>
            <a:ext uri="{FF2B5EF4-FFF2-40B4-BE49-F238E27FC236}">
              <a16:creationId xmlns:a16="http://schemas.microsoft.com/office/drawing/2014/main" id="{2C654A6F-6DE7-F4C2-7366-7822315D85E1}"/>
            </a:ext>
          </a:extLst>
        </xdr:cNvPr>
        <xdr:cNvSpPr/>
      </xdr:nvSpPr>
      <xdr:spPr>
        <a:xfrm>
          <a:off x="2328863" y="173116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93</xdr:row>
      <xdr:rowOff>109537</xdr:rowOff>
    </xdr:from>
    <xdr:to>
      <xdr:col>5</xdr:col>
      <xdr:colOff>176213</xdr:colOff>
      <xdr:row>94</xdr:row>
      <xdr:rowOff>80962</xdr:rowOff>
    </xdr:to>
    <xdr:sp macro="_xll.MC_OnNodeClick" textlink="">
      <xdr:nvSpPr>
        <xdr:cNvPr id="330" name="MC_T_mgmt_good_ipo">
          <a:extLst>
            <a:ext uri="{FF2B5EF4-FFF2-40B4-BE49-F238E27FC236}">
              <a16:creationId xmlns:a16="http://schemas.microsoft.com/office/drawing/2014/main" id="{2EE1C8F1-2BC6-26D9-83E2-A9A5BEC81627}"/>
            </a:ext>
          </a:extLst>
        </xdr:cNvPr>
        <xdr:cNvSpPr/>
      </xdr:nvSpPr>
      <xdr:spPr>
        <a:xfrm rot="16200000">
          <a:off x="11610975" y="176879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95</xdr:row>
      <xdr:rowOff>109538</xdr:rowOff>
    </xdr:from>
    <xdr:to>
      <xdr:col>4</xdr:col>
      <xdr:colOff>180975</xdr:colOff>
      <xdr:row>96</xdr:row>
      <xdr:rowOff>80963</xdr:rowOff>
    </xdr:to>
    <xdr:sp macro="_xll.MC_OnNodeClick" textlink="">
      <xdr:nvSpPr>
        <xdr:cNvPr id="331" name="MC_D_exit_mgmt_good">
          <a:extLst>
            <a:ext uri="{FF2B5EF4-FFF2-40B4-BE49-F238E27FC236}">
              <a16:creationId xmlns:a16="http://schemas.microsoft.com/office/drawing/2014/main" id="{0B68E94E-E118-8479-1E9F-557E8DD0AE37}"/>
            </a:ext>
          </a:extLst>
        </xdr:cNvPr>
        <xdr:cNvSpPr/>
      </xdr:nvSpPr>
      <xdr:spPr>
        <a:xfrm>
          <a:off x="8572500" y="180736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97</xdr:row>
      <xdr:rowOff>109537</xdr:rowOff>
    </xdr:from>
    <xdr:to>
      <xdr:col>5</xdr:col>
      <xdr:colOff>176213</xdr:colOff>
      <xdr:row>98</xdr:row>
      <xdr:rowOff>80962</xdr:rowOff>
    </xdr:to>
    <xdr:sp macro="_xll.MC_OnNodeClick" textlink="">
      <xdr:nvSpPr>
        <xdr:cNvPr id="332" name="MC_T_mgmt_good_strat">
          <a:extLst>
            <a:ext uri="{FF2B5EF4-FFF2-40B4-BE49-F238E27FC236}">
              <a16:creationId xmlns:a16="http://schemas.microsoft.com/office/drawing/2014/main" id="{E929B281-28AF-8597-9505-C1B176A4B115}"/>
            </a:ext>
          </a:extLst>
        </xdr:cNvPr>
        <xdr:cNvSpPr/>
      </xdr:nvSpPr>
      <xdr:spPr>
        <a:xfrm rot="16200000">
          <a:off x="11610975" y="18449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99</xdr:row>
      <xdr:rowOff>109537</xdr:rowOff>
    </xdr:from>
    <xdr:to>
      <xdr:col>5</xdr:col>
      <xdr:colOff>176213</xdr:colOff>
      <xdr:row>100</xdr:row>
      <xdr:rowOff>80962</xdr:rowOff>
    </xdr:to>
    <xdr:sp macro="_xll.MC_OnNodeClick" textlink="">
      <xdr:nvSpPr>
        <xdr:cNvPr id="333" name="MC_T_mgmt_good_sec">
          <a:extLst>
            <a:ext uri="{FF2B5EF4-FFF2-40B4-BE49-F238E27FC236}">
              <a16:creationId xmlns:a16="http://schemas.microsoft.com/office/drawing/2014/main" id="{A22EF3F4-A766-2598-A04F-15973D3EC80A}"/>
            </a:ext>
          </a:extLst>
        </xdr:cNvPr>
        <xdr:cNvSpPr/>
      </xdr:nvSpPr>
      <xdr:spPr>
        <a:xfrm rot="16200000">
          <a:off x="11610975" y="18830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101</xdr:row>
      <xdr:rowOff>109538</xdr:rowOff>
    </xdr:from>
    <xdr:to>
      <xdr:col>3</xdr:col>
      <xdr:colOff>180975</xdr:colOff>
      <xdr:row>102</xdr:row>
      <xdr:rowOff>80963</xdr:rowOff>
    </xdr:to>
    <xdr:sp macro="_xll.MC_OnNodeClick" textlink="">
      <xdr:nvSpPr>
        <xdr:cNvPr id="334" name="MC_C_ops_mgmt">
          <a:extLst>
            <a:ext uri="{FF2B5EF4-FFF2-40B4-BE49-F238E27FC236}">
              <a16:creationId xmlns:a16="http://schemas.microsoft.com/office/drawing/2014/main" id="{17BCB3F4-DDD8-7575-38CC-FE9A1100A32F}"/>
            </a:ext>
          </a:extLst>
        </xdr:cNvPr>
        <xdr:cNvSpPr/>
      </xdr:nvSpPr>
      <xdr:spPr>
        <a:xfrm>
          <a:off x="5586413" y="192166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103</xdr:row>
      <xdr:rowOff>109537</xdr:rowOff>
    </xdr:from>
    <xdr:to>
      <xdr:col>5</xdr:col>
      <xdr:colOff>176213</xdr:colOff>
      <xdr:row>104</xdr:row>
      <xdr:rowOff>80962</xdr:rowOff>
    </xdr:to>
    <xdr:sp macro="_xll.MC_OnNodeClick" textlink="">
      <xdr:nvSpPr>
        <xdr:cNvPr id="335" name="MC_T_mgmt_mod_strat">
          <a:extLst>
            <a:ext uri="{FF2B5EF4-FFF2-40B4-BE49-F238E27FC236}">
              <a16:creationId xmlns:a16="http://schemas.microsoft.com/office/drawing/2014/main" id="{5E601FF6-F6E0-9088-4D09-CAA7418CD204}"/>
            </a:ext>
          </a:extLst>
        </xdr:cNvPr>
        <xdr:cNvSpPr/>
      </xdr:nvSpPr>
      <xdr:spPr>
        <a:xfrm rot="16200000">
          <a:off x="11610975" y="195929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105</xdr:row>
      <xdr:rowOff>109538</xdr:rowOff>
    </xdr:from>
    <xdr:to>
      <xdr:col>4</xdr:col>
      <xdr:colOff>180975</xdr:colOff>
      <xdr:row>106</xdr:row>
      <xdr:rowOff>80963</xdr:rowOff>
    </xdr:to>
    <xdr:sp macro="_xll.MC_OnNodeClick" textlink="">
      <xdr:nvSpPr>
        <xdr:cNvPr id="336" name="MC_D_exit_mgmt_mod">
          <a:extLst>
            <a:ext uri="{FF2B5EF4-FFF2-40B4-BE49-F238E27FC236}">
              <a16:creationId xmlns:a16="http://schemas.microsoft.com/office/drawing/2014/main" id="{87DCD370-18F1-9CF3-B404-666F0F2EC8A9}"/>
            </a:ext>
          </a:extLst>
        </xdr:cNvPr>
        <xdr:cNvSpPr/>
      </xdr:nvSpPr>
      <xdr:spPr>
        <a:xfrm>
          <a:off x="8572500" y="199786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107</xdr:row>
      <xdr:rowOff>109537</xdr:rowOff>
    </xdr:from>
    <xdr:to>
      <xdr:col>5</xdr:col>
      <xdr:colOff>176213</xdr:colOff>
      <xdr:row>108</xdr:row>
      <xdr:rowOff>80962</xdr:rowOff>
    </xdr:to>
    <xdr:sp macro="_xll.MC_OnNodeClick" textlink="">
      <xdr:nvSpPr>
        <xdr:cNvPr id="337" name="MC_T_mgmt_mod_sec">
          <a:extLst>
            <a:ext uri="{FF2B5EF4-FFF2-40B4-BE49-F238E27FC236}">
              <a16:creationId xmlns:a16="http://schemas.microsoft.com/office/drawing/2014/main" id="{E3FF1D5C-D4D7-7ADA-2ED8-FA777B8663DC}"/>
            </a:ext>
          </a:extLst>
        </xdr:cNvPr>
        <xdr:cNvSpPr/>
      </xdr:nvSpPr>
      <xdr:spPr>
        <a:xfrm rot="16200000">
          <a:off x="11610975" y="20354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109</xdr:row>
      <xdr:rowOff>109537</xdr:rowOff>
    </xdr:from>
    <xdr:to>
      <xdr:col>5</xdr:col>
      <xdr:colOff>176213</xdr:colOff>
      <xdr:row>110</xdr:row>
      <xdr:rowOff>80962</xdr:rowOff>
    </xdr:to>
    <xdr:sp macro="_xll.MC_OnNodeClick" textlink="">
      <xdr:nvSpPr>
        <xdr:cNvPr id="338" name="MC_T_mgmt_mod_recap">
          <a:extLst>
            <a:ext uri="{FF2B5EF4-FFF2-40B4-BE49-F238E27FC236}">
              <a16:creationId xmlns:a16="http://schemas.microsoft.com/office/drawing/2014/main" id="{783ED4C3-DD49-D7FB-084E-7FE8F3610A96}"/>
            </a:ext>
          </a:extLst>
        </xdr:cNvPr>
        <xdr:cNvSpPr/>
      </xdr:nvSpPr>
      <xdr:spPr>
        <a:xfrm rot="16200000">
          <a:off x="11610975" y="20735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111</xdr:row>
      <xdr:rowOff>109537</xdr:rowOff>
    </xdr:from>
    <xdr:to>
      <xdr:col>5</xdr:col>
      <xdr:colOff>176213</xdr:colOff>
      <xdr:row>112</xdr:row>
      <xdr:rowOff>80962</xdr:rowOff>
    </xdr:to>
    <xdr:sp macro="_xll.MC_OnNodeClick" textlink="">
      <xdr:nvSpPr>
        <xdr:cNvPr id="339" name="MC_T_mgmt_stab">
          <a:extLst>
            <a:ext uri="{FF2B5EF4-FFF2-40B4-BE49-F238E27FC236}">
              <a16:creationId xmlns:a16="http://schemas.microsoft.com/office/drawing/2014/main" id="{B7AAC495-D5D8-0286-A466-BCFF28BC9B5B}"/>
            </a:ext>
          </a:extLst>
        </xdr:cNvPr>
        <xdr:cNvSpPr/>
      </xdr:nvSpPr>
      <xdr:spPr>
        <a:xfrm rot="16200000">
          <a:off x="11610975" y="211169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113</xdr:row>
      <xdr:rowOff>109538</xdr:rowOff>
    </xdr:from>
    <xdr:to>
      <xdr:col>4</xdr:col>
      <xdr:colOff>180975</xdr:colOff>
      <xdr:row>114</xdr:row>
      <xdr:rowOff>80963</xdr:rowOff>
    </xdr:to>
    <xdr:sp macro="_xll.MC_OnNodeClick" textlink="">
      <xdr:nvSpPr>
        <xdr:cNvPr id="340" name="MC_C_mgmt_under">
          <a:extLst>
            <a:ext uri="{FF2B5EF4-FFF2-40B4-BE49-F238E27FC236}">
              <a16:creationId xmlns:a16="http://schemas.microsoft.com/office/drawing/2014/main" id="{F7B6619F-6CDA-5D5F-D5A9-EB8CA5A0B4A9}"/>
            </a:ext>
          </a:extLst>
        </xdr:cNvPr>
        <xdr:cNvSpPr/>
      </xdr:nvSpPr>
      <xdr:spPr>
        <a:xfrm>
          <a:off x="8572500" y="215026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115</xdr:row>
      <xdr:rowOff>109537</xdr:rowOff>
    </xdr:from>
    <xdr:to>
      <xdr:col>5</xdr:col>
      <xdr:colOff>176213</xdr:colOff>
      <xdr:row>116</xdr:row>
      <xdr:rowOff>80962</xdr:rowOff>
    </xdr:to>
    <xdr:sp macro="_xll.MC_OnNodeClick" textlink="">
      <xdr:nvSpPr>
        <xdr:cNvPr id="341" name="MC_T_mgmt_decline">
          <a:extLst>
            <a:ext uri="{FF2B5EF4-FFF2-40B4-BE49-F238E27FC236}">
              <a16:creationId xmlns:a16="http://schemas.microsoft.com/office/drawing/2014/main" id="{765AC8CF-3D99-285D-43A3-BB5AF99EDFF8}"/>
            </a:ext>
          </a:extLst>
        </xdr:cNvPr>
        <xdr:cNvSpPr/>
      </xdr:nvSpPr>
      <xdr:spPr>
        <a:xfrm rot="16200000">
          <a:off x="11610975" y="218789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117</xdr:row>
      <xdr:rowOff>109537</xdr:rowOff>
    </xdr:from>
    <xdr:to>
      <xdr:col>5</xdr:col>
      <xdr:colOff>176213</xdr:colOff>
      <xdr:row>118</xdr:row>
      <xdr:rowOff>80962</xdr:rowOff>
    </xdr:to>
    <xdr:sp macro="_xll.MC_OnNodeClick" textlink="">
      <xdr:nvSpPr>
        <xdr:cNvPr id="342" name="MC_T_mgmt_default">
          <a:extLst>
            <a:ext uri="{FF2B5EF4-FFF2-40B4-BE49-F238E27FC236}">
              <a16:creationId xmlns:a16="http://schemas.microsoft.com/office/drawing/2014/main" id="{BD2B28F3-9009-711E-63E1-CF10C78FCEEA}"/>
            </a:ext>
          </a:extLst>
        </xdr:cNvPr>
        <xdr:cNvSpPr/>
      </xdr:nvSpPr>
      <xdr:spPr>
        <a:xfrm rot="16200000">
          <a:off x="11610975" y="222599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119</xdr:row>
      <xdr:rowOff>109537</xdr:rowOff>
    </xdr:from>
    <xdr:to>
      <xdr:col>6</xdr:col>
      <xdr:colOff>176213</xdr:colOff>
      <xdr:row>120</xdr:row>
      <xdr:rowOff>80962</xdr:rowOff>
    </xdr:to>
    <xdr:sp macro="_xll.MC_OnNodeClick" textlink="">
      <xdr:nvSpPr>
        <xdr:cNvPr id="343" name="MC_T_call_grows">
          <a:extLst>
            <a:ext uri="{FF2B5EF4-FFF2-40B4-BE49-F238E27FC236}">
              <a16:creationId xmlns:a16="http://schemas.microsoft.com/office/drawing/2014/main" id="{721D93AF-69A2-796D-BBE0-8EC7F14B8693}"/>
            </a:ext>
          </a:extLst>
        </xdr:cNvPr>
        <xdr:cNvSpPr/>
      </xdr:nvSpPr>
      <xdr:spPr>
        <a:xfrm rot="16200000">
          <a:off x="14425613" y="22640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121</xdr:row>
      <xdr:rowOff>109538</xdr:rowOff>
    </xdr:from>
    <xdr:to>
      <xdr:col>5</xdr:col>
      <xdr:colOff>180975</xdr:colOff>
      <xdr:row>122</xdr:row>
      <xdr:rowOff>80963</xdr:rowOff>
    </xdr:to>
    <xdr:sp macro="_xll.MC_OnNodeClick" textlink="">
      <xdr:nvSpPr>
        <xdr:cNvPr id="344" name="MC_C_call_option">
          <a:extLst>
            <a:ext uri="{FF2B5EF4-FFF2-40B4-BE49-F238E27FC236}">
              <a16:creationId xmlns:a16="http://schemas.microsoft.com/office/drawing/2014/main" id="{A98366A7-EFFB-1E5C-B345-F5F696483CEA}"/>
            </a:ext>
          </a:extLst>
        </xdr:cNvPr>
        <xdr:cNvSpPr/>
      </xdr:nvSpPr>
      <xdr:spPr>
        <a:xfrm>
          <a:off x="11610975" y="230266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123</xdr:row>
      <xdr:rowOff>109537</xdr:rowOff>
    </xdr:from>
    <xdr:to>
      <xdr:col>6</xdr:col>
      <xdr:colOff>176213</xdr:colOff>
      <xdr:row>124</xdr:row>
      <xdr:rowOff>80962</xdr:rowOff>
    </xdr:to>
    <xdr:sp macro="_xll.MC_OnNodeClick" textlink="">
      <xdr:nvSpPr>
        <xdr:cNvPr id="345" name="MC_T_call_slows">
          <a:extLst>
            <a:ext uri="{FF2B5EF4-FFF2-40B4-BE49-F238E27FC236}">
              <a16:creationId xmlns:a16="http://schemas.microsoft.com/office/drawing/2014/main" id="{D9090E05-A8E0-80A7-2CBB-F8B5CA1302CA}"/>
            </a:ext>
          </a:extLst>
        </xdr:cNvPr>
        <xdr:cNvSpPr/>
      </xdr:nvSpPr>
      <xdr:spPr>
        <a:xfrm rot="16200000">
          <a:off x="14425613" y="23402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125</xdr:row>
      <xdr:rowOff>109537</xdr:rowOff>
    </xdr:from>
    <xdr:to>
      <xdr:col>6</xdr:col>
      <xdr:colOff>176213</xdr:colOff>
      <xdr:row>126</xdr:row>
      <xdr:rowOff>80962</xdr:rowOff>
    </xdr:to>
    <xdr:sp macro="_xll.MC_OnNodeClick" textlink="">
      <xdr:nvSpPr>
        <xdr:cNvPr id="346" name="MC_T_call_stumbles">
          <a:extLst>
            <a:ext uri="{FF2B5EF4-FFF2-40B4-BE49-F238E27FC236}">
              <a16:creationId xmlns:a16="http://schemas.microsoft.com/office/drawing/2014/main" id="{5808BC55-309D-F944-8530-4DBB39295AD4}"/>
            </a:ext>
          </a:extLst>
        </xdr:cNvPr>
        <xdr:cNvSpPr/>
      </xdr:nvSpPr>
      <xdr:spPr>
        <a:xfrm rot="16200000">
          <a:off x="14425613" y="23783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127</xdr:row>
      <xdr:rowOff>109538</xdr:rowOff>
    </xdr:from>
    <xdr:to>
      <xdr:col>4</xdr:col>
      <xdr:colOff>180975</xdr:colOff>
      <xdr:row>128</xdr:row>
      <xdr:rowOff>80963</xdr:rowOff>
    </xdr:to>
    <xdr:sp macro="_xll.MC_OnNodeClick" textlink="">
      <xdr:nvSpPr>
        <xdr:cNvPr id="347" name="MC_D_growth_high">
          <a:extLst>
            <a:ext uri="{FF2B5EF4-FFF2-40B4-BE49-F238E27FC236}">
              <a16:creationId xmlns:a16="http://schemas.microsoft.com/office/drawing/2014/main" id="{DA6CD44C-DA68-C0C7-36EE-2A2930E35DAB}"/>
            </a:ext>
          </a:extLst>
        </xdr:cNvPr>
        <xdr:cNvSpPr/>
      </xdr:nvSpPr>
      <xdr:spPr>
        <a:xfrm>
          <a:off x="8572500" y="241696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129</xdr:row>
      <xdr:rowOff>109537</xdr:rowOff>
    </xdr:from>
    <xdr:to>
      <xdr:col>5</xdr:col>
      <xdr:colOff>176213</xdr:colOff>
      <xdr:row>130</xdr:row>
      <xdr:rowOff>80962</xdr:rowOff>
    </xdr:to>
    <xdr:sp macro="_xll.MC_OnNodeClick" textlink="">
      <xdr:nvSpPr>
        <xdr:cNvPr id="348" name="MC_T_sell_growth_high">
          <a:extLst>
            <a:ext uri="{FF2B5EF4-FFF2-40B4-BE49-F238E27FC236}">
              <a16:creationId xmlns:a16="http://schemas.microsoft.com/office/drawing/2014/main" id="{4A9C31F8-CB23-D9CF-9791-CA5B08C2EB66}"/>
            </a:ext>
          </a:extLst>
        </xdr:cNvPr>
        <xdr:cNvSpPr/>
      </xdr:nvSpPr>
      <xdr:spPr>
        <a:xfrm rot="16200000">
          <a:off x="11610975" y="24545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131</xdr:row>
      <xdr:rowOff>109538</xdr:rowOff>
    </xdr:from>
    <xdr:to>
      <xdr:col>3</xdr:col>
      <xdr:colOff>180975</xdr:colOff>
      <xdr:row>132</xdr:row>
      <xdr:rowOff>80963</xdr:rowOff>
    </xdr:to>
    <xdr:sp macro="_xll.MC_OnNodeClick" textlink="">
      <xdr:nvSpPr>
        <xdr:cNvPr id="349" name="MC_C_revenue_growth">
          <a:extLst>
            <a:ext uri="{FF2B5EF4-FFF2-40B4-BE49-F238E27FC236}">
              <a16:creationId xmlns:a16="http://schemas.microsoft.com/office/drawing/2014/main" id="{86B515AE-CDD1-B5CE-84A5-13ACA0455F68}"/>
            </a:ext>
          </a:extLst>
        </xdr:cNvPr>
        <xdr:cNvSpPr/>
      </xdr:nvSpPr>
      <xdr:spPr>
        <a:xfrm>
          <a:off x="5586413" y="249316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133</xdr:row>
      <xdr:rowOff>109537</xdr:rowOff>
    </xdr:from>
    <xdr:to>
      <xdr:col>4</xdr:col>
      <xdr:colOff>176213</xdr:colOff>
      <xdr:row>134</xdr:row>
      <xdr:rowOff>80962</xdr:rowOff>
    </xdr:to>
    <xdr:sp macro="_xll.MC_OnNodeClick" textlink="">
      <xdr:nvSpPr>
        <xdr:cNvPr id="350" name="MC_T_growth_mod">
          <a:extLst>
            <a:ext uri="{FF2B5EF4-FFF2-40B4-BE49-F238E27FC236}">
              <a16:creationId xmlns:a16="http://schemas.microsoft.com/office/drawing/2014/main" id="{BBDC278F-5275-1B25-C23E-74D4F9FCCBEA}"/>
            </a:ext>
          </a:extLst>
        </xdr:cNvPr>
        <xdr:cNvSpPr/>
      </xdr:nvSpPr>
      <xdr:spPr>
        <a:xfrm rot="16200000">
          <a:off x="8572500" y="25307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135</xdr:row>
      <xdr:rowOff>109537</xdr:rowOff>
    </xdr:from>
    <xdr:to>
      <xdr:col>4</xdr:col>
      <xdr:colOff>176213</xdr:colOff>
      <xdr:row>136</xdr:row>
      <xdr:rowOff>80962</xdr:rowOff>
    </xdr:to>
    <xdr:sp macro="_xll.MC_OnNodeClick" textlink="">
      <xdr:nvSpPr>
        <xdr:cNvPr id="351" name="MC_T_growth_stag">
          <a:extLst>
            <a:ext uri="{FF2B5EF4-FFF2-40B4-BE49-F238E27FC236}">
              <a16:creationId xmlns:a16="http://schemas.microsoft.com/office/drawing/2014/main" id="{7869A657-31A8-EC24-D2EB-5692D06DC7E0}"/>
            </a:ext>
          </a:extLst>
        </xdr:cNvPr>
        <xdr:cNvSpPr/>
      </xdr:nvSpPr>
      <xdr:spPr>
        <a:xfrm rot="16200000">
          <a:off x="8572500" y="25688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137</xdr:row>
      <xdr:rowOff>109537</xdr:rowOff>
    </xdr:from>
    <xdr:to>
      <xdr:col>3</xdr:col>
      <xdr:colOff>176213</xdr:colOff>
      <xdr:row>138</xdr:row>
      <xdr:rowOff>80962</xdr:rowOff>
    </xdr:to>
    <xdr:sp macro="_xll.MC_OnNodeClick" textlink="">
      <xdr:nvSpPr>
        <xdr:cNvPr id="352" name="MC_T_pass">
          <a:extLst>
            <a:ext uri="{FF2B5EF4-FFF2-40B4-BE49-F238E27FC236}">
              <a16:creationId xmlns:a16="http://schemas.microsoft.com/office/drawing/2014/main" id="{21545A94-DEAD-24B8-5536-3F6821F88B46}"/>
            </a:ext>
          </a:extLst>
        </xdr:cNvPr>
        <xdr:cNvSpPr/>
      </xdr:nvSpPr>
      <xdr:spPr>
        <a:xfrm rot="16200000">
          <a:off x="5586413" y="260699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72986-95C2-4D81-A0B7-1A89908221C1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7E827-E32E-48D9-B4F9-F476EB22D80B}">
  <dimension ref="A1:DV1"/>
  <sheetViews>
    <sheetView workbookViewId="0"/>
  </sheetViews>
  <sheetFormatPr defaultRowHeight="14.25" x14ac:dyDescent="0.45"/>
  <sheetData>
    <row r="1" spans="1:126" x14ac:dyDescent="0.45">
      <c r="A1">
        <f>MC_Tree_1!MC_BP_C_call_option_T_call_grows</f>
        <v>0.5</v>
      </c>
      <c r="B1">
        <f>MC_Tree_1!MC_BV_C_call_option_T_call_grows</f>
        <v>500000000</v>
      </c>
      <c r="C1">
        <f>MC_Tree_1!MC_BP_C_call_option_T_call_slows</f>
        <v>0.35</v>
      </c>
      <c r="D1">
        <f>MC_Tree_1!MC_BV_C_call_option_T_call_slows</f>
        <v>300000000</v>
      </c>
      <c r="E1">
        <f>MC_Tree_1!MC_BP_C_call_option_T_call_stumbles</f>
        <v>0.15</v>
      </c>
      <c r="F1">
        <f>MC_Tree_1!MC_BV_C_call_option_T_call_stumbles</f>
        <v>120000000</v>
      </c>
      <c r="G1">
        <f>MC_Tree_1!MC_BP_C_debt_full_mm_T_full_mm_gooddebt</f>
        <v>0.4</v>
      </c>
      <c r="H1">
        <f>MC_Tree_1!MC_BV_C_debt_full_mm_T_full_mm_gooddebt</f>
        <v>520000000</v>
      </c>
      <c r="I1">
        <f>MC_Tree_1!MC_BP_C_debt_full_mm_T_full_mm_baddebt</f>
        <v>0.6</v>
      </c>
      <c r="J1">
        <f>MC_Tree_1!MC_BV_C_debt_full_mm_T_full_mm_baddebt</f>
        <v>380000000</v>
      </c>
      <c r="K1">
        <f>MC_Tree_1!MC_BP_C_debt_full_ms_T_full_ms_gooddebt</f>
        <v>0.45</v>
      </c>
      <c r="L1">
        <f>MC_Tree_1!MC_BV_C_debt_full_ms_T_full_ms_gooddebt</f>
        <v>750000000</v>
      </c>
      <c r="M1">
        <f>MC_Tree_1!MC_BP_C_debt_full_ms_T_full_ms_neutdebt</f>
        <v>0.55000000000000004</v>
      </c>
      <c r="N1">
        <f>MC_Tree_1!MC_BV_C_debt_full_ms_T_full_ms_neutdebt</f>
        <v>600000000</v>
      </c>
      <c r="O1">
        <f>MC_Tree_1!MC_BP_C_ipo_full_hh_T_ipo_full_hh_hot</f>
        <v>0.3</v>
      </c>
      <c r="P1">
        <f>MC_Tree_1!MC_BV_C_ipo_full_hh_T_ipo_full_hh_hot</f>
        <v>1200000000</v>
      </c>
      <c r="Q1">
        <f>MC_Tree_1!MC_BP_C_ipo_full_hh_T_ipo_full_hh_norm</f>
        <v>0.45</v>
      </c>
      <c r="R1">
        <f>MC_Tree_1!MC_BV_C_ipo_full_hh_T_ipo_full_hh_norm</f>
        <v>950000000</v>
      </c>
      <c r="S1">
        <f>MC_Tree_1!MC_BP_C_ipo_full_hh_T_ipo_full_hh_weak</f>
        <v>0.25</v>
      </c>
      <c r="T1">
        <f>MC_Tree_1!MC_BV_C_ipo_full_hh_T_ipo_full_hh_weak</f>
        <v>700000000</v>
      </c>
      <c r="U1">
        <f>MC_Tree_1!MC_BP_C_ipo_full_hm_T_ipo_full_hm_hot</f>
        <v>0.3</v>
      </c>
      <c r="V1">
        <f>MC_Tree_1!MC_BV_C_ipo_full_hm_T_ipo_full_hm_hot</f>
        <v>900000000</v>
      </c>
      <c r="W1">
        <f>MC_Tree_1!MC_BP_C_ipo_full_hm_T_ipo_full_hm_norm</f>
        <v>0.45</v>
      </c>
      <c r="X1">
        <f>MC_Tree_1!MC_BV_C_ipo_full_hm_T_ipo_full_hm_norm</f>
        <v>720000000</v>
      </c>
      <c r="Y1">
        <f>MC_Tree_1!MC_BP_C_ipo_full_hm_T_ipo_full_hm_weak</f>
        <v>0.25</v>
      </c>
      <c r="Z1">
        <f>MC_Tree_1!MC_BV_C_ipo_full_hm_T_ipo_full_hm_weak</f>
        <v>550000000</v>
      </c>
      <c r="AA1">
        <f>MC_Tree_1!MC_BP_C_mgmt_under_T_mgmt_stab</f>
        <v>0.45</v>
      </c>
      <c r="AB1">
        <f>MC_Tree_1!MC_BV_C_mgmt_under_T_mgmt_stab</f>
        <v>280000000</v>
      </c>
      <c r="AC1">
        <f>MC_Tree_1!MC_BP_C_mgmt_under_T_mgmt_decline</f>
        <v>0.35</v>
      </c>
      <c r="AD1">
        <f>MC_Tree_1!MC_BV_C_mgmt_under_T_mgmt_decline</f>
        <v>120000000</v>
      </c>
      <c r="AE1">
        <f>MC_Tree_1!MC_BP_C_mgmt_under_T_mgmt_default</f>
        <v>0.2</v>
      </c>
      <c r="AF1">
        <f>MC_Tree_1!MC_BV_C_mgmt_under_T_mgmt_default</f>
        <v>30000000</v>
      </c>
      <c r="AG1">
        <f>MC_Tree_1!MC_BP_C_ops_full_C_rev_full_high</f>
        <v>0.25</v>
      </c>
      <c r="AH1">
        <f>MC_Tree_1!MC_BV_C_ops_full_C_rev_full_high</f>
        <v>0</v>
      </c>
      <c r="AI1">
        <f>MC_Tree_1!MC_BP_C_ops_full_C_rev_full_med</f>
        <v>0.45</v>
      </c>
      <c r="AJ1">
        <f>MC_Tree_1!MC_BV_C_ops_full_C_rev_full_med</f>
        <v>0</v>
      </c>
      <c r="AK1">
        <f>MC_Tree_1!MC_BP_C_ops_full_C_rev_full_low</f>
        <v>0.3</v>
      </c>
      <c r="AL1">
        <f>MC_Tree_1!MC_BV_C_ops_full_C_rev_full_low</f>
        <v>0</v>
      </c>
      <c r="AM1">
        <f>MC_Tree_1!MC_BP_C_ops_mgmt_D_exit_mgmt_good</f>
        <v>0.35</v>
      </c>
      <c r="AN1">
        <f>MC_Tree_1!MC_BV_C_ops_mgmt_D_exit_mgmt_good</f>
        <v>0</v>
      </c>
      <c r="AO1">
        <f>MC_Tree_1!MC_BP_C_ops_mgmt_D_exit_mgmt_mod</f>
        <v>0.4</v>
      </c>
      <c r="AP1">
        <f>MC_Tree_1!MC_BV_C_ops_mgmt_D_exit_mgmt_mod</f>
        <v>0</v>
      </c>
      <c r="AQ1">
        <f>MC_Tree_1!MC_BP_C_ops_mgmt_C_mgmt_under</f>
        <v>0.25</v>
      </c>
      <c r="AR1">
        <f>MC_Tree_1!MC_BV_C_ops_mgmt_C_mgmt_under</f>
        <v>0</v>
      </c>
      <c r="AS1">
        <f>MC_Tree_1!MC_BP_C_rev_full_high_D_exit_full_hh</f>
        <v>0.3</v>
      </c>
      <c r="AT1">
        <f>MC_Tree_1!MC_BV_C_rev_full_high_D_exit_full_hh</f>
        <v>0</v>
      </c>
      <c r="AU1">
        <f>MC_Tree_1!MC_BP_C_rev_full_high_D_exit_full_hm</f>
        <v>0.45</v>
      </c>
      <c r="AV1">
        <f>MC_Tree_1!MC_BV_C_rev_full_high_D_exit_full_hm</f>
        <v>0</v>
      </c>
      <c r="AW1">
        <f>MC_Tree_1!MC_BP_C_rev_full_high_D_exit_full_hl</f>
        <v>0.25</v>
      </c>
      <c r="AX1">
        <f>MC_Tree_1!MC_BV_C_rev_full_high_D_exit_full_hl</f>
        <v>0</v>
      </c>
      <c r="AY1">
        <f>MC_Tree_1!MC_BP_C_rev_full_low_T_full_low_grow</f>
        <v>0.2</v>
      </c>
      <c r="AZ1">
        <f>MC_Tree_1!MC_BV_C_rev_full_low_T_full_low_grow</f>
        <v>350000000</v>
      </c>
      <c r="BA1">
        <f>MC_Tree_1!MC_BP_C_rev_full_low_T_full_low_flat</f>
        <v>0.4</v>
      </c>
      <c r="BB1">
        <f>MC_Tree_1!MC_BV_C_rev_full_low_T_full_low_flat</f>
        <v>200000000</v>
      </c>
      <c r="BC1">
        <f>MC_Tree_1!MC_BP_C_rev_full_low_T_full_low_decline</f>
        <v>0.4</v>
      </c>
      <c r="BD1">
        <f>MC_Tree_1!MC_BV_C_rev_full_low_T_full_low_decline</f>
        <v>80000000</v>
      </c>
      <c r="BE1">
        <f>MC_Tree_1!MC_BP_C_rev_full_med_C_debt_full_ms</f>
        <v>0.25</v>
      </c>
      <c r="BF1">
        <f>MC_Tree_1!MC_BV_C_rev_full_med_C_debt_full_ms</f>
        <v>0</v>
      </c>
      <c r="BG1">
        <f>MC_Tree_1!MC_BP_C_rev_full_med_C_debt_full_mm</f>
        <v>0.5</v>
      </c>
      <c r="BH1">
        <f>MC_Tree_1!MC_BV_C_rev_full_med_C_debt_full_mm</f>
        <v>0</v>
      </c>
      <c r="BI1">
        <f>MC_Tree_1!MC_BP_C_rev_full_med_T_full_med_flat</f>
        <v>0.25</v>
      </c>
      <c r="BJ1">
        <f>MC_Tree_1!MC_BV_C_rev_full_med_T_full_med_flat</f>
        <v>280000000</v>
      </c>
      <c r="BK1">
        <f>MC_Tree_1!MC_BP_C_revenue_growth_D_growth_high</f>
        <v>0.25</v>
      </c>
      <c r="BL1">
        <f>MC_Tree_1!MC_BV_C_revenue_growth_D_growth_high</f>
        <v>0</v>
      </c>
      <c r="BM1">
        <f>MC_Tree_1!MC_BP_C_revenue_growth_T_growth_mod</f>
        <v>0.45</v>
      </c>
      <c r="BN1">
        <f>MC_Tree_1!MC_BV_C_revenue_growth_T_growth_mod</f>
        <v>160000000</v>
      </c>
      <c r="BO1">
        <f>MC_Tree_1!MC_BP_C_revenue_growth_T_growth_stag</f>
        <v>0.3</v>
      </c>
      <c r="BP1">
        <f>MC_Tree_1!MC_BV_C_revenue_growth_T_growth_stag</f>
        <v>80000000</v>
      </c>
      <c r="BQ1">
        <f>MC_Tree_1!MC_BV_D_exit_full_hh_C_ipo_full_hh</f>
        <v>0</v>
      </c>
      <c r="BR1">
        <f>MC_Tree_1!MC_BV_D_exit_full_hh_T_strat_full_hh</f>
        <v>1050000000</v>
      </c>
      <c r="BS1">
        <f>MC_Tree_1!MC_BV_D_exit_full_hh_T_sec_full_hh</f>
        <v>850000000</v>
      </c>
      <c r="BT1">
        <f>MC_Tree_1!MC_BV_D_exit_full_hl_T_strat_full_hl</f>
        <v>580000000</v>
      </c>
      <c r="BU1">
        <f>MC_Tree_1!MC_BV_D_exit_full_hl_T_sec_full_hl</f>
        <v>480000000</v>
      </c>
      <c r="BV1">
        <f>MC_Tree_1!MC_BV_D_exit_full_hl_T_hold_full_hl</f>
        <v>350000000</v>
      </c>
      <c r="BW1">
        <f>MC_Tree_1!MC_BV_D_exit_full_hm_C_ipo_full_hm</f>
        <v>0</v>
      </c>
      <c r="BX1">
        <f>MC_Tree_1!MC_BV_D_exit_full_hm_T_strat_full_hm</f>
        <v>780000000</v>
      </c>
      <c r="BY1">
        <f>MC_Tree_1!MC_BV_D_exit_full_hm_T_sec_full_hm</f>
        <v>650000000</v>
      </c>
      <c r="BZ1">
        <f>MC_Tree_1!MC_BV_D_exit_mgmt_good_T_mgmt_good_ipo</f>
        <v>900000000</v>
      </c>
      <c r="CA1">
        <f>MC_Tree_1!MC_BV_D_exit_mgmt_good_T_mgmt_good_strat</f>
        <v>800000000</v>
      </c>
      <c r="CB1">
        <f>MC_Tree_1!MC_BV_D_exit_mgmt_good_T_mgmt_good_sec</f>
        <v>680000000</v>
      </c>
      <c r="CC1">
        <f>MC_Tree_1!MC_BV_D_exit_mgmt_mod_T_mgmt_mod_strat</f>
        <v>550000000</v>
      </c>
      <c r="CD1">
        <f>MC_Tree_1!MC_BV_D_exit_mgmt_mod_T_mgmt_mod_sec</f>
        <v>450000000</v>
      </c>
      <c r="CE1">
        <f>MC_Tree_1!MC_BV_D_exit_mgmt_mod_T_mgmt_mod_recap</f>
        <v>380000000</v>
      </c>
      <c r="CF1">
        <f>MC_Tree_1!MC_BV_D_growth_high_C_call_option</f>
        <v>-150000000</v>
      </c>
      <c r="CG1">
        <f>MC_Tree_1!MC_BV_D_growth_high_T_sell_growth_high</f>
        <v>280000000</v>
      </c>
      <c r="CH1">
        <f>MC_Tree_1!MC_BV_D_root_C_ops_full</f>
        <v>-400000000</v>
      </c>
      <c r="CI1">
        <f>MC_Tree_1!MC_BV_D_root_C_ops_mgmt</f>
        <v>-300000000</v>
      </c>
      <c r="CJ1">
        <f>MC_Tree_1!MC_BV_D_root_C_revenue_growth</f>
        <v>-100000000</v>
      </c>
      <c r="CK1">
        <f>MC_Tree_1!MC_BV_D_root_T_pass</f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  <c r="DO1">
        <v>0</v>
      </c>
      <c r="DP1">
        <v>0</v>
      </c>
      <c r="DQ1">
        <v>0</v>
      </c>
      <c r="DR1">
        <v>0</v>
      </c>
      <c r="DS1">
        <v>0</v>
      </c>
      <c r="DT1">
        <v>0</v>
      </c>
      <c r="DU1">
        <v>0</v>
      </c>
      <c r="DV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A1787-8F17-41C7-B93F-CDDE8418A8AC}">
  <dimension ref="B2:D57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54</v>
      </c>
    </row>
    <row r="3" spans="2:2" x14ac:dyDescent="0.45">
      <c r="B3" s="10" t="s">
        <v>55</v>
      </c>
    </row>
    <row r="5" spans="2:2" ht="15.75" x14ac:dyDescent="0.5">
      <c r="B5" s="15" t="s">
        <v>56</v>
      </c>
    </row>
    <row r="7" spans="2:2" x14ac:dyDescent="0.45">
      <c r="B7" t="s">
        <v>57</v>
      </c>
    </row>
    <row r="8" spans="2:2" x14ac:dyDescent="0.45">
      <c r="B8" t="s">
        <v>58</v>
      </c>
    </row>
    <row r="9" spans="2:2" x14ac:dyDescent="0.45">
      <c r="B9" t="s">
        <v>59</v>
      </c>
    </row>
    <row r="10" spans="2:2" x14ac:dyDescent="0.45">
      <c r="B10" t="s">
        <v>60</v>
      </c>
    </row>
    <row r="12" spans="2:2" x14ac:dyDescent="0.45">
      <c r="B12" s="8" t="s">
        <v>61</v>
      </c>
    </row>
    <row r="13" spans="2:2" x14ac:dyDescent="0.45">
      <c r="B13" t="s">
        <v>62</v>
      </c>
    </row>
    <row r="14" spans="2:2" x14ac:dyDescent="0.45">
      <c r="B14" t="s">
        <v>63</v>
      </c>
    </row>
    <row r="15" spans="2:2" x14ac:dyDescent="0.45">
      <c r="B15" t="s">
        <v>64</v>
      </c>
    </row>
    <row r="16" spans="2:2" x14ac:dyDescent="0.45">
      <c r="B16" t="s">
        <v>65</v>
      </c>
    </row>
    <row r="18" spans="2:2" x14ac:dyDescent="0.45">
      <c r="B18" s="8" t="s">
        <v>66</v>
      </c>
    </row>
    <row r="19" spans="2:2" x14ac:dyDescent="0.45">
      <c r="B19" t="s">
        <v>67</v>
      </c>
    </row>
    <row r="20" spans="2:2" x14ac:dyDescent="0.45">
      <c r="B20" t="s">
        <v>68</v>
      </c>
    </row>
    <row r="21" spans="2:2" x14ac:dyDescent="0.45">
      <c r="B21" t="s">
        <v>69</v>
      </c>
    </row>
    <row r="23" spans="2:2" x14ac:dyDescent="0.45">
      <c r="B23" s="8" t="s">
        <v>70</v>
      </c>
    </row>
    <row r="24" spans="2:2" x14ac:dyDescent="0.45">
      <c r="B24" t="s">
        <v>71</v>
      </c>
    </row>
    <row r="25" spans="2:2" x14ac:dyDescent="0.45">
      <c r="B25" t="s">
        <v>72</v>
      </c>
    </row>
    <row r="26" spans="2:2" x14ac:dyDescent="0.45">
      <c r="B26" t="s">
        <v>73</v>
      </c>
    </row>
    <row r="28" spans="2:2" x14ac:dyDescent="0.45">
      <c r="B28" s="8" t="s">
        <v>74</v>
      </c>
    </row>
    <row r="29" spans="2:2" x14ac:dyDescent="0.45">
      <c r="B29" t="s">
        <v>75</v>
      </c>
    </row>
    <row r="31" spans="2:2" ht="15.75" x14ac:dyDescent="0.5">
      <c r="B31" s="15" t="s">
        <v>76</v>
      </c>
    </row>
    <row r="33" spans="2:4" x14ac:dyDescent="0.45">
      <c r="B33" t="s">
        <v>77</v>
      </c>
    </row>
    <row r="34" spans="2:4" x14ac:dyDescent="0.45">
      <c r="B34" t="s">
        <v>78</v>
      </c>
    </row>
    <row r="35" spans="2:4" x14ac:dyDescent="0.45">
      <c r="B35" t="s">
        <v>79</v>
      </c>
    </row>
    <row r="38" spans="2:4" ht="15.75" x14ac:dyDescent="0.5">
      <c r="B38" s="15" t="s">
        <v>80</v>
      </c>
    </row>
    <row r="40" spans="2:4" x14ac:dyDescent="0.45">
      <c r="B40" s="11" t="s">
        <v>21</v>
      </c>
      <c r="C40" s="11" t="s">
        <v>22</v>
      </c>
      <c r="D40" s="11" t="s">
        <v>24</v>
      </c>
    </row>
    <row r="41" spans="2:4" x14ac:dyDescent="0.45">
      <c r="B41" s="12" t="s">
        <v>81</v>
      </c>
      <c r="C41" s="16">
        <v>50000000</v>
      </c>
      <c r="D41" s="12" t="s">
        <v>82</v>
      </c>
    </row>
    <row r="42" spans="2:4" x14ac:dyDescent="0.45">
      <c r="B42" s="12" t="s">
        <v>83</v>
      </c>
      <c r="C42" s="16">
        <v>400000000</v>
      </c>
      <c r="D42" s="12" t="s">
        <v>84</v>
      </c>
    </row>
    <row r="43" spans="2:4" x14ac:dyDescent="0.45">
      <c r="B43" s="12" t="s">
        <v>85</v>
      </c>
      <c r="C43" s="16">
        <v>300000000</v>
      </c>
      <c r="D43" s="12" t="s">
        <v>86</v>
      </c>
    </row>
    <row r="44" spans="2:4" x14ac:dyDescent="0.45">
      <c r="B44" s="12" t="s">
        <v>87</v>
      </c>
      <c r="C44" s="16">
        <v>100000000</v>
      </c>
      <c r="D44" s="12" t="s">
        <v>88</v>
      </c>
    </row>
    <row r="45" spans="2:4" x14ac:dyDescent="0.45">
      <c r="B45" s="12" t="s">
        <v>89</v>
      </c>
      <c r="C45" s="12" t="s">
        <v>90</v>
      </c>
      <c r="D45" s="12" t="s">
        <v>91</v>
      </c>
    </row>
    <row r="46" spans="2:4" x14ac:dyDescent="0.45">
      <c r="B46" s="12" t="s">
        <v>92</v>
      </c>
      <c r="C46" s="17">
        <v>0.35</v>
      </c>
      <c r="D46" s="12" t="s">
        <v>93</v>
      </c>
    </row>
    <row r="47" spans="2:4" x14ac:dyDescent="0.45">
      <c r="B47" s="12" t="s">
        <v>94</v>
      </c>
      <c r="C47" s="12" t="s">
        <v>95</v>
      </c>
      <c r="D47" s="12" t="s">
        <v>96</v>
      </c>
    </row>
    <row r="48" spans="2:4" x14ac:dyDescent="0.45">
      <c r="B48" s="12" t="s">
        <v>97</v>
      </c>
      <c r="C48" s="12" t="s">
        <v>98</v>
      </c>
      <c r="D48" s="12" t="s">
        <v>99</v>
      </c>
    </row>
    <row r="49" spans="2:4" x14ac:dyDescent="0.45">
      <c r="B49" s="12" t="s">
        <v>100</v>
      </c>
      <c r="C49" s="12" t="s">
        <v>101</v>
      </c>
      <c r="D49" s="12" t="s">
        <v>102</v>
      </c>
    </row>
    <row r="50" spans="2:4" x14ac:dyDescent="0.45">
      <c r="B50" s="12" t="s">
        <v>103</v>
      </c>
      <c r="C50" s="17">
        <v>0.2</v>
      </c>
      <c r="D50" s="12" t="s">
        <v>104</v>
      </c>
    </row>
    <row r="53" spans="2:4" ht="15.75" x14ac:dyDescent="0.5">
      <c r="B53" s="15" t="s">
        <v>105</v>
      </c>
    </row>
    <row r="55" spans="2:4" x14ac:dyDescent="0.45">
      <c r="B55" t="s">
        <v>106</v>
      </c>
    </row>
    <row r="56" spans="2:4" x14ac:dyDescent="0.45">
      <c r="B56" t="s">
        <v>107</v>
      </c>
    </row>
    <row r="57" spans="2:4" x14ac:dyDescent="0.45">
      <c r="B57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4EEF5-A230-41BE-8BED-8C621F67C885}">
  <dimension ref="B2:H142"/>
  <sheetViews>
    <sheetView showGridLines="0" workbookViewId="0"/>
  </sheetViews>
  <sheetFormatPr defaultRowHeight="14.25" x14ac:dyDescent="0.45"/>
  <cols>
    <col min="1" max="1" width="8.59765625" customWidth="1"/>
    <col min="2" max="2" width="23.86328125" customWidth="1"/>
    <col min="3" max="3" width="45.59765625" customWidth="1"/>
    <col min="4" max="4" width="41.796875" customWidth="1"/>
    <col min="5" max="5" width="42.53125" customWidth="1"/>
    <col min="6" max="6" width="39.3984375" customWidth="1"/>
    <col min="7" max="7" width="40.59765625" customWidth="1"/>
    <col min="8" max="8" width="35.796875" customWidth="1"/>
  </cols>
  <sheetData>
    <row r="2" spans="2:5" ht="15" customHeight="1" x14ac:dyDescent="0.55000000000000004">
      <c r="B2" s="9" t="s">
        <v>19</v>
      </c>
    </row>
    <row r="3" spans="2:5" ht="15" customHeight="1" x14ac:dyDescent="0.45">
      <c r="B3" s="10" t="s">
        <v>20</v>
      </c>
    </row>
    <row r="4" spans="2:5" ht="15" customHeight="1" x14ac:dyDescent="0.45"/>
    <row r="5" spans="2:5" ht="15" customHeight="1" x14ac:dyDescent="0.45">
      <c r="B5" s="11" t="s">
        <v>21</v>
      </c>
      <c r="C5" s="11" t="s">
        <v>22</v>
      </c>
      <c r="D5" s="11" t="s">
        <v>23</v>
      </c>
      <c r="E5" s="11" t="s">
        <v>24</v>
      </c>
    </row>
    <row r="6" spans="2:5" ht="15" customHeight="1" x14ac:dyDescent="0.45">
      <c r="B6" s="12" t="s">
        <v>25</v>
      </c>
      <c r="C6" s="13">
        <v>400000000</v>
      </c>
      <c r="D6" s="12" t="s">
        <v>26</v>
      </c>
      <c r="E6" s="12" t="s">
        <v>27</v>
      </c>
    </row>
    <row r="7" spans="2:5" ht="15" customHeight="1" x14ac:dyDescent="0.45">
      <c r="B7" s="12" t="s">
        <v>28</v>
      </c>
      <c r="C7" s="13">
        <v>300000000</v>
      </c>
      <c r="D7" s="12" t="s">
        <v>26</v>
      </c>
      <c r="E7" s="12" t="s">
        <v>29</v>
      </c>
    </row>
    <row r="8" spans="2:5" ht="15" customHeight="1" x14ac:dyDescent="0.45">
      <c r="B8" s="12" t="s">
        <v>30</v>
      </c>
      <c r="C8" s="13">
        <v>100000000</v>
      </c>
      <c r="D8" s="12" t="s">
        <v>26</v>
      </c>
      <c r="E8" s="12" t="s">
        <v>31</v>
      </c>
    </row>
    <row r="9" spans="2:5" ht="15" customHeight="1" x14ac:dyDescent="0.45">
      <c r="B9" s="12" t="s">
        <v>32</v>
      </c>
      <c r="C9" s="13">
        <v>1050000000</v>
      </c>
      <c r="D9" s="12" t="s">
        <v>26</v>
      </c>
      <c r="E9" s="12" t="s">
        <v>33</v>
      </c>
    </row>
    <row r="10" spans="2:5" ht="15" customHeight="1" x14ac:dyDescent="0.45">
      <c r="B10" s="12" t="s">
        <v>34</v>
      </c>
      <c r="C10" s="13">
        <v>850000000</v>
      </c>
      <c r="D10" s="12" t="s">
        <v>26</v>
      </c>
      <c r="E10" s="12" t="s">
        <v>35</v>
      </c>
    </row>
    <row r="11" spans="2:5" ht="15" customHeight="1" x14ac:dyDescent="0.45">
      <c r="B11" s="12" t="s">
        <v>32</v>
      </c>
      <c r="C11" s="13">
        <v>780000000</v>
      </c>
      <c r="D11" s="12" t="s">
        <v>26</v>
      </c>
      <c r="E11" s="12" t="s">
        <v>36</v>
      </c>
    </row>
    <row r="12" spans="2:5" ht="15" customHeight="1" x14ac:dyDescent="0.45">
      <c r="B12" s="12" t="s">
        <v>34</v>
      </c>
      <c r="C12" s="13">
        <v>650000000</v>
      </c>
      <c r="D12" s="12" t="s">
        <v>26</v>
      </c>
      <c r="E12" s="12" t="s">
        <v>37</v>
      </c>
    </row>
    <row r="13" spans="2:5" ht="15" customHeight="1" x14ac:dyDescent="0.45">
      <c r="B13" s="12" t="s">
        <v>32</v>
      </c>
      <c r="C13" s="13">
        <v>580000000</v>
      </c>
      <c r="D13" s="12" t="s">
        <v>26</v>
      </c>
      <c r="E13" s="12" t="s">
        <v>38</v>
      </c>
    </row>
    <row r="14" spans="2:5" ht="15" customHeight="1" x14ac:dyDescent="0.45">
      <c r="B14" s="12" t="s">
        <v>34</v>
      </c>
      <c r="C14" s="13">
        <v>480000000</v>
      </c>
      <c r="D14" s="12" t="s">
        <v>26</v>
      </c>
      <c r="E14" s="12" t="s">
        <v>39</v>
      </c>
    </row>
    <row r="15" spans="2:5" x14ac:dyDescent="0.45">
      <c r="B15" s="12" t="s">
        <v>40</v>
      </c>
      <c r="C15" s="13">
        <v>350000000</v>
      </c>
      <c r="D15" s="12" t="s">
        <v>26</v>
      </c>
      <c r="E15" s="12" t="s">
        <v>41</v>
      </c>
    </row>
    <row r="16" spans="2:5" x14ac:dyDescent="0.45">
      <c r="B16" s="12" t="s">
        <v>42</v>
      </c>
      <c r="C16" s="13">
        <v>900000000</v>
      </c>
      <c r="D16" s="12" t="s">
        <v>26</v>
      </c>
      <c r="E16" s="12" t="s">
        <v>43</v>
      </c>
    </row>
    <row r="17" spans="2:8" x14ac:dyDescent="0.45">
      <c r="B17" s="12" t="s">
        <v>32</v>
      </c>
      <c r="C17" s="13">
        <v>800000000</v>
      </c>
      <c r="D17" s="12" t="s">
        <v>26</v>
      </c>
      <c r="E17" s="12" t="s">
        <v>44</v>
      </c>
    </row>
    <row r="18" spans="2:8" x14ac:dyDescent="0.45">
      <c r="B18" s="12" t="s">
        <v>34</v>
      </c>
      <c r="C18" s="13">
        <v>680000000</v>
      </c>
      <c r="D18" s="12" t="s">
        <v>26</v>
      </c>
      <c r="E18" s="12" t="s">
        <v>45</v>
      </c>
    </row>
    <row r="19" spans="2:8" x14ac:dyDescent="0.45">
      <c r="B19" s="12" t="s">
        <v>32</v>
      </c>
      <c r="C19" s="13">
        <v>550000000</v>
      </c>
      <c r="D19" s="12" t="s">
        <v>26</v>
      </c>
      <c r="E19" s="12" t="s">
        <v>46</v>
      </c>
    </row>
    <row r="20" spans="2:8" x14ac:dyDescent="0.45">
      <c r="B20" s="12" t="s">
        <v>34</v>
      </c>
      <c r="C20" s="13">
        <v>450000000</v>
      </c>
      <c r="D20" s="12" t="s">
        <v>26</v>
      </c>
      <c r="E20" s="12" t="s">
        <v>47</v>
      </c>
    </row>
    <row r="21" spans="2:8" x14ac:dyDescent="0.45">
      <c r="B21" s="12" t="s">
        <v>48</v>
      </c>
      <c r="C21" s="13">
        <v>380000000</v>
      </c>
      <c r="D21" s="12" t="s">
        <v>26</v>
      </c>
      <c r="E21" s="12" t="s">
        <v>49</v>
      </c>
    </row>
    <row r="22" spans="2:8" x14ac:dyDescent="0.45">
      <c r="B22" s="12" t="s">
        <v>50</v>
      </c>
      <c r="C22" s="13">
        <v>150000000</v>
      </c>
      <c r="D22" s="12" t="s">
        <v>26</v>
      </c>
      <c r="E22" s="12" t="s">
        <v>51</v>
      </c>
    </row>
    <row r="23" spans="2:8" x14ac:dyDescent="0.45">
      <c r="B23" s="12" t="s">
        <v>52</v>
      </c>
      <c r="C23" s="13">
        <v>280000000</v>
      </c>
      <c r="D23" s="12" t="s">
        <v>26</v>
      </c>
      <c r="E23" s="12" t="s">
        <v>53</v>
      </c>
    </row>
    <row r="28" spans="2:8" ht="15" customHeight="1" x14ac:dyDescent="0.45">
      <c r="G28" s="5">
        <v>0.3</v>
      </c>
      <c r="H28" s="1">
        <f>_xll.MC_NodeProbability(_MC_Calc_1,"T_ipo_full_hh_hot")</f>
        <v>2.2499999999999999E-2</v>
      </c>
    </row>
    <row r="29" spans="2:8" ht="15" customHeight="1" x14ac:dyDescent="0.45">
      <c r="G29" s="7">
        <v>1200000000</v>
      </c>
      <c r="H29" s="6">
        <f>_xll.MC_NodeValue(_MC_Calc_1,"T_ipo_full_hh_hot")</f>
        <v>800000000</v>
      </c>
    </row>
    <row r="30" spans="2:8" ht="15" customHeight="1" x14ac:dyDescent="0.45">
      <c r="F30" s="4" t="str">
        <f>_xll.MC_NodeDecision(_MC_Calc_1,"C_ipo_full_hh")</f>
        <v/>
      </c>
      <c r="G30" s="2" t="s">
        <v>1</v>
      </c>
    </row>
    <row r="31" spans="2:8" ht="15" customHeight="1" x14ac:dyDescent="0.45">
      <c r="F31" s="7">
        <v>0</v>
      </c>
      <c r="G31" s="6">
        <f>_xll.MC_NodeValue(_MC_Calc_1,"C_ipo_full_hh")</f>
        <v>562500000</v>
      </c>
    </row>
    <row r="32" spans="2:8" ht="15" customHeight="1" x14ac:dyDescent="0.45">
      <c r="G32" s="5">
        <v>0.45</v>
      </c>
      <c r="H32" s="1">
        <f>_xll.MC_NodeProbability(_MC_Calc_1,"T_ipo_full_hh_norm")</f>
        <v>3.3750000000000002E-2</v>
      </c>
    </row>
    <row r="33" spans="4:8" ht="15" customHeight="1" x14ac:dyDescent="0.45">
      <c r="G33" s="7">
        <v>950000000</v>
      </c>
      <c r="H33" s="6">
        <f>_xll.MC_NodeValue(_MC_Calc_1,"T_ipo_full_hh_norm")</f>
        <v>550000000</v>
      </c>
    </row>
    <row r="34" spans="4:8" ht="15" customHeight="1" x14ac:dyDescent="0.45">
      <c r="G34" s="5">
        <v>0.25</v>
      </c>
      <c r="H34" s="1">
        <f>_xll.MC_NodeProbability(_MC_Calc_1,"T_ipo_full_hh_weak")</f>
        <v>1.8749999999999999E-2</v>
      </c>
    </row>
    <row r="35" spans="4:8" ht="15" customHeight="1" x14ac:dyDescent="0.45">
      <c r="G35" s="7">
        <v>700000000</v>
      </c>
      <c r="H35" s="6">
        <f>_xll.MC_NodeValue(_MC_Calc_1,"T_ipo_full_hh_weak")</f>
        <v>300000000</v>
      </c>
    </row>
    <row r="36" spans="4:8" ht="15" customHeight="1" x14ac:dyDescent="0.45">
      <c r="E36" s="5">
        <v>0.3</v>
      </c>
      <c r="F36" s="3" t="s">
        <v>2</v>
      </c>
    </row>
    <row r="37" spans="4:8" ht="15" customHeight="1" x14ac:dyDescent="0.45">
      <c r="E37" s="7">
        <v>0</v>
      </c>
      <c r="F37" s="6">
        <f>_xll.MC_NodeValue(_MC_Calc_1,"D_exit_full_hh")</f>
        <v>650000000</v>
      </c>
    </row>
    <row r="38" spans="4:8" ht="15" customHeight="1" x14ac:dyDescent="0.45">
      <c r="F38" s="4" t="str">
        <f>_xll.MC_NodeDecision(_MC_Calc_1,"T_strat_full_hh")</f>
        <v>optimal</v>
      </c>
      <c r="G38" s="1">
        <f>_xll.MC_NodeProbability(_MC_Calc_1,"T_strat_full_hh")</f>
        <v>7.4999999999999997E-2</v>
      </c>
    </row>
    <row r="39" spans="4:8" ht="15" customHeight="1" x14ac:dyDescent="0.45">
      <c r="F39" s="7">
        <f>StrategicSale</f>
        <v>1050000000</v>
      </c>
      <c r="G39" s="6">
        <f>_xll.MC_NodeValue(_MC_Calc_1,"T_strat_full_hh")</f>
        <v>650000000</v>
      </c>
    </row>
    <row r="40" spans="4:8" ht="15" customHeight="1" x14ac:dyDescent="0.45">
      <c r="F40" s="4" t="str">
        <f>_xll.MC_NodeDecision(_MC_Calc_1,"T_sec_full_hh")</f>
        <v/>
      </c>
      <c r="G40" s="1">
        <f>_xll.MC_NodeProbability(_MC_Calc_1,"T_sec_full_hh")</f>
        <v>7.4999999999999997E-2</v>
      </c>
    </row>
    <row r="41" spans="4:8" ht="15" customHeight="1" x14ac:dyDescent="0.45">
      <c r="F41" s="7">
        <f>SecondaryBuyoutValue</f>
        <v>850000000</v>
      </c>
      <c r="G41" s="6">
        <f>_xll.MC_NodeValue(_MC_Calc_1,"T_sec_full_hh")</f>
        <v>450000000</v>
      </c>
    </row>
    <row r="42" spans="4:8" ht="15" customHeight="1" x14ac:dyDescent="0.45">
      <c r="D42" s="5">
        <v>0.25</v>
      </c>
      <c r="E42" s="2" t="s">
        <v>3</v>
      </c>
    </row>
    <row r="43" spans="4:8" ht="15" customHeight="1" x14ac:dyDescent="0.45">
      <c r="D43" s="7">
        <v>0</v>
      </c>
      <c r="E43" s="6">
        <f>_xll.MC_NodeValue(_MC_Calc_1,"C_rev_full_high")</f>
        <v>411000000</v>
      </c>
    </row>
    <row r="44" spans="4:8" ht="15" customHeight="1" x14ac:dyDescent="0.45">
      <c r="G44" s="5">
        <v>0.3</v>
      </c>
      <c r="H44" s="1">
        <f>_xll.MC_NodeProbability(_MC_Calc_1,"T_ipo_full_hm_hot")</f>
        <v>3.3750000000000002E-2</v>
      </c>
    </row>
    <row r="45" spans="4:8" ht="15" customHeight="1" x14ac:dyDescent="0.45">
      <c r="G45" s="7">
        <v>900000000</v>
      </c>
      <c r="H45" s="6">
        <f>_xll.MC_NodeValue(_MC_Calc_1,"T_ipo_full_hm_hot")</f>
        <v>500000000</v>
      </c>
    </row>
    <row r="46" spans="4:8" ht="15" customHeight="1" x14ac:dyDescent="0.45">
      <c r="F46" s="4" t="str">
        <f>_xll.MC_NodeDecision(_MC_Calc_1,"C_ipo_full_hm")</f>
        <v/>
      </c>
      <c r="G46" s="2" t="s">
        <v>1</v>
      </c>
    </row>
    <row r="47" spans="4:8" ht="15" customHeight="1" x14ac:dyDescent="0.45">
      <c r="F47" s="7">
        <v>0</v>
      </c>
      <c r="G47" s="6">
        <f>_xll.MC_NodeValue(_MC_Calc_1,"C_ipo_full_hm")</f>
        <v>331500000</v>
      </c>
    </row>
    <row r="48" spans="4:8" ht="15" customHeight="1" x14ac:dyDescent="0.45">
      <c r="G48" s="5">
        <v>0.45</v>
      </c>
      <c r="H48" s="1">
        <f>_xll.MC_NodeProbability(_MC_Calc_1,"T_ipo_full_hm_norm")</f>
        <v>5.0625000000000003E-2</v>
      </c>
    </row>
    <row r="49" spans="5:8" ht="15" customHeight="1" x14ac:dyDescent="0.45">
      <c r="G49" s="7">
        <v>720000000</v>
      </c>
      <c r="H49" s="6">
        <f>_xll.MC_NodeValue(_MC_Calc_1,"T_ipo_full_hm_norm")</f>
        <v>320000000</v>
      </c>
    </row>
    <row r="50" spans="5:8" ht="15" customHeight="1" x14ac:dyDescent="0.45">
      <c r="G50" s="5">
        <v>0.25</v>
      </c>
      <c r="H50" s="1">
        <f>_xll.MC_NodeProbability(_MC_Calc_1,"T_ipo_full_hm_weak")</f>
        <v>2.8125000000000001E-2</v>
      </c>
    </row>
    <row r="51" spans="5:8" ht="15" customHeight="1" x14ac:dyDescent="0.45">
      <c r="G51" s="7">
        <v>550000000</v>
      </c>
      <c r="H51" s="6">
        <f>_xll.MC_NodeValue(_MC_Calc_1,"T_ipo_full_hm_weak")</f>
        <v>150000000</v>
      </c>
    </row>
    <row r="52" spans="5:8" ht="15" customHeight="1" x14ac:dyDescent="0.45">
      <c r="E52" s="5">
        <v>0.45</v>
      </c>
      <c r="F52" s="3" t="s">
        <v>4</v>
      </c>
    </row>
    <row r="53" spans="5:8" ht="15" customHeight="1" x14ac:dyDescent="0.45">
      <c r="E53" s="7">
        <v>0</v>
      </c>
      <c r="F53" s="6">
        <f>_xll.MC_NodeValue(_MC_Calc_1,"D_exit_full_hm")</f>
        <v>380000000</v>
      </c>
    </row>
    <row r="54" spans="5:8" ht="15" customHeight="1" x14ac:dyDescent="0.45">
      <c r="F54" s="4" t="str">
        <f>_xll.MC_NodeDecision(_MC_Calc_1,"T_strat_full_hm")</f>
        <v>optimal</v>
      </c>
      <c r="G54" s="1">
        <f>_xll.MC_NodeProbability(_MC_Calc_1,"T_strat_full_hm")</f>
        <v>0.1125</v>
      </c>
    </row>
    <row r="55" spans="5:8" ht="15" customHeight="1" x14ac:dyDescent="0.45">
      <c r="F55" s="7">
        <f>StrategicSale2</f>
        <v>780000000</v>
      </c>
      <c r="G55" s="6">
        <f>_xll.MC_NodeValue(_MC_Calc_1,"T_strat_full_hm")</f>
        <v>380000000</v>
      </c>
    </row>
    <row r="56" spans="5:8" ht="15" customHeight="1" x14ac:dyDescent="0.45">
      <c r="F56" s="4" t="str">
        <f>_xll.MC_NodeDecision(_MC_Calc_1,"T_sec_full_hm")</f>
        <v/>
      </c>
      <c r="G56" s="1">
        <f>_xll.MC_NodeProbability(_MC_Calc_1,"T_sec_full_hm")</f>
        <v>0.1125</v>
      </c>
    </row>
    <row r="57" spans="5:8" ht="15" customHeight="1" x14ac:dyDescent="0.45">
      <c r="F57" s="7">
        <f>SecondaryBuyoutValue2</f>
        <v>650000000</v>
      </c>
      <c r="G57" s="6">
        <f>_xll.MC_NodeValue(_MC_Calc_1,"T_sec_full_hm")</f>
        <v>250000000</v>
      </c>
    </row>
    <row r="58" spans="5:8" ht="15" customHeight="1" x14ac:dyDescent="0.45">
      <c r="F58" s="4" t="str">
        <f>_xll.MC_NodeDecision(_MC_Calc_1,"T_strat_full_hl")</f>
        <v>optimal</v>
      </c>
      <c r="G58" s="1">
        <f>_xll.MC_NodeProbability(_MC_Calc_1,"T_strat_full_hl")</f>
        <v>6.25E-2</v>
      </c>
    </row>
    <row r="59" spans="5:8" ht="15" customHeight="1" x14ac:dyDescent="0.45">
      <c r="F59" s="7">
        <f>StrategicSale3</f>
        <v>580000000</v>
      </c>
      <c r="G59" s="6">
        <f>_xll.MC_NodeValue(_MC_Calc_1,"T_strat_full_hl")</f>
        <v>180000000</v>
      </c>
    </row>
    <row r="60" spans="5:8" ht="15" customHeight="1" x14ac:dyDescent="0.45">
      <c r="E60" s="5">
        <v>0.25</v>
      </c>
      <c r="F60" s="3" t="s">
        <v>5</v>
      </c>
    </row>
    <row r="61" spans="5:8" ht="15" customHeight="1" x14ac:dyDescent="0.45">
      <c r="E61" s="7">
        <v>0</v>
      </c>
      <c r="F61" s="6">
        <f>_xll.MC_NodeValue(_MC_Calc_1,"D_exit_full_hl")</f>
        <v>180000000</v>
      </c>
    </row>
    <row r="62" spans="5:8" ht="15" customHeight="1" x14ac:dyDescent="0.45">
      <c r="F62" s="4" t="str">
        <f>_xll.MC_NodeDecision(_MC_Calc_1,"T_sec_full_hl")</f>
        <v/>
      </c>
      <c r="G62" s="1">
        <f>_xll.MC_NodeProbability(_MC_Calc_1,"T_sec_full_hl")</f>
        <v>6.25E-2</v>
      </c>
    </row>
    <row r="63" spans="5:8" ht="15" customHeight="1" x14ac:dyDescent="0.45">
      <c r="F63" s="7">
        <f>SecondaryBuyoutValue3</f>
        <v>480000000</v>
      </c>
      <c r="G63" s="6">
        <f>_xll.MC_NodeValue(_MC_Calc_1,"T_sec_full_hl")</f>
        <v>80000000</v>
      </c>
    </row>
    <row r="64" spans="5:8" ht="15" customHeight="1" x14ac:dyDescent="0.45">
      <c r="F64" s="4" t="str">
        <f>_xll.MC_NodeDecision(_MC_Calc_1,"T_hold_full_hl")</f>
        <v/>
      </c>
      <c r="G64" s="1">
        <f>_xll.MC_NodeProbability(_MC_Calc_1,"T_hold_full_hl")</f>
        <v>6.25E-2</v>
      </c>
    </row>
    <row r="65" spans="3:7" ht="15" customHeight="1" x14ac:dyDescent="0.45">
      <c r="F65" s="7">
        <f>HoldAndRestructureValue</f>
        <v>350000000</v>
      </c>
      <c r="G65" s="6">
        <f>_xll.MC_NodeValue(_MC_Calc_1,"T_hold_full_hl")</f>
        <v>-50000000</v>
      </c>
    </row>
    <row r="66" spans="3:7" ht="15" customHeight="1" x14ac:dyDescent="0.45">
      <c r="C66" s="4" t="str">
        <f>_xll.MC_NodeDecision(_MC_Calc_1,"C_ops_full")</f>
        <v/>
      </c>
      <c r="D66" s="2" t="s">
        <v>6</v>
      </c>
    </row>
    <row r="67" spans="3:7" ht="15" customHeight="1" x14ac:dyDescent="0.45">
      <c r="C67" s="7">
        <f>-FullBuyoutAt8xEbitda400mCost</f>
        <v>-400000000</v>
      </c>
      <c r="D67" s="6">
        <f>_xll.MC_NodeValue(_MC_Calc_1,"C_ops_full")</f>
        <v>62043750</v>
      </c>
    </row>
    <row r="68" spans="3:7" ht="15" customHeight="1" x14ac:dyDescent="0.45">
      <c r="F68" s="5">
        <v>0.45</v>
      </c>
      <c r="G68" s="1">
        <f>_xll.MC_NodeProbability(_MC_Calc_1,"T_full_ms_gooddebt")</f>
        <v>5.0625000000000003E-2</v>
      </c>
    </row>
    <row r="69" spans="3:7" ht="15" customHeight="1" x14ac:dyDescent="0.45">
      <c r="F69" s="7">
        <v>750000000</v>
      </c>
      <c r="G69" s="6">
        <f>_xll.MC_NodeValue(_MC_Calc_1,"T_full_ms_gooddebt")</f>
        <v>350000000</v>
      </c>
    </row>
    <row r="70" spans="3:7" ht="15" customHeight="1" x14ac:dyDescent="0.45">
      <c r="E70" s="5">
        <v>0.25</v>
      </c>
      <c r="F70" s="2" t="s">
        <v>7</v>
      </c>
    </row>
    <row r="71" spans="3:7" ht="15" customHeight="1" x14ac:dyDescent="0.45">
      <c r="E71" s="7">
        <v>0</v>
      </c>
      <c r="F71" s="6">
        <f>_xll.MC_NodeValue(_MC_Calc_1,"C_debt_full_ms")</f>
        <v>267500000</v>
      </c>
    </row>
    <row r="72" spans="3:7" ht="15" customHeight="1" x14ac:dyDescent="0.45">
      <c r="F72" s="5">
        <v>0.55000000000000004</v>
      </c>
      <c r="G72" s="1">
        <f>_xll.MC_NodeProbability(_MC_Calc_1,"T_full_ms_neutdebt")</f>
        <v>6.1875000000000006E-2</v>
      </c>
    </row>
    <row r="73" spans="3:7" ht="15" customHeight="1" x14ac:dyDescent="0.45">
      <c r="F73" s="7">
        <v>600000000</v>
      </c>
      <c r="G73" s="6">
        <f>_xll.MC_NodeValue(_MC_Calc_1,"T_full_ms_neutdebt")</f>
        <v>200000000</v>
      </c>
    </row>
    <row r="74" spans="3:7" ht="15" customHeight="1" x14ac:dyDescent="0.45">
      <c r="D74" s="5">
        <v>0.45</v>
      </c>
      <c r="E74" s="2" t="s">
        <v>8</v>
      </c>
    </row>
    <row r="75" spans="3:7" ht="15" customHeight="1" x14ac:dyDescent="0.45">
      <c r="D75" s="7">
        <v>0</v>
      </c>
      <c r="E75" s="6">
        <f>_xll.MC_NodeValue(_MC_Calc_1,"C_rev_full_med")</f>
        <v>54875000</v>
      </c>
    </row>
    <row r="76" spans="3:7" ht="15" customHeight="1" x14ac:dyDescent="0.45">
      <c r="F76" s="5">
        <v>0.4</v>
      </c>
      <c r="G76" s="1">
        <f>_xll.MC_NodeProbability(_MC_Calc_1,"T_full_mm_gooddebt")</f>
        <v>9.0000000000000011E-2</v>
      </c>
    </row>
    <row r="77" spans="3:7" ht="15" customHeight="1" x14ac:dyDescent="0.45">
      <c r="F77" s="7">
        <v>520000000</v>
      </c>
      <c r="G77" s="6">
        <f>_xll.MC_NodeValue(_MC_Calc_1,"T_full_mm_gooddebt")</f>
        <v>120000000</v>
      </c>
    </row>
    <row r="78" spans="3:7" ht="15" customHeight="1" x14ac:dyDescent="0.45">
      <c r="E78" s="5">
        <v>0.5</v>
      </c>
      <c r="F78" s="2" t="s">
        <v>9</v>
      </c>
    </row>
    <row r="79" spans="3:7" ht="15" customHeight="1" x14ac:dyDescent="0.45">
      <c r="E79" s="7">
        <v>0</v>
      </c>
      <c r="F79" s="6">
        <f>_xll.MC_NodeValue(_MC_Calc_1,"C_debt_full_mm")</f>
        <v>36000000</v>
      </c>
    </row>
    <row r="80" spans="3:7" ht="15" customHeight="1" x14ac:dyDescent="0.45">
      <c r="F80" s="5">
        <v>0.6</v>
      </c>
      <c r="G80" s="1">
        <f>_xll.MC_NodeProbability(_MC_Calc_1,"T_full_mm_baddebt")</f>
        <v>0.13500000000000001</v>
      </c>
    </row>
    <row r="81" spans="3:7" ht="15" customHeight="1" x14ac:dyDescent="0.45">
      <c r="F81" s="7">
        <v>380000000</v>
      </c>
      <c r="G81" s="6">
        <f>_xll.MC_NodeValue(_MC_Calc_1,"T_full_mm_baddebt")</f>
        <v>-20000000</v>
      </c>
    </row>
    <row r="82" spans="3:7" ht="15" customHeight="1" x14ac:dyDescent="0.45">
      <c r="E82" s="5">
        <v>0.25</v>
      </c>
      <c r="F82" s="1">
        <f>_xll.MC_NodeProbability(_MC_Calc_1,"T_full_med_flat")</f>
        <v>0.1125</v>
      </c>
    </row>
    <row r="83" spans="3:7" ht="15" customHeight="1" x14ac:dyDescent="0.45">
      <c r="E83" s="7">
        <v>280000000</v>
      </c>
      <c r="F83" s="6">
        <f>_xll.MC_NodeValue(_MC_Calc_1,"T_full_med_flat")</f>
        <v>-120000000</v>
      </c>
    </row>
    <row r="84" spans="3:7" ht="15" customHeight="1" x14ac:dyDescent="0.45">
      <c r="E84" s="5">
        <v>0.2</v>
      </c>
      <c r="F84" s="1">
        <f>_xll.MC_NodeProbability(_MC_Calc_1,"T_full_low_grow")</f>
        <v>0.06</v>
      </c>
    </row>
    <row r="85" spans="3:7" ht="15" customHeight="1" x14ac:dyDescent="0.45">
      <c r="E85" s="7">
        <v>350000000</v>
      </c>
      <c r="F85" s="6">
        <f>_xll.MC_NodeValue(_MC_Calc_1,"T_full_low_grow")</f>
        <v>-50000000</v>
      </c>
    </row>
    <row r="86" spans="3:7" ht="15" customHeight="1" x14ac:dyDescent="0.45">
      <c r="D86" s="5">
        <v>0.3</v>
      </c>
      <c r="E86" s="2" t="s">
        <v>10</v>
      </c>
    </row>
    <row r="87" spans="3:7" ht="15" customHeight="1" x14ac:dyDescent="0.45">
      <c r="D87" s="7">
        <v>0</v>
      </c>
      <c r="E87" s="6">
        <f>_xll.MC_NodeValue(_MC_Calc_1,"C_rev_full_low")</f>
        <v>-218000000</v>
      </c>
    </row>
    <row r="88" spans="3:7" ht="15" customHeight="1" x14ac:dyDescent="0.45">
      <c r="E88" s="5">
        <v>0.4</v>
      </c>
      <c r="F88" s="1">
        <f>_xll.MC_NodeProbability(_MC_Calc_1,"T_full_low_flat")</f>
        <v>0.12</v>
      </c>
    </row>
    <row r="89" spans="3:7" ht="15" customHeight="1" x14ac:dyDescent="0.45">
      <c r="E89" s="7">
        <v>200000000</v>
      </c>
      <c r="F89" s="6">
        <f>_xll.MC_NodeValue(_MC_Calc_1,"T_full_low_flat")</f>
        <v>-200000000</v>
      </c>
    </row>
    <row r="90" spans="3:7" ht="15" customHeight="1" x14ac:dyDescent="0.45">
      <c r="E90" s="5">
        <v>0.4</v>
      </c>
      <c r="F90" s="1">
        <f>_xll.MC_NodeProbability(_MC_Calc_1,"T_full_low_decline")</f>
        <v>0.12</v>
      </c>
    </row>
    <row r="91" spans="3:7" ht="15" customHeight="1" x14ac:dyDescent="0.45">
      <c r="E91" s="7">
        <v>80000000</v>
      </c>
      <c r="F91" s="6">
        <f>_xll.MC_NodeValue(_MC_Calc_1,"T_full_low_decline")</f>
        <v>-320000000</v>
      </c>
    </row>
    <row r="92" spans="3:7" ht="15" customHeight="1" x14ac:dyDescent="0.45">
      <c r="C92" s="3" t="s">
        <v>11</v>
      </c>
    </row>
    <row r="93" spans="3:7" ht="15" customHeight="1" x14ac:dyDescent="0.45">
      <c r="C93" s="6">
        <f>_xll.MC_NodeValue(_MC_Calc_1,"D_root")</f>
        <v>278500000</v>
      </c>
    </row>
    <row r="94" spans="3:7" ht="15" customHeight="1" x14ac:dyDescent="0.45">
      <c r="E94" s="4" t="str">
        <f>_xll.MC_NodeDecision(_MC_Calc_1,"T_mgmt_good_ipo")</f>
        <v>optimal</v>
      </c>
      <c r="F94" s="1">
        <f>_xll.MC_NodeProbability(_MC_Calc_1,"T_mgmt_good_ipo")</f>
        <v>0.35</v>
      </c>
    </row>
    <row r="95" spans="3:7" ht="15" customHeight="1" x14ac:dyDescent="0.45">
      <c r="E95" s="7">
        <f>IpoValue</f>
        <v>900000000</v>
      </c>
      <c r="F95" s="6">
        <f>_xll.MC_NodeValue(_MC_Calc_1,"T_mgmt_good_ipo")</f>
        <v>600000000</v>
      </c>
    </row>
    <row r="96" spans="3:7" ht="15" customHeight="1" x14ac:dyDescent="0.45">
      <c r="D96" s="5">
        <v>0.35</v>
      </c>
      <c r="E96" s="3" t="s">
        <v>12</v>
      </c>
    </row>
    <row r="97" spans="3:6" ht="15" customHeight="1" x14ac:dyDescent="0.45">
      <c r="D97" s="7">
        <v>0</v>
      </c>
      <c r="E97" s="6">
        <f>_xll.MC_NodeValue(_MC_Calc_1,"D_exit_mgmt_good")</f>
        <v>600000000</v>
      </c>
    </row>
    <row r="98" spans="3:6" ht="15" customHeight="1" x14ac:dyDescent="0.45">
      <c r="E98" s="4" t="str">
        <f>_xll.MC_NodeDecision(_MC_Calc_1,"T_mgmt_good_strat")</f>
        <v/>
      </c>
      <c r="F98" s="1">
        <f>_xll.MC_NodeProbability(_MC_Calc_1,"T_mgmt_good_strat")</f>
        <v>0.35</v>
      </c>
    </row>
    <row r="99" spans="3:6" ht="15" customHeight="1" x14ac:dyDescent="0.45">
      <c r="E99" s="7">
        <f>StrategicSale4</f>
        <v>800000000</v>
      </c>
      <c r="F99" s="6">
        <f>_xll.MC_NodeValue(_MC_Calc_1,"T_mgmt_good_strat")</f>
        <v>500000000</v>
      </c>
    </row>
    <row r="100" spans="3:6" ht="15" customHeight="1" x14ac:dyDescent="0.45">
      <c r="E100" s="4" t="str">
        <f>_xll.MC_NodeDecision(_MC_Calc_1,"T_mgmt_good_sec")</f>
        <v/>
      </c>
      <c r="F100" s="1">
        <f>_xll.MC_NodeProbability(_MC_Calc_1,"T_mgmt_good_sec")</f>
        <v>0.35</v>
      </c>
    </row>
    <row r="101" spans="3:6" ht="15" customHeight="1" x14ac:dyDescent="0.45">
      <c r="E101" s="7">
        <f>SecondaryBuyoutValue4</f>
        <v>680000000</v>
      </c>
      <c r="F101" s="6">
        <f>_xll.MC_NodeValue(_MC_Calc_1,"T_mgmt_good_sec")</f>
        <v>380000000</v>
      </c>
    </row>
    <row r="102" spans="3:6" ht="15" customHeight="1" x14ac:dyDescent="0.45">
      <c r="C102" s="4" t="str">
        <f>_xll.MC_NodeDecision(_MC_Calc_1,"C_ops_mgmt")</f>
        <v>optimal</v>
      </c>
      <c r="D102" s="2" t="s">
        <v>13</v>
      </c>
    </row>
    <row r="103" spans="3:6" ht="15" customHeight="1" x14ac:dyDescent="0.45">
      <c r="C103" s="7">
        <f>-BuyoutAt6xMgmtRollover300mCost</f>
        <v>-300000000</v>
      </c>
      <c r="D103" s="6">
        <f>_xll.MC_NodeValue(_MC_Calc_1,"C_ops_mgmt")</f>
        <v>278500000</v>
      </c>
    </row>
    <row r="104" spans="3:6" ht="15" customHeight="1" x14ac:dyDescent="0.45">
      <c r="E104" s="4" t="str">
        <f>_xll.MC_NodeDecision(_MC_Calc_1,"T_mgmt_mod_strat")</f>
        <v>optimal</v>
      </c>
      <c r="F104" s="1">
        <f>_xll.MC_NodeProbability(_MC_Calc_1,"T_mgmt_mod_strat")</f>
        <v>0.4</v>
      </c>
    </row>
    <row r="105" spans="3:6" ht="15" customHeight="1" x14ac:dyDescent="0.45">
      <c r="E105" s="7">
        <f>StrategicSale5</f>
        <v>550000000</v>
      </c>
      <c r="F105" s="6">
        <f>_xll.MC_NodeValue(_MC_Calc_1,"T_mgmt_mod_strat")</f>
        <v>250000000</v>
      </c>
    </row>
    <row r="106" spans="3:6" ht="15" customHeight="1" x14ac:dyDescent="0.45">
      <c r="D106" s="5">
        <v>0.4</v>
      </c>
      <c r="E106" s="3" t="s">
        <v>14</v>
      </c>
    </row>
    <row r="107" spans="3:6" ht="15" customHeight="1" x14ac:dyDescent="0.45">
      <c r="D107" s="7">
        <v>0</v>
      </c>
      <c r="E107" s="6">
        <f>_xll.MC_NodeValue(_MC_Calc_1,"D_exit_mgmt_mod")</f>
        <v>250000000</v>
      </c>
    </row>
    <row r="108" spans="3:6" ht="15" customHeight="1" x14ac:dyDescent="0.45">
      <c r="E108" s="4" t="str">
        <f>_xll.MC_NodeDecision(_MC_Calc_1,"T_mgmt_mod_sec")</f>
        <v/>
      </c>
      <c r="F108" s="1">
        <f>_xll.MC_NodeProbability(_MC_Calc_1,"T_mgmt_mod_sec")</f>
        <v>0.4</v>
      </c>
    </row>
    <row r="109" spans="3:6" ht="15" customHeight="1" x14ac:dyDescent="0.45">
      <c r="E109" s="7">
        <f>SecondaryBuyoutValue5</f>
        <v>450000000</v>
      </c>
      <c r="F109" s="6">
        <f>_xll.MC_NodeValue(_MC_Calc_1,"T_mgmt_mod_sec")</f>
        <v>150000000</v>
      </c>
    </row>
    <row r="110" spans="3:6" ht="15" customHeight="1" x14ac:dyDescent="0.45">
      <c r="E110" s="4" t="str">
        <f>_xll.MC_NodeDecision(_MC_Calc_1,"T_mgmt_mod_recap")</f>
        <v/>
      </c>
      <c r="F110" s="1">
        <f>_xll.MC_NodeProbability(_MC_Calc_1,"T_mgmt_mod_recap")</f>
        <v>0.4</v>
      </c>
    </row>
    <row r="111" spans="3:6" ht="15" customHeight="1" x14ac:dyDescent="0.45">
      <c r="E111" s="7">
        <f>DividendRecapValue</f>
        <v>380000000</v>
      </c>
      <c r="F111" s="6">
        <f>_xll.MC_NodeValue(_MC_Calc_1,"T_mgmt_mod_recap")</f>
        <v>80000000</v>
      </c>
    </row>
    <row r="112" spans="3:6" ht="15" customHeight="1" x14ac:dyDescent="0.45">
      <c r="E112" s="5">
        <v>0.45</v>
      </c>
      <c r="F112" s="1">
        <f>_xll.MC_NodeProbability(_MC_Calc_1,"T_mgmt_stab")</f>
        <v>0.1125</v>
      </c>
    </row>
    <row r="113" spans="4:7" ht="15" customHeight="1" x14ac:dyDescent="0.45">
      <c r="E113" s="7">
        <v>280000000</v>
      </c>
      <c r="F113" s="6">
        <f>_xll.MC_NodeValue(_MC_Calc_1,"T_mgmt_stab")</f>
        <v>-20000000</v>
      </c>
    </row>
    <row r="114" spans="4:7" ht="15" customHeight="1" x14ac:dyDescent="0.45">
      <c r="D114" s="5">
        <v>0.25</v>
      </c>
      <c r="E114" s="2" t="s">
        <v>15</v>
      </c>
    </row>
    <row r="115" spans="4:7" ht="15" customHeight="1" x14ac:dyDescent="0.45">
      <c r="D115" s="7">
        <v>0</v>
      </c>
      <c r="E115" s="6">
        <f>_xll.MC_NodeValue(_MC_Calc_1,"C_mgmt_under")</f>
        <v>-126000000</v>
      </c>
    </row>
    <row r="116" spans="4:7" ht="15" customHeight="1" x14ac:dyDescent="0.45">
      <c r="E116" s="5">
        <v>0.35</v>
      </c>
      <c r="F116" s="1">
        <f>_xll.MC_NodeProbability(_MC_Calc_1,"T_mgmt_decline")</f>
        <v>8.7499999999999994E-2</v>
      </c>
    </row>
    <row r="117" spans="4:7" ht="15" customHeight="1" x14ac:dyDescent="0.45">
      <c r="E117" s="7">
        <v>120000000</v>
      </c>
      <c r="F117" s="6">
        <f>_xll.MC_NodeValue(_MC_Calc_1,"T_mgmt_decline")</f>
        <v>-180000000</v>
      </c>
    </row>
    <row r="118" spans="4:7" ht="15" customHeight="1" x14ac:dyDescent="0.45">
      <c r="E118" s="5">
        <v>0.2</v>
      </c>
      <c r="F118" s="1">
        <f>_xll.MC_NodeProbability(_MC_Calc_1,"T_mgmt_default")</f>
        <v>0.05</v>
      </c>
    </row>
    <row r="119" spans="4:7" ht="15" customHeight="1" x14ac:dyDescent="0.45">
      <c r="E119" s="7">
        <v>30000000</v>
      </c>
      <c r="F119" s="6">
        <f>_xll.MC_NodeValue(_MC_Calc_1,"T_mgmt_default")</f>
        <v>-270000000</v>
      </c>
    </row>
    <row r="120" spans="4:7" ht="15" customHeight="1" x14ac:dyDescent="0.45">
      <c r="F120" s="5">
        <v>0.5</v>
      </c>
      <c r="G120" s="1">
        <f>_xll.MC_NodeProbability(_MC_Calc_1,"T_call_grows")</f>
        <v>0.125</v>
      </c>
    </row>
    <row r="121" spans="4:7" ht="15" customHeight="1" x14ac:dyDescent="0.45">
      <c r="F121" s="7">
        <v>500000000</v>
      </c>
      <c r="G121" s="6">
        <f>_xll.MC_NodeValue(_MC_Calc_1,"T_call_grows")</f>
        <v>250000000</v>
      </c>
    </row>
    <row r="122" spans="4:7" ht="15" customHeight="1" x14ac:dyDescent="0.45">
      <c r="E122" s="4" t="str">
        <f>_xll.MC_NodeDecision(_MC_Calc_1,"C_call_option")</f>
        <v/>
      </c>
      <c r="F122" s="2" t="s">
        <v>16</v>
      </c>
    </row>
    <row r="123" spans="4:7" ht="15" customHeight="1" x14ac:dyDescent="0.45">
      <c r="E123" s="7">
        <f>-ExerciseCallOptionForControlCost</f>
        <v>-150000000</v>
      </c>
      <c r="F123" s="6">
        <f>_xll.MC_NodeValue(_MC_Calc_1,"C_call_option")</f>
        <v>123000000</v>
      </c>
    </row>
    <row r="124" spans="4:7" ht="15" customHeight="1" x14ac:dyDescent="0.45">
      <c r="F124" s="5">
        <v>0.35</v>
      </c>
      <c r="G124" s="1">
        <f>_xll.MC_NodeProbability(_MC_Calc_1,"T_call_slows")</f>
        <v>8.7499999999999994E-2</v>
      </c>
    </row>
    <row r="125" spans="4:7" ht="15" customHeight="1" x14ac:dyDescent="0.45">
      <c r="F125" s="7">
        <v>300000000</v>
      </c>
      <c r="G125" s="6">
        <f>_xll.MC_NodeValue(_MC_Calc_1,"T_call_slows")</f>
        <v>50000000</v>
      </c>
    </row>
    <row r="126" spans="4:7" ht="15" customHeight="1" x14ac:dyDescent="0.45">
      <c r="F126" s="5">
        <v>0.15</v>
      </c>
      <c r="G126" s="1">
        <f>_xll.MC_NodeProbability(_MC_Calc_1,"T_call_stumbles")</f>
        <v>3.7499999999999999E-2</v>
      </c>
    </row>
    <row r="127" spans="4:7" ht="15" customHeight="1" x14ac:dyDescent="0.45">
      <c r="F127" s="7">
        <v>120000000</v>
      </c>
      <c r="G127" s="6">
        <f>_xll.MC_NodeValue(_MC_Calc_1,"T_call_stumbles")</f>
        <v>-130000000</v>
      </c>
    </row>
    <row r="128" spans="4:7" ht="15" customHeight="1" x14ac:dyDescent="0.45">
      <c r="D128" s="5">
        <v>0.25</v>
      </c>
      <c r="E128" s="3" t="s">
        <v>17</v>
      </c>
    </row>
    <row r="129" spans="3:6" ht="15" customHeight="1" x14ac:dyDescent="0.45">
      <c r="D129" s="7">
        <v>0</v>
      </c>
      <c r="E129" s="6">
        <f>_xll.MC_NodeValue(_MC_Calc_1,"D_growth_high")</f>
        <v>180000000</v>
      </c>
    </row>
    <row r="130" spans="3:6" ht="15" customHeight="1" x14ac:dyDescent="0.45">
      <c r="E130" s="4" t="str">
        <f>_xll.MC_NodeDecision(_MC_Calc_1,"T_sell_growth_high")</f>
        <v>optimal</v>
      </c>
      <c r="F130" s="1">
        <f>_xll.MC_NodeProbability(_MC_Calc_1,"T_sell_growth_high")</f>
        <v>0.25</v>
      </c>
    </row>
    <row r="131" spans="3:6" ht="15" customHeight="1" x14ac:dyDescent="0.45">
      <c r="E131" s="7">
        <f>SellStakeAtPremiumValue</f>
        <v>280000000</v>
      </c>
      <c r="F131" s="6">
        <f>_xll.MC_NodeValue(_MC_Calc_1,"T_sell_growth_high")</f>
        <v>180000000</v>
      </c>
    </row>
    <row r="132" spans="3:6" ht="15" customHeight="1" x14ac:dyDescent="0.45">
      <c r="C132" s="4" t="str">
        <f>_xll.MC_NodeDecision(_MC_Calc_1,"C_revenue_growth")</f>
        <v/>
      </c>
      <c r="D132" s="2" t="s">
        <v>18</v>
      </c>
    </row>
    <row r="133" spans="3:6" ht="15" customHeight="1" x14ac:dyDescent="0.45">
      <c r="C133" s="7">
        <f>-GrowthEquityMinority100mCost</f>
        <v>-100000000</v>
      </c>
      <c r="D133" s="6">
        <f>_xll.MC_NodeValue(_MC_Calc_1,"C_revenue_growth")</f>
        <v>66000000</v>
      </c>
    </row>
    <row r="134" spans="3:6" ht="15" customHeight="1" x14ac:dyDescent="0.45">
      <c r="D134" s="5">
        <v>0.45</v>
      </c>
      <c r="E134" s="1">
        <f>_xll.MC_NodeProbability(_MC_Calc_1,"T_growth_mod")</f>
        <v>0.45</v>
      </c>
    </row>
    <row r="135" spans="3:6" ht="15" customHeight="1" x14ac:dyDescent="0.45">
      <c r="D135" s="7">
        <v>160000000</v>
      </c>
      <c r="E135" s="6">
        <f>_xll.MC_NodeValue(_MC_Calc_1,"T_growth_mod")</f>
        <v>60000000</v>
      </c>
    </row>
    <row r="136" spans="3:6" ht="15" customHeight="1" x14ac:dyDescent="0.45">
      <c r="D136" s="5">
        <v>0.3</v>
      </c>
      <c r="E136" s="1">
        <f>_xll.MC_NodeProbability(_MC_Calc_1,"T_growth_stag")</f>
        <v>0.3</v>
      </c>
    </row>
    <row r="137" spans="3:6" ht="15" customHeight="1" x14ac:dyDescent="0.45">
      <c r="D137" s="7">
        <v>80000000</v>
      </c>
      <c r="E137" s="6">
        <f>_xll.MC_NodeValue(_MC_Calc_1,"T_growth_stag")</f>
        <v>-20000000</v>
      </c>
    </row>
    <row r="138" spans="3:6" ht="15" customHeight="1" x14ac:dyDescent="0.45">
      <c r="C138" s="4" t="str">
        <f>_xll.MC_NodeDecision(_MC_Calc_1,"T_pass")</f>
        <v/>
      </c>
      <c r="D138" s="1">
        <f>_xll.MC_NodeProbability(_MC_Calc_1,"T_pass")</f>
        <v>1</v>
      </c>
    </row>
    <row r="139" spans="3:6" ht="15" customHeight="1" x14ac:dyDescent="0.45">
      <c r="C139" s="7">
        <v>0</v>
      </c>
      <c r="D139" s="6">
        <f>_xll.MC_NodeValue(_MC_Calc_1,"T_pass")</f>
        <v>0</v>
      </c>
    </row>
    <row r="140" spans="3:6" ht="15" customHeight="1" x14ac:dyDescent="0.45"/>
    <row r="141" spans="3:6" ht="15" customHeight="1" x14ac:dyDescent="0.45"/>
    <row r="142" spans="3:6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241</vt:i4>
      </vt:variant>
    </vt:vector>
  </HeadingPairs>
  <TitlesOfParts>
    <vt:vector size="243" baseType="lpstr">
      <vt:lpstr>Problem</vt:lpstr>
      <vt:lpstr>MC_Tree_1</vt:lpstr>
      <vt:lpstr>_MC_Calc_1</vt:lpstr>
      <vt:lpstr>BuyoutAt6xMgmtRollover300mCost</vt:lpstr>
      <vt:lpstr>DividendRecapValue</vt:lpstr>
      <vt:lpstr>ExerciseCallOptionForControlCost</vt:lpstr>
      <vt:lpstr>FullBuyoutAt8xEbitda400mCost</vt:lpstr>
      <vt:lpstr>GrowthEquityMinority100mCost</vt:lpstr>
      <vt:lpstr>HoldAndRestructureValue</vt:lpstr>
      <vt:lpstr>IpoValue</vt:lpstr>
      <vt:lpstr>MC_Tree_1!MC_BD_D_exit_full_hh_C_ipo_full_hh</vt:lpstr>
      <vt:lpstr>MC_Tree_1!MC_BD_D_exit_full_hh_T_sec_full_hh</vt:lpstr>
      <vt:lpstr>MC_Tree_1!MC_BD_D_exit_full_hh_T_strat_full_hh</vt:lpstr>
      <vt:lpstr>MC_Tree_1!MC_BD_D_exit_full_hl_T_hold_full_hl</vt:lpstr>
      <vt:lpstr>MC_Tree_1!MC_BD_D_exit_full_hl_T_sec_full_hl</vt:lpstr>
      <vt:lpstr>MC_Tree_1!MC_BD_D_exit_full_hl_T_strat_full_hl</vt:lpstr>
      <vt:lpstr>MC_Tree_1!MC_BD_D_exit_full_hm_C_ipo_full_hm</vt:lpstr>
      <vt:lpstr>MC_Tree_1!MC_BD_D_exit_full_hm_T_sec_full_hm</vt:lpstr>
      <vt:lpstr>MC_Tree_1!MC_BD_D_exit_full_hm_T_strat_full_hm</vt:lpstr>
      <vt:lpstr>MC_Tree_1!MC_BD_D_exit_mgmt_good_T_mgmt_good_ipo</vt:lpstr>
      <vt:lpstr>MC_Tree_1!MC_BD_D_exit_mgmt_good_T_mgmt_good_sec</vt:lpstr>
      <vt:lpstr>MC_Tree_1!MC_BD_D_exit_mgmt_good_T_mgmt_good_strat</vt:lpstr>
      <vt:lpstr>MC_Tree_1!MC_BD_D_exit_mgmt_mod_T_mgmt_mod_recap</vt:lpstr>
      <vt:lpstr>MC_Tree_1!MC_BD_D_exit_mgmt_mod_T_mgmt_mod_sec</vt:lpstr>
      <vt:lpstr>MC_Tree_1!MC_BD_D_exit_mgmt_mod_T_mgmt_mod_strat</vt:lpstr>
      <vt:lpstr>MC_Tree_1!MC_BD_D_growth_high_C_call_option</vt:lpstr>
      <vt:lpstr>MC_Tree_1!MC_BD_D_growth_high_T_sell_growth_high</vt:lpstr>
      <vt:lpstr>MC_Tree_1!MC_BD_D_root_C_ops_full</vt:lpstr>
      <vt:lpstr>MC_Tree_1!MC_BD_D_root_C_ops_mgmt</vt:lpstr>
      <vt:lpstr>MC_Tree_1!MC_BD_D_root_C_revenue_growth</vt:lpstr>
      <vt:lpstr>MC_Tree_1!MC_BD_D_root_T_pass</vt:lpstr>
      <vt:lpstr>MC_Tree_1!MC_BP_C_call_option_T_call_grows</vt:lpstr>
      <vt:lpstr>MC_Tree_1!MC_BP_C_call_option_T_call_slows</vt:lpstr>
      <vt:lpstr>MC_Tree_1!MC_BP_C_call_option_T_call_stumbles</vt:lpstr>
      <vt:lpstr>MC_Tree_1!MC_BP_C_debt_full_mm_T_full_mm_baddebt</vt:lpstr>
      <vt:lpstr>MC_Tree_1!MC_BP_C_debt_full_mm_T_full_mm_gooddebt</vt:lpstr>
      <vt:lpstr>MC_Tree_1!MC_BP_C_debt_full_ms_T_full_ms_gooddebt</vt:lpstr>
      <vt:lpstr>MC_Tree_1!MC_BP_C_debt_full_ms_T_full_ms_neutdebt</vt:lpstr>
      <vt:lpstr>MC_Tree_1!MC_BP_C_ipo_full_hh_T_ipo_full_hh_hot</vt:lpstr>
      <vt:lpstr>MC_Tree_1!MC_BP_C_ipo_full_hh_T_ipo_full_hh_norm</vt:lpstr>
      <vt:lpstr>MC_Tree_1!MC_BP_C_ipo_full_hh_T_ipo_full_hh_weak</vt:lpstr>
      <vt:lpstr>MC_Tree_1!MC_BP_C_ipo_full_hm_T_ipo_full_hm_hot</vt:lpstr>
      <vt:lpstr>MC_Tree_1!MC_BP_C_ipo_full_hm_T_ipo_full_hm_norm</vt:lpstr>
      <vt:lpstr>MC_Tree_1!MC_BP_C_ipo_full_hm_T_ipo_full_hm_weak</vt:lpstr>
      <vt:lpstr>MC_Tree_1!MC_BP_C_mgmt_under_T_mgmt_decline</vt:lpstr>
      <vt:lpstr>MC_Tree_1!MC_BP_C_mgmt_under_T_mgmt_default</vt:lpstr>
      <vt:lpstr>MC_Tree_1!MC_BP_C_mgmt_under_T_mgmt_stab</vt:lpstr>
      <vt:lpstr>MC_Tree_1!MC_BP_C_ops_full_C_rev_full_high</vt:lpstr>
      <vt:lpstr>MC_Tree_1!MC_BP_C_ops_full_C_rev_full_low</vt:lpstr>
      <vt:lpstr>MC_Tree_1!MC_BP_C_ops_full_C_rev_full_med</vt:lpstr>
      <vt:lpstr>MC_Tree_1!MC_BP_C_ops_mgmt_C_mgmt_under</vt:lpstr>
      <vt:lpstr>MC_Tree_1!MC_BP_C_ops_mgmt_D_exit_mgmt_good</vt:lpstr>
      <vt:lpstr>MC_Tree_1!MC_BP_C_ops_mgmt_D_exit_mgmt_mod</vt:lpstr>
      <vt:lpstr>MC_Tree_1!MC_BP_C_rev_full_high_D_exit_full_hh</vt:lpstr>
      <vt:lpstr>MC_Tree_1!MC_BP_C_rev_full_high_D_exit_full_hl</vt:lpstr>
      <vt:lpstr>MC_Tree_1!MC_BP_C_rev_full_high_D_exit_full_hm</vt:lpstr>
      <vt:lpstr>MC_Tree_1!MC_BP_C_rev_full_low_T_full_low_decline</vt:lpstr>
      <vt:lpstr>MC_Tree_1!MC_BP_C_rev_full_low_T_full_low_flat</vt:lpstr>
      <vt:lpstr>MC_Tree_1!MC_BP_C_rev_full_low_T_full_low_grow</vt:lpstr>
      <vt:lpstr>MC_Tree_1!MC_BP_C_rev_full_med_C_debt_full_mm</vt:lpstr>
      <vt:lpstr>MC_Tree_1!MC_BP_C_rev_full_med_C_debt_full_ms</vt:lpstr>
      <vt:lpstr>MC_Tree_1!MC_BP_C_rev_full_med_T_full_med_flat</vt:lpstr>
      <vt:lpstr>MC_Tree_1!MC_BP_C_revenue_growth_D_growth_high</vt:lpstr>
      <vt:lpstr>MC_Tree_1!MC_BP_C_revenue_growth_T_growth_mod</vt:lpstr>
      <vt:lpstr>MC_Tree_1!MC_BP_C_revenue_growth_T_growth_stag</vt:lpstr>
      <vt:lpstr>MC_Tree_1!MC_BV_C_call_option_T_call_grows</vt:lpstr>
      <vt:lpstr>MC_Tree_1!MC_BV_C_call_option_T_call_slows</vt:lpstr>
      <vt:lpstr>MC_Tree_1!MC_BV_C_call_option_T_call_stumbles</vt:lpstr>
      <vt:lpstr>MC_Tree_1!MC_BV_C_debt_full_mm_T_full_mm_baddebt</vt:lpstr>
      <vt:lpstr>MC_Tree_1!MC_BV_C_debt_full_mm_T_full_mm_gooddebt</vt:lpstr>
      <vt:lpstr>MC_Tree_1!MC_BV_C_debt_full_ms_T_full_ms_gooddebt</vt:lpstr>
      <vt:lpstr>MC_Tree_1!MC_BV_C_debt_full_ms_T_full_ms_neutdebt</vt:lpstr>
      <vt:lpstr>MC_Tree_1!MC_BV_C_ipo_full_hh_T_ipo_full_hh_hot</vt:lpstr>
      <vt:lpstr>MC_Tree_1!MC_BV_C_ipo_full_hh_T_ipo_full_hh_norm</vt:lpstr>
      <vt:lpstr>MC_Tree_1!MC_BV_C_ipo_full_hh_T_ipo_full_hh_weak</vt:lpstr>
      <vt:lpstr>MC_Tree_1!MC_BV_C_ipo_full_hm_T_ipo_full_hm_hot</vt:lpstr>
      <vt:lpstr>MC_Tree_1!MC_BV_C_ipo_full_hm_T_ipo_full_hm_norm</vt:lpstr>
      <vt:lpstr>MC_Tree_1!MC_BV_C_ipo_full_hm_T_ipo_full_hm_weak</vt:lpstr>
      <vt:lpstr>MC_Tree_1!MC_BV_C_mgmt_under_T_mgmt_decline</vt:lpstr>
      <vt:lpstr>MC_Tree_1!MC_BV_C_mgmt_under_T_mgmt_default</vt:lpstr>
      <vt:lpstr>MC_Tree_1!MC_BV_C_mgmt_under_T_mgmt_stab</vt:lpstr>
      <vt:lpstr>MC_Tree_1!MC_BV_C_ops_full_C_rev_full_high</vt:lpstr>
      <vt:lpstr>MC_Tree_1!MC_BV_C_ops_full_C_rev_full_low</vt:lpstr>
      <vt:lpstr>MC_Tree_1!MC_BV_C_ops_full_C_rev_full_med</vt:lpstr>
      <vt:lpstr>MC_Tree_1!MC_BV_C_ops_mgmt_C_mgmt_under</vt:lpstr>
      <vt:lpstr>MC_Tree_1!MC_BV_C_ops_mgmt_D_exit_mgmt_good</vt:lpstr>
      <vt:lpstr>MC_Tree_1!MC_BV_C_ops_mgmt_D_exit_mgmt_mod</vt:lpstr>
      <vt:lpstr>MC_Tree_1!MC_BV_C_rev_full_high_D_exit_full_hh</vt:lpstr>
      <vt:lpstr>MC_Tree_1!MC_BV_C_rev_full_high_D_exit_full_hl</vt:lpstr>
      <vt:lpstr>MC_Tree_1!MC_BV_C_rev_full_high_D_exit_full_hm</vt:lpstr>
      <vt:lpstr>MC_Tree_1!MC_BV_C_rev_full_low_T_full_low_decline</vt:lpstr>
      <vt:lpstr>MC_Tree_1!MC_BV_C_rev_full_low_T_full_low_flat</vt:lpstr>
      <vt:lpstr>MC_Tree_1!MC_BV_C_rev_full_low_T_full_low_grow</vt:lpstr>
      <vt:lpstr>MC_Tree_1!MC_BV_C_rev_full_med_C_debt_full_mm</vt:lpstr>
      <vt:lpstr>MC_Tree_1!MC_BV_C_rev_full_med_C_debt_full_ms</vt:lpstr>
      <vt:lpstr>MC_Tree_1!MC_BV_C_rev_full_med_T_full_med_flat</vt:lpstr>
      <vt:lpstr>MC_Tree_1!MC_BV_C_revenue_growth_D_growth_high</vt:lpstr>
      <vt:lpstr>MC_Tree_1!MC_BV_C_revenue_growth_T_growth_mod</vt:lpstr>
      <vt:lpstr>MC_Tree_1!MC_BV_C_revenue_growth_T_growth_stag</vt:lpstr>
      <vt:lpstr>MC_Tree_1!MC_BV_D_exit_full_hh_C_ipo_full_hh</vt:lpstr>
      <vt:lpstr>MC_Tree_1!MC_BV_D_exit_full_hh_T_sec_full_hh</vt:lpstr>
      <vt:lpstr>MC_Tree_1!MC_BV_D_exit_full_hh_T_strat_full_hh</vt:lpstr>
      <vt:lpstr>MC_Tree_1!MC_BV_D_exit_full_hl_T_hold_full_hl</vt:lpstr>
      <vt:lpstr>MC_Tree_1!MC_BV_D_exit_full_hl_T_sec_full_hl</vt:lpstr>
      <vt:lpstr>MC_Tree_1!MC_BV_D_exit_full_hl_T_strat_full_hl</vt:lpstr>
      <vt:lpstr>MC_Tree_1!MC_BV_D_exit_full_hm_C_ipo_full_hm</vt:lpstr>
      <vt:lpstr>MC_Tree_1!MC_BV_D_exit_full_hm_T_sec_full_hm</vt:lpstr>
      <vt:lpstr>MC_Tree_1!MC_BV_D_exit_full_hm_T_strat_full_hm</vt:lpstr>
      <vt:lpstr>MC_Tree_1!MC_BV_D_exit_mgmt_good_T_mgmt_good_ipo</vt:lpstr>
      <vt:lpstr>MC_Tree_1!MC_BV_D_exit_mgmt_good_T_mgmt_good_sec</vt:lpstr>
      <vt:lpstr>MC_Tree_1!MC_BV_D_exit_mgmt_good_T_mgmt_good_strat</vt:lpstr>
      <vt:lpstr>MC_Tree_1!MC_BV_D_exit_mgmt_mod_T_mgmt_mod_recap</vt:lpstr>
      <vt:lpstr>MC_Tree_1!MC_BV_D_exit_mgmt_mod_T_mgmt_mod_sec</vt:lpstr>
      <vt:lpstr>MC_Tree_1!MC_BV_D_exit_mgmt_mod_T_mgmt_mod_strat</vt:lpstr>
      <vt:lpstr>MC_Tree_1!MC_BV_D_growth_high_C_call_option</vt:lpstr>
      <vt:lpstr>MC_Tree_1!MC_BV_D_growth_high_T_sell_growth_high</vt:lpstr>
      <vt:lpstr>MC_Tree_1!MC_BV_D_root_C_ops_full</vt:lpstr>
      <vt:lpstr>MC_Tree_1!MC_BV_D_root_C_ops_mgmt</vt:lpstr>
      <vt:lpstr>MC_Tree_1!MC_BV_D_root_C_revenue_growth</vt:lpstr>
      <vt:lpstr>MC_Tree_1!MC_BV_D_root_T_pass</vt:lpstr>
      <vt:lpstr>MC_Tree_1!MC_N_C_call_option</vt:lpstr>
      <vt:lpstr>MC_Tree_1!MC_N_C_debt_full_mm</vt:lpstr>
      <vt:lpstr>MC_Tree_1!MC_N_C_debt_full_ms</vt:lpstr>
      <vt:lpstr>MC_Tree_1!MC_N_C_ipo_full_hh</vt:lpstr>
      <vt:lpstr>MC_Tree_1!MC_N_C_ipo_full_hm</vt:lpstr>
      <vt:lpstr>MC_Tree_1!MC_N_C_mgmt_under</vt:lpstr>
      <vt:lpstr>MC_Tree_1!MC_N_C_ops_full</vt:lpstr>
      <vt:lpstr>MC_Tree_1!MC_N_C_ops_mgmt</vt:lpstr>
      <vt:lpstr>MC_Tree_1!MC_N_C_rev_full_high</vt:lpstr>
      <vt:lpstr>MC_Tree_1!MC_N_C_rev_full_low</vt:lpstr>
      <vt:lpstr>MC_Tree_1!MC_N_C_rev_full_med</vt:lpstr>
      <vt:lpstr>MC_Tree_1!MC_N_C_revenue_growth</vt:lpstr>
      <vt:lpstr>MC_Tree_1!MC_N_D_exit_full_hh</vt:lpstr>
      <vt:lpstr>MC_Tree_1!MC_N_D_exit_full_hl</vt:lpstr>
      <vt:lpstr>MC_Tree_1!MC_N_D_exit_full_hm</vt:lpstr>
      <vt:lpstr>MC_Tree_1!MC_N_D_exit_mgmt_good</vt:lpstr>
      <vt:lpstr>MC_Tree_1!MC_N_D_exit_mgmt_mod</vt:lpstr>
      <vt:lpstr>MC_Tree_1!MC_N_D_growth_high</vt:lpstr>
      <vt:lpstr>MC_Tree_1!MC_N_D_root</vt:lpstr>
      <vt:lpstr>MC_Tree_1!MC_NP_T_call_grows</vt:lpstr>
      <vt:lpstr>MC_Tree_1!MC_NP_T_call_slows</vt:lpstr>
      <vt:lpstr>MC_Tree_1!MC_NP_T_call_stumbles</vt:lpstr>
      <vt:lpstr>MC_Tree_1!MC_NP_T_full_low_decline</vt:lpstr>
      <vt:lpstr>MC_Tree_1!MC_NP_T_full_low_flat</vt:lpstr>
      <vt:lpstr>MC_Tree_1!MC_NP_T_full_low_grow</vt:lpstr>
      <vt:lpstr>MC_Tree_1!MC_NP_T_full_med_flat</vt:lpstr>
      <vt:lpstr>MC_Tree_1!MC_NP_T_full_mm_baddebt</vt:lpstr>
      <vt:lpstr>MC_Tree_1!MC_NP_T_full_mm_gooddebt</vt:lpstr>
      <vt:lpstr>MC_Tree_1!MC_NP_T_full_ms_gooddebt</vt:lpstr>
      <vt:lpstr>MC_Tree_1!MC_NP_T_full_ms_neutdebt</vt:lpstr>
      <vt:lpstr>MC_Tree_1!MC_NP_T_growth_mod</vt:lpstr>
      <vt:lpstr>MC_Tree_1!MC_NP_T_growth_stag</vt:lpstr>
      <vt:lpstr>MC_Tree_1!MC_NP_T_hold_full_hl</vt:lpstr>
      <vt:lpstr>MC_Tree_1!MC_NP_T_ipo_full_hh_hot</vt:lpstr>
      <vt:lpstr>MC_Tree_1!MC_NP_T_ipo_full_hh_norm</vt:lpstr>
      <vt:lpstr>MC_Tree_1!MC_NP_T_ipo_full_hh_weak</vt:lpstr>
      <vt:lpstr>MC_Tree_1!MC_NP_T_ipo_full_hm_hot</vt:lpstr>
      <vt:lpstr>MC_Tree_1!MC_NP_T_ipo_full_hm_norm</vt:lpstr>
      <vt:lpstr>MC_Tree_1!MC_NP_T_ipo_full_hm_weak</vt:lpstr>
      <vt:lpstr>MC_Tree_1!MC_NP_T_mgmt_decline</vt:lpstr>
      <vt:lpstr>MC_Tree_1!MC_NP_T_mgmt_default</vt:lpstr>
      <vt:lpstr>MC_Tree_1!MC_NP_T_mgmt_good_ipo</vt:lpstr>
      <vt:lpstr>MC_Tree_1!MC_NP_T_mgmt_good_sec</vt:lpstr>
      <vt:lpstr>MC_Tree_1!MC_NP_T_mgmt_good_strat</vt:lpstr>
      <vt:lpstr>MC_Tree_1!MC_NP_T_mgmt_mod_recap</vt:lpstr>
      <vt:lpstr>MC_Tree_1!MC_NP_T_mgmt_mod_sec</vt:lpstr>
      <vt:lpstr>MC_Tree_1!MC_NP_T_mgmt_mod_strat</vt:lpstr>
      <vt:lpstr>MC_Tree_1!MC_NP_T_mgmt_stab</vt:lpstr>
      <vt:lpstr>MC_Tree_1!MC_NP_T_pass</vt:lpstr>
      <vt:lpstr>MC_Tree_1!MC_NP_T_sec_full_hh</vt:lpstr>
      <vt:lpstr>MC_Tree_1!MC_NP_T_sec_full_hl</vt:lpstr>
      <vt:lpstr>MC_Tree_1!MC_NP_T_sec_full_hm</vt:lpstr>
      <vt:lpstr>MC_Tree_1!MC_NP_T_sell_growth_high</vt:lpstr>
      <vt:lpstr>MC_Tree_1!MC_NP_T_strat_full_hh</vt:lpstr>
      <vt:lpstr>MC_Tree_1!MC_NP_T_strat_full_hl</vt:lpstr>
      <vt:lpstr>MC_Tree_1!MC_NP_T_strat_full_hm</vt:lpstr>
      <vt:lpstr>MC_Tree_1!MC_V_C_call_option</vt:lpstr>
      <vt:lpstr>MC_Tree_1!MC_V_C_debt_full_mm</vt:lpstr>
      <vt:lpstr>MC_Tree_1!MC_V_C_debt_full_ms</vt:lpstr>
      <vt:lpstr>MC_Tree_1!MC_V_C_ipo_full_hh</vt:lpstr>
      <vt:lpstr>MC_Tree_1!MC_V_C_ipo_full_hm</vt:lpstr>
      <vt:lpstr>MC_Tree_1!MC_V_C_mgmt_under</vt:lpstr>
      <vt:lpstr>MC_Tree_1!MC_V_C_ops_full</vt:lpstr>
      <vt:lpstr>MC_Tree_1!MC_V_C_ops_mgmt</vt:lpstr>
      <vt:lpstr>MC_Tree_1!MC_V_C_rev_full_high</vt:lpstr>
      <vt:lpstr>MC_Tree_1!MC_V_C_rev_full_low</vt:lpstr>
      <vt:lpstr>MC_Tree_1!MC_V_C_rev_full_med</vt:lpstr>
      <vt:lpstr>MC_Tree_1!MC_V_C_revenue_growth</vt:lpstr>
      <vt:lpstr>MC_Tree_1!MC_V_D_exit_full_hh</vt:lpstr>
      <vt:lpstr>MC_Tree_1!MC_V_D_exit_full_hl</vt:lpstr>
      <vt:lpstr>MC_Tree_1!MC_V_D_exit_full_hm</vt:lpstr>
      <vt:lpstr>MC_Tree_1!MC_V_D_exit_mgmt_good</vt:lpstr>
      <vt:lpstr>MC_Tree_1!MC_V_D_exit_mgmt_mod</vt:lpstr>
      <vt:lpstr>MC_Tree_1!MC_V_D_growth_high</vt:lpstr>
      <vt:lpstr>MC_Tree_1!MC_V_D_root</vt:lpstr>
      <vt:lpstr>MC_Tree_1!MC_V_T_call_grows</vt:lpstr>
      <vt:lpstr>MC_Tree_1!MC_V_T_call_slows</vt:lpstr>
      <vt:lpstr>MC_Tree_1!MC_V_T_call_stumbles</vt:lpstr>
      <vt:lpstr>MC_Tree_1!MC_V_T_full_low_decline</vt:lpstr>
      <vt:lpstr>MC_Tree_1!MC_V_T_full_low_flat</vt:lpstr>
      <vt:lpstr>MC_Tree_1!MC_V_T_full_low_grow</vt:lpstr>
      <vt:lpstr>MC_Tree_1!MC_V_T_full_med_flat</vt:lpstr>
      <vt:lpstr>MC_Tree_1!MC_V_T_full_mm_baddebt</vt:lpstr>
      <vt:lpstr>MC_Tree_1!MC_V_T_full_mm_gooddebt</vt:lpstr>
      <vt:lpstr>MC_Tree_1!MC_V_T_full_ms_gooddebt</vt:lpstr>
      <vt:lpstr>MC_Tree_1!MC_V_T_full_ms_neutdebt</vt:lpstr>
      <vt:lpstr>MC_Tree_1!MC_V_T_growth_mod</vt:lpstr>
      <vt:lpstr>MC_Tree_1!MC_V_T_growth_stag</vt:lpstr>
      <vt:lpstr>MC_Tree_1!MC_V_T_hold_full_hl</vt:lpstr>
      <vt:lpstr>MC_Tree_1!MC_V_T_ipo_full_hh_hot</vt:lpstr>
      <vt:lpstr>MC_Tree_1!MC_V_T_ipo_full_hh_norm</vt:lpstr>
      <vt:lpstr>MC_Tree_1!MC_V_T_ipo_full_hh_weak</vt:lpstr>
      <vt:lpstr>MC_Tree_1!MC_V_T_ipo_full_hm_hot</vt:lpstr>
      <vt:lpstr>MC_Tree_1!MC_V_T_ipo_full_hm_norm</vt:lpstr>
      <vt:lpstr>MC_Tree_1!MC_V_T_ipo_full_hm_weak</vt:lpstr>
      <vt:lpstr>MC_Tree_1!MC_V_T_mgmt_decline</vt:lpstr>
      <vt:lpstr>MC_Tree_1!MC_V_T_mgmt_default</vt:lpstr>
      <vt:lpstr>MC_Tree_1!MC_V_T_mgmt_good_ipo</vt:lpstr>
      <vt:lpstr>MC_Tree_1!MC_V_T_mgmt_good_sec</vt:lpstr>
      <vt:lpstr>MC_Tree_1!MC_V_T_mgmt_good_strat</vt:lpstr>
      <vt:lpstr>MC_Tree_1!MC_V_T_mgmt_mod_recap</vt:lpstr>
      <vt:lpstr>MC_Tree_1!MC_V_T_mgmt_mod_sec</vt:lpstr>
      <vt:lpstr>MC_Tree_1!MC_V_T_mgmt_mod_strat</vt:lpstr>
      <vt:lpstr>MC_Tree_1!MC_V_T_mgmt_stab</vt:lpstr>
      <vt:lpstr>MC_Tree_1!MC_V_T_pass</vt:lpstr>
      <vt:lpstr>MC_Tree_1!MC_V_T_sec_full_hh</vt:lpstr>
      <vt:lpstr>MC_Tree_1!MC_V_T_sec_full_hl</vt:lpstr>
      <vt:lpstr>MC_Tree_1!MC_V_T_sec_full_hm</vt:lpstr>
      <vt:lpstr>MC_Tree_1!MC_V_T_sell_growth_high</vt:lpstr>
      <vt:lpstr>MC_Tree_1!MC_V_T_strat_full_hh</vt:lpstr>
      <vt:lpstr>MC_Tree_1!MC_V_T_strat_full_hl</vt:lpstr>
      <vt:lpstr>MC_Tree_1!MC_V_T_strat_full_hm</vt:lpstr>
      <vt:lpstr>SecondaryBuyoutValue</vt:lpstr>
      <vt:lpstr>SecondaryBuyoutValue2</vt:lpstr>
      <vt:lpstr>SecondaryBuyoutValue3</vt:lpstr>
      <vt:lpstr>SecondaryBuyoutValue4</vt:lpstr>
      <vt:lpstr>SecondaryBuyoutValue5</vt:lpstr>
      <vt:lpstr>SellStakeAtPremiumValue</vt:lpstr>
      <vt:lpstr>StrategicSale</vt:lpstr>
      <vt:lpstr>StrategicSale2</vt:lpstr>
      <vt:lpstr>StrategicSale3</vt:lpstr>
      <vt:lpstr>StrategicSale4</vt:lpstr>
      <vt:lpstr>StrategicSale5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2026-03-27T14:35:09Z</dcterms:created>
  <dcterms:modified xsi:type="dcterms:W3CDTF">2026-03-27T14:35:27Z</dcterms:modified>
</cp:coreProperties>
</file>