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Pharmaceuticals and biotech\"/>
    </mc:Choice>
  </mc:AlternateContent>
  <xr:revisionPtr revIDLastSave="0" documentId="8_{425C37EA-A5CE-4572-8321-8AF24E2C0FD0}"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jects" sheetId="3" r:id="rId3"/>
    <sheet name="Decisions" sheetId="4" r:id="rId4"/>
    <sheet name="Pipeline" sheetId="5" r:id="rId5"/>
    <sheet name="Spend" sheetId="6" r:id="rId6"/>
    <sheet name="Results" sheetId="7" r:id="rId7"/>
    <sheet name="ModelRiskOptimizer" sheetId="8" state="veryHidden" r:id="rId8"/>
    <sheet name="ModelRiskDSN" sheetId="10" state="hidden" r:id="rId9"/>
    <sheet name="ModelRiskSYS1" sheetId="11" state="hidden" r:id="rId10"/>
    <sheet name="ModelRiskCharts" sheetId="12" state="hidden" r:id="rId11"/>
  </sheets>
  <definedNames>
    <definedName name="Both_BH">Spend!$D$86</definedName>
    <definedName name="Both_CD">Spend!$D$87</definedName>
    <definedName name="Both_EF">Spend!$D$88</definedName>
    <definedName name="Budget">Inputs!$D$10</definedName>
    <definedName name="BudgetRisk">Inputs!$D$18</definedName>
    <definedName name="BudgetYears">Inputs!$D$11</definedName>
    <definedName name="Checks">Spend!$D$92:$D$95</definedName>
    <definedName name="CpyPh">Projects!$E$10:$I$10</definedName>
    <definedName name="Disc">Inputs!$D$13</definedName>
    <definedName name="DurPh">Projects!$E$9:$I$9</definedName>
    <definedName name="Fund_A">Decisions!$D$11</definedName>
    <definedName name="Fund_A_Start">Decisions!$E$11</definedName>
    <definedName name="Fund_B">Decisions!$D$12</definedName>
    <definedName name="Fund_B_Start">Decisions!$E$12</definedName>
    <definedName name="Fund_C">Decisions!$D$13</definedName>
    <definedName name="Fund_C_Start">Decisions!$E$13</definedName>
    <definedName name="Fund_D">Decisions!$D$14</definedName>
    <definedName name="Fund_D_Start">Decisions!$E$14</definedName>
    <definedName name="Fund_E">Decisions!$D$15</definedName>
    <definedName name="Fund_E_Start">Decisions!$E$15</definedName>
    <definedName name="Fund_F">Decisions!$D$16</definedName>
    <definedName name="Fund_F_Start">Decisions!$E$16</definedName>
    <definedName name="Fund_G">Decisions!$D$17</definedName>
    <definedName name="Fund_G_Start">Decisions!$E$17</definedName>
    <definedName name="Fund_H">Decisions!$D$18</definedName>
    <definedName name="Fund_H_Start">Decisions!$E$18</definedName>
    <definedName name="FundPlan">Decisions!$D$11:$D$18</definedName>
    <definedName name="FundStart">Decisions!$E$11:$E$18</definedName>
    <definedName name="Launched_A">Pipeline!$K$20</definedName>
    <definedName name="Launched_B">Pipeline!$K$21</definedName>
    <definedName name="Launched_C">Pipeline!$K$22</definedName>
    <definedName name="Launched_D">Pipeline!$K$23</definedName>
    <definedName name="Launched_E">Pipeline!$K$24</definedName>
    <definedName name="Launched_F">Pipeline!$K$25</definedName>
    <definedName name="Launched_G">Pipeline!$K$26</definedName>
    <definedName name="Launched_H">Pipeline!$K$27</definedName>
    <definedName name="LaunchedCol">Pipeline!$K$20:$K$27</definedName>
    <definedName name="LaunchT_A">Pipeline!$K$34</definedName>
    <definedName name="LaunchT_B">Pipeline!$K$35</definedName>
    <definedName name="LaunchT_C">Pipeline!$K$36</definedName>
    <definedName name="LaunchT_D">Pipeline!$K$37</definedName>
    <definedName name="LaunchT_E">Pipeline!$K$38</definedName>
    <definedName name="LaunchT_F">Pipeline!$K$39</definedName>
    <definedName name="LaunchT_G">Pipeline!$K$40</definedName>
    <definedName name="LaunchT_H">Pipeline!$K$41</definedName>
    <definedName name="M0_c0_cell" hidden="1">Spend!$D$57</definedName>
    <definedName name="M0_c0_rhsA" hidden="1">Inputs!$D$18</definedName>
    <definedName name="M0_c1_cell" hidden="1">Spend!$D$55</definedName>
    <definedName name="M0_c1_rhsA" hidden="1">Inputs!$D$19</definedName>
    <definedName name="M0_o0_cell" hidden="1">Spend!$D$51</definedName>
    <definedName name="M0_v0_cell" hidden="1">Decisions!$D$11</definedName>
    <definedName name="M0_v1_cell" hidden="1">Decisions!$D$12</definedName>
    <definedName name="M0_v2_cell" hidden="1">Decisions!$D$13</definedName>
    <definedName name="M0_v3_cell" hidden="1">Decisions!$D$14</definedName>
    <definedName name="M0_v4_cell" hidden="1">Decisions!$D$15</definedName>
    <definedName name="M0_v5_cell" hidden="1">Decisions!$D$16</definedName>
    <definedName name="M0_v6_cell" hidden="1">Decisions!$D$17</definedName>
    <definedName name="M0_v7_cell" hidden="1">Decisions!$D$18</definedName>
    <definedName name="NoLaunchRisk">Inputs!$D$19</definedName>
    <definedName name="NPV_A">Pipeline!$H$48</definedName>
    <definedName name="NPV_B">Pipeline!$H$49</definedName>
    <definedName name="NPV_C">Pipeline!$H$50</definedName>
    <definedName name="NPV_D">Pipeline!$H$51</definedName>
    <definedName name="NPV_E">Pipeline!$H$52</definedName>
    <definedName name="NPV_F">Pipeline!$H$53</definedName>
    <definedName name="NPV_G">Pipeline!$H$54</definedName>
    <definedName name="NPV_H">Pipeline!$H$55</definedName>
    <definedName name="NPVCol">Pipeline!$H$48:$H$55</definedName>
    <definedName name="OCost_A">Spend!$D$78</definedName>
    <definedName name="OCost_B">Spend!$D$79</definedName>
    <definedName name="OCost_C">Spend!$D$80</definedName>
    <definedName name="OCost_D">Spend!$D$81</definedName>
    <definedName name="OCost_E">Spend!$D$82</definedName>
    <definedName name="OCost_F">Spend!$D$83</definedName>
    <definedName name="OCost_G">Spend!$D$84</definedName>
    <definedName name="OCost_H">Spend!$D$85</definedName>
    <definedName name="OLaunch_A">Spend!$D$70</definedName>
    <definedName name="OLaunch_B">Spend!$D$71</definedName>
    <definedName name="OLaunch_C">Spend!$D$72</definedName>
    <definedName name="OLaunch_D">Spend!$D$73</definedName>
    <definedName name="OLaunch_E">Spend!$D$74</definedName>
    <definedName name="OLaunch_F">Spend!$D$75</definedName>
    <definedName name="OLaunch_G">Spend!$D$76</definedName>
    <definedName name="OLaunch_H">Spend!$D$77</definedName>
    <definedName name="ONPV_A">Spend!$D$62</definedName>
    <definedName name="ONPV_B">Spend!$D$63</definedName>
    <definedName name="ONPV_C">Spend!$D$64</definedName>
    <definedName name="ONPV_D">Spend!$D$65</definedName>
    <definedName name="ONPV_E">Spend!$D$66</definedName>
    <definedName name="ONPV_F">Spend!$D$67</definedName>
    <definedName name="ONPV_G">Spend!$D$68</definedName>
    <definedName name="ONPV_H">Spend!$D$69</definedName>
    <definedName name="OptRun_Best">Decisions!$D$36</definedName>
    <definedName name="OptRun_Date">Decisions!$D$29</definedName>
    <definedName name="OptRun_Engine">Decisions!$D$30</definedName>
    <definedName name="OptRun_Feasible">Decisions!$D$35</definedName>
    <definedName name="OptRun_Samples">Decisions!$D$32</definedName>
    <definedName name="OptRun_Seconds">Decisions!$D$33</definedName>
    <definedName name="OptRun_Stop">Decisions!$D$34</definedName>
    <definedName name="OptRun_Trials">Decisions!$D$31</definedName>
    <definedName name="Out_Cost_Plan">Spend!$D$61</definedName>
    <definedName name="Out_Cost_Start">Spend!$D$60</definedName>
    <definedName name="Out_Launch_Plan">Spend!$D$53</definedName>
    <definedName name="Out_Launch_Start">Spend!$D$52</definedName>
    <definedName name="Out_None_Plan">Spend!$D$55</definedName>
    <definedName name="Out_None_Start">Spend!$D$54</definedName>
    <definedName name="Out_NPV_Plan">Spend!$D$51</definedName>
    <definedName name="Out_NPV_Start">Spend!$D$50</definedName>
    <definedName name="Out_Over_Plan">Spend!$D$57</definedName>
    <definedName name="Out_Over_Start">Spend!$D$56</definedName>
    <definedName name="Out_Peak_Plan">Spend!$D$59</definedName>
    <definedName name="Out_Peak_Start">Spend!$D$58</definedName>
    <definedName name="Out_Spend_1">Spend!$F$37</definedName>
    <definedName name="Out_Spend_10">Spend!$O$37</definedName>
    <definedName name="Out_Spend_2">Spend!$G$37</definedName>
    <definedName name="Out_Spend_3">Spend!$H$37</definedName>
    <definedName name="Out_Spend_4">Spend!$I$37</definedName>
    <definedName name="Out_Spend_5">Spend!$J$37</definedName>
    <definedName name="Out_Spend_6">Spend!$K$37</definedName>
    <definedName name="Out_Spend_7">Spend!$L$37</definedName>
    <definedName name="Out_Spend_8">Spend!$M$37</definedName>
    <definedName name="Out_Spend_9">Spend!$N$37</definedName>
    <definedName name="_xlnm.Print_Area" localSheetId="6">Results!$A$1:$R$76</definedName>
    <definedName name="_xlnm.Print_Titles" localSheetId="3">Decisions!$1:$4</definedName>
    <definedName name="_xlnm.Print_Titles" localSheetId="1">Inputs!$1:$4</definedName>
    <definedName name="_xlnm.Print_Titles" localSheetId="6">Results!$1:$4</definedName>
    <definedName name="_xlnm.Print_Titles" localSheetId="5">Spend!$6:$7,Spend!$A:$D</definedName>
    <definedName name="PrjStage">Projects!$D$16:$D$23</definedName>
    <definedName name="PVCost_A">Pipeline!$G$48</definedName>
    <definedName name="PVCost_B">Pipeline!$G$49</definedName>
    <definedName name="PVCost_C">Pipeline!$G$50</definedName>
    <definedName name="PVCost_D">Pipeline!$G$51</definedName>
    <definedName name="PVCost_E">Pipeline!$G$52</definedName>
    <definedName name="PVCost_F">Pipeline!$G$53</definedName>
    <definedName name="PVCost_G">Pipeline!$G$54</definedName>
    <definedName name="PVCost_H">Pipeline!$G$55</definedName>
    <definedName name="PVCostCol">Pipeline!$G$48:$G$55</definedName>
    <definedName name="Rho">Inputs!$D$12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geIdx">Pipeline!$C$20:$C$27</definedName>
    <definedName name="Stop_A">Pipeline!$J$34</definedName>
    <definedName name="Stop_B">Pipeline!$J$35</definedName>
    <definedName name="Stop_C">Pipeline!$J$36</definedName>
    <definedName name="Stop_D">Pipeline!$J$37</definedName>
    <definedName name="Stop_E">Pipeline!$J$38</definedName>
    <definedName name="Stop_F">Pipeline!$J$39</definedName>
    <definedName name="Stop_G">Pipeline!$J$40</definedName>
    <definedName name="Stop_H">Pipeline!$J$41</definedName>
    <definedName name="U_B">Pipeline!$D$9</definedName>
    <definedName name="U_C">Pipeline!$D$11</definedName>
    <definedName name="U_D">Pipeline!$D$12</definedName>
    <definedName name="U_E">Pipeline!$D$13</definedName>
    <definedName name="U_F">Pipeline!$D$14</definedName>
    <definedName name="U_H">Pipeline!$D$10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3" i="7" l="1"/>
  <c r="G142" i="7"/>
  <c r="G141" i="7"/>
  <c r="G140" i="7"/>
  <c r="G139" i="7"/>
  <c r="G138" i="7"/>
  <c r="G137" i="7"/>
  <c r="G136" i="7"/>
  <c r="G135" i="7"/>
  <c r="G134" i="7"/>
  <c r="B134" i="7"/>
  <c r="H131" i="7"/>
  <c r="C131" i="7"/>
  <c r="H130" i="7"/>
  <c r="C130" i="7"/>
  <c r="H129" i="7"/>
  <c r="C129" i="7"/>
  <c r="H128" i="7"/>
  <c r="C128" i="7"/>
  <c r="H127" i="7"/>
  <c r="C127" i="7"/>
  <c r="H126" i="7"/>
  <c r="C126" i="7"/>
  <c r="H125" i="7"/>
  <c r="C125" i="7"/>
  <c r="H124" i="7"/>
  <c r="C124" i="7"/>
  <c r="H123" i="7"/>
  <c r="C123" i="7"/>
  <c r="H122" i="7"/>
  <c r="C122" i="7"/>
  <c r="H121" i="7"/>
  <c r="C121" i="7"/>
  <c r="H120" i="7"/>
  <c r="C120" i="7"/>
  <c r="H119" i="7"/>
  <c r="C119" i="7"/>
  <c r="H118" i="7"/>
  <c r="C118" i="7"/>
  <c r="H117" i="7"/>
  <c r="C117" i="7"/>
  <c r="H116" i="7"/>
  <c r="C116" i="7"/>
  <c r="H115" i="7"/>
  <c r="C115" i="7"/>
  <c r="H114" i="7"/>
  <c r="C114" i="7"/>
  <c r="H113" i="7"/>
  <c r="C113" i="7"/>
  <c r="H112" i="7"/>
  <c r="C112" i="7"/>
  <c r="H111" i="7"/>
  <c r="C111" i="7"/>
  <c r="H110" i="7"/>
  <c r="C110" i="7"/>
  <c r="H109" i="7"/>
  <c r="C109" i="7"/>
  <c r="H108" i="7"/>
  <c r="C108" i="7"/>
  <c r="H107" i="7"/>
  <c r="C107" i="7"/>
  <c r="H106" i="7"/>
  <c r="C106" i="7"/>
  <c r="H105" i="7"/>
  <c r="C105" i="7"/>
  <c r="H104" i="7"/>
  <c r="C104" i="7"/>
  <c r="H103" i="7"/>
  <c r="C103" i="7"/>
  <c r="H102" i="7"/>
  <c r="C102" i="7"/>
  <c r="H101" i="7"/>
  <c r="C101" i="7"/>
  <c r="H100" i="7"/>
  <c r="C100" i="7"/>
  <c r="H99" i="7"/>
  <c r="C99" i="7"/>
  <c r="H98" i="7"/>
  <c r="C98" i="7"/>
  <c r="H97" i="7"/>
  <c r="C97" i="7"/>
  <c r="H96" i="7"/>
  <c r="C96" i="7"/>
  <c r="H95" i="7"/>
  <c r="C95" i="7"/>
  <c r="H94" i="7"/>
  <c r="C94" i="7"/>
  <c r="H93" i="7"/>
  <c r="C93" i="7"/>
  <c r="H92" i="7"/>
  <c r="C92" i="7"/>
  <c r="H91" i="7"/>
  <c r="C91" i="7"/>
  <c r="H90" i="7"/>
  <c r="C90" i="7"/>
  <c r="H89" i="7"/>
  <c r="C89" i="7"/>
  <c r="H88" i="7"/>
  <c r="C88" i="7"/>
  <c r="H87" i="7"/>
  <c r="C87" i="7"/>
  <c r="H86" i="7"/>
  <c r="C86" i="7"/>
  <c r="H85" i="7"/>
  <c r="C85" i="7"/>
  <c r="H84" i="7"/>
  <c r="C84" i="7"/>
  <c r="H83" i="7"/>
  <c r="C83" i="7"/>
  <c r="H82" i="7"/>
  <c r="C82" i="7"/>
  <c r="C58" i="7"/>
  <c r="C57" i="7"/>
  <c r="C56" i="7"/>
  <c r="C55" i="7"/>
  <c r="C54" i="7"/>
  <c r="C53" i="7"/>
  <c r="C52" i="7"/>
  <c r="C51" i="7"/>
  <c r="B31" i="7"/>
  <c r="E30" i="7"/>
  <c r="D30" i="7"/>
  <c r="E29" i="7"/>
  <c r="D29" i="7"/>
  <c r="E22" i="7"/>
  <c r="F22" i="7" s="1"/>
  <c r="D22" i="7"/>
  <c r="E19" i="7"/>
  <c r="D19" i="7"/>
  <c r="C19" i="7"/>
  <c r="E18" i="7"/>
  <c r="D18" i="7"/>
  <c r="C18" i="7"/>
  <c r="E17" i="7"/>
  <c r="D17" i="7"/>
  <c r="F17" i="7" s="1"/>
  <c r="C17" i="7"/>
  <c r="E16" i="7"/>
  <c r="F16" i="7" s="1"/>
  <c r="D16" i="7"/>
  <c r="C16" i="7"/>
  <c r="E15" i="7"/>
  <c r="F15" i="7" s="1"/>
  <c r="D15" i="7"/>
  <c r="C15" i="7"/>
  <c r="E14" i="7"/>
  <c r="D14" i="7"/>
  <c r="C14" i="7"/>
  <c r="E13" i="7"/>
  <c r="D13" i="7"/>
  <c r="C13" i="7"/>
  <c r="E12" i="7"/>
  <c r="D12" i="7"/>
  <c r="C12" i="7"/>
  <c r="D95" i="6"/>
  <c r="D93" i="6"/>
  <c r="F38" i="6"/>
  <c r="F9" i="6"/>
  <c r="G6" i="6"/>
  <c r="G38" i="6" s="1"/>
  <c r="C27" i="5"/>
  <c r="C26" i="5"/>
  <c r="E40" i="5" s="1"/>
  <c r="F40" i="5" s="1"/>
  <c r="G40" i="5" s="1"/>
  <c r="H40" i="5" s="1"/>
  <c r="K40" i="5" s="1"/>
  <c r="C25" i="5"/>
  <c r="E39" i="5" s="1"/>
  <c r="F39" i="5" s="1"/>
  <c r="G39" i="5" s="1"/>
  <c r="H39" i="5" s="1"/>
  <c r="K39" i="5" s="1"/>
  <c r="D39" i="5"/>
  <c r="C24" i="5"/>
  <c r="D38" i="5"/>
  <c r="C23" i="5"/>
  <c r="D37" i="5" s="1"/>
  <c r="C22" i="5"/>
  <c r="E22" i="5" s="1" a="1"/>
  <c r="E22" i="5" s="1"/>
  <c r="C21" i="5"/>
  <c r="D21" i="5" s="1" a="1"/>
  <c r="D21" i="5" s="1"/>
  <c r="E35" i="5"/>
  <c r="C20" i="5"/>
  <c r="D34" i="5" s="1"/>
  <c r="D13" i="5" a="1"/>
  <c r="D13" i="5" s="1"/>
  <c r="D11" i="5" a="1"/>
  <c r="D11" i="5" s="1"/>
  <c r="D9" i="5" a="1"/>
  <c r="D9" i="5" s="1"/>
  <c r="G25" i="4"/>
  <c r="G24" i="4"/>
  <c r="D40" i="5"/>
  <c r="F18" i="7"/>
  <c r="E21" i="5" a="1"/>
  <c r="E21" i="5" s="1"/>
  <c r="F19" i="7"/>
  <c r="F14" i="7"/>
  <c r="E34" i="5"/>
  <c r="H6" i="6"/>
  <c r="B136" i="7" s="1"/>
  <c r="D24" i="5" a="1"/>
  <c r="D24" i="5" s="1"/>
  <c r="F13" i="7"/>
  <c r="F34" i="5"/>
  <c r="G34" i="5" s="1"/>
  <c r="H34" i="5" s="1"/>
  <c r="K34" i="5" s="1"/>
  <c r="F12" i="7"/>
  <c r="E26" i="5" a="1"/>
  <c r="E26" i="5" s="1"/>
  <c r="D35" i="5"/>
  <c r="F35" i="5"/>
  <c r="G35" i="5" s="1"/>
  <c r="H35" i="5" s="1"/>
  <c r="K35" i="5" s="1"/>
  <c r="D36" i="5"/>
  <c r="E36" i="5"/>
  <c r="F36" i="5" s="1"/>
  <c r="G36" i="5" s="1"/>
  <c r="B135" i="7"/>
  <c r="G26" i="5" a="1"/>
  <c r="E48" i="5" a="1"/>
  <c r="G20" i="5" a="1"/>
  <c r="E53" i="5" a="1"/>
  <c r="E50" i="5" a="1"/>
  <c r="E25" i="5" a="1"/>
  <c r="F24" i="5" a="1"/>
  <c r="H25" i="5" a="1"/>
  <c r="G22" i="5" a="1"/>
  <c r="F21" i="5" a="1"/>
  <c r="H21" i="5" a="1"/>
  <c r="H26" i="5" a="1"/>
  <c r="E51" i="5" a="1"/>
  <c r="D25" i="5" a="1"/>
  <c r="E49" i="5" a="1"/>
  <c r="G27" i="5" a="1"/>
  <c r="E27" i="5" a="1"/>
  <c r="E24" i="5" a="1"/>
  <c r="E55" i="5" a="1"/>
  <c r="H23" i="5" a="1"/>
  <c r="G23" i="5" a="1"/>
  <c r="E54" i="5" a="1"/>
  <c r="E52" i="5" a="1"/>
  <c r="H20" i="5" a="1"/>
  <c r="E23" i="5" a="1"/>
  <c r="G25" i="5" a="1"/>
  <c r="F22" i="5" a="1"/>
  <c r="F26" i="5" a="1"/>
  <c r="G21" i="5" a="1"/>
  <c r="D92" i="6" l="1"/>
  <c r="D23" i="5" a="1"/>
  <c r="D23" i="5" s="1"/>
  <c r="D26" i="5" a="1"/>
  <c r="D26" i="5" s="1"/>
  <c r="D20" i="5" a="1"/>
  <c r="D20" i="5" s="1"/>
  <c r="F20" i="5" a="1"/>
  <c r="F20" i="5" s="1"/>
  <c r="E20" i="5" a="1"/>
  <c r="E20" i="5" s="1"/>
  <c r="E37" i="5"/>
  <c r="F37" i="5" s="1"/>
  <c r="G37" i="5" s="1"/>
  <c r="H37" i="5" s="1"/>
  <c r="K37" i="5" s="1"/>
  <c r="G9" i="6"/>
  <c r="I6" i="6"/>
  <c r="B137" i="7" s="1"/>
  <c r="H9" i="6"/>
  <c r="H38" i="6"/>
  <c r="G21" i="5"/>
  <c r="F26" i="5"/>
  <c r="F22" i="5"/>
  <c r="G25" i="5"/>
  <c r="E23" i="5"/>
  <c r="H20" i="5"/>
  <c r="E52" i="5"/>
  <c r="E54" i="5"/>
  <c r="G23" i="5"/>
  <c r="H23" i="5"/>
  <c r="E55" i="5"/>
  <c r="E24" i="5"/>
  <c r="E27" i="5"/>
  <c r="G27" i="5"/>
  <c r="E49" i="5"/>
  <c r="D25" i="5"/>
  <c r="E51" i="5"/>
  <c r="H26" i="5"/>
  <c r="H21" i="5"/>
  <c r="F21" i="5"/>
  <c r="J21" i="5" s="1"/>
  <c r="G22" i="5"/>
  <c r="H25" i="5"/>
  <c r="F24" i="5"/>
  <c r="E25" i="5"/>
  <c r="E50" i="5"/>
  <c r="E53" i="5"/>
  <c r="G20" i="5"/>
  <c r="E48" i="5"/>
  <c r="G26" i="5"/>
  <c r="H36" i="5"/>
  <c r="K36" i="5" s="1"/>
  <c r="D22" i="5" a="1"/>
  <c r="D22" i="5" s="1"/>
  <c r="D10" i="5"/>
  <c r="E38" i="5"/>
  <c r="F38" i="5" s="1"/>
  <c r="G38" i="5" s="1"/>
  <c r="H38" i="5" s="1"/>
  <c r="K38" i="5" s="1"/>
  <c r="D41" i="5"/>
  <c r="E41" i="5" s="1"/>
  <c r="F41" i="5" s="1"/>
  <c r="G41" i="5" s="1"/>
  <c r="H41" i="5" s="1"/>
  <c r="K41" i="5" s="1"/>
  <c r="D12" i="5"/>
  <c r="D14" i="5"/>
  <c r="H24" i="5" a="1"/>
  <c r="H22" i="5" a="1"/>
  <c r="G24" i="5" a="1"/>
  <c r="F23" i="5" a="1"/>
  <c r="F25" i="5" a="1"/>
  <c r="F27" i="5" a="1"/>
  <c r="H27" i="5" a="1"/>
  <c r="D27" i="5" a="1"/>
  <c r="J20" i="5" l="1"/>
  <c r="J26" i="5"/>
  <c r="K26" i="5" s="1" a="1"/>
  <c r="K26" i="5" s="1"/>
  <c r="I38" i="6"/>
  <c r="J6" i="6"/>
  <c r="B138" i="7" s="1"/>
  <c r="I9" i="6"/>
  <c r="J22" i="5"/>
  <c r="K22" i="5" s="1" a="1"/>
  <c r="K22" i="5" s="1"/>
  <c r="D27" i="5"/>
  <c r="H27" i="5"/>
  <c r="F27" i="5"/>
  <c r="F25" i="5"/>
  <c r="J25" i="5" s="1"/>
  <c r="F23" i="5"/>
  <c r="J23" i="5" s="1"/>
  <c r="G24" i="5"/>
  <c r="H22" i="5"/>
  <c r="H24" i="5"/>
  <c r="K21" i="5" a="1"/>
  <c r="K21" i="5" s="1"/>
  <c r="J35" i="5" a="1"/>
  <c r="J35" i="5" s="1"/>
  <c r="I14" i="6" s="1"/>
  <c r="I26" i="6" s="1" a="1"/>
  <c r="I26" i="6" s="1"/>
  <c r="J34" i="5" a="1"/>
  <c r="J34" i="5" s="1"/>
  <c r="I13" i="6" s="1"/>
  <c r="I25" i="6" s="1" a="1"/>
  <c r="I25" i="6" s="1"/>
  <c r="K20" i="5" a="1"/>
  <c r="K20" i="5" s="1"/>
  <c r="J40" i="5" a="1"/>
  <c r="J40" i="5" s="1"/>
  <c r="I19" i="6" s="1"/>
  <c r="I31" i="6" s="1" a="1"/>
  <c r="I31" i="6" s="1"/>
  <c r="J24" i="5" l="1"/>
  <c r="J36" i="5" a="1"/>
  <c r="J36" i="5" s="1"/>
  <c r="I15" i="6" s="1"/>
  <c r="I27" i="6" s="1" a="1"/>
  <c r="I27" i="6" s="1"/>
  <c r="J27" i="5"/>
  <c r="J15" i="6"/>
  <c r="J27" i="6" s="1" a="1"/>
  <c r="J27" i="6" s="1"/>
  <c r="J9" i="6"/>
  <c r="J38" i="6"/>
  <c r="K6" i="6"/>
  <c r="B139" i="7" s="1"/>
  <c r="J13" i="6"/>
  <c r="J25" i="6" s="1" a="1"/>
  <c r="J25" i="6" s="1"/>
  <c r="J19" i="6"/>
  <c r="J31" i="6" s="1" a="1"/>
  <c r="J31" i="6" s="1"/>
  <c r="J14" i="6"/>
  <c r="J26" i="6" s="1" a="1"/>
  <c r="J26" i="6" s="1"/>
  <c r="D50" i="5"/>
  <c r="F50" i="5" s="1"/>
  <c r="D72" i="6" a="1"/>
  <c r="D72" i="6" s="1"/>
  <c r="D54" i="5"/>
  <c r="F54" i="5" s="1"/>
  <c r="D76" i="6" a="1"/>
  <c r="D76" i="6" s="1"/>
  <c r="G15" i="6"/>
  <c r="G27" i="6" s="1" a="1"/>
  <c r="G27" i="6" s="1"/>
  <c r="F15" i="6"/>
  <c r="F27" i="6" s="1" a="1"/>
  <c r="F27" i="6" s="1"/>
  <c r="D49" i="5"/>
  <c r="F49" i="5" s="1"/>
  <c r="D71" i="6" a="1"/>
  <c r="D71" i="6" s="1"/>
  <c r="F19" i="6"/>
  <c r="F31" i="6" s="1" a="1"/>
  <c r="F31" i="6" s="1"/>
  <c r="H19" i="6"/>
  <c r="H31" i="6" s="1" a="1"/>
  <c r="H31" i="6" s="1"/>
  <c r="G19" i="6"/>
  <c r="G31" i="6" s="1" a="1"/>
  <c r="G31" i="6" s="1"/>
  <c r="D48" i="5"/>
  <c r="F48" i="5" s="1"/>
  <c r="D70" i="6" a="1"/>
  <c r="D70" i="6" s="1"/>
  <c r="G13" i="6"/>
  <c r="G25" i="6" s="1" a="1"/>
  <c r="G25" i="6" s="1"/>
  <c r="F13" i="6"/>
  <c r="F25" i="6" s="1" a="1"/>
  <c r="F25" i="6" s="1"/>
  <c r="H13" i="6"/>
  <c r="H25" i="6" s="1" a="1"/>
  <c r="H25" i="6" s="1"/>
  <c r="G14" i="6"/>
  <c r="G26" i="6" s="1" a="1"/>
  <c r="G26" i="6" s="1"/>
  <c r="F14" i="6"/>
  <c r="F26" i="6" s="1" a="1"/>
  <c r="F26" i="6" s="1"/>
  <c r="H14" i="6"/>
  <c r="H26" i="6" s="1" a="1"/>
  <c r="H26" i="6" s="1"/>
  <c r="J38" i="5" a="1"/>
  <c r="J38" i="5" s="1"/>
  <c r="J17" i="6" s="1"/>
  <c r="J29" i="6" s="1" a="1"/>
  <c r="J29" i="6" s="1"/>
  <c r="K24" i="5" a="1"/>
  <c r="K24" i="5" s="1"/>
  <c r="J39" i="5" a="1"/>
  <c r="J39" i="5" s="1"/>
  <c r="J18" i="6" s="1"/>
  <c r="J30" i="6" s="1" a="1"/>
  <c r="J30" i="6" s="1"/>
  <c r="K25" i="5" a="1"/>
  <c r="K25" i="5" s="1"/>
  <c r="K23" i="5" a="1"/>
  <c r="K23" i="5" s="1"/>
  <c r="J37" i="5" a="1"/>
  <c r="J37" i="5" s="1"/>
  <c r="J16" i="6" s="1"/>
  <c r="J28" i="6" s="1" a="1"/>
  <c r="J28" i="6" s="1"/>
  <c r="K27" i="5" a="1"/>
  <c r="K27" i="5" s="1"/>
  <c r="D86" i="6" s="1" a="1"/>
  <c r="D86" i="6" s="1"/>
  <c r="J41" i="5" a="1"/>
  <c r="J41" i="5" s="1"/>
  <c r="D52" i="7" a="1"/>
  <c r="D53" i="7" a="1"/>
  <c r="D57" i="7" a="1"/>
  <c r="D51" i="7" a="1"/>
  <c r="C67" i="7" a="1"/>
  <c r="H15" i="6" l="1"/>
  <c r="H27" i="6" s="1" a="1"/>
  <c r="H27" i="6" s="1"/>
  <c r="D53" i="6" a="1"/>
  <c r="D53" i="6" s="1"/>
  <c r="D55" i="6" s="1" a="1"/>
  <c r="D55" i="6" s="1"/>
  <c r="C67" i="7"/>
  <c r="D51" i="7"/>
  <c r="D57" i="7"/>
  <c r="D53" i="7"/>
  <c r="D52" i="7"/>
  <c r="D87" i="6" a="1"/>
  <c r="D87" i="6" s="1"/>
  <c r="D55" i="5"/>
  <c r="F55" i="5" s="1"/>
  <c r="D77" i="6" a="1"/>
  <c r="D77" i="6" s="1"/>
  <c r="D52" i="6" a="1"/>
  <c r="D52" i="6" s="1"/>
  <c r="L6" i="6"/>
  <c r="B140" i="7" s="1"/>
  <c r="K18" i="6"/>
  <c r="K30" i="6" s="1" a="1"/>
  <c r="K30" i="6" s="1"/>
  <c r="K15" i="6"/>
  <c r="K27" i="6" s="1" a="1"/>
  <c r="K27" i="6" s="1"/>
  <c r="K13" i="6"/>
  <c r="K25" i="6" s="1" a="1"/>
  <c r="K25" i="6" s="1"/>
  <c r="K43" i="6"/>
  <c r="K45" i="6" s="1"/>
  <c r="K17" i="6"/>
  <c r="K29" i="6" s="1" a="1"/>
  <c r="K29" i="6" s="1"/>
  <c r="K9" i="6"/>
  <c r="K14" i="6"/>
  <c r="K26" i="6" s="1" a="1"/>
  <c r="K26" i="6" s="1"/>
  <c r="K42" i="6"/>
  <c r="K44" i="6" s="1"/>
  <c r="K16" i="6"/>
  <c r="K28" i="6" s="1" a="1"/>
  <c r="K28" i="6" s="1"/>
  <c r="K20" i="6"/>
  <c r="K32" i="6" s="1" a="1"/>
  <c r="K32" i="6" s="1"/>
  <c r="K19" i="6"/>
  <c r="K31" i="6" s="1" a="1"/>
  <c r="K31" i="6" s="1"/>
  <c r="K38" i="6"/>
  <c r="F20" i="6"/>
  <c r="F32" i="6" s="1" a="1"/>
  <c r="F32" i="6" s="1"/>
  <c r="H20" i="6"/>
  <c r="H32" i="6" s="1" a="1"/>
  <c r="H32" i="6" s="1"/>
  <c r="G20" i="6"/>
  <c r="G32" i="6" s="1" a="1"/>
  <c r="G32" i="6" s="1"/>
  <c r="I20" i="6"/>
  <c r="I32" i="6" s="1" a="1"/>
  <c r="I32" i="6" s="1"/>
  <c r="F16" i="6"/>
  <c r="F28" i="6" s="1" a="1"/>
  <c r="F28" i="6" s="1"/>
  <c r="H16" i="6"/>
  <c r="H28" i="6" s="1" a="1"/>
  <c r="H28" i="6" s="1"/>
  <c r="G16" i="6"/>
  <c r="G28" i="6" s="1" a="1"/>
  <c r="G28" i="6" s="1"/>
  <c r="I16" i="6"/>
  <c r="I28" i="6" s="1" a="1"/>
  <c r="I28" i="6" s="1"/>
  <c r="D51" i="5"/>
  <c r="F51" i="5" s="1"/>
  <c r="D73" i="6" a="1"/>
  <c r="D73" i="6" s="1"/>
  <c r="G18" i="6"/>
  <c r="G30" i="6" s="1" a="1"/>
  <c r="G30" i="6" s="1"/>
  <c r="H18" i="6"/>
  <c r="H30" i="6" s="1" a="1"/>
  <c r="H30" i="6" s="1"/>
  <c r="F18" i="6"/>
  <c r="F30" i="6" s="1" a="1"/>
  <c r="F30" i="6" s="1"/>
  <c r="I18" i="6"/>
  <c r="I30" i="6" s="1" a="1"/>
  <c r="I30" i="6" s="1"/>
  <c r="F17" i="6"/>
  <c r="F29" i="6" s="1" a="1"/>
  <c r="F29" i="6" s="1"/>
  <c r="G17" i="6"/>
  <c r="G29" i="6" s="1" a="1"/>
  <c r="G29" i="6" s="1"/>
  <c r="H17" i="6"/>
  <c r="H29" i="6" s="1" a="1"/>
  <c r="H29" i="6" s="1"/>
  <c r="I17" i="6"/>
  <c r="I29" i="6" s="1" a="1"/>
  <c r="I29" i="6" s="1"/>
  <c r="D53" i="5"/>
  <c r="F53" i="5" s="1"/>
  <c r="D75" i="6" a="1"/>
  <c r="D75" i="6" s="1"/>
  <c r="D52" i="5"/>
  <c r="F52" i="5" s="1"/>
  <c r="D74" i="6" a="1"/>
  <c r="D74" i="6" s="1"/>
  <c r="D88" i="6" a="1"/>
  <c r="D88" i="6" s="1"/>
  <c r="J20" i="6"/>
  <c r="J32" i="6" s="1" a="1"/>
  <c r="J32" i="6" s="1"/>
  <c r="J36" i="6" s="1"/>
  <c r="J42" i="6" s="1"/>
  <c r="J44" i="6" s="1"/>
  <c r="E25" i="7" a="1"/>
  <c r="C68" i="7" a="1"/>
  <c r="D58" i="7" a="1"/>
  <c r="D54" i="7" a="1"/>
  <c r="D25" i="7" a="1"/>
  <c r="D56" i="7" a="1"/>
  <c r="C69" i="7" a="1"/>
  <c r="E26" i="7" a="1"/>
  <c r="D55" i="7" a="1"/>
  <c r="H37" i="6" l="1" a="1"/>
  <c r="H37" i="6" s="1"/>
  <c r="H43" i="6" s="1"/>
  <c r="H45" i="6" s="1"/>
  <c r="E25" i="7"/>
  <c r="G36" i="6"/>
  <c r="G42" i="6" s="1"/>
  <c r="G44" i="6" s="1"/>
  <c r="D55" i="7"/>
  <c r="E26" i="7"/>
  <c r="C69" i="7"/>
  <c r="D56" i="7"/>
  <c r="D25" i="7"/>
  <c r="F25" i="7" s="1"/>
  <c r="G25" i="7" s="1"/>
  <c r="D54" i="7"/>
  <c r="D68" i="7" s="1"/>
  <c r="D58" i="7"/>
  <c r="D67" i="7" s="1"/>
  <c r="E67" i="7" s="1"/>
  <c r="C68" i="7"/>
  <c r="D54" i="6" a="1"/>
  <c r="D54" i="6" s="1"/>
  <c r="J37" i="6" a="1"/>
  <c r="J37" i="6" s="1"/>
  <c r="L16" i="6"/>
  <c r="L28" i="6" s="1" a="1"/>
  <c r="L28" i="6" s="1"/>
  <c r="L14" i="6"/>
  <c r="L26" i="6" s="1" a="1"/>
  <c r="L26" i="6" s="1"/>
  <c r="L42" i="6"/>
  <c r="L44" i="6" s="1"/>
  <c r="L20" i="6"/>
  <c r="L32" i="6" s="1" a="1"/>
  <c r="L32" i="6" s="1"/>
  <c r="L18" i="6"/>
  <c r="L30" i="6" s="1" a="1"/>
  <c r="L30" i="6" s="1"/>
  <c r="L9" i="6"/>
  <c r="L19" i="6"/>
  <c r="L31" i="6" s="1" a="1"/>
  <c r="L31" i="6" s="1"/>
  <c r="L17" i="6"/>
  <c r="L29" i="6" s="1" a="1"/>
  <c r="L29" i="6" s="1"/>
  <c r="L38" i="6"/>
  <c r="L13" i="6"/>
  <c r="L25" i="6" s="1" a="1"/>
  <c r="L25" i="6" s="1"/>
  <c r="L15" i="6"/>
  <c r="L27" i="6" s="1" a="1"/>
  <c r="L27" i="6" s="1"/>
  <c r="L43" i="6"/>
  <c r="L45" i="6" s="1"/>
  <c r="M6" i="6"/>
  <c r="B141" i="7" s="1"/>
  <c r="H36" i="6"/>
  <c r="H42" i="6" s="1"/>
  <c r="H44" i="6" s="1"/>
  <c r="K37" i="6" a="1"/>
  <c r="K37" i="6" s="1"/>
  <c r="K36" i="6"/>
  <c r="G37" i="6" a="1"/>
  <c r="G37" i="6" s="1"/>
  <c r="F36" i="6"/>
  <c r="F37" i="6" a="1"/>
  <c r="F37" i="6" s="1"/>
  <c r="I36" i="6"/>
  <c r="I42" i="6" s="1"/>
  <c r="I44" i="6" s="1"/>
  <c r="I37" i="6" a="1"/>
  <c r="I37" i="6" s="1"/>
  <c r="C136" i="7" a="1"/>
  <c r="F136" i="7" a="1"/>
  <c r="E136" i="7" a="1"/>
  <c r="D136" i="7" a="1"/>
  <c r="D26" i="7" a="1"/>
  <c r="D137" i="7" a="1"/>
  <c r="C137" i="7" a="1"/>
  <c r="F137" i="7" a="1"/>
  <c r="E137" i="7" a="1"/>
  <c r="D138" i="7" a="1"/>
  <c r="F138" i="7" a="1"/>
  <c r="E138" i="7" a="1"/>
  <c r="C138" i="7" a="1"/>
  <c r="C139" i="7" a="1"/>
  <c r="D139" i="7" a="1"/>
  <c r="E139" i="7" a="1"/>
  <c r="F139" i="7" a="1"/>
  <c r="C135" i="7" a="1"/>
  <c r="D135" i="7" a="1"/>
  <c r="E135" i="7" a="1"/>
  <c r="F135" i="7" a="1"/>
  <c r="E134" i="7" a="1"/>
  <c r="C134" i="7" a="1"/>
  <c r="D134" i="7" a="1"/>
  <c r="F134" i="7" a="1"/>
  <c r="D136" i="7" l="1"/>
  <c r="E136" i="7"/>
  <c r="F136" i="7"/>
  <c r="C136" i="7"/>
  <c r="E68" i="7"/>
  <c r="F134" i="7"/>
  <c r="D134" i="7"/>
  <c r="C134" i="7"/>
  <c r="E134" i="7"/>
  <c r="F135" i="7"/>
  <c r="E135" i="7"/>
  <c r="D135" i="7"/>
  <c r="C135" i="7"/>
  <c r="F139" i="7"/>
  <c r="E139" i="7"/>
  <c r="D139" i="7"/>
  <c r="C139" i="7"/>
  <c r="C138" i="7"/>
  <c r="E138" i="7"/>
  <c r="F138" i="7"/>
  <c r="D138" i="7"/>
  <c r="E137" i="7"/>
  <c r="F137" i="7"/>
  <c r="C137" i="7"/>
  <c r="D137" i="7"/>
  <c r="D26" i="7"/>
  <c r="F26" i="7" s="1"/>
  <c r="G26" i="7" s="1"/>
  <c r="G43" i="6"/>
  <c r="G45" i="6" s="1"/>
  <c r="J43" i="6"/>
  <c r="J45" i="6" s="1"/>
  <c r="I43" i="6"/>
  <c r="I45" i="6" s="1"/>
  <c r="D69" i="7"/>
  <c r="E69" i="7" s="1"/>
  <c r="F42" i="6"/>
  <c r="M42" i="6"/>
  <c r="M44" i="6" s="1"/>
  <c r="M9" i="6"/>
  <c r="M17" i="6"/>
  <c r="M29" i="6" s="1" a="1"/>
  <c r="M29" i="6" s="1"/>
  <c r="M19" i="6"/>
  <c r="M31" i="6" s="1" a="1"/>
  <c r="M31" i="6" s="1"/>
  <c r="M15" i="6"/>
  <c r="M27" i="6" s="1" a="1"/>
  <c r="M27" i="6" s="1"/>
  <c r="N6" i="6"/>
  <c r="B142" i="7" s="1"/>
  <c r="M43" i="6"/>
  <c r="M45" i="6" s="1"/>
  <c r="M13" i="6"/>
  <c r="M25" i="6" s="1" a="1"/>
  <c r="M25" i="6" s="1"/>
  <c r="M38" i="6"/>
  <c r="M18" i="6"/>
  <c r="M30" i="6" s="1" a="1"/>
  <c r="M30" i="6" s="1"/>
  <c r="M20" i="6"/>
  <c r="M32" i="6" s="1" a="1"/>
  <c r="M32" i="6" s="1"/>
  <c r="M16" i="6"/>
  <c r="M28" i="6" s="1" a="1"/>
  <c r="M28" i="6" s="1"/>
  <c r="M14" i="6"/>
  <c r="M26" i="6" s="1" a="1"/>
  <c r="M26" i="6" s="1"/>
  <c r="L36" i="6"/>
  <c r="L37" i="6" a="1"/>
  <c r="L37" i="6" s="1"/>
  <c r="F43" i="6"/>
  <c r="E140" i="7" a="1"/>
  <c r="F140" i="7" a="1"/>
  <c r="D140" i="7" a="1"/>
  <c r="C140" i="7" a="1"/>
  <c r="C140" i="7" l="1"/>
  <c r="D140" i="7"/>
  <c r="F140" i="7"/>
  <c r="E140" i="7"/>
  <c r="N43" i="6"/>
  <c r="N45" i="6" s="1"/>
  <c r="N42" i="6"/>
  <c r="N44" i="6" s="1"/>
  <c r="N38" i="6"/>
  <c r="N15" i="6"/>
  <c r="N27" i="6" s="1" a="1"/>
  <c r="N27" i="6" s="1"/>
  <c r="N14" i="6"/>
  <c r="N26" i="6" s="1" a="1"/>
  <c r="N26" i="6" s="1"/>
  <c r="N13" i="6"/>
  <c r="N25" i="6" s="1" a="1"/>
  <c r="N25" i="6" s="1"/>
  <c r="N20" i="6"/>
  <c r="N32" i="6" s="1" a="1"/>
  <c r="N32" i="6" s="1"/>
  <c r="O6" i="6"/>
  <c r="B143" i="7" s="1"/>
  <c r="N17" i="6"/>
  <c r="N29" i="6" s="1" a="1"/>
  <c r="N29" i="6" s="1"/>
  <c r="N19" i="6"/>
  <c r="N31" i="6" s="1" a="1"/>
  <c r="N31" i="6" s="1"/>
  <c r="N18" i="6"/>
  <c r="N30" i="6" s="1" a="1"/>
  <c r="N30" i="6" s="1"/>
  <c r="N9" i="6"/>
  <c r="N16" i="6"/>
  <c r="N28" i="6" s="1" a="1"/>
  <c r="N28" i="6" s="1"/>
  <c r="F45" i="6"/>
  <c r="F44" i="6"/>
  <c r="M37" i="6" a="1"/>
  <c r="M37" i="6" s="1"/>
  <c r="M36" i="6"/>
  <c r="D141" i="7" a="1"/>
  <c r="E141" i="7" a="1"/>
  <c r="F141" i="7" a="1"/>
  <c r="C141" i="7" a="1"/>
  <c r="C141" i="7" l="1"/>
  <c r="F141" i="7"/>
  <c r="E141" i="7"/>
  <c r="D141" i="7"/>
  <c r="G51" i="5"/>
  <c r="O42" i="6"/>
  <c r="O43" i="6"/>
  <c r="O38" i="6"/>
  <c r="O18" i="6"/>
  <c r="O30" i="6" s="1" a="1"/>
  <c r="O30" i="6" s="1"/>
  <c r="O16" i="6"/>
  <c r="O28" i="6" s="1" a="1"/>
  <c r="O28" i="6" s="1"/>
  <c r="D28" i="6" s="1"/>
  <c r="O13" i="6"/>
  <c r="O25" i="6" s="1" a="1"/>
  <c r="O25" i="6" s="1"/>
  <c r="O17" i="6"/>
  <c r="O29" i="6" s="1" a="1"/>
  <c r="O29" i="6" s="1"/>
  <c r="O14" i="6"/>
  <c r="O26" i="6" s="1" a="1"/>
  <c r="O26" i="6" s="1"/>
  <c r="O19" i="6"/>
  <c r="O31" i="6" s="1" a="1"/>
  <c r="O31" i="6" s="1"/>
  <c r="G54" i="5" s="1"/>
  <c r="O20" i="6"/>
  <c r="O32" i="6" s="1" a="1"/>
  <c r="O32" i="6" s="1"/>
  <c r="D32" i="6" s="1"/>
  <c r="O15" i="6"/>
  <c r="O27" i="6" s="1" a="1"/>
  <c r="O27" i="6" s="1"/>
  <c r="D27" i="6" s="1"/>
  <c r="O9" i="6"/>
  <c r="N36" i="6"/>
  <c r="N37" i="6" a="1"/>
  <c r="N37" i="6" s="1"/>
  <c r="G48" i="5"/>
  <c r="D25" i="6"/>
  <c r="D94" i="6"/>
  <c r="B7" i="7" s="1"/>
  <c r="F142" i="7" a="1"/>
  <c r="C142" i="7" a="1"/>
  <c r="E142" i="7" a="1"/>
  <c r="D142" i="7" a="1"/>
  <c r="D142" i="7" l="1"/>
  <c r="E142" i="7"/>
  <c r="C142" i="7"/>
  <c r="F142" i="7"/>
  <c r="G50" i="5"/>
  <c r="H50" i="5" s="1"/>
  <c r="D64" i="6" s="1" a="1"/>
  <c r="D64" i="6" s="1"/>
  <c r="D84" i="6" a="1"/>
  <c r="D84" i="6" s="1"/>
  <c r="H54" i="5"/>
  <c r="D68" i="6" s="1" a="1"/>
  <c r="D68" i="6" s="1"/>
  <c r="O44" i="6"/>
  <c r="D44" i="6" s="1"/>
  <c r="D56" i="6" s="1" a="1"/>
  <c r="D56" i="6" s="1"/>
  <c r="D58" i="6" a="1"/>
  <c r="D58" i="6" s="1"/>
  <c r="D81" i="6" a="1"/>
  <c r="D81" i="6" s="1"/>
  <c r="H51" i="5"/>
  <c r="D65" i="6" s="1" a="1"/>
  <c r="D65" i="6" s="1"/>
  <c r="O45" i="6"/>
  <c r="D45" i="6" s="1"/>
  <c r="D57" i="6" s="1" a="1"/>
  <c r="D57" i="6" s="1"/>
  <c r="D59" i="6" a="1"/>
  <c r="D59" i="6" s="1"/>
  <c r="D78" i="6" a="1"/>
  <c r="D78" i="6" s="1"/>
  <c r="H48" i="5"/>
  <c r="D26" i="6"/>
  <c r="G49" i="5"/>
  <c r="G52" i="5"/>
  <c r="D29" i="6"/>
  <c r="D31" i="6"/>
  <c r="O37" i="6" a="1"/>
  <c r="O37" i="6" s="1"/>
  <c r="O36" i="6"/>
  <c r="D36" i="6" s="1"/>
  <c r="G55" i="5"/>
  <c r="D30" i="6"/>
  <c r="G53" i="5"/>
  <c r="F51" i="7" a="1"/>
  <c r="E27" i="7" a="1"/>
  <c r="D27" i="7" a="1"/>
  <c r="F130" i="7" a="1"/>
  <c r="F83" i="7" a="1"/>
  <c r="F109" i="7" a="1"/>
  <c r="F87" i="7" a="1"/>
  <c r="F113" i="7" a="1"/>
  <c r="F115" i="7" a="1"/>
  <c r="F92" i="7" a="1"/>
  <c r="F119" i="7" a="1"/>
  <c r="F96" i="7" a="1"/>
  <c r="F94" i="7" a="1"/>
  <c r="F124" i="7" a="1"/>
  <c r="F98" i="7" a="1"/>
  <c r="F128" i="7" a="1"/>
  <c r="F126" i="7" a="1"/>
  <c r="F91" i="7" a="1"/>
  <c r="F123" i="7" a="1"/>
  <c r="F102" i="7" a="1"/>
  <c r="F85" i="7" a="1"/>
  <c r="F117" i="7" a="1"/>
  <c r="F100" i="7" a="1"/>
  <c r="F95" i="7" a="1"/>
  <c r="F127" i="7" a="1"/>
  <c r="F106" i="7" a="1"/>
  <c r="F89" i="7" a="1"/>
  <c r="F121" i="7" a="1"/>
  <c r="F104" i="7" a="1"/>
  <c r="F99" i="7" a="1"/>
  <c r="F131" i="7" a="1"/>
  <c r="F110" i="7" a="1"/>
  <c r="F93" i="7" a="1"/>
  <c r="F125" i="7" a="1"/>
  <c r="F108" i="7" a="1"/>
  <c r="F103" i="7" a="1"/>
  <c r="F82" i="7" a="1"/>
  <c r="F114" i="7" a="1"/>
  <c r="F97" i="7" a="1"/>
  <c r="F129" i="7" a="1"/>
  <c r="F112" i="7" a="1"/>
  <c r="F107" i="7" a="1"/>
  <c r="F86" i="7" a="1"/>
  <c r="F118" i="7" a="1"/>
  <c r="F101" i="7" a="1"/>
  <c r="F84" i="7" a="1"/>
  <c r="F116" i="7" a="1"/>
  <c r="F111" i="7" a="1"/>
  <c r="F90" i="7" a="1"/>
  <c r="F122" i="7" a="1"/>
  <c r="F105" i="7" a="1"/>
  <c r="F88" i="7" a="1"/>
  <c r="F120" i="7" a="1"/>
  <c r="F57" i="7" a="1"/>
  <c r="F54" i="7" a="1"/>
  <c r="E57" i="7" a="1"/>
  <c r="E54" i="7" a="1"/>
  <c r="G117" i="7" a="1"/>
  <c r="G91" i="7" a="1"/>
  <c r="G89" i="7" a="1"/>
  <c r="G85" i="7" a="1"/>
  <c r="G102" i="7" a="1"/>
  <c r="G106" i="7" a="1"/>
  <c r="G104" i="7" a="1"/>
  <c r="G127" i="7" a="1"/>
  <c r="G100" i="7" a="1"/>
  <c r="G123" i="7" a="1"/>
  <c r="G121" i="7" a="1"/>
  <c r="G95" i="7" a="1"/>
  <c r="G128" i="7" a="1"/>
  <c r="G96" i="7" a="1"/>
  <c r="G113" i="7" a="1"/>
  <c r="G130" i="7" a="1"/>
  <c r="G98" i="7" a="1"/>
  <c r="G119" i="7" a="1"/>
  <c r="G87" i="7" a="1"/>
  <c r="G124" i="7" a="1"/>
  <c r="G92" i="7" a="1"/>
  <c r="G109" i="7" a="1"/>
  <c r="G126" i="7" a="1"/>
  <c r="G94" i="7" a="1"/>
  <c r="G115" i="7" a="1"/>
  <c r="G83" i="7" a="1"/>
  <c r="G120" i="7" a="1"/>
  <c r="G88" i="7" a="1"/>
  <c r="G105" i="7" a="1"/>
  <c r="G122" i="7" a="1"/>
  <c r="G90" i="7" a="1"/>
  <c r="G111" i="7" a="1"/>
  <c r="G116" i="7" a="1"/>
  <c r="G84" i="7" a="1"/>
  <c r="G101" i="7" a="1"/>
  <c r="G118" i="7" a="1"/>
  <c r="G86" i="7" a="1"/>
  <c r="G107" i="7" a="1"/>
  <c r="G112" i="7" a="1"/>
  <c r="G129" i="7" a="1"/>
  <c r="G97" i="7" a="1"/>
  <c r="G114" i="7" a="1"/>
  <c r="G82" i="7" a="1"/>
  <c r="G103" i="7" a="1"/>
  <c r="G108" i="7" a="1"/>
  <c r="G125" i="7" a="1"/>
  <c r="G93" i="7" a="1"/>
  <c r="G110" i="7" a="1"/>
  <c r="G131" i="7" a="1"/>
  <c r="G99" i="7" a="1"/>
  <c r="C143" i="7" a="1"/>
  <c r="D143" i="7" a="1"/>
  <c r="E143" i="7" a="1"/>
  <c r="F143" i="7" a="1"/>
  <c r="E53" i="7" a="1"/>
  <c r="D80" i="6" l="1" a="1"/>
  <c r="D80" i="6" s="1"/>
  <c r="D61" i="6" a="1"/>
  <c r="D61" i="6" s="1"/>
  <c r="E53" i="7"/>
  <c r="F143" i="7"/>
  <c r="E143" i="7"/>
  <c r="D143" i="7"/>
  <c r="C143" i="7"/>
  <c r="G99" i="7"/>
  <c r="G131" i="7"/>
  <c r="G110" i="7"/>
  <c r="G93" i="7"/>
  <c r="G125" i="7"/>
  <c r="G108" i="7"/>
  <c r="G103" i="7"/>
  <c r="G82" i="7"/>
  <c r="G114" i="7"/>
  <c r="G97" i="7"/>
  <c r="G129" i="7"/>
  <c r="G112" i="7"/>
  <c r="G107" i="7"/>
  <c r="G86" i="7"/>
  <c r="G118" i="7"/>
  <c r="G101" i="7"/>
  <c r="G84" i="7"/>
  <c r="G116" i="7"/>
  <c r="G111" i="7"/>
  <c r="G90" i="7"/>
  <c r="G122" i="7"/>
  <c r="G105" i="7"/>
  <c r="G88" i="7"/>
  <c r="G120" i="7"/>
  <c r="G83" i="7"/>
  <c r="G115" i="7"/>
  <c r="G94" i="7"/>
  <c r="G126" i="7"/>
  <c r="G109" i="7"/>
  <c r="G92" i="7"/>
  <c r="G124" i="7"/>
  <c r="G87" i="7"/>
  <c r="G119" i="7"/>
  <c r="G98" i="7"/>
  <c r="G130" i="7"/>
  <c r="G113" i="7"/>
  <c r="G96" i="7"/>
  <c r="G128" i="7"/>
  <c r="G95" i="7"/>
  <c r="G121" i="7"/>
  <c r="G123" i="7"/>
  <c r="G100" i="7"/>
  <c r="G127" i="7"/>
  <c r="G104" i="7"/>
  <c r="G106" i="7"/>
  <c r="G102" i="7"/>
  <c r="G85" i="7"/>
  <c r="G89" i="7"/>
  <c r="G91" i="7"/>
  <c r="G117" i="7"/>
  <c r="E54" i="7"/>
  <c r="E57" i="7"/>
  <c r="F54" i="7"/>
  <c r="F57" i="7"/>
  <c r="F120" i="7"/>
  <c r="F88" i="7"/>
  <c r="F105" i="7"/>
  <c r="F122" i="7"/>
  <c r="F90" i="7"/>
  <c r="F111" i="7"/>
  <c r="F116" i="7"/>
  <c r="F84" i="7"/>
  <c r="F101" i="7"/>
  <c r="F118" i="7"/>
  <c r="F86" i="7"/>
  <c r="F107" i="7"/>
  <c r="F112" i="7"/>
  <c r="F129" i="7"/>
  <c r="F97" i="7"/>
  <c r="F114" i="7"/>
  <c r="F82" i="7"/>
  <c r="F103" i="7"/>
  <c r="F108" i="7"/>
  <c r="F125" i="7"/>
  <c r="F93" i="7"/>
  <c r="F110" i="7"/>
  <c r="F131" i="7"/>
  <c r="F99" i="7"/>
  <c r="F104" i="7"/>
  <c r="F121" i="7"/>
  <c r="F89" i="7"/>
  <c r="F106" i="7"/>
  <c r="F127" i="7"/>
  <c r="F95" i="7"/>
  <c r="F100" i="7"/>
  <c r="F117" i="7"/>
  <c r="F85" i="7"/>
  <c r="F102" i="7"/>
  <c r="F123" i="7"/>
  <c r="F91" i="7"/>
  <c r="F126" i="7"/>
  <c r="F128" i="7"/>
  <c r="F98" i="7"/>
  <c r="F124" i="7"/>
  <c r="F94" i="7"/>
  <c r="F96" i="7"/>
  <c r="F119" i="7"/>
  <c r="F92" i="7"/>
  <c r="F115" i="7"/>
  <c r="F113" i="7"/>
  <c r="F87" i="7"/>
  <c r="F109" i="7"/>
  <c r="F83" i="7"/>
  <c r="F130" i="7"/>
  <c r="D27" i="7"/>
  <c r="E27" i="7"/>
  <c r="F51" i="7"/>
  <c r="D37" i="6"/>
  <c r="D85" i="6" a="1"/>
  <c r="D85" i="6" s="1"/>
  <c r="H55" i="5"/>
  <c r="D69" i="6" s="1" a="1"/>
  <c r="D69" i="6" s="1"/>
  <c r="D62" i="6" a="1"/>
  <c r="D62" i="6" s="1"/>
  <c r="D79" i="6" a="1"/>
  <c r="D79" i="6" s="1"/>
  <c r="H49" i="5"/>
  <c r="D63" i="6" s="1" a="1"/>
  <c r="D63" i="6" s="1"/>
  <c r="D83" i="6" a="1"/>
  <c r="D83" i="6" s="1"/>
  <c r="H53" i="5"/>
  <c r="D67" i="6" s="1" a="1"/>
  <c r="D67" i="6" s="1"/>
  <c r="D60" i="6" a="1"/>
  <c r="D60" i="6" s="1"/>
  <c r="D82" i="6" a="1"/>
  <c r="D82" i="6" s="1"/>
  <c r="H52" i="5"/>
  <c r="D66" i="6" s="1" a="1"/>
  <c r="D66" i="6" s="1"/>
  <c r="F53" i="7" a="1"/>
  <c r="E28" i="7" a="1"/>
  <c r="F52" i="7" a="1"/>
  <c r="E55" i="7" a="1"/>
  <c r="E52" i="7" a="1"/>
  <c r="F56" i="7" a="1"/>
  <c r="F58" i="7" a="1"/>
  <c r="F55" i="7" a="1"/>
  <c r="E51" i="7" a="1"/>
  <c r="E56" i="7" a="1"/>
  <c r="E58" i="7" a="1"/>
  <c r="D28" i="7" a="1"/>
  <c r="F53" i="7" l="1"/>
  <c r="G53" i="7" s="1"/>
  <c r="G54" i="7"/>
  <c r="E28" i="7"/>
  <c r="D28" i="7"/>
  <c r="E58" i="7"/>
  <c r="E56" i="7"/>
  <c r="E51" i="7"/>
  <c r="G51" i="7" s="1"/>
  <c r="F55" i="7"/>
  <c r="F58" i="7"/>
  <c r="F56" i="7"/>
  <c r="E52" i="7"/>
  <c r="E55" i="7"/>
  <c r="F52" i="7"/>
  <c r="D51" i="6" a="1"/>
  <c r="D51" i="6" s="1"/>
  <c r="D50" i="6" a="1"/>
  <c r="D50" i="6" s="1"/>
  <c r="F27" i="7"/>
  <c r="G27" i="7" s="1"/>
  <c r="G57" i="7"/>
  <c r="D89" i="7" a="1"/>
  <c r="D125" i="7" a="1"/>
  <c r="D112" i="7" a="1"/>
  <c r="D99" i="7" a="1"/>
  <c r="D90" i="7" a="1"/>
  <c r="D93" i="7" a="1"/>
  <c r="D129" i="7" a="1"/>
  <c r="D116" i="7" a="1"/>
  <c r="D103" i="7" a="1"/>
  <c r="D94" i="7" a="1"/>
  <c r="D120" i="7" a="1"/>
  <c r="D111" i="7" a="1"/>
  <c r="D106" i="7" a="1"/>
  <c r="D84" i="7" a="1"/>
  <c r="D128" i="7" a="1"/>
  <c r="D105" i="7" a="1"/>
  <c r="D114" i="7" a="1"/>
  <c r="D101" i="7" a="1"/>
  <c r="D88" i="7" a="1"/>
  <c r="D115" i="7" a="1"/>
  <c r="D110" i="7" a="1"/>
  <c r="D96" i="7" a="1"/>
  <c r="D83" i="7" a="1"/>
  <c r="D119" i="7" a="1"/>
  <c r="D113" i="7" a="1"/>
  <c r="D100" i="7" a="1"/>
  <c r="D87" i="7" a="1"/>
  <c r="D127" i="7" a="1"/>
  <c r="D97" i="7" a="1"/>
  <c r="D23" i="7" a="1"/>
  <c r="D117" i="7" a="1"/>
  <c r="D104" i="7" a="1"/>
  <c r="D91" i="7" a="1"/>
  <c r="D131" i="7" a="1"/>
  <c r="D85" i="7" a="1"/>
  <c r="D121" i="7" a="1"/>
  <c r="D108" i="7" a="1"/>
  <c r="D95" i="7" a="1"/>
  <c r="D82" i="7" a="1"/>
  <c r="D24" i="7" a="1"/>
  <c r="D109" i="7" a="1"/>
  <c r="D92" i="7" a="1"/>
  <c r="D124" i="7" a="1"/>
  <c r="D107" i="7" a="1"/>
  <c r="D86" i="7" a="1"/>
  <c r="D118" i="7" a="1"/>
  <c r="D122" i="7" a="1"/>
  <c r="D126" i="7" a="1"/>
  <c r="D98" i="7" a="1"/>
  <c r="D130" i="7" a="1"/>
  <c r="D123" i="7" a="1"/>
  <c r="D102" i="7" a="1"/>
  <c r="E100" i="7" a="1"/>
  <c r="E86" i="7" a="1"/>
  <c r="E122" i="7" a="1"/>
  <c r="E105" i="7" a="1"/>
  <c r="E92" i="7" a="1"/>
  <c r="E24" i="7" a="1"/>
  <c r="E115" i="7" a="1"/>
  <c r="E126" i="7" a="1"/>
  <c r="E90" i="7" a="1"/>
  <c r="E83" i="7" a="1"/>
  <c r="E94" i="7" a="1"/>
  <c r="E130" i="7" a="1"/>
  <c r="E87" i="7" a="1"/>
  <c r="E123" i="7" a="1"/>
  <c r="E98" i="7" a="1"/>
  <c r="E85" i="7" a="1"/>
  <c r="E121" i="7" a="1"/>
  <c r="E108" i="7" a="1"/>
  <c r="E127" i="7" a="1"/>
  <c r="E112" i="7" a="1"/>
  <c r="E91" i="7" a="1"/>
  <c r="E89" i="7" a="1"/>
  <c r="E125" i="7" a="1"/>
  <c r="E131" i="7" a="1"/>
  <c r="E110" i="7" a="1"/>
  <c r="E93" i="7" a="1"/>
  <c r="E129" i="7" a="1"/>
  <c r="E116" i="7" a="1"/>
  <c r="E99" i="7" a="1"/>
  <c r="B6" i="7" a="1"/>
  <c r="E119" i="7" a="1"/>
  <c r="E117" i="7" a="1"/>
  <c r="E104" i="7" a="1"/>
  <c r="E106" i="7" a="1"/>
  <c r="E95" i="7" a="1"/>
  <c r="E114" i="7" a="1"/>
  <c r="E97" i="7" a="1"/>
  <c r="E84" i="7" a="1"/>
  <c r="E120" i="7" a="1"/>
  <c r="E103" i="7" a="1"/>
  <c r="E109" i="7" a="1"/>
  <c r="E82" i="7" a="1"/>
  <c r="E118" i="7" a="1"/>
  <c r="E101" i="7" a="1"/>
  <c r="E88" i="7" a="1"/>
  <c r="E124" i="7" a="1"/>
  <c r="E111" i="7" a="1"/>
  <c r="E102" i="7" a="1"/>
  <c r="E23" i="7" a="1"/>
  <c r="E113" i="7" a="1"/>
  <c r="E96" i="7" a="1"/>
  <c r="E128" i="7" a="1"/>
  <c r="E107" i="7" a="1"/>
  <c r="F28" i="7" l="1"/>
  <c r="G28" i="7" s="1"/>
  <c r="G52" i="7"/>
  <c r="E107" i="7"/>
  <c r="E128" i="7"/>
  <c r="E96" i="7"/>
  <c r="E113" i="7"/>
  <c r="E23" i="7"/>
  <c r="E102" i="7"/>
  <c r="E111" i="7"/>
  <c r="E124" i="7"/>
  <c r="E88" i="7"/>
  <c r="E101" i="7"/>
  <c r="E118" i="7"/>
  <c r="E82" i="7"/>
  <c r="E109" i="7"/>
  <c r="E103" i="7"/>
  <c r="E120" i="7"/>
  <c r="E84" i="7"/>
  <c r="E97" i="7"/>
  <c r="E114" i="7"/>
  <c r="E95" i="7"/>
  <c r="E106" i="7"/>
  <c r="E104" i="7"/>
  <c r="E117" i="7"/>
  <c r="E119" i="7"/>
  <c r="B6" i="7"/>
  <c r="E99" i="7"/>
  <c r="E116" i="7"/>
  <c r="E129" i="7"/>
  <c r="E93" i="7"/>
  <c r="E110" i="7"/>
  <c r="E131" i="7"/>
  <c r="E125" i="7"/>
  <c r="E89" i="7"/>
  <c r="E91" i="7"/>
  <c r="E112" i="7"/>
  <c r="E127" i="7"/>
  <c r="E108" i="7"/>
  <c r="E121" i="7"/>
  <c r="E85" i="7"/>
  <c r="E98" i="7"/>
  <c r="E123" i="7"/>
  <c r="E87" i="7"/>
  <c r="E130" i="7"/>
  <c r="E94" i="7"/>
  <c r="E83" i="7"/>
  <c r="E90" i="7"/>
  <c r="E126" i="7"/>
  <c r="E115" i="7"/>
  <c r="E24" i="7"/>
  <c r="E92" i="7"/>
  <c r="E105" i="7"/>
  <c r="E122" i="7"/>
  <c r="E86" i="7"/>
  <c r="E100" i="7"/>
  <c r="D102" i="7"/>
  <c r="D123" i="7"/>
  <c r="D130" i="7"/>
  <c r="D98" i="7"/>
  <c r="D126" i="7"/>
  <c r="D122" i="7"/>
  <c r="D118" i="7"/>
  <c r="D86" i="7"/>
  <c r="D107" i="7"/>
  <c r="D124" i="7"/>
  <c r="D92" i="7"/>
  <c r="D109" i="7"/>
  <c r="D24" i="7"/>
  <c r="D82" i="7"/>
  <c r="D95" i="7"/>
  <c r="D108" i="7"/>
  <c r="D121" i="7"/>
  <c r="D85" i="7"/>
  <c r="D131" i="7"/>
  <c r="D91" i="7"/>
  <c r="D104" i="7"/>
  <c r="D117" i="7"/>
  <c r="D23" i="7"/>
  <c r="D97" i="7"/>
  <c r="D127" i="7"/>
  <c r="D87" i="7"/>
  <c r="D100" i="7"/>
  <c r="D113" i="7"/>
  <c r="D119" i="7"/>
  <c r="D83" i="7"/>
  <c r="D96" i="7"/>
  <c r="D110" i="7"/>
  <c r="D115" i="7"/>
  <c r="D88" i="7"/>
  <c r="D101" i="7"/>
  <c r="D114" i="7"/>
  <c r="D105" i="7"/>
  <c r="D128" i="7"/>
  <c r="D84" i="7"/>
  <c r="D106" i="7"/>
  <c r="D111" i="7"/>
  <c r="D120" i="7"/>
  <c r="D94" i="7"/>
  <c r="D103" i="7"/>
  <c r="D116" i="7"/>
  <c r="D129" i="7"/>
  <c r="D93" i="7"/>
  <c r="D90" i="7"/>
  <c r="D99" i="7"/>
  <c r="D112" i="7"/>
  <c r="D125" i="7"/>
  <c r="D89" i="7"/>
  <c r="G56" i="7"/>
  <c r="G58" i="7"/>
  <c r="G55" i="7"/>
  <c r="F23" i="7" l="1"/>
  <c r="G23" i="7" s="1"/>
  <c r="F24" i="7"/>
  <c r="G24"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<sst xmlns="http://schemas.openxmlformats.org/spreadsheetml/2006/main" count="624" uniqueCount="394">
  <si>
    <t>R&amp;D Portfolio Chosen by the Optimizer</t>
  </si>
  <si>
    <t>ModelRisk example  ·  Pharmaceuticals and biotech  ·  PH-09</t>
  </si>
  <si>
    <t>Which projects to fund for the most value, with limits on budget risk and on the chance of no launch?</t>
  </si>
  <si>
    <t>Next:  Inputs  ▸</t>
  </si>
  <si>
    <t>Model card</t>
  </si>
  <si>
    <t>Industry</t>
  </si>
  <si>
    <t>Pharmaceuticals and biotech</t>
  </si>
  <si>
    <t>Difficulty</t>
  </si>
  <si>
    <t>★★★★★   Eight projects with phase-by-phase attrition, spending year by year and correlated Phase II results; the portfolio chosen by the ModelRisk Optimizer from 256 combinations, for value, within limits on budget risk and on the chance of no launch.</t>
  </si>
  <si>
    <t>Business question</t>
  </si>
  <si>
    <t>A mid-sized pharma company has eight development projects and an R&amp;D budget of US$170 million a year. Three pairs share a biological mechanism, so their Phase II results tend to agree. Which projects should it fund to create the most value, with at most a one-in-four chance of breaking the budget and at most a one-in-four chance of no launch?</t>
  </si>
  <si>
    <t>Who it is for</t>
  </si>
  <si>
    <t>R&amp;D portfolio committees, heads of development and strategy, finance teams in pharma and biotech.</t>
  </si>
  <si>
    <t>Main outputs</t>
  </si>
  <si>
    <t>The Optimizer's portfolio against a starting plan (PH-04's one project per mechanism) · for both: NPV (mean and 1 in 10), expected launches, the chance of no launch, the chance of breaking the budget, spending in the busiest year and R&amp;D cost · for each project: chance of launch, mean NPV and value per dollar · spending against the budget.</t>
  </si>
  <si>
    <t>ModelRisk techniques</t>
  </si>
  <si>
    <t>The ModelRisk Optimizer: eight yes/no decisions, the mean NPV maximised, two probability constraints (budget risk and the chance of no launch) · phase-by-phase attrition (VoseBernoulli) · shared-mechanism correlation of Phase II results through bivariate Normal copulas (VoseCopulaBiNormal) · value at launch as a Lognormal from P10 and P90 (VoseLognormalAlt) · both portfolios on the same simulated outcomes.</t>
  </si>
  <si>
    <t>File</t>
  </si>
  <si>
    <t>PH-09 R&amp;D portfolio chosen by the Optimizer  ·  Version 1.0  ·  October 2026  ·  built with ModelRisk 10</t>
  </si>
  <si>
    <t>The business question</t>
  </si>
  <si>
    <t>A mid-sized pharma company has eight development projects, from preclinical work to a Phase III cancer drug. Each phase costs money and may fail, and three pairs share a mechanism, so their Phase II results tend to agree. PH-04 compared four portfolios: one project per mechanism kept most of the value but broke the US$170 million budget about one time in three. Here the ModelRisk Optimizer searches all 256 portfolios.</t>
  </si>
  <si>
    <t>How the model works</t>
  </si>
  <si>
    <t>Six sheets after this one, read from left to right. Each one feeds the next.</t>
  </si>
  <si>
    <t>1  Inputs</t>
  </si>
  <si>
    <t>The annual R&amp;D budget and its horizon, the correlation between the Phase II results of projects that share a mechanism, the discount rate, and the two limits: the budget risk and the no-launch risk accepted.</t>
  </si>
  <si>
    <t>2  Projects</t>
  </si>
  <si>
    <t>The duration and yearly cost of each phase; each project's current stage, chance of success in each phase and value at launch (P10 and P90).</t>
  </si>
  <si>
    <t>3  Decisions</t>
  </si>
  <si>
    <t>The eight cells the Optimizer changes — fund (1) or shelve (0) each project — beside the starting plan, with the goal (the highest mean NPV) and the limits (the chance of breaking the budget and the chance of no launch).</t>
  </si>
  <si>
    <t>4  Pipeline</t>
  </si>
  <si>
    <t>Three bivariate Normal copulas give correlated uniforms for the Phase II results of each pair; VoseBernoulli decides every remaining phase. The last phase each project works on, the launch year and the value at launch, discounted to today, follow.</t>
  </si>
  <si>
    <t>5  Spend</t>
  </si>
  <si>
    <t>The phase each project works on in each year gives its spending. Each plan adds up the projects it funds: its NPV, its launches, and whether it spends more than the budget in a year of the budget horizon.</t>
  </si>
  <si>
    <t>6  Results</t>
  </si>
  <si>
    <t>Both plans on the same simulated outcomes: NPV, launches, budget risk, spending in the busiest budget year and R&amp;D cost; each project's value per dollar; spending of the plan in use against the budget; the shared mechanisms.</t>
  </si>
  <si>
    <t>How to use it</t>
  </si>
  <si>
    <t>Step 1</t>
  </si>
  <si>
    <t>Enter your budget, correlation, discount rate and the two limits on the Inputs sheet, and your projects on the Projects sheet.</t>
  </si>
  <si>
    <t>Step 2</t>
  </si>
  <si>
    <t>On the ModelRisk ribbon, open the Optimizer: the task is saved in this workbook. Press Start. When it finishes, apply the best solution: the funding cells on the Decisions sheet change.</t>
  </si>
  <si>
    <t>Step 3</t>
  </si>
  <si>
    <t>Run a simulation from the ModelRisk ribbon (10,000 samples with a fixed seed are set) to compare the new portfolio with the starting plan on the Results sheet.</t>
  </si>
  <si>
    <t>Step 4</t>
  </si>
  <si>
    <t>To watch the search from the beginning, copy the starting plan onto the plan in use first.</t>
  </si>
  <si>
    <t>Workbook map</t>
  </si>
  <si>
    <t>Inputs</t>
  </si>
  <si>
    <t>Budget, correlation, discount rate, the two limits.</t>
  </si>
  <si>
    <t>Projects</t>
  </si>
  <si>
    <t>Phases and projects.</t>
  </si>
  <si>
    <t>Decisions</t>
  </si>
  <si>
    <t>The plan in use, the starting plan, the goal and limits, and the Optimizer's last run.</t>
  </si>
  <si>
    <t>Pipeline</t>
  </si>
  <si>
    <t>Correlated Phase II results, phase results, schedule, project values.</t>
  </si>
  <si>
    <t>Spend</t>
  </si>
  <si>
    <t>The phase under way, spending by project and by plan, the budget; outputs and checks.</t>
  </si>
  <si>
    <t>Results</t>
  </si>
  <si>
    <t>The plan in use against the starting plan; projects; spending; shared mechanisms.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</si>
  <si>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</si>
  <si>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</si>
  <si>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</si>
  <si>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</si>
  <si>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</si>
  <si>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</si>
  <si>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</si>
  <si>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</si>
  <si>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</si>
  <si>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</si>
  <si>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</si>
  <si>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</si>
  <si>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</si>
  <si>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</si>
  <si>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</si>
  <si>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costs discounted from the middle of each year, values from the launch year.</t>
  </si>
  <si>
    <t>Time</t>
  </si>
  <si>
    <t>Years from now; year 1 is the coming year.</t>
  </si>
  <si>
    <t>Value at launch</t>
  </si>
  <si>
    <t>The NPV, at launch, of the product's sales after all commercial costs.</t>
  </si>
  <si>
    <t>Breaking the budget</t>
  </si>
  <si>
    <t>A portfolio's spending exceeds the budget in at least one year of the budget horizon (five years as shipped).</t>
  </si>
  <si>
    <t>No launch</t>
  </si>
  <si>
    <t>None of the funded projects reaches the market in the ten years modelled.</t>
  </si>
  <si>
    <t>Key assumptions and limitations</t>
  </si>
  <si>
    <t>Phases</t>
  </si>
  <si>
    <t>Whole years, back to back; a project stops spending when a phase fails.</t>
  </si>
  <si>
    <t>Correlation</t>
  </si>
  <si>
    <t>Only through the Phase II results of projects sharing a mechanism; all other results are independent.</t>
  </si>
  <si>
    <t>Unfunded projects</t>
  </si>
  <si>
    <t>Shelved: no cost and no value. Partnering them out could recover some value.</t>
  </si>
  <si>
    <t>Optimizer</t>
  </si>
  <si>
    <t>Each portfolio the Optimizer tries is judged on the same 10,000 simulated futures (common random numbers, seed 1) as the simulation on the Results sheet, so portfolios are compared fairly and the limits met in the run hold on the Results sheet too.</t>
  </si>
  <si>
    <t>Data</t>
  </si>
  <si>
    <t>The company, the projects and all figures are invented for this example.</t>
  </si>
  <si>
    <t>ModelRisk functions used</t>
  </si>
  <si>
    <t>ModelRisk Optimizer</t>
  </si>
  <si>
    <t>Chooses the projects to fund: highest mean NPV, chance of breaking the budget and chance of no launch at most the limits on the Inputs sheet.</t>
  </si>
  <si>
    <t>VoseCopulaBiNormal</t>
  </si>
  <si>
    <t>Correlated uniforms for the Phase II results of two projects sharing a mechanism (array).</t>
  </si>
  <si>
    <t>VoseBernoulli</t>
  </si>
  <si>
    <t>Whether each phase succeeds; the U argument takes the copula's uniform for Phase II.</t>
  </si>
  <si>
    <t>VoseLognormalAlt</t>
  </si>
  <si>
    <t>Each project's value at launch from its P10 and P90.</t>
  </si>
  <si>
    <t>VoseOutput, VoseSimMean, VoseSimPercentile, VoseSimProbability</t>
  </si>
  <si>
    <t>Outputs and their statistics on the Results sheet.</t>
  </si>
  <si>
    <t>Further reading</t>
  </si>
  <si>
    <t>R&amp;D productivity</t>
  </si>
  <si>
    <t>Paul, S. M. et al. (2010). How to improve R&amp;D productivity: the pharmaceutical industry's grand challenge. Nature Reviews Drug Discovery 9, 203–214.</t>
  </si>
  <si>
    <t>Companion model</t>
  </si>
  <si>
    <t>PH-04 R&amp;D portfolio which projects to fund: the same eight projects, with four portfolios compared side by side.</t>
  </si>
  <si>
    <t>© 2026 Vose Software   ·   www.vosesoftware.com   ·   An illustrative example: the figures are invented for teaching and do not describe a real company, project or asset.</t>
  </si>
  <si>
    <t>INPUTS   ·   The budget, the correlation, the discount rate and the Optimizer's limits. The phases and the projects are on the Projects sheet. Change only the yellow cells.</t>
  </si>
  <si>
    <t>◂  About</t>
  </si>
  <si>
    <t>Next:  Projects  ▸</t>
  </si>
  <si>
    <t>How to read this sheet:  yellow cells are inputs.</t>
  </si>
  <si>
    <t>1   Budget and finance</t>
  </si>
  <si>
    <t>Assumption</t>
  </si>
  <si>
    <t>Unit</t>
  </si>
  <si>
    <t>Value in model</t>
  </si>
  <si>
    <t>Uncertainty</t>
  </si>
  <si>
    <t>Basis / source (illustrative)</t>
  </si>
  <si>
    <t>R&amp;D budget</t>
  </si>
  <si>
    <t>US$m a year</t>
  </si>
  <si>
    <t>Fixed</t>
  </si>
  <si>
    <t>For each year of the budget horizon below.</t>
  </si>
  <si>
    <t>Budget horizon</t>
  </si>
  <si>
    <t>years</t>
  </si>
  <si>
    <t>The years the budget is set for.</t>
  </si>
  <si>
    <t>Correlation of Phase II results within a mechanism</t>
  </si>
  <si>
    <t>copula ρ</t>
  </si>
  <si>
    <t>On the Normal scale: if the mechanism fails in one project, it probably fails in the other.</t>
  </si>
  <si>
    <t>Discount rate</t>
  </si>
  <si>
    <t>per year</t>
  </si>
  <si>
    <t>2   Limits for the Optimizer</t>
  </si>
  <si>
    <t>What the portfolio committee will accept. The Optimizer must respect both.</t>
  </si>
  <si>
    <t>Budget risk accepted</t>
  </si>
  <si>
    <t>chance</t>
  </si>
  <si>
    <t>The highest chance of spending more than the budget in a year of the horizon.</t>
  </si>
  <si>
    <t>No-launch risk accepted</t>
  </si>
  <si>
    <t>The highest chance that none of the funded projects launches.</t>
  </si>
  <si>
    <t>PROJECTS   ·   Phases and projects. Change only the yellow cells.</t>
  </si>
  <si>
    <t>◂  Inputs</t>
  </si>
  <si>
    <t>Next:  Decisions  ▸</t>
  </si>
  <si>
    <t>1   Development phases</t>
  </si>
  <si>
    <t>Duration and yearly cost of each phase, the same for every project.</t>
  </si>
  <si>
    <t>Preclinical</t>
  </si>
  <si>
    <t>Phase I</t>
  </si>
  <si>
    <t>Phase II</t>
  </si>
  <si>
    <t>Phase III</t>
  </si>
  <si>
    <t>Review</t>
  </si>
  <si>
    <t>Duration</t>
  </si>
  <si>
    <t>Cost per year</t>
  </si>
  <si>
    <t>US$m</t>
  </si>
  <si>
    <t>2   Projects</t>
  </si>
  <si>
    <t>Stage now, chance of success in each remaining phase, and value at launch (the NPV of its sales at launch). Which of them to fund is on the Decisions sheet.</t>
  </si>
  <si>
    <t>Project</t>
  </si>
  <si>
    <t>Mechanism</t>
  </si>
  <si>
    <t>Stage now</t>
  </si>
  <si>
    <t>Value P10</t>
  </si>
  <si>
    <t>Value P90</t>
  </si>
  <si>
    <t>chance of success</t>
  </si>
  <si>
    <t>US$m at launch</t>
  </si>
  <si>
    <t>A   ONC-301  solid tumours</t>
  </si>
  <si>
    <t>Kinase inhibitor (own)</t>
  </si>
  <si>
    <t>B   ONC-210  leukaemia</t>
  </si>
  <si>
    <t>Mechanism 1: apoptosis</t>
  </si>
  <si>
    <t>C   IMM-220  psoriasis</t>
  </si>
  <si>
    <t>Mechanism 2: IL pathway</t>
  </si>
  <si>
    <t>D   IMM-110  Crohn's disease</t>
  </si>
  <si>
    <t>E   NEU-120  Alzheimer's disease</t>
  </si>
  <si>
    <t>Mechanism 3: amyloid</t>
  </si>
  <si>
    <t>F   NEU-010  Parkinson's disease</t>
  </si>
  <si>
    <t>G   RARE-230  enzyme deficiency</t>
  </si>
  <si>
    <t>Enzyme replacement (own)</t>
  </si>
  <si>
    <t>H   ONC-020  lymphoma</t>
  </si>
  <si>
    <t>Phases before the current stage are already passed: their chances are not used. Pairs sharing a mechanism: B and H, C and D, E and F.</t>
  </si>
  <si>
    <t>DECISIONS   ·   The cells the ModelRisk Optimizer changes, the plan they are compared with, and what the Optimizer is asked to do.</t>
  </si>
  <si>
    <t>◂  Projects</t>
  </si>
  <si>
    <t>Next:  Pipeline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</si>
  <si>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</si>
  <si>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portfolio</t>
  </si>
  <si>
    <t>1 = fund the project, 0 = shelve it. The starting plan is PH-04's portfolio of one project per mechanism: A, B, C, E and G.</t>
  </si>
  <si>
    <t>Plan in use</t>
  </si>
  <si>
    <t>Starting plan</t>
  </si>
  <si>
    <t>Lowest</t>
  </si>
  <si>
    <t>Highest</t>
  </si>
  <si>
    <t>Kind</t>
  </si>
  <si>
    <t>Notes</t>
  </si>
  <si>
    <t>1 = fund</t>
  </si>
  <si>
    <t>Yes (1) / no (0)</t>
  </si>
  <si>
    <t>Phase III · own mechanism (kinase inhibitor).</t>
  </si>
  <si>
    <t>Phase II · shares the apoptosis mechanism with H.</t>
  </si>
  <si>
    <t>Phase II · shares the IL pathway with D.</t>
  </si>
  <si>
    <t>Phase I · shares the IL pathway with C.</t>
  </si>
  <si>
    <t>Phase I · shares the amyloid mechanism with F.</t>
  </si>
  <si>
    <t>Preclinical · shares the amyloid mechanism with E.</t>
  </si>
  <si>
    <t>Phase II · own mechanism (enzyme replacement).</t>
  </si>
  <si>
    <t>Preclinical · shares the apoptosis mechanism with B.</t>
  </si>
  <si>
    <t>2   Goal and limits</t>
  </si>
  <si>
    <t>What the Optimizer is asked to do. It judges every plan it tries by these statistics of a simulation of that plan.</t>
  </si>
  <si>
    <t>Statistic</t>
  </si>
  <si>
    <t>Limit</t>
  </si>
  <si>
    <t>Output cell</t>
  </si>
  <si>
    <t>Maximise:  NPV of the plan in use</t>
  </si>
  <si>
    <t>the mean</t>
  </si>
  <si>
    <t>Spend!D51</t>
  </si>
  <si>
    <t>Keep:  Chance of breaking the budget  at most</t>
  </si>
  <si>
    <t>the chance of overspending in a budget year  ·  the input Budget risk accepted</t>
  </si>
  <si>
    <t>Spend!D57</t>
  </si>
  <si>
    <t>Keep:  Chance of no launch  at most</t>
  </si>
  <si>
    <t>the chance that no project launches  ·  the input No-launch risk accepted</t>
  </si>
  <si>
    <t>Spend!D55</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</si>
  <si>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</si>
  <si>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</si>
  <si>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</si>
  <si>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</si>
  <si>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</si>
  <si>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</si>
  <si>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</si>
  <si>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</si>
  <si>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</si>
  <si>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</si>
  <si>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PIPELINE   ·   This iteration's results phase by phase, the schedule, and each project's value (US$m).</t>
  </si>
  <si>
    <t>◂  Decisions</t>
  </si>
  <si>
    <t>Next:  Spend  ▸</t>
  </si>
  <si>
    <t>1   Shared mechanisms: correlated Phase II results</t>
  </si>
  <si>
    <t>VoseCopulaBiNormal: two uniforms whose Normal scores have the correlation on the Inputs sheet, one pair per mechanism.</t>
  </si>
  <si>
    <t>Uniform</t>
  </si>
  <si>
    <t>Pair</t>
  </si>
  <si>
    <t>B and H share a mechanism</t>
  </si>
  <si>
    <t>C and D share a mechanism</t>
  </si>
  <si>
    <t>E and F share a mechanism</t>
  </si>
  <si>
    <t>2   Phase results</t>
  </si>
  <si>
    <t>1 = the phase succeeds. Phases already passed show 1; VoseBernoulli decides the others (Phase II of a paired project takes its copula uniform). The project works until the first phase that fails.</t>
  </si>
  <si>
    <t>Last phase</t>
  </si>
  <si>
    <t>Launched</t>
  </si>
  <si>
    <t>phase number</t>
  </si>
  <si>
    <t>Stage now and last phase are phase numbers: 1 Preclinical, 2 Phase I, 3 Phase II, 4 Phase III, 5 Review. Last phase: the first one that fails, or 5. Launched: the last phase succeeded.</t>
  </si>
  <si>
    <t>3   Schedule</t>
  </si>
  <si>
    <t>The year each remaining phase would end if everything succeeds: the previous end plus the phase's duration. Phases already passed show –.</t>
  </si>
  <si>
    <t>Now</t>
  </si>
  <si>
    <t>Stops after</t>
  </si>
  <si>
    <t>Launch</t>
  </si>
  <si>
    <t>Stops after: the end of the last phase it works on. Launch: the end of the review.</t>
  </si>
  <si>
    <t>4   Value of each project</t>
  </si>
  <si>
    <t>VoseLognormalAlt: value at launch from the P10 and the P90, discounted from the launch year; less the R&amp;D spending, discounted.</t>
  </si>
  <si>
    <t>Value at</t>
  </si>
  <si>
    <t>PV of</t>
  </si>
  <si>
    <t>NPV</t>
  </si>
  <si>
    <t>1 / 0</t>
  </si>
  <si>
    <t>launch</t>
  </si>
  <si>
    <t>value</t>
  </si>
  <si>
    <t>R&amp;D cost</t>
  </si>
  <si>
    <t>SPEND   ·   R&amp;D spending by project and by plan, year by year; the results of both plans (US$m).</t>
  </si>
  <si>
    <t>◂  Pipeline</t>
  </si>
  <si>
    <t>Next:  Results  ▸</t>
  </si>
  <si>
    <t>Year</t>
  </si>
  <si>
    <t>Total</t>
  </si>
  <si>
    <t>Discount factor  (mid-year)</t>
  </si>
  <si>
    <t>1   Phase under way</t>
  </si>
  <si>
    <t>The phase each project works on in the year, if it is still going: one more than the phases that ended before the year (COUNTIF over its schedule). A Gantt chart of this iteration.</t>
  </si>
  <si>
    <t>phase</t>
  </si>
  <si>
    <t>Phases: Pre = preclinical, Ph I – Ph III, Review. Empty: stopped, launched or not yet started.</t>
  </si>
  <si>
    <t>2   Spending by project</t>
  </si>
  <si>
    <t>The yearly cost of the phase under way, whether or not a plan funds the project.</t>
  </si>
  <si>
    <t>3   Spending of each plan</t>
  </si>
  <si>
    <t>The projects each plan funds (Decisions sheet), added up. The plan in use is an output in every year, for the chart on the Results sheet.</t>
  </si>
  <si>
    <t>Plan in use  (output)</t>
  </si>
  <si>
    <t>Budget</t>
  </si>
  <si>
    <t>4   Against the budget</t>
  </si>
  <si>
    <t>Each plan's spending in the years of the budget horizon, and 1 = more than the budget in the year.</t>
  </si>
  <si>
    <t>Starting plan: spending in the horizon</t>
  </si>
  <si>
    <t>Plan in use: spending in the horizon</t>
  </si>
  <si>
    <t>Starting plan: over budget</t>
  </si>
  <si>
    <t>Plan in use: over budget</t>
  </si>
  <si>
    <t>5   Value in this iteration</t>
  </si>
  <si>
    <t>Key outputs, recorded by ModelRisk at every sample (VoseOutput). Their statistics appear on the Results sheet.</t>
  </si>
  <si>
    <t>Output</t>
  </si>
  <si>
    <t>Value</t>
  </si>
  <si>
    <t>Meaning</t>
  </si>
  <si>
    <t>Starting plan: NPV</t>
  </si>
  <si>
    <t>The funded projects' NPVs added up.</t>
  </si>
  <si>
    <t>Plan in use: NPV</t>
  </si>
  <si>
    <t>The Optimizer's goal: the highest mean.</t>
  </si>
  <si>
    <t>Starting plan: launches</t>
  </si>
  <si>
    <t>products</t>
  </si>
  <si>
    <t>Plan in use: launches</t>
  </si>
  <si>
    <t>Starting plan: no launch?  (1 = yes)</t>
  </si>
  <si>
    <t>Plan in use: no launch?  (1 = yes)</t>
  </si>
  <si>
    <t>A limit for the Optimizer.</t>
  </si>
  <si>
    <t>Starting plan: over budget?  (1 = yes)</t>
  </si>
  <si>
    <t>In at least one year of the horizon.</t>
  </si>
  <si>
    <t>Plan in use: over budget?  (1 = yes)</t>
  </si>
  <si>
    <t>Starting plan: busiest budget year</t>
  </si>
  <si>
    <t>The most spent in one year of the horizon.</t>
  </si>
  <si>
    <t>Plan in use: busiest budget year</t>
  </si>
  <si>
    <t>Starting plan: PV of R&amp;D cost</t>
  </si>
  <si>
    <t>Plan in use: PV of R&amp;D cost</t>
  </si>
  <si>
    <t>Project A: NPV</t>
  </si>
  <si>
    <t>Whether funded or not.</t>
  </si>
  <si>
    <t>Project B: NPV</t>
  </si>
  <si>
    <t>Project C: NPV</t>
  </si>
  <si>
    <t>Project D: NPV</t>
  </si>
  <si>
    <t>Project E: NPV</t>
  </si>
  <si>
    <t>Project F: NPV</t>
  </si>
  <si>
    <t>Project G: NPV</t>
  </si>
  <si>
    <t>Project H: NPV</t>
  </si>
  <si>
    <t>Project A: launched?  (1 = yes)</t>
  </si>
  <si>
    <t>Project B: launched?  (1 = yes)</t>
  </si>
  <si>
    <t>Project C: launched?  (1 = yes)</t>
  </si>
  <si>
    <t>Project D: launched?  (1 = yes)</t>
  </si>
  <si>
    <t>Project E: launched?  (1 = yes)</t>
  </si>
  <si>
    <t>Project F: launched?  (1 = yes)</t>
  </si>
  <si>
    <t>Project G: launched?  (1 = yes)</t>
  </si>
  <si>
    <t>Project H: launched?  (1 = yes)</t>
  </si>
  <si>
    <t>Project A: PV of R&amp;D cost</t>
  </si>
  <si>
    <t>Project B: PV of R&amp;D cost</t>
  </si>
  <si>
    <t>Project C: PV of R&amp;D cost</t>
  </si>
  <si>
    <t>Project D: PV of R&amp;D cost</t>
  </si>
  <si>
    <t>Project E: PV of R&amp;D cost</t>
  </si>
  <si>
    <t>Project F: PV of R&amp;D cost</t>
  </si>
  <si>
    <t>Project G: PV of R&amp;D cost</t>
  </si>
  <si>
    <t>Project H: PV of R&amp;D cost</t>
  </si>
  <si>
    <t>Projects B and H both launched?  (1 = yes)</t>
  </si>
  <si>
    <t>Projects C and D both launched?  (1 = yes)</t>
  </si>
  <si>
    <t>Projects E and F both launched?  (1 = yes)</t>
  </si>
  <si>
    <t>6   Model checks</t>
  </si>
  <si>
    <t>Should all read OK. A CHECK means an input has been set outside the range the model is built for.</t>
  </si>
  <si>
    <t>Every stage is one of the four on the list</t>
  </si>
  <si>
    <t>Phase durations are whole years</t>
  </si>
  <si>
    <t>Every launch falls within the years modelled</t>
  </si>
  <si>
    <t>Every funding cell of both plans is 1 or 0  (Decisions sheet)</t>
  </si>
  <si>
    <t>RESULTS   ·   Filled in automatically from the last simulation. Run a simulation after changing any input.</t>
  </si>
  <si>
    <t>◂  Spend</t>
  </si>
  <si>
    <t>1   The plan in use against the starting plan</t>
  </si>
  <si>
    <t>Portfolio NPV — cumulative probability</t>
  </si>
  <si>
    <t>The two portfolios, and how each performs on the same simulated futures (US$m).</t>
  </si>
  <si>
    <t>Stage</t>
  </si>
  <si>
    <t>Change</t>
  </si>
  <si>
    <t>Measure</t>
  </si>
  <si>
    <t>Projects funded</t>
  </si>
  <si>
    <t>projects</t>
  </si>
  <si>
    <t>Portfolio NPV, mean</t>
  </si>
  <si>
    <t>Portfolio NPV, 1 in 10  (10th percentile)</t>
  </si>
  <si>
    <t>Launches, expected</t>
  </si>
  <si>
    <t>Chance of no launch</t>
  </si>
  <si>
    <t>Chance of breaking the budget</t>
  </si>
  <si>
    <t>R&amp;D cost, mean  (present value)</t>
  </si>
  <si>
    <t>Budget risk accepted, at most</t>
  </si>
  <si>
    <t>No-launch risk accepted, at most</t>
  </si>
  <si>
    <t>Spending in the busiest budget year — cumulative probability</t>
  </si>
  <si>
    <t>2   The projects</t>
  </si>
  <si>
    <t>Spending of the plan in use against the budget</t>
  </si>
  <si>
    <t>Each project as if funded: chance of launch, value and R&amp;D cost (US$m).</t>
  </si>
  <si>
    <t>Mean NPV</t>
  </si>
  <si>
    <t>Value per</t>
  </si>
  <si>
    <t>PV, mean</t>
  </si>
  <si>
    <t>US$ of R&amp;D</t>
  </si>
  <si>
    <t>Value per US$ of R&amp;D: the expected present value of the launch ÷ the expected R&amp;D cost. Below 1, the project destroys value.</t>
  </si>
  <si>
    <t>3   Shared mechanisms</t>
  </si>
  <si>
    <t>Projects that share a mechanism succeed — and fail — together.</t>
  </si>
  <si>
    <t>Both launch</t>
  </si>
  <si>
    <t>Ratio</t>
  </si>
  <si>
    <t>simulated</t>
  </si>
  <si>
    <t>if independent</t>
  </si>
  <si>
    <t>B and H</t>
  </si>
  <si>
    <t>C and D</t>
  </si>
  <si>
    <t>E and F</t>
  </si>
  <si>
    <t>4   How to read these results</t>
  </si>
  <si>
    <t>•  The starting plan, PH-04's one project per mechanism (A, B, C, E and G), is worth about US$555 million on average but breaks the budget about one time in three: when two of its three Phase II projects succeed, their Phase III trials start while A's is still running.</t>
  </si>
  <si>
    <t>•  The Optimizer keeps A, B, E and G, shelves C, the psoriasis drug, and funds F, the early Parkinson's project, which spends little in the budget years. It gives up about US$12 million of mean NPV, about 2%, and cuts the chance of breaking the budget to about one in five.</t>
  </si>
  <si>
    <t>•  The budget limit decides: every portfolio worth more on average breaks the budget at least a third of the time. The chance of no launch rises a little, to about 21%, inside its limit. The portfolio is not one of the four PH-04 compared: it adds B to PH-04's within-budget portfolio.</t>
  </si>
  <si>
    <t>•  F shares E's amyloid mechanism, so their Phase II results tend to agree: in the third table, E and F launch together two to three times as often as if they were independent. When both succeed, their Phase III trials overlap in year 5, which adds a little to the budget risk. The Optimizer judges every portfolio with that correlation included.</t>
  </si>
  <si>
    <t>•  Try a one-in-ten budget risk on the Inputs sheet and run the Optimizer again: it can then keep only one of the three Phase II projects, and the chance of no launch becomes the limit that binds.</t>
  </si>
  <si>
    <t>Chart data</t>
  </si>
  <si>
    <t>Statistics of the last simulation behind the charts and the ranking above. Grouped: click + in the left margin to show them.</t>
  </si>
  <si>
    <t>Cumulative probability</t>
  </si>
  <si>
    <t>Exceedance</t>
  </si>
  <si>
    <t>Out_NPV_Start</t>
  </si>
  <si>
    <t>Out_NPV_Plan</t>
  </si>
  <si>
    <t>Out_Peak_Start</t>
  </si>
  <si>
    <t>Out_Peak_Plan</t>
  </si>
  <si>
    <t>line at Budget</t>
  </si>
  <si>
    <t>Period</t>
  </si>
  <si>
    <t>10th percentile</t>
  </si>
  <si>
    <t>Median</t>
  </si>
  <si>
    <t>90th percentile</t>
  </si>
  <si>
    <t>Mean</t>
  </si>
  <si>
    <t>MROPTREPO/2.0</t>
  </si>
  <si>
    <t>{"format_version":"1.0","model":"R&amp;D portfolio: which projects to fund","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300,"maxTimeSeconds":900.0,"parameterTolerance":1.0,"toleranceUnit":1,"stagnationTrials":256,"stagnationDeviation":1e-06,"stagnationUnit":0,"stopOnError":false,"stopFormulaEnabled":false,"stopFormulaRef":""},"adj":{"variables":[{"cell":{"sheet":"Decisions","row":10,"col":3},"type":3,"min":0.0,"max":1.0,"groupIndex":-1,"label":"A   ONC-301  solid tumours","discreteSet":[]},{"cell":{"sheet":"Decisions","row":11,"col":3},"type":3,"min":0.0,"max":1.0,"groupIndex":-1,"label":"B   ONC-210  leukaemia","discreteSet":[]},{"cell":{"sheet":"Decisions","row":12,"col":3},"type":3,"min":0.0,"max":1.0,"groupIndex":-1,"label":"C   IMM-220  psoriasis","discreteSet":[]},{"cell":{"sheet":"Decisions","row":13,"col":3},"type":3,"min":0.0,"max":1.0,"groupIndex":-1,"label":"D   IMM-110  Crohn's disease","discreteSet":[]},{"cell":{"sheet":"Decisions","row":14,"col":3},"type":3,"min":0.0,"max":1.0,"groupIndex":-1,"label":"E   NEU-120  Alzheimer's disease","discreteSet":[]},{"cell":{"sheet":"Decisions","row":15,"col":3},"type":3,"min":0.0,"max":1.0,"groupIndex":-1,"label":"F   NEU-010  Parkinson's disease","discreteSet":[]},{"cell":{"sheet":"Decisions","row":16,"col":3},"type":3,"min":0.0,"max":1.0,"groupIndex":-1,"label":"G   RARE-230  enzyme deficiency","discreteSet":[]},{"cell":{"sheet":"Decisions","row":17,"col":3},"type":3,"min":0.0,"max":1.0,"groupIndex":-1,"label":"H   ONC-020  lymphoma","discreteSet":[]}],"groups":[]},"objectives":[{"name":"NPV of the plan in use","cell":{"sheet":"Spend","row":50,"col":3},"stat":{"kind":0,"param1":0.0,"param2":0.0},"mode":0,"targetValue":0.0}],"constraints":[{"name":"Chance of breaking the budget","cell":{"sheet":"Spend","row":56,"col":3},"type":0,"softWeight":1.0,"penaltyKind":0,"sixSigma":0,"precision":0.0,"stat":{"kind":23,"param1":0.5,"param2":0.0},"op":0,"rhsA":0.25,"rhsB":0.0,"formulaCellRef":"","evalTime":2,"rhsACell":{"sheet":"Inputs","row":17,"col":3}},{"name":"Chance of no launch","cell":{"sheet":"Spend","row":54,"col":3},"type":0,"softWeight":1.0,"penaltyKind":0,"sixSigma":0,"precision":0.0,"stat":{"kind":23,"param1":0.5,"param2":0.0},"op":0,"rhsA":0.25,"rhsB":0.0,"formulaCellRef":"","evalTime":2,"rhsACell":{"sheet":"Inputs","row":18,"col":3}}],"frontier":{"sweptIndex":-1,"lo":0.0,"hi":0.0,"nPoints":5}}</t>
  </si>
  <si>
    <t>Base scenario</t>
  </si>
  <si>
    <t>trial budget used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</si>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</sst>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_);\(#,##0\);&quot;–&quot;_)"/>
    <numFmt numFmtId="165" formatCode="0.0%"/>
    <numFmt numFmtId="166" formatCode="#,##0.0"/>
    <numFmt numFmtId="167" formatCode="0.000"/>
    <numFmt numFmtId="168" formatCode="0;&quot;–&quot;;0"/>
    <numFmt numFmtId="169" formatCode="#,##0.0_);\(#,##0.0\);&quot;–&quot;_)"/>
    <numFmt numFmtId="170" formatCode="0;\-0;&quot;–&quot;"/>
    <numFmt numFmtId="171" formatCode="0;\-0;0;&quot;–&quot;"/>
    <numFmt numFmtId="172" formatCode="&quot;fund&quot;;;&quot;shelved&quot;"/>
    <numFmt numFmtId="173" formatCode="&quot;added&quot;;&quot;dropped&quot;;&quot;–&quot;"/>
    <numFmt numFmtId="174" formatCode="#,##0_);\(#,##0\);&quot;–&quot;_);&quot;–&quot;"/>
    <numFmt numFmtId="175" formatCode="#,##0.00_);\(#,##0.00\);&quot;–&quot;_);&quot;–&quot;"/>
    <numFmt numFmtId="176" formatCode="0.0%;\-0.0%;0.0%;&quot;–&quot;"/>
    <numFmt numFmtId="177" formatCode="0%;\-0%;0%;&quot;–&quot;"/>
    <numFmt numFmtId="178" formatCode="0.00;\-0.00;0.00;&quot;–&quot;"/>
    <numFmt numFmtId="179" formatCode="0.0;\-0.0;0.0;&quot;–&quot;"/>
  </numFmts>
  <fonts count="26"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sz val="10"/>
      <color rgb="FF3F5876"/>
      <name val="Calibri"/>
      <family val="2"/>
      <charset val="204"/>
    </font>
    <font>
      <b/>
      <sz val="9"/>
      <color rgb="FF0F2A47"/>
      <name val="Calibri"/>
      <family val="2"/>
      <charset val="204"/>
    </font>
    <font>
      <b/>
      <sz val="9"/>
      <color rgb="FF8AA0BA"/>
      <name val="Calibri"/>
      <family val="2"/>
      <charset val="204"/>
    </font>
    <font>
      <b/>
      <sz val="10"/>
      <color rgb="FF15803D"/>
      <name val="Calibri"/>
      <family val="2"/>
      <charset val="204"/>
    </font>
    <font>
      <b/>
      <sz val="9"/>
      <color rgb="FF15803D"/>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style="thin">
        <color rgb="FF0E4F92"/>
      </left>
      <right style="thin">
        <color rgb="FF0E4F92"/>
      </right>
      <top style="thin">
        <color rgb="FF0E4F92"/>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104">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1" fontId="1" fillId="2" borderId="8" xfId="1" applyNumberFormat="1" applyBorder="1">
      <alignment horizontal="right" vertical="center"/>
    </xf>
    <xf numFmtId="2" fontId="1" fillId="2" borderId="8" xfId="1" applyNumberFormat="1" applyBorder="1">
      <alignment horizontal="right" vertical="center"/>
    </xf>
    <xf numFmtId="165" fontId="1" fillId="2" borderId="8" xfId="1" applyNumberFormat="1" applyBorder="1">
      <alignment horizontal="right" vertical="center"/>
    </xf>
    <xf numFmtId="9"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0" fontId="17" fillId="8" borderId="2" xfId="0" applyFont="1" applyFill="1" applyBorder="1" applyAlignment="1">
      <alignment horizontal="left" vertical="center" indent="1"/>
    </xf>
    <xf numFmtId="0" fontId="17" fillId="8" borderId="2" xfId="0" applyFont="1" applyFill="1" applyBorder="1" applyAlignment="1">
      <alignment horizontal="right" vertical="center"/>
    </xf>
    <xf numFmtId="0" fontId="19" fillId="8" borderId="5" xfId="0" applyFont="1" applyFill="1" applyBorder="1" applyAlignment="1">
      <alignment horizontal="right" vertical="center"/>
    </xf>
    <xf numFmtId="0" fontId="1" fillId="2" borderId="8" xfId="1" applyBorder="1" applyAlignment="1">
      <alignment horizontal="left" vertical="center" indent="1"/>
    </xf>
    <xf numFmtId="0" fontId="14" fillId="0" borderId="0" xfId="0" applyFont="1" applyAlignment="1">
      <alignment horizontal="left" vertical="center" indent="1"/>
    </xf>
    <xf numFmtId="1" fontId="5" fillId="6" borderId="9" xfId="6" applyNumberFormat="1" applyBorder="1">
      <alignment horizontal="right" vertical="center"/>
    </xf>
    <xf numFmtId="1" fontId="3" fillId="0" borderId="10" xfId="3" applyNumberFormat="1" applyBorder="1">
      <alignment horizontal="right" vertical="center"/>
    </xf>
    <xf numFmtId="0" fontId="13" fillId="0" borderId="7" xfId="0" applyFont="1" applyBorder="1" applyAlignment="1">
      <alignment horizontal="left" vertical="center" indent="1"/>
    </xf>
    <xf numFmtId="9" fontId="3" fillId="0" borderId="10" xfId="3" applyNumberFormat="1" applyBorder="1">
      <alignment horizontal="right" vertical="center"/>
    </xf>
    <xf numFmtId="0" fontId="3" fillId="0" borderId="10" xfId="3" applyBorder="1">
      <alignment horizontal="right" vertical="center"/>
    </xf>
    <xf numFmtId="3" fontId="3" fillId="0" borderId="10" xfId="3" applyNumberFormat="1" applyBorder="1">
      <alignment horizontal="right" vertical="center"/>
    </xf>
    <xf numFmtId="166" fontId="3" fillId="0" borderId="10" xfId="3" applyNumberFormat="1" applyBorder="1">
      <alignment horizontal="right" vertical="center"/>
    </xf>
    <xf numFmtId="4" fontId="3" fillId="0" borderId="10" xfId="3" applyNumberFormat="1" applyBorder="1">
      <alignment horizontal="right" vertical="center"/>
    </xf>
    <xf numFmtId="167" fontId="2" fillId="3" borderId="8" xfId="2" applyNumberFormat="1" applyBorder="1">
      <alignment horizontal="right" vertical="center"/>
    </xf>
    <xf numFmtId="0" fontId="20" fillId="0" borderId="7" xfId="0" applyFont="1" applyBorder="1" applyAlignment="1">
      <alignment horizontal="left" vertical="center" indent="3"/>
    </xf>
    <xf numFmtId="0" fontId="18" fillId="0" borderId="7" xfId="0" applyFont="1" applyBorder="1" applyAlignment="1">
      <alignment horizontal="right" vertical="center"/>
    </xf>
    <xf numFmtId="1" fontId="2" fillId="3" borderId="8" xfId="2" applyNumberFormat="1" applyBorder="1">
      <alignment horizontal="right" vertical="center"/>
    </xf>
    <xf numFmtId="168" fontId="3" fillId="0" borderId="10" xfId="3" applyNumberFormat="1" applyBorder="1">
      <alignment horizontal="right" vertical="center"/>
    </xf>
    <xf numFmtId="164" fontId="3" fillId="0" borderId="10" xfId="3" applyNumberFormat="1" applyBorder="1">
      <alignment horizontal="right" vertical="center"/>
    </xf>
    <xf numFmtId="0" fontId="0" fillId="8" borderId="2" xfId="0" applyFill="1" applyBorder="1"/>
    <xf numFmtId="164" fontId="2" fillId="3" borderId="8" xfId="2" applyNumberFormat="1" applyBorder="1">
      <alignment horizontal="right" vertical="center"/>
    </xf>
    <xf numFmtId="169" fontId="3" fillId="0" borderId="10" xfId="3" applyNumberFormat="1" applyBorder="1">
      <alignment horizontal="right" vertical="center"/>
    </xf>
    <xf numFmtId="0" fontId="17" fillId="8" borderId="0" xfId="0" applyFont="1" applyFill="1" applyAlignment="1">
      <alignment horizontal="left" vertical="center" indent="1"/>
    </xf>
    <xf numFmtId="0" fontId="0" fillId="8" borderId="0" xfId="0" applyFill="1"/>
    <xf numFmtId="0" fontId="17" fillId="8" borderId="0" xfId="0" applyFont="1" applyFill="1" applyAlignment="1">
      <alignment horizontal="right" vertical="center"/>
    </xf>
    <xf numFmtId="0" fontId="22" fillId="8" borderId="0" xfId="0" applyFont="1" applyFill="1" applyAlignment="1">
      <alignment horizontal="right" vertical="center"/>
    </xf>
    <xf numFmtId="1" fontId="21" fillId="8" borderId="0" xfId="0" applyNumberFormat="1" applyFont="1" applyFill="1" applyAlignment="1">
      <alignment horizontal="right" vertical="center"/>
    </xf>
    <xf numFmtId="167" fontId="3" fillId="0" borderId="10" xfId="3" applyNumberFormat="1" applyBorder="1">
      <alignment horizontal="right" vertical="center"/>
    </xf>
    <xf numFmtId="170" fontId="3" fillId="0" borderId="10" xfId="3" applyNumberFormat="1" applyBorder="1">
      <alignment horizontal="right" vertical="center"/>
    </xf>
    <xf numFmtId="169" fontId="13" fillId="0" borderId="10" xfId="3" applyNumberFormat="1" applyFont="1" applyBorder="1">
      <alignment horizontal="right" vertical="center"/>
    </xf>
    <xf numFmtId="169" fontId="4" fillId="4" borderId="11" xfId="4" applyNumberFormat="1" applyBorder="1">
      <alignment horizontal="right" vertical="center"/>
    </xf>
    <xf numFmtId="170" fontId="13" fillId="0" borderId="10" xfId="3" applyNumberFormat="1" applyFont="1" applyBorder="1">
      <alignment horizontal="right" vertical="center"/>
    </xf>
    <xf numFmtId="1" fontId="4" fillId="4" borderId="11" xfId="4" applyNumberFormat="1" applyBorder="1">
      <alignment horizontal="right" vertical="center"/>
    </xf>
    <xf numFmtId="0" fontId="23"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18" fillId="0" borderId="0" xfId="0" applyFont="1" applyAlignment="1">
      <alignment horizontal="left" vertical="center" indent="1"/>
    </xf>
    <xf numFmtId="0" fontId="25" fillId="0" borderId="6" xfId="0" applyFont="1" applyBorder="1"/>
    <xf numFmtId="172" fontId="3" fillId="0" borderId="10" xfId="3" applyNumberFormat="1" applyBorder="1">
      <alignment horizontal="right" vertical="center"/>
    </xf>
    <xf numFmtId="172" fontId="5" fillId="0" borderId="10" xfId="3" applyNumberFormat="1" applyFont="1" applyBorder="1">
      <alignment horizontal="right" vertical="center"/>
    </xf>
    <xf numFmtId="173" fontId="3" fillId="0" borderId="10" xfId="3" applyNumberFormat="1" applyBorder="1">
      <alignment horizontal="right" vertical="center"/>
    </xf>
    <xf numFmtId="171" fontId="1" fillId="5" borderId="8" xfId="5" applyNumberFormat="1" applyBorder="1">
      <alignment horizontal="right" vertical="center"/>
    </xf>
    <xf numFmtId="171" fontId="3" fillId="0" borderId="10" xfId="3" applyNumberFormat="1" applyBorder="1">
      <alignment horizontal="right" vertical="center"/>
    </xf>
    <xf numFmtId="174" fontId="1" fillId="5" borderId="8" xfId="5" applyNumberFormat="1" applyBorder="1">
      <alignment horizontal="right" vertical="center"/>
    </xf>
    <xf numFmtId="174" fontId="3" fillId="0" borderId="10" xfId="3" applyNumberFormat="1" applyBorder="1">
      <alignment horizontal="right" vertical="center"/>
    </xf>
    <xf numFmtId="0" fontId="24" fillId="0" borderId="7" xfId="0" applyFont="1" applyBorder="1" applyAlignment="1">
      <alignment horizontal="right" vertical="center"/>
    </xf>
    <xf numFmtId="175" fontId="1" fillId="5" borderId="8" xfId="5" applyNumberFormat="1" applyBorder="1">
      <alignment horizontal="right" vertical="center"/>
    </xf>
    <xf numFmtId="175" fontId="3" fillId="0" borderId="10" xfId="3" applyNumberFormat="1" applyBorder="1">
      <alignment horizontal="right" vertical="center"/>
    </xf>
    <xf numFmtId="176" fontId="1" fillId="5" borderId="8" xfId="5" applyNumberFormat="1" applyBorder="1">
      <alignment horizontal="right" vertical="center"/>
    </xf>
    <xf numFmtId="176" fontId="3" fillId="0" borderId="10" xfId="3" applyNumberFormat="1" applyBorder="1">
      <alignment horizontal="right" vertical="center"/>
    </xf>
    <xf numFmtId="0" fontId="17" fillId="8" borderId="2" xfId="0" applyFont="1" applyFill="1" applyBorder="1" applyAlignment="1">
      <alignment horizontal="left" vertical="center" wrapText="1" indent="1"/>
    </xf>
    <xf numFmtId="0" fontId="17" fillId="8" borderId="2" xfId="0" applyFont="1" applyFill="1" applyBorder="1" applyAlignment="1">
      <alignment horizontal="right" vertical="center" wrapText="1"/>
    </xf>
    <xf numFmtId="177" fontId="1" fillId="5" borderId="8" xfId="5" applyNumberFormat="1" applyBorder="1">
      <alignment horizontal="right" vertical="center"/>
    </xf>
    <xf numFmtId="178" fontId="1" fillId="5" borderId="8" xfId="5" applyNumberFormat="1" applyBorder="1">
      <alignment horizontal="right" vertical="center"/>
    </xf>
    <xf numFmtId="179" fontId="1" fillId="5" borderId="8"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0" fillId="0" borderId="0" xfId="0" applyFont="1" applyAlignment="1">
      <alignment horizontal="left" vertical="center" indent="1"/>
    </xf>
    <xf numFmtId="49" fontId="0" fillId="0" borderId="0" xfId="0" applyNumberFormat="1"/>
    <xf numFmtId="0" fontId="3" fillId="0" borderId="0" xfId="0" applyFont="1" applyAlignment="1">
      <alignment horizontal="left" vertical="top" wrapText="1" indent="1"/>
    </xf>
    <xf numFmtId="0" fontId="0" fillId="0" borderId="0" xfId="0"/>
    <xf numFmtId="0" fontId="16" fillId="0" borderId="0" xfId="0" applyFont="1"/>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10"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0">
    <dxf>
      <font>
        <color rgb="FF8AA0BA"/>
      </font>
    </dxf>
    <dxf>
      <font>
        <color rgb="FF8AA0BA"/>
      </font>
    </dxf>
    <dxf>
      <font>
        <color rgb="FFB45309"/>
      </font>
      <fill>
        <patternFill patternType="solid">
          <fgColor rgb="FFFEF3C7"/>
          <bgColor rgb="FFFEF3C7"/>
        </patternFill>
      </fill>
    </dxf>
    <dxf>
      <font>
        <b/>
        <color rgb="FFB91C1C"/>
      </font>
    </dxf>
    <dxf>
      <numFmt numFmtId="184" formatCode="&quot;Review&quot;"/>
      <fill>
        <patternFill patternType="solid">
          <fgColor rgb="FFC9E6D2"/>
          <bgColor rgb="FFC9E6D2"/>
        </patternFill>
      </fill>
    </dxf>
    <dxf>
      <numFmt numFmtId="183" formatCode="&quot;Ph III&quot;"/>
      <fill>
        <patternFill patternType="solid">
          <fgColor rgb="FF9DB8DE"/>
          <bgColor rgb="FF9DB8DE"/>
        </patternFill>
      </fill>
    </dxf>
    <dxf>
      <numFmt numFmtId="182" formatCode="&quot;Ph II&quot;"/>
      <fill>
        <patternFill patternType="solid">
          <fgColor rgb="FFB9CDE8"/>
          <bgColor rgb="FFB9CDE8"/>
        </patternFill>
      </fill>
    </dxf>
    <dxf>
      <numFmt numFmtId="181" formatCode="&quot;Ph I&quot;"/>
      <fill>
        <patternFill patternType="solid">
          <fgColor rgb="FFD3E0F0"/>
          <bgColor rgb="FFD3E0F0"/>
        </patternFill>
      </fill>
    </dxf>
    <dxf>
      <numFmt numFmtId="180" formatCode="&quot;Pre&quot;"/>
      <fill>
        <patternFill patternType="solid">
          <fgColor rgb="FFE8EEF7"/>
          <bgColor rgb="FFE8EEF7"/>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Results!$D$82:$D$131</c:f>
              <c:numCache>
                <c:formatCode>#,##0.00</c:formatCode>
                <c:ptCount val="50"/>
                <c:pt idx="0">
                  <c:v>-607.35130612333205</c:v>
                </c:pt>
                <c:pt idx="1">
                  <c:v>-481.59922226066976</c:v>
                </c:pt>
                <c:pt idx="2">
                  <c:v>-478.01746948363899</c:v>
                </c:pt>
                <c:pt idx="3">
                  <c:v>-469.84160074797035</c:v>
                </c:pt>
                <c:pt idx="4">
                  <c:v>-436.64822490893357</c:v>
                </c:pt>
                <c:pt idx="5">
                  <c:v>-390.79324529597301</c:v>
                </c:pt>
                <c:pt idx="6">
                  <c:v>-348.68363284394593</c:v>
                </c:pt>
                <c:pt idx="7">
                  <c:v>-348.68363284394593</c:v>
                </c:pt>
                <c:pt idx="8">
                  <c:v>-307.31438826924045</c:v>
                </c:pt>
                <c:pt idx="9">
                  <c:v>-307.31438826924045</c:v>
                </c:pt>
                <c:pt idx="10">
                  <c:v>-239.76099877926632</c:v>
                </c:pt>
                <c:pt idx="11">
                  <c:v>-166.31734403152066</c:v>
                </c:pt>
                <c:pt idx="12">
                  <c:v>-110.28330119081654</c:v>
                </c:pt>
                <c:pt idx="13">
                  <c:v>-64.314669836968292</c:v>
                </c:pt>
                <c:pt idx="14">
                  <c:v>-14.579094268872481</c:v>
                </c:pt>
                <c:pt idx="15">
                  <c:v>35.501556829005651</c:v>
                </c:pt>
                <c:pt idx="16">
                  <c:v>83.375156834968834</c:v>
                </c:pt>
                <c:pt idx="17">
                  <c:v>129.07458598192841</c:v>
                </c:pt>
                <c:pt idx="18">
                  <c:v>173.16411416637712</c:v>
                </c:pt>
                <c:pt idx="19">
                  <c:v>218.73438915800489</c:v>
                </c:pt>
                <c:pt idx="20">
                  <c:v>261.25963023293468</c:v>
                </c:pt>
                <c:pt idx="21">
                  <c:v>306.51223455793172</c:v>
                </c:pt>
                <c:pt idx="22">
                  <c:v>348.1523204717675</c:v>
                </c:pt>
                <c:pt idx="23">
                  <c:v>394.62345448739336</c:v>
                </c:pt>
                <c:pt idx="24">
                  <c:v>433.82082158777382</c:v>
                </c:pt>
                <c:pt idx="25">
                  <c:v>474.13670996167639</c:v>
                </c:pt>
                <c:pt idx="26">
                  <c:v>514.91625592671335</c:v>
                </c:pt>
                <c:pt idx="27">
                  <c:v>560.00538446971007</c:v>
                </c:pt>
                <c:pt idx="28">
                  <c:v>604.16959271325584</c:v>
                </c:pt>
                <c:pt idx="29">
                  <c:v>654.11687796327158</c:v>
                </c:pt>
                <c:pt idx="30">
                  <c:v>697.86741113098628</c:v>
                </c:pt>
                <c:pt idx="31">
                  <c:v>745.29165889463388</c:v>
                </c:pt>
                <c:pt idx="32">
                  <c:v>791.7583612352928</c:v>
                </c:pt>
                <c:pt idx="33">
                  <c:v>835.84468583233922</c:v>
                </c:pt>
                <c:pt idx="34">
                  <c:v>887.11124545816824</c:v>
                </c:pt>
                <c:pt idx="35">
                  <c:v>943.18858890332638</c:v>
                </c:pt>
                <c:pt idx="36">
                  <c:v>991.43415356977016</c:v>
                </c:pt>
                <c:pt idx="37">
                  <c:v>1045.4981523669906</c:v>
                </c:pt>
                <c:pt idx="38">
                  <c:v>1104.0351292262403</c:v>
                </c:pt>
                <c:pt idx="39">
                  <c:v>1165.1318928466612</c:v>
                </c:pt>
                <c:pt idx="40">
                  <c:v>1235.5888672177969</c:v>
                </c:pt>
                <c:pt idx="41">
                  <c:v>1311.47845322802</c:v>
                </c:pt>
                <c:pt idx="42">
                  <c:v>1402.3514872213739</c:v>
                </c:pt>
                <c:pt idx="43">
                  <c:v>1489.5239521209742</c:v>
                </c:pt>
                <c:pt idx="44">
                  <c:v>1601.0403498756984</c:v>
                </c:pt>
                <c:pt idx="45">
                  <c:v>1716.3243146867762</c:v>
                </c:pt>
                <c:pt idx="46">
                  <c:v>1870.8850347702714</c:v>
                </c:pt>
                <c:pt idx="47">
                  <c:v>2063.6838033686981</c:v>
                </c:pt>
                <c:pt idx="48">
                  <c:v>2359.1001528624902</c:v>
                </c:pt>
                <c:pt idx="49">
                  <c:v>2983.0153813387783</c:v>
                </c:pt>
              </c:numCache>
            </c:numRef>
          </c:xVal>
          <c:yVal>
            <c:numRef>
              <c:f>Results!$B$82:$B$131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C16F-4CE5-9833-7580F0A7A5BC}"/>
            </c:ext>
          </c:extLst>
        </c:ser>
        <c:ser>
          <c:idx val="1"/>
          <c:order val="1"/>
          <c:tx>
            <c:v>Plan in use</c:v>
          </c:tx>
          <c:spPr>
            <a:ln w="25400">
              <a:solidFill>
                <a:srgbClr val="B45309"/>
              </a:solidFill>
              <a:prstDash val="dash"/>
            </a:ln>
          </c:spPr>
          <c:marker>
            <c:symbol val="none"/>
          </c:marker>
          <c:xVal>
            <c:numRef>
              <c:f>Results!$E$82:$E$131</c:f>
              <c:numCache>
                <c:formatCode>#,##0.00</c:formatCode>
                <c:ptCount val="50"/>
                <c:pt idx="0">
                  <c:v>-581.67388623186912</c:v>
                </c:pt>
                <c:pt idx="1">
                  <c:v>-490.74916790487259</c:v>
                </c:pt>
                <c:pt idx="2">
                  <c:v>-453.14076374604946</c:v>
                </c:pt>
                <c:pt idx="3">
                  <c:v>-440.13900116542771</c:v>
                </c:pt>
                <c:pt idx="4">
                  <c:v>-411.77151917134404</c:v>
                </c:pt>
                <c:pt idx="5">
                  <c:v>-361.41533126517953</c:v>
                </c:pt>
                <c:pt idx="6">
                  <c:v>-361.41533126517953</c:v>
                </c:pt>
                <c:pt idx="7">
                  <c:v>-323.62783946750483</c:v>
                </c:pt>
                <c:pt idx="8">
                  <c:v>-310.80516452573465</c:v>
                </c:pt>
                <c:pt idx="9">
                  <c:v>-294.40359624973564</c:v>
                </c:pt>
                <c:pt idx="10">
                  <c:v>-269.43591995102923</c:v>
                </c:pt>
                <c:pt idx="11">
                  <c:v>-225.22519048048568</c:v>
                </c:pt>
                <c:pt idx="12">
                  <c:v>-149.19355449071458</c:v>
                </c:pt>
                <c:pt idx="13">
                  <c:v>-85.549648390246716</c:v>
                </c:pt>
                <c:pt idx="14">
                  <c:v>-33.964748865050382</c:v>
                </c:pt>
                <c:pt idx="15">
                  <c:v>14.970621912676449</c:v>
                </c:pt>
                <c:pt idx="16">
                  <c:v>60.091508210515215</c:v>
                </c:pt>
                <c:pt idx="17">
                  <c:v>103.3153923371691</c:v>
                </c:pt>
                <c:pt idx="18">
                  <c:v>149.97989490239311</c:v>
                </c:pt>
                <c:pt idx="19">
                  <c:v>195.01852096026522</c:v>
                </c:pt>
                <c:pt idx="20">
                  <c:v>237.0453120527028</c:v>
                </c:pt>
                <c:pt idx="21">
                  <c:v>286.24062099026702</c:v>
                </c:pt>
                <c:pt idx="22">
                  <c:v>330.86309519221118</c:v>
                </c:pt>
                <c:pt idx="23">
                  <c:v>374.90641639945824</c:v>
                </c:pt>
                <c:pt idx="24">
                  <c:v>417.56150021085097</c:v>
                </c:pt>
                <c:pt idx="25">
                  <c:v>454.94351512929057</c:v>
                </c:pt>
                <c:pt idx="26">
                  <c:v>503.87903783544817</c:v>
                </c:pt>
                <c:pt idx="27">
                  <c:v>548.96813438534673</c:v>
                </c:pt>
                <c:pt idx="28">
                  <c:v>592.68283609450862</c:v>
                </c:pt>
                <c:pt idx="29">
                  <c:v>636.61466780353578</c:v>
                </c:pt>
                <c:pt idx="30">
                  <c:v>681.16997955347563</c:v>
                </c:pt>
                <c:pt idx="31">
                  <c:v>726.33751250096429</c:v>
                </c:pt>
                <c:pt idx="32">
                  <c:v>769.55714997880295</c:v>
                </c:pt>
                <c:pt idx="33">
                  <c:v>818.2322965041277</c:v>
                </c:pt>
                <c:pt idx="34">
                  <c:v>868.83054942653553</c:v>
                </c:pt>
                <c:pt idx="35">
                  <c:v>921.90873115290049</c:v>
                </c:pt>
                <c:pt idx="36">
                  <c:v>969.12340984258299</c:v>
                </c:pt>
                <c:pt idx="37">
                  <c:v>1019.6883738233838</c:v>
                </c:pt>
                <c:pt idx="38">
                  <c:v>1086.9465498753459</c:v>
                </c:pt>
                <c:pt idx="39">
                  <c:v>1147.6539629063875</c:v>
                </c:pt>
                <c:pt idx="40">
                  <c:v>1211.3632413889568</c:v>
                </c:pt>
                <c:pt idx="41">
                  <c:v>1283.5998172275854</c:v>
                </c:pt>
                <c:pt idx="42">
                  <c:v>1371.6354927372299</c:v>
                </c:pt>
                <c:pt idx="43">
                  <c:v>1463.6052952008822</c:v>
                </c:pt>
                <c:pt idx="44">
                  <c:v>1568.6606743466991</c:v>
                </c:pt>
                <c:pt idx="45">
                  <c:v>1691.7860473187598</c:v>
                </c:pt>
                <c:pt idx="46">
                  <c:v>1840.9624412103026</c:v>
                </c:pt>
                <c:pt idx="47">
                  <c:v>2035.5437621967103</c:v>
                </c:pt>
                <c:pt idx="48">
                  <c:v>2355.6958618808467</c:v>
                </c:pt>
                <c:pt idx="49">
                  <c:v>3086.2088236602631</c:v>
                </c:pt>
              </c:numCache>
            </c:numRef>
          </c:xVal>
          <c:yVal>
            <c:numRef>
              <c:f>Results!$B$82:$B$131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C16F-4CE5-9833-7580F0A7A5B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Results!$F$82:$F$131</c:f>
              <c:numCache>
                <c:formatCode>#,##0.00</c:formatCode>
                <c:ptCount val="50"/>
                <c:pt idx="0">
                  <c:v>150</c:v>
                </c:pt>
                <c:pt idx="1">
                  <c:v>150</c:v>
                </c:pt>
                <c:pt idx="2">
                  <c:v>150</c:v>
                </c:pt>
                <c:pt idx="3">
                  <c:v>150</c:v>
                </c:pt>
                <c:pt idx="4">
                  <c:v>150</c:v>
                </c:pt>
                <c:pt idx="5">
                  <c:v>150</c:v>
                </c:pt>
                <c:pt idx="6">
                  <c:v>150</c:v>
                </c:pt>
                <c:pt idx="7">
                  <c:v>150</c:v>
                </c:pt>
                <c:pt idx="8">
                  <c:v>150</c:v>
                </c:pt>
                <c:pt idx="9">
                  <c:v>150</c:v>
                </c:pt>
                <c:pt idx="10">
                  <c:v>150</c:v>
                </c:pt>
                <c:pt idx="11">
                  <c:v>160</c:v>
                </c:pt>
                <c:pt idx="12">
                  <c:v>160</c:v>
                </c:pt>
                <c:pt idx="13">
                  <c:v>160</c:v>
                </c:pt>
                <c:pt idx="14">
                  <c:v>160</c:v>
                </c:pt>
                <c:pt idx="15">
                  <c:v>160</c:v>
                </c:pt>
                <c:pt idx="16">
                  <c:v>160</c:v>
                </c:pt>
                <c:pt idx="17">
                  <c:v>160</c:v>
                </c:pt>
                <c:pt idx="18">
                  <c:v>160</c:v>
                </c:pt>
                <c:pt idx="19">
                  <c:v>160</c:v>
                </c:pt>
                <c:pt idx="20">
                  <c:v>160</c:v>
                </c:pt>
                <c:pt idx="21">
                  <c:v>160</c:v>
                </c:pt>
                <c:pt idx="22">
                  <c:v>160</c:v>
                </c:pt>
                <c:pt idx="23">
                  <c:v>160</c:v>
                </c:pt>
                <c:pt idx="24">
                  <c:v>160</c:v>
                </c:pt>
                <c:pt idx="25">
                  <c:v>160</c:v>
                </c:pt>
                <c:pt idx="26">
                  <c:v>160</c:v>
                </c:pt>
                <c:pt idx="27">
                  <c:v>160</c:v>
                </c:pt>
                <c:pt idx="28">
                  <c:v>160</c:v>
                </c:pt>
                <c:pt idx="29">
                  <c:v>160</c:v>
                </c:pt>
                <c:pt idx="30">
                  <c:v>160</c:v>
                </c:pt>
                <c:pt idx="31">
                  <c:v>160</c:v>
                </c:pt>
                <c:pt idx="32">
                  <c:v>180</c:v>
                </c:pt>
                <c:pt idx="33">
                  <c:v>180</c:v>
                </c:pt>
                <c:pt idx="34">
                  <c:v>180</c:v>
                </c:pt>
                <c:pt idx="35">
                  <c:v>180</c:v>
                </c:pt>
                <c:pt idx="36">
                  <c:v>180</c:v>
                </c:pt>
                <c:pt idx="37">
                  <c:v>205</c:v>
                </c:pt>
                <c:pt idx="38">
                  <c:v>205</c:v>
                </c:pt>
                <c:pt idx="39">
                  <c:v>205</c:v>
                </c:pt>
                <c:pt idx="40">
                  <c:v>205</c:v>
                </c:pt>
                <c:pt idx="41">
                  <c:v>205</c:v>
                </c:pt>
                <c:pt idx="42">
                  <c:v>205</c:v>
                </c:pt>
                <c:pt idx="43">
                  <c:v>205</c:v>
                </c:pt>
                <c:pt idx="44">
                  <c:v>205</c:v>
                </c:pt>
                <c:pt idx="45">
                  <c:v>205</c:v>
                </c:pt>
                <c:pt idx="46">
                  <c:v>205</c:v>
                </c:pt>
                <c:pt idx="47">
                  <c:v>240</c:v>
                </c:pt>
                <c:pt idx="48">
                  <c:v>265</c:v>
                </c:pt>
                <c:pt idx="49">
                  <c:v>265</c:v>
                </c:pt>
              </c:numCache>
            </c:numRef>
          </c:xVal>
          <c:yVal>
            <c:numRef>
              <c:f>Results!$B$82:$B$131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0AC-476D-907E-F2BB62A8CE2C}"/>
            </c:ext>
          </c:extLst>
        </c:ser>
        <c:ser>
          <c:idx val="1"/>
          <c:order val="1"/>
          <c:tx>
            <c:v>Plan in use</c:v>
          </c:tx>
          <c:spPr>
            <a:ln w="25400">
              <a:solidFill>
                <a:srgbClr val="B45309"/>
              </a:solidFill>
              <a:prstDash val="dash"/>
            </a:ln>
          </c:spPr>
          <c:marker>
            <c:symbol val="none"/>
          </c:marker>
          <c:xVal>
            <c:numRef>
              <c:f>Results!$G$82:$G$131</c:f>
              <c:numCache>
                <c:formatCode>#,##0.00</c:formatCode>
                <c:ptCount val="50"/>
                <c:pt idx="0">
                  <c:v>133</c:v>
                </c:pt>
                <c:pt idx="1">
                  <c:v>133</c:v>
                </c:pt>
                <c:pt idx="2">
                  <c:v>133</c:v>
                </c:pt>
                <c:pt idx="3">
                  <c:v>133</c:v>
                </c:pt>
                <c:pt idx="4">
                  <c:v>133</c:v>
                </c:pt>
                <c:pt idx="5">
                  <c:v>133</c:v>
                </c:pt>
                <c:pt idx="6">
                  <c:v>133</c:v>
                </c:pt>
                <c:pt idx="7">
                  <c:v>133</c:v>
                </c:pt>
                <c:pt idx="8">
                  <c:v>133</c:v>
                </c:pt>
                <c:pt idx="9">
                  <c:v>133</c:v>
                </c:pt>
                <c:pt idx="10">
                  <c:v>133</c:v>
                </c:pt>
                <c:pt idx="11">
                  <c:v>135</c:v>
                </c:pt>
                <c:pt idx="12">
                  <c:v>135</c:v>
                </c:pt>
                <c:pt idx="13">
                  <c:v>135</c:v>
                </c:pt>
                <c:pt idx="14">
                  <c:v>145</c:v>
                </c:pt>
                <c:pt idx="15">
                  <c:v>145</c:v>
                </c:pt>
                <c:pt idx="16">
                  <c:v>145</c:v>
                </c:pt>
                <c:pt idx="17">
                  <c:v>145</c:v>
                </c:pt>
                <c:pt idx="18">
                  <c:v>145</c:v>
                </c:pt>
                <c:pt idx="19">
                  <c:v>145</c:v>
                </c:pt>
                <c:pt idx="20">
                  <c:v>145</c:v>
                </c:pt>
                <c:pt idx="21">
                  <c:v>145</c:v>
                </c:pt>
                <c:pt idx="22">
                  <c:v>145</c:v>
                </c:pt>
                <c:pt idx="23">
                  <c:v>145</c:v>
                </c:pt>
                <c:pt idx="24">
                  <c:v>150</c:v>
                </c:pt>
                <c:pt idx="25">
                  <c:v>150</c:v>
                </c:pt>
                <c:pt idx="26">
                  <c:v>150</c:v>
                </c:pt>
                <c:pt idx="27">
                  <c:v>150</c:v>
                </c:pt>
                <c:pt idx="28">
                  <c:v>150</c:v>
                </c:pt>
                <c:pt idx="29">
                  <c:v>150</c:v>
                </c:pt>
                <c:pt idx="30">
                  <c:v>150</c:v>
                </c:pt>
                <c:pt idx="31">
                  <c:v>150</c:v>
                </c:pt>
                <c:pt idx="32">
                  <c:v>150</c:v>
                </c:pt>
                <c:pt idx="33">
                  <c:v>150</c:v>
                </c:pt>
                <c:pt idx="34">
                  <c:v>170</c:v>
                </c:pt>
                <c:pt idx="35">
                  <c:v>170</c:v>
                </c:pt>
                <c:pt idx="36">
                  <c:v>170</c:v>
                </c:pt>
                <c:pt idx="37">
                  <c:v>170</c:v>
                </c:pt>
                <c:pt idx="38">
                  <c:v>170</c:v>
                </c:pt>
                <c:pt idx="39">
                  <c:v>170</c:v>
                </c:pt>
                <c:pt idx="40">
                  <c:v>180</c:v>
                </c:pt>
                <c:pt idx="41">
                  <c:v>180</c:v>
                </c:pt>
                <c:pt idx="42">
                  <c:v>180</c:v>
                </c:pt>
                <c:pt idx="43">
                  <c:v>205</c:v>
                </c:pt>
                <c:pt idx="44">
                  <c:v>205</c:v>
                </c:pt>
                <c:pt idx="45">
                  <c:v>205</c:v>
                </c:pt>
                <c:pt idx="46">
                  <c:v>205</c:v>
                </c:pt>
                <c:pt idx="47">
                  <c:v>205</c:v>
                </c:pt>
                <c:pt idx="48">
                  <c:v>230</c:v>
                </c:pt>
                <c:pt idx="49">
                  <c:v>230</c:v>
                </c:pt>
              </c:numCache>
            </c:numRef>
          </c:xVal>
          <c:yVal>
            <c:numRef>
              <c:f>Results!$B$82:$B$131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0AC-476D-907E-F2BB62A8CE2C}"/>
            </c:ext>
          </c:extLst>
        </c:ser>
        <c:ser>
          <c:idx val="2"/>
          <c:order val="2"/>
          <c:tx>
            <c:v>Budget</c:v>
          </c:tx>
          <c:spPr>
            <a:ln w="19050">
              <a:solidFill>
                <a:srgbClr val="B91C1C"/>
              </a:solidFill>
              <a:prstDash val="sysDash"/>
            </a:ln>
          </c:spPr>
          <c:marker>
            <c:symbol val="none"/>
          </c:marker>
          <c:xVal>
            <c:numRef>
              <c:f>Results!$H$82:$H$131</c:f>
              <c:numCache>
                <c:formatCode>#,##0.00</c:formatCode>
                <c:ptCount val="50"/>
                <c:pt idx="0">
                  <c:v>170</c:v>
                </c:pt>
                <c:pt idx="1">
                  <c:v>170</c:v>
                </c:pt>
                <c:pt idx="2">
                  <c:v>170</c:v>
                </c:pt>
                <c:pt idx="3">
                  <c:v>170</c:v>
                </c:pt>
                <c:pt idx="4">
                  <c:v>170</c:v>
                </c:pt>
                <c:pt idx="5">
                  <c:v>170</c:v>
                </c:pt>
                <c:pt idx="6">
                  <c:v>170</c:v>
                </c:pt>
                <c:pt idx="7">
                  <c:v>170</c:v>
                </c:pt>
                <c:pt idx="8">
                  <c:v>170</c:v>
                </c:pt>
                <c:pt idx="9">
                  <c:v>170</c:v>
                </c:pt>
                <c:pt idx="10">
                  <c:v>170</c:v>
                </c:pt>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25">
                  <c:v>170</c:v>
                </c:pt>
                <c:pt idx="26">
                  <c:v>170</c:v>
                </c:pt>
                <c:pt idx="27">
                  <c:v>170</c:v>
                </c:pt>
                <c:pt idx="28">
                  <c:v>170</c:v>
                </c:pt>
                <c:pt idx="29">
                  <c:v>170</c:v>
                </c:pt>
                <c:pt idx="30">
                  <c:v>170</c:v>
                </c:pt>
                <c:pt idx="31">
                  <c:v>170</c:v>
                </c:pt>
                <c:pt idx="32">
                  <c:v>170</c:v>
                </c:pt>
                <c:pt idx="33">
                  <c:v>170</c:v>
                </c:pt>
                <c:pt idx="34">
                  <c:v>170</c:v>
                </c:pt>
                <c:pt idx="35">
                  <c:v>170</c:v>
                </c:pt>
                <c:pt idx="36">
                  <c:v>170</c:v>
                </c:pt>
                <c:pt idx="37">
                  <c:v>170</c:v>
                </c:pt>
                <c:pt idx="38">
                  <c:v>170</c:v>
                </c:pt>
                <c:pt idx="39">
                  <c:v>170</c:v>
                </c:pt>
                <c:pt idx="40">
                  <c:v>170</c:v>
                </c:pt>
                <c:pt idx="41">
                  <c:v>170</c:v>
                </c:pt>
                <c:pt idx="42">
                  <c:v>170</c:v>
                </c:pt>
                <c:pt idx="43">
                  <c:v>170</c:v>
                </c:pt>
                <c:pt idx="44">
                  <c:v>170</c:v>
                </c:pt>
                <c:pt idx="45">
                  <c:v>170</c:v>
                </c:pt>
                <c:pt idx="46">
                  <c:v>170</c:v>
                </c:pt>
                <c:pt idx="47">
                  <c:v>170</c:v>
                </c:pt>
                <c:pt idx="48">
                  <c:v>170</c:v>
                </c:pt>
                <c:pt idx="49">
                  <c:v>170</c:v>
                </c:pt>
              </c:numCache>
            </c:numRef>
          </c:xVal>
          <c:yVal>
            <c:numRef>
              <c:f>Results!$B$82:$B$131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A0AC-476D-907E-F2BB62A8CE2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 in the busiest year of the horizon</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Results!$B$134:$B$143</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Results!$E$134:$E$143</c:f>
              <c:numCache>
                <c:formatCode>#,##0.00</c:formatCode>
                <c:ptCount val="10"/>
                <c:pt idx="0">
                  <c:v>133</c:v>
                </c:pt>
                <c:pt idx="1">
                  <c:v>150</c:v>
                </c:pt>
                <c:pt idx="2">
                  <c:v>205</c:v>
                </c:pt>
                <c:pt idx="3">
                  <c:v>145</c:v>
                </c:pt>
                <c:pt idx="4">
                  <c:v>120</c:v>
                </c:pt>
                <c:pt idx="5">
                  <c:v>65</c:v>
                </c:pt>
                <c:pt idx="6">
                  <c:v>60</c:v>
                </c:pt>
                <c:pt idx="7">
                  <c:v>0</c:v>
                </c:pt>
                <c:pt idx="8">
                  <c:v>0</c:v>
                </c:pt>
                <c:pt idx="9">
                  <c:v>0</c:v>
                </c:pt>
              </c:numCache>
            </c:numRef>
          </c:val>
          <c:smooth val="0"/>
          <c:extLst>
            <c:ext xmlns:c16="http://schemas.microsoft.com/office/drawing/2014/chart" uri="{C3380CC4-5D6E-409C-BE32-E72D297353CC}">
              <c16:uniqueId val="{00000000-54D3-4E8B-957B-7B5ED3AC1FE4}"/>
            </c:ext>
          </c:extLst>
        </c:ser>
        <c:ser>
          <c:idx val="1"/>
          <c:order val="1"/>
          <c:tx>
            <c:v>Median</c:v>
          </c:tx>
          <c:spPr>
            <a:ln w="28575">
              <a:solidFill>
                <a:srgbClr val="0E4F92"/>
              </a:solidFill>
              <a:prstDash val="solid"/>
            </a:ln>
          </c:spPr>
          <c:marker>
            <c:symbol val="none"/>
          </c:marker>
          <c:cat>
            <c:numRef>
              <c:f>Results!$B$134:$B$143</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Results!$D$134:$D$143</c:f>
              <c:numCache>
                <c:formatCode>#,##0.00</c:formatCode>
                <c:ptCount val="10"/>
                <c:pt idx="0">
                  <c:v>133</c:v>
                </c:pt>
                <c:pt idx="1">
                  <c:v>135</c:v>
                </c:pt>
                <c:pt idx="2">
                  <c:v>145</c:v>
                </c:pt>
                <c:pt idx="3">
                  <c:v>65</c:v>
                </c:pt>
                <c:pt idx="4">
                  <c:v>60</c:v>
                </c:pt>
                <c:pt idx="5">
                  <c:v>5</c:v>
                </c:pt>
                <c:pt idx="6">
                  <c:v>0</c:v>
                </c:pt>
                <c:pt idx="7">
                  <c:v>0</c:v>
                </c:pt>
                <c:pt idx="8">
                  <c:v>0</c:v>
                </c:pt>
                <c:pt idx="9">
                  <c:v>0</c:v>
                </c:pt>
              </c:numCache>
            </c:numRef>
          </c:val>
          <c:smooth val="0"/>
          <c:extLst>
            <c:ext xmlns:c16="http://schemas.microsoft.com/office/drawing/2014/chart" uri="{C3380CC4-5D6E-409C-BE32-E72D297353CC}">
              <c16:uniqueId val="{00000001-54D3-4E8B-957B-7B5ED3AC1FE4}"/>
            </c:ext>
          </c:extLst>
        </c:ser>
        <c:ser>
          <c:idx val="2"/>
          <c:order val="2"/>
          <c:tx>
            <c:v>Mean</c:v>
          </c:tx>
          <c:spPr>
            <a:ln w="19050">
              <a:solidFill>
                <a:srgbClr val="B45309"/>
              </a:solidFill>
              <a:prstDash val="solid"/>
            </a:ln>
          </c:spPr>
          <c:marker>
            <c:symbol val="none"/>
          </c:marker>
          <c:cat>
            <c:numRef>
              <c:f>Results!$B$134:$B$143</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Results!$F$134:$F$143</c:f>
              <c:numCache>
                <c:formatCode>#,##0.00</c:formatCode>
                <c:ptCount val="10"/>
                <c:pt idx="0">
                  <c:v>133</c:v>
                </c:pt>
                <c:pt idx="1">
                  <c:v>136.2635631781589</c:v>
                </c:pt>
                <c:pt idx="2">
                  <c:v>138.38716935846793</c:v>
                </c:pt>
                <c:pt idx="3">
                  <c:v>75.167758387919392</c:v>
                </c:pt>
                <c:pt idx="4">
                  <c:v>67.986399319965997</c:v>
                </c:pt>
                <c:pt idx="5">
                  <c:v>19.512725636281814</c:v>
                </c:pt>
                <c:pt idx="6">
                  <c:v>6.9603480174008698</c:v>
                </c:pt>
                <c:pt idx="7">
                  <c:v>0.30351517575878795</c:v>
                </c:pt>
                <c:pt idx="8">
                  <c:v>0</c:v>
                </c:pt>
                <c:pt idx="9">
                  <c:v>0</c:v>
                </c:pt>
              </c:numCache>
            </c:numRef>
          </c:val>
          <c:smooth val="0"/>
          <c:extLst>
            <c:ext xmlns:c16="http://schemas.microsoft.com/office/drawing/2014/chart" uri="{C3380CC4-5D6E-409C-BE32-E72D297353CC}">
              <c16:uniqueId val="{00000002-54D3-4E8B-957B-7B5ED3AC1FE4}"/>
            </c:ext>
          </c:extLst>
        </c:ser>
        <c:ser>
          <c:idx val="3"/>
          <c:order val="3"/>
          <c:tx>
            <c:v>10th percentile</c:v>
          </c:tx>
          <c:spPr>
            <a:ln w="15875">
              <a:solidFill>
                <a:srgbClr val="0E4F92"/>
              </a:solidFill>
              <a:prstDash val="dash"/>
            </a:ln>
          </c:spPr>
          <c:marker>
            <c:symbol val="none"/>
          </c:marker>
          <c:cat>
            <c:numRef>
              <c:f>Results!$B$134:$B$143</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Results!$C$134:$C$143</c:f>
              <c:numCache>
                <c:formatCode>#,##0.00</c:formatCode>
                <c:ptCount val="10"/>
                <c:pt idx="0">
                  <c:v>133</c:v>
                </c:pt>
                <c:pt idx="1">
                  <c:v>110</c:v>
                </c:pt>
                <c:pt idx="2">
                  <c:v>85</c:v>
                </c:pt>
                <c:pt idx="3">
                  <c:v>5</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3-54D3-4E8B-957B-7B5ED3AC1FE4}"/>
            </c:ext>
          </c:extLst>
        </c:ser>
        <c:ser>
          <c:idx val="4"/>
          <c:order val="4"/>
          <c:tx>
            <c:v>Budget</c:v>
          </c:tx>
          <c:spPr>
            <a:ln w="22225">
              <a:solidFill>
                <a:srgbClr val="15803D"/>
              </a:solidFill>
              <a:prstDash val="solid"/>
            </a:ln>
          </c:spPr>
          <c:marker>
            <c:symbol val="none"/>
          </c:marker>
          <c:cat>
            <c:numRef>
              <c:f>Results!$B$134:$B$143</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Results!$G$134:$G$143</c:f>
              <c:numCache>
                <c:formatCode>#,##0.00</c:formatCode>
                <c:ptCount val="10"/>
                <c:pt idx="0">
                  <c:v>170</c:v>
                </c:pt>
                <c:pt idx="1">
                  <c:v>170</c:v>
                </c:pt>
                <c:pt idx="2">
                  <c:v>170</c:v>
                </c:pt>
                <c:pt idx="3">
                  <c:v>170</c:v>
                </c:pt>
                <c:pt idx="4">
                  <c:v>170</c:v>
                </c:pt>
                <c:pt idx="5">
                  <c:v>#N/A</c:v>
                </c:pt>
                <c:pt idx="6">
                  <c:v>#N/A</c:v>
                </c:pt>
                <c:pt idx="7">
                  <c:v>#N/A</c:v>
                </c:pt>
                <c:pt idx="8">
                  <c:v>#N/A</c:v>
                </c:pt>
                <c:pt idx="9">
                  <c:v>#N/A</c:v>
                </c:pt>
              </c:numCache>
            </c:numRef>
          </c:val>
          <c:smooth val="0"/>
          <c:extLst>
            <c:ext xmlns:c16="http://schemas.microsoft.com/office/drawing/2014/chart" uri="{C3380CC4-5D6E-409C-BE32-E72D297353CC}">
              <c16:uniqueId val="{00000004-54D3-4E8B-957B-7B5ED3AC1FE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US$m a year</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232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33</xdr:row>
      <xdr:rowOff>0</xdr:rowOff>
    </xdr:from>
    <xdr:ext cx="6263999" cy="2232000"/>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47</xdr:row>
      <xdr:rowOff>0</xdr:rowOff>
    </xdr:from>
    <xdr:ext cx="6263999" cy="2520000"/>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96" t="s">
        <v>20</v>
      </c>
      <c r="C16" s="9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x14ac:dyDescent="0.45">
      <c r="B29" s="9" t="s">
        <v>25</v>
      </c>
      <c r="C29" s="10" t="s">
        <v>26</v>
      </c>
    </row>
    <row r="30" spans="2:3" ht="26.25" x14ac:dyDescent="0.45">
      <c r="B30" s="9" t="s">
        <v>27</v>
      </c>
      <c r="C30" s="10" t="s">
        <v>28</v>
      </c>
    </row>
    <row r="31" spans="2:3" ht="26.25" x14ac:dyDescent="0.45">
      <c r="B31" s="9" t="s">
        <v>29</v>
      </c>
      <c r="C31" s="10" t="s">
        <v>30</v>
      </c>
    </row>
    <row r="32" spans="2:3" ht="26.25" x14ac:dyDescent="0.45">
      <c r="B32" s="9" t="s">
        <v>31</v>
      </c>
      <c r="C32" s="10" t="s">
        <v>32</v>
      </c>
    </row>
    <row r="33" spans="2:3" ht="26.25" x14ac:dyDescent="0.45">
      <c r="B33" s="9" t="s">
        <v>33</v>
      </c>
      <c r="C33" s="10" t="s">
        <v>34</v>
      </c>
    </row>
    <row r="34" spans="2:3" ht="12" customHeight="1" x14ac:dyDescent="0.45"/>
    <row r="35" spans="2:3" ht="22.05" customHeight="1" x14ac:dyDescent="0.5">
      <c r="B35" s="7" t="s">
        <v>35</v>
      </c>
      <c r="C35" s="8"/>
    </row>
    <row r="36" spans="2:3" x14ac:dyDescent="0.45">
      <c r="B36" s="9" t="s">
        <v>36</v>
      </c>
      <c r="C36" s="10" t="s">
        <v>37</v>
      </c>
    </row>
    <row r="37" spans="2:3" ht="26.25" x14ac:dyDescent="0.45">
      <c r="B37" s="9" t="s">
        <v>38</v>
      </c>
      <c r="C37" s="10" t="s">
        <v>39</v>
      </c>
    </row>
    <row r="38" spans="2:3" ht="26.25" x14ac:dyDescent="0.45">
      <c r="B38" s="9" t="s">
        <v>40</v>
      </c>
      <c r="C38" s="10" t="s">
        <v>41</v>
      </c>
    </row>
    <row r="39" spans="2:3" x14ac:dyDescent="0.45">
      <c r="B39" s="9" t="s">
        <v>42</v>
      </c>
      <c r="C39" s="10" t="s">
        <v>43</v>
      </c>
    </row>
    <row r="40" spans="2:3" ht="12" customHeight="1" x14ac:dyDescent="0.45"/>
    <row r="41" spans="2:3" ht="22.05" customHeight="1" x14ac:dyDescent="0.5">
      <c r="B41" s="7" t="s">
        <v>44</v>
      </c>
      <c r="C41" s="8"/>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x14ac:dyDescent="0.45">
      <c r="B46" s="14" t="s">
        <v>53</v>
      </c>
      <c r="C46" s="10" t="s">
        <v>54</v>
      </c>
    </row>
    <row r="47" spans="2:3" x14ac:dyDescent="0.45">
      <c r="B47" s="14" t="s">
        <v>55</v>
      </c>
      <c r="C47" s="10" t="s">
        <v>56</v>
      </c>
    </row>
    <row r="48" spans="2:3" ht="12" customHeight="1" x14ac:dyDescent="0.45"/>
    <row r="49" spans="2:3" ht="22.05" customHeight="1" x14ac:dyDescent="0.5">
      <c r="B49" s="7" t="s">
        <v>57</v>
      </c>
      <c r="C49" s="8"/>
    </row>
    <row r="50" spans="2:3" x14ac:dyDescent="0.45">
      <c r="B50" s="15" t="s">
        <v>58</v>
      </c>
      <c r="C50" s="12" t="s">
        <v>59</v>
      </c>
    </row>
    <row r="51" spans="2:3" x14ac:dyDescent="0.45">
      <c r="B51" s="16" t="s">
        <v>60</v>
      </c>
      <c r="C51" s="12" t="s">
        <v>61</v>
      </c>
    </row>
    <row r="52" spans="2:3" x14ac:dyDescent="0.45">
      <c r="B52" s="17" t="s">
        <v>62</v>
      </c>
      <c r="C52" s="12" t="s">
        <v>63</v>
      </c>
    </row>
    <row r="53" spans="2:3" x14ac:dyDescent="0.45">
      <c r="B53" s="18" t="s">
        <v>64</v>
      </c>
      <c r="C53" s="12" t="s">
        <v>65</v>
      </c>
    </row>
    <row r="54" spans="2:3" x14ac:dyDescent="0.45">
      <c r="B54" s="19" t="s">
        <v>66</v>
      </c>
      <c r="C54" s="12" t="s">
        <v>67</v>
      </c>
    </row>
    <row r="55" spans="2:3" x14ac:dyDescent="0.45">
      <c r="B55" s="20" t="s">
        <v>68</v>
      </c>
      <c r="C55" s="12" t="s">
        <v>69</v>
      </c>
    </row>
    <row r="56" spans="2:3" ht="12" customHeight="1" x14ac:dyDescent="0.45"/>
    <row r="57" spans="2:3" ht="22.05" customHeight="1" x14ac:dyDescent="0.5">
      <c r="B57" s="7" t="s">
        <v>70</v>
      </c>
      <c r="C57" s="8"/>
    </row>
    <row r="58" spans="2:3" x14ac:dyDescent="0.45">
      <c r="B58" s="9" t="s">
        <v>71</v>
      </c>
      <c r="C58" s="10" t="s">
        <v>72</v>
      </c>
    </row>
    <row r="59" spans="2:3" x14ac:dyDescent="0.45">
      <c r="B59" s="9" t="s">
        <v>73</v>
      </c>
      <c r="C59" s="10" t="s">
        <v>74</v>
      </c>
    </row>
    <row r="60" spans="2:3" x14ac:dyDescent="0.45">
      <c r="B60" s="9" t="s">
        <v>75</v>
      </c>
      <c r="C60" s="10" t="s">
        <v>76</v>
      </c>
    </row>
    <row r="61" spans="2:3" x14ac:dyDescent="0.45">
      <c r="B61" s="9" t="s">
        <v>77</v>
      </c>
      <c r="C61" s="10" t="s">
        <v>78</v>
      </c>
    </row>
    <row r="62" spans="2:3" x14ac:dyDescent="0.45">
      <c r="B62" s="9" t="s">
        <v>79</v>
      </c>
      <c r="C62" s="10" t="s">
        <v>80</v>
      </c>
    </row>
    <row r="63" spans="2:3" ht="12" customHeight="1" x14ac:dyDescent="0.45"/>
    <row r="64" spans="2:3" ht="22.05" customHeight="1" x14ac:dyDescent="0.5">
      <c r="B64" s="7" t="s">
        <v>81</v>
      </c>
      <c r="C64" s="8"/>
    </row>
    <row r="65" spans="2:3" x14ac:dyDescent="0.45">
      <c r="B65" s="9" t="s">
        <v>82</v>
      </c>
      <c r="C65" s="10" t="s">
        <v>83</v>
      </c>
    </row>
    <row r="66" spans="2:3" x14ac:dyDescent="0.45">
      <c r="B66" s="9" t="s">
        <v>84</v>
      </c>
      <c r="C66" s="10" t="s">
        <v>85</v>
      </c>
    </row>
    <row r="67" spans="2:3" x14ac:dyDescent="0.45">
      <c r="B67" s="9" t="s">
        <v>86</v>
      </c>
      <c r="C67" s="10" t="s">
        <v>87</v>
      </c>
    </row>
    <row r="68" spans="2:3" ht="26.25" x14ac:dyDescent="0.45">
      <c r="B68" s="9" t="s">
        <v>88</v>
      </c>
      <c r="C68" s="10" t="s">
        <v>89</v>
      </c>
    </row>
    <row r="69" spans="2:3" x14ac:dyDescent="0.45">
      <c r="B69" s="9" t="s">
        <v>90</v>
      </c>
      <c r="C69" s="10" t="s">
        <v>91</v>
      </c>
    </row>
    <row r="70" spans="2:3" ht="12" customHeight="1" x14ac:dyDescent="0.45"/>
    <row r="71" spans="2:3" ht="22.05" customHeight="1" x14ac:dyDescent="0.5">
      <c r="B71" s="7" t="s">
        <v>92</v>
      </c>
      <c r="C71" s="8"/>
    </row>
    <row r="72" spans="2:3" x14ac:dyDescent="0.45">
      <c r="B72" s="21" t="s">
        <v>93</v>
      </c>
      <c r="C72" s="10" t="s">
        <v>94</v>
      </c>
    </row>
    <row r="73" spans="2:3" x14ac:dyDescent="0.45">
      <c r="B73" s="21" t="s">
        <v>95</v>
      </c>
      <c r="C73" s="10" t="s">
        <v>96</v>
      </c>
    </row>
    <row r="74" spans="2:3" x14ac:dyDescent="0.45">
      <c r="B74" s="21" t="s">
        <v>97</v>
      </c>
      <c r="C74" s="10" t="s">
        <v>98</v>
      </c>
    </row>
    <row r="75" spans="2:3" x14ac:dyDescent="0.45">
      <c r="B75" s="21" t="s">
        <v>99</v>
      </c>
      <c r="C75" s="10" t="s">
        <v>100</v>
      </c>
    </row>
    <row r="76" spans="2:3" ht="39.4" x14ac:dyDescent="0.45">
      <c r="B76" s="21" t="s">
        <v>101</v>
      </c>
      <c r="C76" s="10" t="s">
        <v>102</v>
      </c>
    </row>
    <row r="77" spans="2:3" ht="12" customHeight="1" x14ac:dyDescent="0.45"/>
    <row r="78" spans="2:3" ht="22.05" customHeight="1" x14ac:dyDescent="0.5">
      <c r="B78" s="7" t="s">
        <v>103</v>
      </c>
      <c r="C78" s="8"/>
    </row>
    <row r="79" spans="2:3" ht="26.25" x14ac:dyDescent="0.45">
      <c r="B79" s="9" t="s">
        <v>104</v>
      </c>
      <c r="C79" s="10" t="s">
        <v>105</v>
      </c>
    </row>
    <row r="80" spans="2:3" x14ac:dyDescent="0.45">
      <c r="B80" s="9" t="s">
        <v>106</v>
      </c>
      <c r="C80" s="10" t="s">
        <v>107</v>
      </c>
    </row>
    <row r="81" spans="2:3" ht="16.05" customHeight="1" x14ac:dyDescent="0.45"/>
    <row r="82" spans="2:3" x14ac:dyDescent="0.45">
      <c r="B82" s="98" t="s">
        <v>108</v>
      </c>
      <c r="C82" s="97"/>
    </row>
  </sheetData>
  <mergeCells count="2">
    <mergeCell ref="B16:C16"/>
    <mergeCell ref="B82:C82"/>
  </mergeCells>
  <hyperlinks>
    <hyperlink ref="D4" location="'Inputs'!A1" display="Next:  Inputs  ▸" xr:uid="{00000000-0004-0000-0000-000000000000}"/>
    <hyperlink ref="B42" location="'Inputs'!A1" display="Inputs" xr:uid="{00000000-0004-0000-0000-000001000000}"/>
    <hyperlink ref="B43" location="'Projects'!A1" display="Projects" xr:uid="{00000000-0004-0000-0000-000002000000}"/>
    <hyperlink ref="B44" location="'Decisions'!A1" display="Decisions" xr:uid="{00000000-0004-0000-0000-000003000000}"/>
    <hyperlink ref="B45" location="'Pipeline'!A1" display="Pipeline" xr:uid="{00000000-0004-0000-0000-000004000000}"/>
    <hyperlink ref="B46" location="'Spend'!A1" display="Spend" xr:uid="{00000000-0004-0000-0000-000005000000}"/>
    <hyperlink ref="B47" location="'Results'!A1" display="Results" xr:uid="{00000000-0004-0000-0000-000006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109</v>
      </c>
      <c r="C3" s="1"/>
      <c r="D3" s="1"/>
      <c r="E3" s="1"/>
      <c r="F3" s="1"/>
      <c r="G3" s="1"/>
      <c r="H3" s="1"/>
      <c r="I3" s="1"/>
      <c r="J3" s="1"/>
    </row>
    <row r="4" spans="1:10" ht="20" customHeight="1" x14ac:dyDescent="0.45">
      <c r="A4" s="5"/>
      <c r="B4" s="23" t="s">
        <v>110</v>
      </c>
      <c r="C4" s="5"/>
      <c r="D4" s="5"/>
      <c r="E4" s="5"/>
      <c r="F4" s="5"/>
      <c r="G4" s="5"/>
      <c r="H4" s="5"/>
      <c r="I4" s="5"/>
      <c r="J4" s="6" t="s">
        <v>111</v>
      </c>
    </row>
    <row r="5" spans="1:10" ht="8" customHeight="1" x14ac:dyDescent="0.45"/>
    <row r="6" spans="1:10" ht="20" customHeight="1" x14ac:dyDescent="0.45">
      <c r="B6" s="99" t="s">
        <v>112</v>
      </c>
      <c r="C6" s="97"/>
      <c r="D6" s="97"/>
      <c r="E6" s="97"/>
      <c r="F6" s="97"/>
      <c r="G6" s="97"/>
      <c r="H6" s="97"/>
      <c r="I6" s="97"/>
      <c r="J6" s="97"/>
    </row>
    <row r="7" spans="1:10" ht="6" customHeight="1" x14ac:dyDescent="0.45"/>
    <row r="8" spans="1:10" ht="22.05" customHeight="1" x14ac:dyDescent="0.5">
      <c r="B8" s="7" t="s">
        <v>113</v>
      </c>
      <c r="C8" s="8"/>
      <c r="D8" s="8"/>
      <c r="E8" s="8"/>
      <c r="F8" s="8"/>
      <c r="G8" s="8"/>
      <c r="H8" s="8"/>
      <c r="I8" s="8"/>
      <c r="J8" s="8"/>
    </row>
    <row r="9" spans="1:10" ht="18" customHeight="1" x14ac:dyDescent="0.45">
      <c r="B9" s="24" t="s">
        <v>114</v>
      </c>
      <c r="C9" s="24" t="s">
        <v>115</v>
      </c>
      <c r="D9" s="25" t="s">
        <v>116</v>
      </c>
      <c r="E9" s="24" t="s">
        <v>117</v>
      </c>
      <c r="F9" s="5"/>
      <c r="G9" s="5"/>
      <c r="H9" s="5"/>
      <c r="I9" s="5"/>
      <c r="J9" s="24" t="s">
        <v>118</v>
      </c>
    </row>
    <row r="10" spans="1:10" x14ac:dyDescent="0.45">
      <c r="B10" s="26" t="s">
        <v>119</v>
      </c>
      <c r="C10" s="27" t="s">
        <v>120</v>
      </c>
      <c r="D10" s="28">
        <v>170</v>
      </c>
      <c r="E10" s="27" t="s">
        <v>121</v>
      </c>
      <c r="F10" s="29"/>
      <c r="G10" s="29"/>
      <c r="H10" s="29"/>
      <c r="I10" s="29"/>
      <c r="J10" s="30" t="s">
        <v>122</v>
      </c>
    </row>
    <row r="11" spans="1:10" x14ac:dyDescent="0.45">
      <c r="B11" s="26" t="s">
        <v>123</v>
      </c>
      <c r="C11" s="27" t="s">
        <v>124</v>
      </c>
      <c r="D11" s="31">
        <v>5</v>
      </c>
      <c r="E11" s="27" t="s">
        <v>121</v>
      </c>
      <c r="F11" s="29"/>
      <c r="G11" s="29"/>
      <c r="H11" s="29"/>
      <c r="I11" s="29"/>
      <c r="J11" s="30" t="s">
        <v>125</v>
      </c>
    </row>
    <row r="12" spans="1:10" ht="23.25" x14ac:dyDescent="0.45">
      <c r="B12" s="26" t="s">
        <v>126</v>
      </c>
      <c r="C12" s="27" t="s">
        <v>127</v>
      </c>
      <c r="D12" s="32">
        <v>0.8</v>
      </c>
      <c r="E12" s="27" t="s">
        <v>121</v>
      </c>
      <c r="F12" s="29"/>
      <c r="G12" s="29"/>
      <c r="H12" s="29"/>
      <c r="I12" s="29"/>
      <c r="J12" s="30" t="s">
        <v>128</v>
      </c>
    </row>
    <row r="13" spans="1:10" x14ac:dyDescent="0.45">
      <c r="B13" s="26" t="s">
        <v>129</v>
      </c>
      <c r="C13" s="27" t="s">
        <v>130</v>
      </c>
      <c r="D13" s="33">
        <v>0.1</v>
      </c>
      <c r="E13" s="27" t="s">
        <v>121</v>
      </c>
      <c r="F13" s="29"/>
      <c r="G13" s="29"/>
      <c r="H13" s="29"/>
      <c r="I13" s="29"/>
      <c r="J13" s="30"/>
    </row>
    <row r="14" spans="1:10" ht="8" customHeight="1" x14ac:dyDescent="0.45"/>
    <row r="15" spans="1:10" ht="22.05" customHeight="1" x14ac:dyDescent="0.5">
      <c r="B15" s="7" t="s">
        <v>131</v>
      </c>
      <c r="C15" s="8"/>
      <c r="D15" s="8"/>
      <c r="E15" s="8"/>
      <c r="F15" s="8"/>
      <c r="G15" s="8"/>
      <c r="H15" s="8"/>
      <c r="I15" s="8"/>
      <c r="J15" s="8"/>
    </row>
    <row r="16" spans="1:10" ht="18" customHeight="1" x14ac:dyDescent="0.45">
      <c r="B16" s="13" t="s">
        <v>132</v>
      </c>
    </row>
    <row r="17" spans="2:10" ht="18" customHeight="1" x14ac:dyDescent="0.45">
      <c r="B17" s="24" t="s">
        <v>114</v>
      </c>
      <c r="C17" s="24" t="s">
        <v>115</v>
      </c>
      <c r="D17" s="25" t="s">
        <v>116</v>
      </c>
      <c r="E17" s="24" t="s">
        <v>117</v>
      </c>
      <c r="F17" s="5"/>
      <c r="G17" s="5"/>
      <c r="H17" s="5"/>
      <c r="I17" s="5"/>
      <c r="J17" s="24" t="s">
        <v>118</v>
      </c>
    </row>
    <row r="18" spans="2:10" x14ac:dyDescent="0.45">
      <c r="B18" s="26" t="s">
        <v>133</v>
      </c>
      <c r="C18" s="27" t="s">
        <v>134</v>
      </c>
      <c r="D18" s="34">
        <v>0.25</v>
      </c>
      <c r="E18" s="27" t="s">
        <v>121</v>
      </c>
      <c r="F18" s="29"/>
      <c r="G18" s="29"/>
      <c r="H18" s="29"/>
      <c r="I18" s="29"/>
      <c r="J18" s="30" t="s">
        <v>135</v>
      </c>
    </row>
    <row r="19" spans="2:10" x14ac:dyDescent="0.45">
      <c r="B19" s="26" t="s">
        <v>136</v>
      </c>
      <c r="C19" s="27" t="s">
        <v>134</v>
      </c>
      <c r="D19" s="34">
        <v>0.25</v>
      </c>
      <c r="E19" s="27" t="s">
        <v>121</v>
      </c>
      <c r="F19" s="29"/>
      <c r="G19" s="29"/>
      <c r="H19" s="29"/>
      <c r="I19" s="29"/>
      <c r="J19" s="30" t="s">
        <v>137</v>
      </c>
    </row>
    <row r="20" spans="2:10" ht="8" customHeight="1" x14ac:dyDescent="0.45"/>
  </sheetData>
  <mergeCells count="1">
    <mergeCell ref="B6:J6"/>
  </mergeCells>
  <dataValidations count="4">
    <dataValidation type="decimal" operator="greaterThan" showErrorMessage="1" errorTitle="Positive value" error="Enter a value greater than zero." sqref="D10" xr:uid="{00000000-0002-0000-0100-000000000000}">
      <formula1>0</formula1>
    </dataValidation>
    <dataValidation type="whole" showErrorMessage="1" errorTitle="Whole number" error="Enter a whole number from 1 to 10." sqref="D11" xr:uid="{00000000-0002-0000-0100-000001000000}">
      <formula1>1</formula1>
      <formula2>10</formula2>
    </dataValidation>
    <dataValidation type="decimal" showErrorMessage="1" errorTitle="Correlation" error="Enter a correlation between -0.99 and 0.99." sqref="D12" xr:uid="{00000000-0002-0000-0100-000002000000}">
      <formula1>-0.99</formula1>
      <formula2>0.99</formula2>
    </dataValidation>
    <dataValidation type="decimal" showErrorMessage="1" errorTitle="Probability" error="Enter a value between 0% and 100%." sqref="D13 D18:D19" xr:uid="{00000000-0002-0000-0100-000003000000}">
      <formula1>0</formula1>
      <formula2>1</formula2>
    </dataValidation>
  </dataValidations>
  <hyperlinks>
    <hyperlink ref="B4" location="'About'!A1" display="◂  About" xr:uid="{00000000-0004-0000-0100-000000000000}"/>
    <hyperlink ref="J4" location="'Projects'!A1" display="Next:  Project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K24"/>
  <sheetViews>
    <sheetView showGridLines="0" workbookViewId="0"/>
  </sheetViews>
  <sheetFormatPr defaultRowHeight="14.25" x14ac:dyDescent="0.45"/>
  <cols>
    <col min="1" max="1" width="2" customWidth="1"/>
    <col min="2" max="2" width="32" customWidth="1"/>
    <col min="3" max="3" width="26" customWidth="1"/>
    <col min="4" max="4" width="13" customWidth="1"/>
    <col min="5" max="9" width="10" customWidth="1"/>
    <col min="10" max="11" width="11" customWidth="1"/>
  </cols>
  <sheetData>
    <row r="1" spans="1:11" ht="6" customHeight="1" x14ac:dyDescent="0.45"/>
    <row r="2" spans="1:11" ht="30" customHeight="1" x14ac:dyDescent="0.45">
      <c r="A2" s="1"/>
      <c r="B2" s="22" t="s">
        <v>0</v>
      </c>
      <c r="C2" s="1"/>
      <c r="D2" s="1"/>
      <c r="E2" s="1"/>
      <c r="F2" s="1"/>
      <c r="G2" s="1"/>
      <c r="H2" s="1"/>
      <c r="I2" s="1"/>
      <c r="J2" s="1"/>
      <c r="K2" s="3" t="s">
        <v>1</v>
      </c>
    </row>
    <row r="3" spans="1:11" ht="20" customHeight="1" x14ac:dyDescent="0.45">
      <c r="A3" s="1"/>
      <c r="B3" s="4" t="s">
        <v>138</v>
      </c>
      <c r="C3" s="1"/>
      <c r="D3" s="1"/>
      <c r="E3" s="1"/>
      <c r="F3" s="1"/>
      <c r="G3" s="1"/>
      <c r="H3" s="1"/>
      <c r="I3" s="1"/>
      <c r="J3" s="1"/>
      <c r="K3" s="1"/>
    </row>
    <row r="4" spans="1:11" ht="20" customHeight="1" x14ac:dyDescent="0.45">
      <c r="A4" s="5"/>
      <c r="B4" s="23" t="s">
        <v>139</v>
      </c>
      <c r="C4" s="5"/>
      <c r="D4" s="5"/>
      <c r="E4" s="5"/>
      <c r="F4" s="5"/>
      <c r="G4" s="5"/>
      <c r="H4" s="5"/>
      <c r="I4" s="5"/>
      <c r="J4" s="5"/>
      <c r="K4" s="6" t="s">
        <v>140</v>
      </c>
    </row>
    <row r="5" spans="1:11" ht="8" customHeight="1" x14ac:dyDescent="0.45"/>
    <row r="6" spans="1:11" ht="22.05" customHeight="1" x14ac:dyDescent="0.5">
      <c r="B6" s="7" t="s">
        <v>141</v>
      </c>
      <c r="C6" s="8"/>
      <c r="D6" s="8"/>
      <c r="E6" s="8"/>
      <c r="F6" s="8"/>
      <c r="G6" s="8"/>
      <c r="H6" s="8"/>
      <c r="I6" s="8"/>
      <c r="J6" s="8"/>
      <c r="K6" s="8"/>
    </row>
    <row r="7" spans="1:11" ht="18" customHeight="1" x14ac:dyDescent="0.45">
      <c r="B7" s="13" t="s">
        <v>142</v>
      </c>
    </row>
    <row r="8" spans="1:11" ht="18" customHeight="1" x14ac:dyDescent="0.45">
      <c r="B8" s="35"/>
      <c r="C8" s="5"/>
      <c r="D8" s="5"/>
      <c r="E8" s="36" t="s">
        <v>143</v>
      </c>
      <c r="F8" s="36" t="s">
        <v>144</v>
      </c>
      <c r="G8" s="36" t="s">
        <v>145</v>
      </c>
      <c r="H8" s="36" t="s">
        <v>146</v>
      </c>
      <c r="I8" s="36" t="s">
        <v>147</v>
      </c>
      <c r="J8" s="5"/>
      <c r="K8" s="5"/>
    </row>
    <row r="9" spans="1:11" x14ac:dyDescent="0.45">
      <c r="B9" s="26" t="s">
        <v>148</v>
      </c>
      <c r="C9" s="27" t="s">
        <v>124</v>
      </c>
      <c r="D9" s="29"/>
      <c r="E9" s="31">
        <v>1</v>
      </c>
      <c r="F9" s="31">
        <v>1</v>
      </c>
      <c r="G9" s="31">
        <v>2</v>
      </c>
      <c r="H9" s="31">
        <v>3</v>
      </c>
      <c r="I9" s="31">
        <v>1</v>
      </c>
      <c r="J9" s="29"/>
      <c r="K9" s="29"/>
    </row>
    <row r="10" spans="1:11" x14ac:dyDescent="0.45">
      <c r="B10" s="26" t="s">
        <v>149</v>
      </c>
      <c r="C10" s="27" t="s">
        <v>150</v>
      </c>
      <c r="D10" s="29"/>
      <c r="E10" s="28">
        <v>8</v>
      </c>
      <c r="F10" s="28">
        <v>15</v>
      </c>
      <c r="G10" s="28">
        <v>25</v>
      </c>
      <c r="H10" s="28">
        <v>60</v>
      </c>
      <c r="I10" s="28">
        <v>5</v>
      </c>
      <c r="J10" s="29"/>
      <c r="K10" s="29"/>
    </row>
    <row r="11" spans="1:11" ht="8" customHeight="1" x14ac:dyDescent="0.45"/>
    <row r="12" spans="1:11" ht="22.05" customHeight="1" x14ac:dyDescent="0.5">
      <c r="B12" s="7" t="s">
        <v>151</v>
      </c>
      <c r="C12" s="8"/>
      <c r="D12" s="8"/>
      <c r="E12" s="8"/>
      <c r="F12" s="8"/>
      <c r="G12" s="8"/>
      <c r="H12" s="8"/>
      <c r="I12" s="8"/>
      <c r="J12" s="8"/>
      <c r="K12" s="8"/>
    </row>
    <row r="13" spans="1:11" ht="18" customHeight="1" x14ac:dyDescent="0.45">
      <c r="B13" s="13" t="s">
        <v>152</v>
      </c>
    </row>
    <row r="14" spans="1:11" ht="18" customHeight="1" x14ac:dyDescent="0.45">
      <c r="B14" s="37" t="s">
        <v>153</v>
      </c>
      <c r="C14" s="37" t="s">
        <v>154</v>
      </c>
      <c r="D14" s="37" t="s">
        <v>155</v>
      </c>
      <c r="E14" s="38" t="s">
        <v>143</v>
      </c>
      <c r="F14" s="38" t="s">
        <v>144</v>
      </c>
      <c r="G14" s="38" t="s">
        <v>145</v>
      </c>
      <c r="H14" s="38" t="s">
        <v>146</v>
      </c>
      <c r="I14" s="38" t="s">
        <v>147</v>
      </c>
      <c r="J14" s="38" t="s">
        <v>156</v>
      </c>
      <c r="K14" s="38" t="s">
        <v>157</v>
      </c>
    </row>
    <row r="15" spans="1:11" x14ac:dyDescent="0.45">
      <c r="B15" s="39"/>
      <c r="C15" s="39"/>
      <c r="D15" s="39"/>
      <c r="E15" s="39" t="s">
        <v>158</v>
      </c>
      <c r="F15" s="39"/>
      <c r="G15" s="39"/>
      <c r="H15" s="39"/>
      <c r="I15" s="39"/>
      <c r="J15" s="39" t="s">
        <v>159</v>
      </c>
      <c r="K15" s="39"/>
    </row>
    <row r="16" spans="1:11" x14ac:dyDescent="0.45">
      <c r="B16" s="26" t="s">
        <v>160</v>
      </c>
      <c r="C16" s="27" t="s">
        <v>161</v>
      </c>
      <c r="D16" s="40" t="s">
        <v>146</v>
      </c>
      <c r="E16" s="34">
        <v>0.65</v>
      </c>
      <c r="F16" s="34">
        <v>0.65</v>
      </c>
      <c r="G16" s="34">
        <v>0.35</v>
      </c>
      <c r="H16" s="34">
        <v>0.6</v>
      </c>
      <c r="I16" s="34">
        <v>0.9</v>
      </c>
      <c r="J16" s="28">
        <v>800</v>
      </c>
      <c r="K16" s="28">
        <v>2500</v>
      </c>
    </row>
    <row r="17" spans="2:11" x14ac:dyDescent="0.45">
      <c r="B17" s="26" t="s">
        <v>162</v>
      </c>
      <c r="C17" s="27" t="s">
        <v>163</v>
      </c>
      <c r="D17" s="40" t="s">
        <v>145</v>
      </c>
      <c r="E17" s="34">
        <v>0.65</v>
      </c>
      <c r="F17" s="34">
        <v>0.65</v>
      </c>
      <c r="G17" s="34">
        <v>0.35</v>
      </c>
      <c r="H17" s="34">
        <v>0.6</v>
      </c>
      <c r="I17" s="34">
        <v>0.9</v>
      </c>
      <c r="J17" s="28">
        <v>600</v>
      </c>
      <c r="K17" s="28">
        <v>2000</v>
      </c>
    </row>
    <row r="18" spans="2:11" x14ac:dyDescent="0.45">
      <c r="B18" s="26" t="s">
        <v>164</v>
      </c>
      <c r="C18" s="27" t="s">
        <v>165</v>
      </c>
      <c r="D18" s="40" t="s">
        <v>145</v>
      </c>
      <c r="E18" s="34">
        <v>0.65</v>
      </c>
      <c r="F18" s="34">
        <v>0.65</v>
      </c>
      <c r="G18" s="34">
        <v>0.35</v>
      </c>
      <c r="H18" s="34">
        <v>0.6</v>
      </c>
      <c r="I18" s="34">
        <v>0.9</v>
      </c>
      <c r="J18" s="28">
        <v>500</v>
      </c>
      <c r="K18" s="28">
        <v>1800</v>
      </c>
    </row>
    <row r="19" spans="2:11" x14ac:dyDescent="0.45">
      <c r="B19" s="26" t="s">
        <v>166</v>
      </c>
      <c r="C19" s="27" t="s">
        <v>165</v>
      </c>
      <c r="D19" s="40" t="s">
        <v>144</v>
      </c>
      <c r="E19" s="34">
        <v>0.65</v>
      </c>
      <c r="F19" s="34">
        <v>0.65</v>
      </c>
      <c r="G19" s="34">
        <v>0.35</v>
      </c>
      <c r="H19" s="34">
        <v>0.6</v>
      </c>
      <c r="I19" s="34">
        <v>0.9</v>
      </c>
      <c r="J19" s="28">
        <v>500</v>
      </c>
      <c r="K19" s="28">
        <v>1800</v>
      </c>
    </row>
    <row r="20" spans="2:11" x14ac:dyDescent="0.45">
      <c r="B20" s="26" t="s">
        <v>167</v>
      </c>
      <c r="C20" s="27" t="s">
        <v>168</v>
      </c>
      <c r="D20" s="40" t="s">
        <v>144</v>
      </c>
      <c r="E20" s="34">
        <v>0.65</v>
      </c>
      <c r="F20" s="34">
        <v>0.65</v>
      </c>
      <c r="G20" s="34">
        <v>0.25</v>
      </c>
      <c r="H20" s="34">
        <v>0.55000000000000004</v>
      </c>
      <c r="I20" s="34">
        <v>0.9</v>
      </c>
      <c r="J20" s="28">
        <v>900</v>
      </c>
      <c r="K20" s="28">
        <v>3500</v>
      </c>
    </row>
    <row r="21" spans="2:11" x14ac:dyDescent="0.45">
      <c r="B21" s="26" t="s">
        <v>169</v>
      </c>
      <c r="C21" s="27" t="s">
        <v>168</v>
      </c>
      <c r="D21" s="40" t="s">
        <v>143</v>
      </c>
      <c r="E21" s="34">
        <v>0.65</v>
      </c>
      <c r="F21" s="34">
        <v>0.65</v>
      </c>
      <c r="G21" s="34">
        <v>0.25</v>
      </c>
      <c r="H21" s="34">
        <v>0.55000000000000004</v>
      </c>
      <c r="I21" s="34">
        <v>0.9</v>
      </c>
      <c r="J21" s="28">
        <v>900</v>
      </c>
      <c r="K21" s="28">
        <v>3500</v>
      </c>
    </row>
    <row r="22" spans="2:11" x14ac:dyDescent="0.45">
      <c r="B22" s="26" t="s">
        <v>170</v>
      </c>
      <c r="C22" s="27" t="s">
        <v>171</v>
      </c>
      <c r="D22" s="40" t="s">
        <v>145</v>
      </c>
      <c r="E22" s="34">
        <v>0.65</v>
      </c>
      <c r="F22" s="34">
        <v>0.65</v>
      </c>
      <c r="G22" s="34">
        <v>0.5</v>
      </c>
      <c r="H22" s="34">
        <v>0.7</v>
      </c>
      <c r="I22" s="34">
        <v>0.95</v>
      </c>
      <c r="J22" s="28">
        <v>500</v>
      </c>
      <c r="K22" s="28">
        <v>1200</v>
      </c>
    </row>
    <row r="23" spans="2:11" x14ac:dyDescent="0.45">
      <c r="B23" s="26" t="s">
        <v>172</v>
      </c>
      <c r="C23" s="27" t="s">
        <v>163</v>
      </c>
      <c r="D23" s="40" t="s">
        <v>143</v>
      </c>
      <c r="E23" s="34">
        <v>0.65</v>
      </c>
      <c r="F23" s="34">
        <v>0.65</v>
      </c>
      <c r="G23" s="34">
        <v>0.35</v>
      </c>
      <c r="H23" s="34">
        <v>0.6</v>
      </c>
      <c r="I23" s="34">
        <v>0.9</v>
      </c>
      <c r="J23" s="28">
        <v>600</v>
      </c>
      <c r="K23" s="28">
        <v>2000</v>
      </c>
    </row>
    <row r="24" spans="2:11" x14ac:dyDescent="0.45">
      <c r="B24" s="41" t="s">
        <v>173</v>
      </c>
    </row>
  </sheetData>
  <dataValidations count="3">
    <dataValidation type="whole" showErrorMessage="1" errorTitle="Whole years" error="Enter a whole number of years from 1 to 5." sqref="E9:I9" xr:uid="{00000000-0002-0000-0200-000000000000}">
      <formula1>1</formula1>
      <formula2>5</formula2>
    </dataValidation>
    <dataValidation type="list" showErrorMessage="1" errorTitle="Stage" error="Choose a stage from the list." sqref="D16 D17 D18 D19 D20 D21 D22 D23" xr:uid="{00000000-0002-0000-0200-000001000000}">
      <formula1>"Preclinical,Phase I,Phase II,Phase III"</formula1>
    </dataValidation>
    <dataValidation type="decimal" showErrorMessage="1" errorTitle="Probability" error="Enter a value between 0% and 100%." sqref="E16:I23" xr:uid="{00000000-0002-0000-0200-000002000000}">
      <formula1>0</formula1>
      <formula2>1</formula2>
    </dataValidation>
  </dataValidations>
  <hyperlinks>
    <hyperlink ref="B4" location="'Inputs'!A1" display="◂  Inputs" xr:uid="{00000000-0004-0000-0200-000000000000}"/>
    <hyperlink ref="K4" location="'Decisions'!A1" display="Next:  Decisions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0A800"/>
    <pageSetUpPr fitToPage="1"/>
  </sheetPr>
  <dimension ref="A1:I37"/>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174</v>
      </c>
      <c r="C3" s="1"/>
      <c r="D3" s="1"/>
      <c r="E3" s="1"/>
      <c r="F3" s="1"/>
      <c r="G3" s="1"/>
      <c r="H3" s="1"/>
      <c r="I3" s="1"/>
    </row>
    <row r="4" spans="1:9" ht="20" customHeight="1" x14ac:dyDescent="0.45">
      <c r="A4" s="5"/>
      <c r="B4" s="23" t="s">
        <v>175</v>
      </c>
      <c r="C4" s="5"/>
      <c r="D4" s="5"/>
      <c r="E4" s="5"/>
      <c r="F4" s="5"/>
      <c r="G4" s="5"/>
      <c r="H4" s="5"/>
      <c r="I4" s="6" t="s">
        <v>176</v>
      </c>
    </row>
    <row r="5" spans="1:9" ht="8" customHeight="1" x14ac:dyDescent="0.45"/>
    <row r="6" spans="1:9" ht="30" customHeight="1" x14ac:dyDescent="0.45">
      <c r="B6" s="99" t="s">
        <v>177</v>
      </c>
      <c r="C6" s="97"/>
      <c r="D6" s="97"/>
      <c r="E6" s="97"/>
      <c r="F6" s="97"/>
      <c r="G6" s="97"/>
      <c r="H6" s="97"/>
      <c r="I6" s="97"/>
    </row>
    <row r="7" spans="1:9" ht="6" customHeight="1" x14ac:dyDescent="0.45"/>
    <row r="8" spans="1:9" ht="22.05" customHeight="1" x14ac:dyDescent="0.5">
      <c r="B8" s="7" t="s">
        <v>178</v>
      </c>
      <c r="C8" s="8"/>
      <c r="D8" s="8"/>
      <c r="E8" s="8"/>
      <c r="F8" s="8"/>
      <c r="G8" s="8"/>
      <c r="H8" s="8"/>
      <c r="I8" s="8"/>
    </row>
    <row r="9" spans="1:9" ht="18" customHeight="1" x14ac:dyDescent="0.45">
      <c r="B9" s="13" t="s">
        <v>179</v>
      </c>
    </row>
    <row r="10" spans="1:9" ht="18" customHeight="1" x14ac:dyDescent="0.45">
      <c r="B10" s="35" t="s">
        <v>62</v>
      </c>
      <c r="C10" s="35" t="s">
        <v>115</v>
      </c>
      <c r="D10" s="36" t="s">
        <v>180</v>
      </c>
      <c r="E10" s="36" t="s">
        <v>181</v>
      </c>
      <c r="F10" s="36" t="s">
        <v>182</v>
      </c>
      <c r="G10" s="36" t="s">
        <v>183</v>
      </c>
      <c r="H10" s="35" t="s">
        <v>184</v>
      </c>
      <c r="I10" s="35" t="s">
        <v>185</v>
      </c>
    </row>
    <row r="11" spans="1:9" x14ac:dyDescent="0.45">
      <c r="B11" s="26" t="s">
        <v>160</v>
      </c>
      <c r="C11" s="27" t="s">
        <v>186</v>
      </c>
      <c r="D11" s="42">
        <v>1</v>
      </c>
      <c r="E11" s="31">
        <v>1</v>
      </c>
      <c r="F11" s="43">
        <v>0</v>
      </c>
      <c r="G11" s="43">
        <v>1</v>
      </c>
      <c r="H11" s="27" t="s">
        <v>187</v>
      </c>
      <c r="I11" s="27" t="s">
        <v>188</v>
      </c>
    </row>
    <row r="12" spans="1:9" x14ac:dyDescent="0.45">
      <c r="B12" s="26" t="s">
        <v>162</v>
      </c>
      <c r="C12" s="27" t="s">
        <v>186</v>
      </c>
      <c r="D12" s="42">
        <v>1</v>
      </c>
      <c r="E12" s="31">
        <v>1</v>
      </c>
      <c r="F12" s="43">
        <v>0</v>
      </c>
      <c r="G12" s="43">
        <v>1</v>
      </c>
      <c r="H12" s="27" t="s">
        <v>187</v>
      </c>
      <c r="I12" s="27" t="s">
        <v>189</v>
      </c>
    </row>
    <row r="13" spans="1:9" x14ac:dyDescent="0.45">
      <c r="B13" s="26" t="s">
        <v>164</v>
      </c>
      <c r="C13" s="27" t="s">
        <v>186</v>
      </c>
      <c r="D13" s="42">
        <v>0</v>
      </c>
      <c r="E13" s="31">
        <v>1</v>
      </c>
      <c r="F13" s="43">
        <v>0</v>
      </c>
      <c r="G13" s="43">
        <v>1</v>
      </c>
      <c r="H13" s="27" t="s">
        <v>187</v>
      </c>
      <c r="I13" s="27" t="s">
        <v>190</v>
      </c>
    </row>
    <row r="14" spans="1:9" x14ac:dyDescent="0.45">
      <c r="B14" s="26" t="s">
        <v>166</v>
      </c>
      <c r="C14" s="27" t="s">
        <v>186</v>
      </c>
      <c r="D14" s="42">
        <v>0</v>
      </c>
      <c r="E14" s="31">
        <v>0</v>
      </c>
      <c r="F14" s="43">
        <v>0</v>
      </c>
      <c r="G14" s="43">
        <v>1</v>
      </c>
      <c r="H14" s="27" t="s">
        <v>187</v>
      </c>
      <c r="I14" s="27" t="s">
        <v>191</v>
      </c>
    </row>
    <row r="15" spans="1:9" x14ac:dyDescent="0.45">
      <c r="B15" s="26" t="s">
        <v>167</v>
      </c>
      <c r="C15" s="27" t="s">
        <v>186</v>
      </c>
      <c r="D15" s="42">
        <v>1</v>
      </c>
      <c r="E15" s="31">
        <v>1</v>
      </c>
      <c r="F15" s="43">
        <v>0</v>
      </c>
      <c r="G15" s="43">
        <v>1</v>
      </c>
      <c r="H15" s="27" t="s">
        <v>187</v>
      </c>
      <c r="I15" s="27" t="s">
        <v>192</v>
      </c>
    </row>
    <row r="16" spans="1:9" x14ac:dyDescent="0.45">
      <c r="B16" s="26" t="s">
        <v>169</v>
      </c>
      <c r="C16" s="27" t="s">
        <v>186</v>
      </c>
      <c r="D16" s="42">
        <v>1</v>
      </c>
      <c r="E16" s="31">
        <v>0</v>
      </c>
      <c r="F16" s="43">
        <v>0</v>
      </c>
      <c r="G16" s="43">
        <v>1</v>
      </c>
      <c r="H16" s="27" t="s">
        <v>187</v>
      </c>
      <c r="I16" s="27" t="s">
        <v>193</v>
      </c>
    </row>
    <row r="17" spans="2:9" x14ac:dyDescent="0.45">
      <c r="B17" s="26" t="s">
        <v>170</v>
      </c>
      <c r="C17" s="27" t="s">
        <v>186</v>
      </c>
      <c r="D17" s="42">
        <v>1</v>
      </c>
      <c r="E17" s="31">
        <v>1</v>
      </c>
      <c r="F17" s="43">
        <v>0</v>
      </c>
      <c r="G17" s="43">
        <v>1</v>
      </c>
      <c r="H17" s="27" t="s">
        <v>187</v>
      </c>
      <c r="I17" s="27" t="s">
        <v>194</v>
      </c>
    </row>
    <row r="18" spans="2:9" x14ac:dyDescent="0.45">
      <c r="B18" s="26" t="s">
        <v>172</v>
      </c>
      <c r="C18" s="27" t="s">
        <v>186</v>
      </c>
      <c r="D18" s="42">
        <v>0</v>
      </c>
      <c r="E18" s="31">
        <v>0</v>
      </c>
      <c r="F18" s="43">
        <v>0</v>
      </c>
      <c r="G18" s="43">
        <v>1</v>
      </c>
      <c r="H18" s="27" t="s">
        <v>187</v>
      </c>
      <c r="I18" s="27" t="s">
        <v>195</v>
      </c>
    </row>
    <row r="19" spans="2:9" ht="8" customHeight="1" x14ac:dyDescent="0.45"/>
    <row r="20" spans="2:9" ht="22.05" customHeight="1" x14ac:dyDescent="0.5">
      <c r="B20" s="7" t="s">
        <v>196</v>
      </c>
      <c r="C20" s="8"/>
      <c r="D20" s="8"/>
      <c r="E20" s="8"/>
      <c r="F20" s="8"/>
      <c r="G20" s="8"/>
      <c r="H20" s="8"/>
      <c r="I20" s="8"/>
    </row>
    <row r="21" spans="2:9" ht="18" customHeight="1" x14ac:dyDescent="0.45">
      <c r="B21" s="13" t="s">
        <v>197</v>
      </c>
    </row>
    <row r="22" spans="2:9" ht="18" customHeight="1" x14ac:dyDescent="0.45">
      <c r="B22" s="35"/>
      <c r="C22" s="35" t="s">
        <v>198</v>
      </c>
      <c r="D22" s="5"/>
      <c r="E22" s="5"/>
      <c r="F22" s="5"/>
      <c r="G22" s="36" t="s">
        <v>199</v>
      </c>
      <c r="H22" s="5"/>
      <c r="I22" s="35" t="s">
        <v>200</v>
      </c>
    </row>
    <row r="23" spans="2:9" x14ac:dyDescent="0.45">
      <c r="B23" s="44" t="s">
        <v>201</v>
      </c>
      <c r="C23" s="100" t="s">
        <v>202</v>
      </c>
      <c r="D23" s="101"/>
      <c r="E23" s="101"/>
      <c r="F23" s="101"/>
      <c r="G23" s="29"/>
      <c r="H23" s="29"/>
      <c r="I23" s="27" t="s">
        <v>203</v>
      </c>
    </row>
    <row r="24" spans="2:9" x14ac:dyDescent="0.45">
      <c r="B24" s="26" t="s">
        <v>204</v>
      </c>
      <c r="C24" s="100" t="s">
        <v>205</v>
      </c>
      <c r="D24" s="101"/>
      <c r="E24" s="101"/>
      <c r="F24" s="101"/>
      <c r="G24" s="45">
        <f>BudgetRisk</f>
        <v>0.25</v>
      </c>
      <c r="H24" s="29"/>
      <c r="I24" s="27" t="s">
        <v>206</v>
      </c>
    </row>
    <row r="25" spans="2:9" x14ac:dyDescent="0.45">
      <c r="B25" s="26" t="s">
        <v>207</v>
      </c>
      <c r="C25" s="100" t="s">
        <v>208</v>
      </c>
      <c r="D25" s="101"/>
      <c r="E25" s="101"/>
      <c r="F25" s="101"/>
      <c r="G25" s="45">
        <f>NoLaunchRisk</f>
        <v>0.25</v>
      </c>
      <c r="H25" s="29"/>
      <c r="I25" s="27" t="s">
        <v>209</v>
      </c>
    </row>
    <row r="26" spans="2:9" ht="8" customHeight="1" x14ac:dyDescent="0.45"/>
    <row r="27" spans="2:9" ht="22.05" customHeight="1" x14ac:dyDescent="0.5">
      <c r="B27" s="7" t="s">
        <v>210</v>
      </c>
      <c r="C27" s="8"/>
      <c r="D27" s="8"/>
      <c r="E27" s="8"/>
      <c r="F27" s="8"/>
      <c r="G27" s="8"/>
      <c r="H27" s="8"/>
      <c r="I27" s="8"/>
    </row>
    <row r="28" spans="2:9" ht="18" customHeight="1" x14ac:dyDescent="0.45">
      <c r="B28" s="13" t="s">
        <v>211</v>
      </c>
    </row>
    <row r="29" spans="2:9" x14ac:dyDescent="0.45">
      <c r="B29" s="26" t="s">
        <v>212</v>
      </c>
      <c r="C29" s="29"/>
      <c r="D29" s="102" t="s">
        <v>392</v>
      </c>
      <c r="E29" s="29"/>
      <c r="F29" s="29"/>
      <c r="G29" s="29"/>
      <c r="H29" s="29"/>
      <c r="I29" s="29"/>
    </row>
    <row r="30" spans="2:9" x14ac:dyDescent="0.45">
      <c r="B30" s="26" t="s">
        <v>213</v>
      </c>
      <c r="C30" s="29"/>
      <c r="D30" s="46" t="s">
        <v>391</v>
      </c>
      <c r="E30" s="29"/>
      <c r="F30" s="29"/>
      <c r="G30" s="29"/>
      <c r="H30" s="29"/>
      <c r="I30" s="29"/>
    </row>
    <row r="31" spans="2:9" x14ac:dyDescent="0.45">
      <c r="B31" s="26" t="s">
        <v>214</v>
      </c>
      <c r="C31" s="29"/>
      <c r="D31" s="47">
        <v>256</v>
      </c>
      <c r="E31" s="29"/>
      <c r="F31" s="29"/>
      <c r="G31" s="29"/>
      <c r="H31" s="29"/>
      <c r="I31" s="29"/>
    </row>
    <row r="32" spans="2:9" x14ac:dyDescent="0.45">
      <c r="B32" s="26" t="s">
        <v>215</v>
      </c>
      <c r="C32" s="29"/>
      <c r="D32" s="47">
        <v>10000</v>
      </c>
      <c r="E32" s="29"/>
      <c r="F32" s="29"/>
      <c r="G32" s="29"/>
      <c r="H32" s="29"/>
      <c r="I32" s="29"/>
    </row>
    <row r="33" spans="2:9" x14ac:dyDescent="0.45">
      <c r="B33" s="26" t="s">
        <v>216</v>
      </c>
      <c r="C33" s="29"/>
      <c r="D33" s="48">
        <v>86.3</v>
      </c>
      <c r="E33" s="29"/>
      <c r="F33" s="29"/>
      <c r="G33" s="29"/>
      <c r="H33" s="29"/>
      <c r="I33" s="29"/>
    </row>
    <row r="34" spans="2:9" x14ac:dyDescent="0.45">
      <c r="B34" s="26" t="s">
        <v>217</v>
      </c>
      <c r="C34" s="29"/>
      <c r="D34" s="46" t="s">
        <v>389</v>
      </c>
      <c r="E34" s="29"/>
      <c r="F34" s="29"/>
      <c r="G34" s="29"/>
      <c r="H34" s="29"/>
      <c r="I34" s="29"/>
    </row>
    <row r="35" spans="2:9" x14ac:dyDescent="0.45">
      <c r="B35" s="26" t="s">
        <v>218</v>
      </c>
      <c r="C35" s="29"/>
      <c r="D35" s="46" t="s">
        <v>390</v>
      </c>
      <c r="E35" s="29"/>
      <c r="F35" s="29"/>
      <c r="G35" s="29"/>
      <c r="H35" s="29"/>
      <c r="I35" s="29"/>
    </row>
    <row r="36" spans="2:9" x14ac:dyDescent="0.45">
      <c r="B36" s="26" t="s">
        <v>219</v>
      </c>
      <c r="C36" s="29"/>
      <c r="D36" s="49">
        <v>521.19261830000005</v>
      </c>
      <c r="E36" s="29"/>
      <c r="F36" s="29"/>
      <c r="G36" s="29"/>
      <c r="H36" s="29"/>
      <c r="I36" s="29"/>
    </row>
    <row r="37" spans="2:9" ht="14" customHeight="1" x14ac:dyDescent="0.45"/>
  </sheetData>
  <mergeCells count="4">
    <mergeCell ref="C24:F24"/>
    <mergeCell ref="B6:I6"/>
    <mergeCell ref="C23:F23"/>
    <mergeCell ref="C25:F25"/>
  </mergeCells>
  <dataValidations count="1">
    <dataValidation type="whole" showErrorMessage="1" errorTitle="Decision" error="Enter a whole number from 0 to 1." sqref="D11:E18" xr:uid="{00000000-0002-0000-0300-000000000000}">
      <formula1>0</formula1>
      <formula2>1</formula2>
    </dataValidation>
  </dataValidations>
  <hyperlinks>
    <hyperlink ref="B4" location="'Projects'!A1" display="◂  Projects" xr:uid="{00000000-0004-0000-0300-000000000000}"/>
    <hyperlink ref="I4" location="'Pipeline'!A1" display="Next:  Pipeline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M55"/>
  <sheetViews>
    <sheetView showGridLines="0" workbookViewId="0"/>
  </sheetViews>
  <sheetFormatPr defaultRowHeight="14.25" x14ac:dyDescent="0.45"/>
  <cols>
    <col min="1" max="1" width="2" customWidth="1"/>
    <col min="2" max="2" width="32" customWidth="1"/>
    <col min="3" max="3" width="12" customWidth="1"/>
    <col min="4" max="8" width="11" customWidth="1"/>
    <col min="9" max="9" width="3" customWidth="1"/>
    <col min="10" max="13" width="11" customWidth="1"/>
  </cols>
  <sheetData>
    <row r="1" spans="1:13" ht="6" customHeight="1" x14ac:dyDescent="0.45"/>
    <row r="2" spans="1:13" ht="30" customHeight="1" x14ac:dyDescent="0.45">
      <c r="A2" s="1"/>
      <c r="B2" s="22" t="s">
        <v>0</v>
      </c>
      <c r="C2" s="1"/>
      <c r="D2" s="1"/>
      <c r="E2" s="1"/>
      <c r="F2" s="1"/>
      <c r="G2" s="1"/>
      <c r="H2" s="1"/>
      <c r="I2" s="1"/>
      <c r="J2" s="1"/>
      <c r="K2" s="1"/>
      <c r="L2" s="1"/>
      <c r="M2" s="3" t="s">
        <v>1</v>
      </c>
    </row>
    <row r="3" spans="1:13" ht="20" customHeight="1" x14ac:dyDescent="0.45">
      <c r="A3" s="1"/>
      <c r="B3" s="4" t="s">
        <v>220</v>
      </c>
      <c r="C3" s="1"/>
      <c r="D3" s="1"/>
      <c r="E3" s="1"/>
      <c r="F3" s="1"/>
      <c r="G3" s="1"/>
      <c r="H3" s="1"/>
      <c r="I3" s="1"/>
      <c r="J3" s="1"/>
      <c r="K3" s="1"/>
      <c r="L3" s="1"/>
      <c r="M3" s="1"/>
    </row>
    <row r="4" spans="1:13" ht="20" customHeight="1" x14ac:dyDescent="0.45">
      <c r="A4" s="5"/>
      <c r="B4" s="23" t="s">
        <v>221</v>
      </c>
      <c r="C4" s="5"/>
      <c r="D4" s="5"/>
      <c r="E4" s="5"/>
      <c r="F4" s="5"/>
      <c r="G4" s="5"/>
      <c r="H4" s="5"/>
      <c r="I4" s="5"/>
      <c r="J4" s="5"/>
      <c r="K4" s="5"/>
      <c r="L4" s="5"/>
      <c r="M4" s="6" t="s">
        <v>222</v>
      </c>
    </row>
    <row r="5" spans="1:13" ht="8" customHeight="1" x14ac:dyDescent="0.45"/>
    <row r="6" spans="1:13" ht="22.05" customHeight="1" x14ac:dyDescent="0.5">
      <c r="B6" s="7" t="s">
        <v>223</v>
      </c>
      <c r="C6" s="8"/>
      <c r="D6" s="8"/>
      <c r="E6" s="8"/>
      <c r="F6" s="8"/>
      <c r="G6" s="8"/>
      <c r="H6" s="8"/>
      <c r="I6" s="8"/>
      <c r="J6" s="8"/>
      <c r="K6" s="8"/>
      <c r="L6" s="8"/>
      <c r="M6" s="8"/>
    </row>
    <row r="7" spans="1:13" ht="18" customHeight="1" x14ac:dyDescent="0.45">
      <c r="B7" s="13" t="s">
        <v>224</v>
      </c>
    </row>
    <row r="8" spans="1:13" ht="18" customHeight="1" x14ac:dyDescent="0.45">
      <c r="B8" s="35" t="s">
        <v>153</v>
      </c>
      <c r="C8" s="5"/>
      <c r="D8" s="36" t="s">
        <v>225</v>
      </c>
      <c r="E8" s="5"/>
      <c r="F8" s="35" t="s">
        <v>226</v>
      </c>
      <c r="G8" s="5"/>
      <c r="H8" s="5"/>
      <c r="I8" s="5"/>
      <c r="J8" s="5"/>
      <c r="K8" s="5"/>
      <c r="L8" s="5"/>
      <c r="M8" s="5"/>
    </row>
    <row r="9" spans="1:13" x14ac:dyDescent="0.45">
      <c r="B9" s="26" t="s">
        <v>162</v>
      </c>
      <c r="C9" s="29"/>
      <c r="D9" s="50">
        <f t="array" aca="1" ref="D9:D10" ca="1">_xll.VoseCopulaBiNormal(Rho)</f>
        <v>6.7893736034862193E-2</v>
      </c>
      <c r="E9" s="29"/>
      <c r="F9" s="27" t="s">
        <v>227</v>
      </c>
      <c r="G9" s="29"/>
      <c r="H9" s="29"/>
      <c r="I9" s="29"/>
      <c r="J9" s="29"/>
      <c r="K9" s="29"/>
      <c r="L9" s="29"/>
      <c r="M9" s="29"/>
    </row>
    <row r="10" spans="1:13" x14ac:dyDescent="0.45">
      <c r="B10" s="26" t="s">
        <v>172</v>
      </c>
      <c r="C10" s="29"/>
      <c r="D10" s="50">
        <f ca="1"/>
        <v>0.42240511848691581</v>
      </c>
      <c r="E10" s="29"/>
      <c r="F10" s="29"/>
      <c r="G10" s="29"/>
      <c r="H10" s="29"/>
      <c r="I10" s="29"/>
      <c r="J10" s="29"/>
      <c r="K10" s="29"/>
      <c r="L10" s="29"/>
      <c r="M10" s="29"/>
    </row>
    <row r="11" spans="1:13" x14ac:dyDescent="0.45">
      <c r="B11" s="26" t="s">
        <v>164</v>
      </c>
      <c r="C11" s="29"/>
      <c r="D11" s="50">
        <f t="array" aca="1" ref="D11:D12" ca="1">_xll.VoseCopulaBiNormal(Rho)</f>
        <v>0.20068338494858506</v>
      </c>
      <c r="E11" s="29"/>
      <c r="F11" s="27" t="s">
        <v>228</v>
      </c>
      <c r="G11" s="29"/>
      <c r="H11" s="29"/>
      <c r="I11" s="29"/>
      <c r="J11" s="29"/>
      <c r="K11" s="29"/>
      <c r="L11" s="29"/>
      <c r="M11" s="29"/>
    </row>
    <row r="12" spans="1:13" x14ac:dyDescent="0.45">
      <c r="B12" s="26" t="s">
        <v>166</v>
      </c>
      <c r="C12" s="29"/>
      <c r="D12" s="50">
        <f ca="1"/>
        <v>0.30871420442178954</v>
      </c>
      <c r="E12" s="29"/>
      <c r="F12" s="29"/>
      <c r="G12" s="29"/>
      <c r="H12" s="29"/>
      <c r="I12" s="29"/>
      <c r="J12" s="29"/>
      <c r="K12" s="29"/>
      <c r="L12" s="29"/>
      <c r="M12" s="29"/>
    </row>
    <row r="13" spans="1:13" x14ac:dyDescent="0.45">
      <c r="B13" s="26" t="s">
        <v>167</v>
      </c>
      <c r="C13" s="29"/>
      <c r="D13" s="50">
        <f t="array" aca="1" ref="D13:D14" ca="1">_xll.VoseCopulaBiNormal(Rho)</f>
        <v>0.16422637714217536</v>
      </c>
      <c r="E13" s="29"/>
      <c r="F13" s="27" t="s">
        <v>229</v>
      </c>
      <c r="G13" s="29"/>
      <c r="H13" s="29"/>
      <c r="I13" s="29"/>
      <c r="J13" s="29"/>
      <c r="K13" s="29"/>
      <c r="L13" s="29"/>
      <c r="M13" s="29"/>
    </row>
    <row r="14" spans="1:13" x14ac:dyDescent="0.45">
      <c r="B14" s="26" t="s">
        <v>169</v>
      </c>
      <c r="C14" s="29"/>
      <c r="D14" s="50">
        <f ca="1"/>
        <v>0.30728221631470426</v>
      </c>
      <c r="E14" s="29"/>
      <c r="F14" s="29"/>
      <c r="G14" s="29"/>
      <c r="H14" s="29"/>
      <c r="I14" s="29"/>
      <c r="J14" s="29"/>
      <c r="K14" s="29"/>
      <c r="L14" s="29"/>
      <c r="M14" s="29"/>
    </row>
    <row r="15" spans="1:13" ht="8" customHeight="1" x14ac:dyDescent="0.45"/>
    <row r="16" spans="1:13" ht="22.05" customHeight="1" x14ac:dyDescent="0.5">
      <c r="B16" s="7" t="s">
        <v>230</v>
      </c>
      <c r="C16" s="8"/>
      <c r="D16" s="8"/>
      <c r="E16" s="8"/>
      <c r="F16" s="8"/>
      <c r="G16" s="8"/>
      <c r="H16" s="8"/>
      <c r="I16" s="8"/>
      <c r="J16" s="8"/>
      <c r="K16" s="8"/>
      <c r="L16" s="8"/>
      <c r="M16" s="8"/>
    </row>
    <row r="17" spans="2:13" ht="18" customHeight="1" x14ac:dyDescent="0.45">
      <c r="B17" s="13" t="s">
        <v>231</v>
      </c>
    </row>
    <row r="18" spans="2:13" ht="18" customHeight="1" x14ac:dyDescent="0.45">
      <c r="B18" s="35" t="s">
        <v>153</v>
      </c>
      <c r="C18" s="36" t="s">
        <v>155</v>
      </c>
      <c r="D18" s="36" t="s">
        <v>143</v>
      </c>
      <c r="E18" s="36" t="s">
        <v>144</v>
      </c>
      <c r="F18" s="36" t="s">
        <v>145</v>
      </c>
      <c r="G18" s="36" t="s">
        <v>146</v>
      </c>
      <c r="H18" s="36" t="s">
        <v>147</v>
      </c>
      <c r="I18" s="5"/>
      <c r="J18" s="36" t="s">
        <v>232</v>
      </c>
      <c r="K18" s="36" t="s">
        <v>233</v>
      </c>
      <c r="L18" s="5"/>
      <c r="M18" s="5"/>
    </row>
    <row r="19" spans="2:13" x14ac:dyDescent="0.45">
      <c r="B19" s="51" t="s">
        <v>234</v>
      </c>
      <c r="C19" s="29"/>
      <c r="D19" s="52">
        <v>1</v>
      </c>
      <c r="E19" s="52">
        <v>2</v>
      </c>
      <c r="F19" s="52">
        <v>3</v>
      </c>
      <c r="G19" s="52">
        <v>4</v>
      </c>
      <c r="H19" s="52">
        <v>5</v>
      </c>
      <c r="I19" s="29"/>
      <c r="J19" s="29"/>
      <c r="K19" s="29"/>
      <c r="L19" s="29"/>
      <c r="M19" s="29"/>
    </row>
    <row r="20" spans="2:13" x14ac:dyDescent="0.45">
      <c r="B20" s="26" t="s">
        <v>160</v>
      </c>
      <c r="C20" s="43">
        <f>MATCH(Projects!$D$16,Projects!$E$8:$I$8,0)</f>
        <v>4</v>
      </c>
      <c r="D20" s="53" cm="1">
        <f t="array" ref="D20">IF(D$19&lt;$C20,1,_xll.VoseBernoulli(Projects!E$16))</f>
        <v>1</v>
      </c>
      <c r="E20" s="53" cm="1">
        <f t="array" ref="E20">IF(E$19&lt;$C20,1,_xll.VoseBernoulli(Projects!F$16))</f>
        <v>1</v>
      </c>
      <c r="F20" s="53" cm="1">
        <f t="array" ref="F20">IF(F$19&lt;$C20,1,_xll.VoseBernoulli(Projects!G$16))</f>
        <v>1</v>
      </c>
      <c r="G20" s="53" cm="1">
        <f t="array" aca="1" ref="G20" ca="1">IF(G$19&lt;$C20,1,_xll.VoseBernoulli(Projects!H$16))</f>
        <v>1</v>
      </c>
      <c r="H20" s="53" cm="1">
        <f t="array" aca="1" ref="H20" ca="1">IF(H$19&lt;$C20,1,_xll.VoseBernoulli(Projects!I$16))</f>
        <v>1</v>
      </c>
      <c r="I20" s="29"/>
      <c r="J20" s="43">
        <f t="shared" ref="J20:J27" ca="1" si="0">IFERROR(MATCH(0,D20:H20,0),5)</f>
        <v>5</v>
      </c>
      <c r="K20" s="43" cm="1">
        <f t="array" aca="1" ref="K20" ca="1">INDEX(D20:H20,J20)</f>
        <v>1</v>
      </c>
      <c r="L20" s="29"/>
      <c r="M20" s="29"/>
    </row>
    <row r="21" spans="2:13" x14ac:dyDescent="0.45">
      <c r="B21" s="26" t="s">
        <v>162</v>
      </c>
      <c r="C21" s="43">
        <f>MATCH(Projects!$D$17,Projects!$E$8:$I$8,0)</f>
        <v>3</v>
      </c>
      <c r="D21" s="53" cm="1">
        <f t="array" ref="D21">IF(D$19&lt;$C21,1,_xll.VoseBernoulli(Projects!E$17))</f>
        <v>1</v>
      </c>
      <c r="E21" s="53" cm="1">
        <f t="array" ref="E21">IF(E$19&lt;$C21,1,_xll.VoseBernoulli(Projects!F$17))</f>
        <v>1</v>
      </c>
      <c r="F21" s="53" cm="1">
        <f t="array" aca="1" ref="F21" ca="1">IF(F$19&lt;$C21,1,_xll.VoseBernoulli(Projects!G$17,U_B))</f>
        <v>0</v>
      </c>
      <c r="G21" s="53" cm="1">
        <f t="array" aca="1" ref="G21" ca="1">IF(G$19&lt;$C21,1,_xll.VoseBernoulli(Projects!H$17))</f>
        <v>0</v>
      </c>
      <c r="H21" s="53" cm="1">
        <f t="array" aca="1" ref="H21" ca="1">IF(H$19&lt;$C21,1,_xll.VoseBernoulli(Projects!I$17))</f>
        <v>1</v>
      </c>
      <c r="I21" s="29"/>
      <c r="J21" s="43">
        <f t="shared" ca="1" si="0"/>
        <v>3</v>
      </c>
      <c r="K21" s="43" cm="1">
        <f t="array" aca="1" ref="K21" ca="1">INDEX(D21:H21,J21)</f>
        <v>0</v>
      </c>
      <c r="L21" s="29"/>
      <c r="M21" s="29"/>
    </row>
    <row r="22" spans="2:13" x14ac:dyDescent="0.45">
      <c r="B22" s="26" t="s">
        <v>164</v>
      </c>
      <c r="C22" s="43">
        <f>MATCH(Projects!$D$18,Projects!$E$8:$I$8,0)</f>
        <v>3</v>
      </c>
      <c r="D22" s="53" cm="1">
        <f t="array" ref="D22">IF(D$19&lt;$C22,1,_xll.VoseBernoulli(Projects!E$18))</f>
        <v>1</v>
      </c>
      <c r="E22" s="53" cm="1">
        <f t="array" ref="E22">IF(E$19&lt;$C22,1,_xll.VoseBernoulli(Projects!F$18))</f>
        <v>1</v>
      </c>
      <c r="F22" s="53" cm="1">
        <f t="array" aca="1" ref="F22" ca="1">IF(F$19&lt;$C22,1,_xll.VoseBernoulli(Projects!G$18,U_C))</f>
        <v>0</v>
      </c>
      <c r="G22" s="53" cm="1">
        <f t="array" aca="1" ref="G22" ca="1">IF(G$19&lt;$C22,1,_xll.VoseBernoulli(Projects!H$18))</f>
        <v>0</v>
      </c>
      <c r="H22" s="53" cm="1">
        <f t="array" aca="1" ref="H22" ca="1">IF(H$19&lt;$C22,1,_xll.VoseBernoulli(Projects!I$18))</f>
        <v>1</v>
      </c>
      <c r="I22" s="29"/>
      <c r="J22" s="43">
        <f t="shared" ca="1" si="0"/>
        <v>3</v>
      </c>
      <c r="K22" s="43" cm="1">
        <f t="array" aca="1" ref="K22" ca="1">INDEX(D22:H22,J22)</f>
        <v>0</v>
      </c>
      <c r="L22" s="29"/>
      <c r="M22" s="29"/>
    </row>
    <row r="23" spans="2:13" x14ac:dyDescent="0.45">
      <c r="B23" s="26" t="s">
        <v>166</v>
      </c>
      <c r="C23" s="43">
        <f>MATCH(Projects!$D$19,Projects!$E$8:$I$8,0)</f>
        <v>2</v>
      </c>
      <c r="D23" s="53" cm="1">
        <f t="array" ref="D23">IF(D$19&lt;$C23,1,_xll.VoseBernoulli(Projects!E$19))</f>
        <v>1</v>
      </c>
      <c r="E23" s="53" cm="1">
        <f t="array" aca="1" ref="E23" ca="1">IF(E$19&lt;$C23,1,_xll.VoseBernoulli(Projects!F$19))</f>
        <v>1</v>
      </c>
      <c r="F23" s="53" cm="1">
        <f t="array" aca="1" ref="F23" ca="1">IF(F$19&lt;$C23,1,_xll.VoseBernoulli(Projects!G$19,U_D))</f>
        <v>0</v>
      </c>
      <c r="G23" s="53" cm="1">
        <f t="array" aca="1" ref="G23" ca="1">IF(G$19&lt;$C23,1,_xll.VoseBernoulli(Projects!H$19))</f>
        <v>0</v>
      </c>
      <c r="H23" s="53" cm="1">
        <f t="array" aca="1" ref="H23" ca="1">IF(H$19&lt;$C23,1,_xll.VoseBernoulli(Projects!I$19))</f>
        <v>1</v>
      </c>
      <c r="I23" s="29"/>
      <c r="J23" s="43">
        <f t="shared" ca="1" si="0"/>
        <v>3</v>
      </c>
      <c r="K23" s="43" cm="1">
        <f t="array" aca="1" ref="K23" ca="1">INDEX(D23:H23,J23)</f>
        <v>0</v>
      </c>
      <c r="L23" s="29"/>
      <c r="M23" s="29"/>
    </row>
    <row r="24" spans="2:13" x14ac:dyDescent="0.45">
      <c r="B24" s="26" t="s">
        <v>167</v>
      </c>
      <c r="C24" s="43">
        <f>MATCH(Projects!$D$20,Projects!$E$8:$I$8,0)</f>
        <v>2</v>
      </c>
      <c r="D24" s="53" cm="1">
        <f t="array" ref="D24">IF(D$19&lt;$C24,1,_xll.VoseBernoulli(Projects!E$20))</f>
        <v>1</v>
      </c>
      <c r="E24" s="53" cm="1">
        <f t="array" aca="1" ref="E24" ca="1">IF(E$19&lt;$C24,1,_xll.VoseBernoulli(Projects!F$20))</f>
        <v>1</v>
      </c>
      <c r="F24" s="53" cm="1">
        <f t="array" aca="1" ref="F24" ca="1">IF(F$19&lt;$C24,1,_xll.VoseBernoulli(Projects!G$20,U_E))</f>
        <v>0</v>
      </c>
      <c r="G24" s="53" cm="1">
        <f t="array" aca="1" ref="G24" ca="1">IF(G$19&lt;$C24,1,_xll.VoseBernoulli(Projects!H$20))</f>
        <v>0</v>
      </c>
      <c r="H24" s="53" cm="1">
        <f t="array" aca="1" ref="H24" ca="1">IF(H$19&lt;$C24,1,_xll.VoseBernoulli(Projects!I$20))</f>
        <v>1</v>
      </c>
      <c r="I24" s="29"/>
      <c r="J24" s="43">
        <f t="shared" ca="1" si="0"/>
        <v>3</v>
      </c>
      <c r="K24" s="43" cm="1">
        <f t="array" aca="1" ref="K24" ca="1">INDEX(D24:H24,J24)</f>
        <v>0</v>
      </c>
      <c r="L24" s="29"/>
      <c r="M24" s="29"/>
    </row>
    <row r="25" spans="2:13" x14ac:dyDescent="0.45">
      <c r="B25" s="26" t="s">
        <v>169</v>
      </c>
      <c r="C25" s="43">
        <f>MATCH(Projects!$D$21,Projects!$E$8:$I$8,0)</f>
        <v>1</v>
      </c>
      <c r="D25" s="53" cm="1">
        <f t="array" aca="1" ref="D25" ca="1">IF(D$19&lt;$C25,1,_xll.VoseBernoulli(Projects!E$21))</f>
        <v>1</v>
      </c>
      <c r="E25" s="53" cm="1">
        <f t="array" aca="1" ref="E25" ca="1">IF(E$19&lt;$C25,1,_xll.VoseBernoulli(Projects!F$21))</f>
        <v>1</v>
      </c>
      <c r="F25" s="53" cm="1">
        <f t="array" aca="1" ref="F25" ca="1">IF(F$19&lt;$C25,1,_xll.VoseBernoulli(Projects!G$21,U_F))</f>
        <v>0</v>
      </c>
      <c r="G25" s="53" cm="1">
        <f t="array" aca="1" ref="G25" ca="1">IF(G$19&lt;$C25,1,_xll.VoseBernoulli(Projects!H$21))</f>
        <v>1</v>
      </c>
      <c r="H25" s="53" cm="1">
        <f t="array" aca="1" ref="H25" ca="1">IF(H$19&lt;$C25,1,_xll.VoseBernoulli(Projects!I$21))</f>
        <v>1</v>
      </c>
      <c r="I25" s="29"/>
      <c r="J25" s="43">
        <f t="shared" ca="1" si="0"/>
        <v>3</v>
      </c>
      <c r="K25" s="43" cm="1">
        <f t="array" aca="1" ref="K25" ca="1">INDEX(D25:H25,J25)</f>
        <v>0</v>
      </c>
      <c r="L25" s="29"/>
      <c r="M25" s="29"/>
    </row>
    <row r="26" spans="2:13" x14ac:dyDescent="0.45">
      <c r="B26" s="26" t="s">
        <v>170</v>
      </c>
      <c r="C26" s="43">
        <f>MATCH(Projects!$D$22,Projects!$E$8:$I$8,0)</f>
        <v>3</v>
      </c>
      <c r="D26" s="53" cm="1">
        <f t="array" ref="D26">IF(D$19&lt;$C26,1,_xll.VoseBernoulli(Projects!E$22))</f>
        <v>1</v>
      </c>
      <c r="E26" s="53" cm="1">
        <f t="array" ref="E26">IF(E$19&lt;$C26,1,_xll.VoseBernoulli(Projects!F$22))</f>
        <v>1</v>
      </c>
      <c r="F26" s="53" cm="1">
        <f t="array" aca="1" ref="F26" ca="1">IF(F$19&lt;$C26,1,_xll.VoseBernoulli(Projects!G$22))</f>
        <v>1</v>
      </c>
      <c r="G26" s="53" cm="1">
        <f t="array" aca="1" ref="G26" ca="1">IF(G$19&lt;$C26,1,_xll.VoseBernoulli(Projects!H$22))</f>
        <v>0</v>
      </c>
      <c r="H26" s="53" cm="1">
        <f t="array" aca="1" ref="H26" ca="1">IF(H$19&lt;$C26,1,_xll.VoseBernoulli(Projects!I$22))</f>
        <v>1</v>
      </c>
      <c r="I26" s="29"/>
      <c r="J26" s="43">
        <f t="shared" ca="1" si="0"/>
        <v>4</v>
      </c>
      <c r="K26" s="43" cm="1">
        <f t="array" aca="1" ref="K26" ca="1">INDEX(D26:H26,J26)</f>
        <v>0</v>
      </c>
      <c r="L26" s="29"/>
      <c r="M26" s="29"/>
    </row>
    <row r="27" spans="2:13" x14ac:dyDescent="0.45">
      <c r="B27" s="26" t="s">
        <v>172</v>
      </c>
      <c r="C27" s="43">
        <f>MATCH(Projects!$D$23,Projects!$E$8:$I$8,0)</f>
        <v>1</v>
      </c>
      <c r="D27" s="53" cm="1">
        <f t="array" aca="1" ref="D27" ca="1">IF(D$19&lt;$C27,1,_xll.VoseBernoulli(Projects!E$23))</f>
        <v>1</v>
      </c>
      <c r="E27" s="53" cm="1">
        <f t="array" aca="1" ref="E27" ca="1">IF(E$19&lt;$C27,1,_xll.VoseBernoulli(Projects!F$23))</f>
        <v>1</v>
      </c>
      <c r="F27" s="53" cm="1">
        <f t="array" aca="1" ref="F27" ca="1">IF(F$19&lt;$C27,1,_xll.VoseBernoulli(Projects!G$23,U_H))</f>
        <v>0</v>
      </c>
      <c r="G27" s="53" cm="1">
        <f t="array" aca="1" ref="G27" ca="1">IF(G$19&lt;$C27,1,_xll.VoseBernoulli(Projects!H$23))</f>
        <v>0</v>
      </c>
      <c r="H27" s="53" cm="1">
        <f t="array" aca="1" ref="H27" ca="1">IF(H$19&lt;$C27,1,_xll.VoseBernoulli(Projects!I$23))</f>
        <v>1</v>
      </c>
      <c r="I27" s="29"/>
      <c r="J27" s="43">
        <f t="shared" ca="1" si="0"/>
        <v>3</v>
      </c>
      <c r="K27" s="43" cm="1">
        <f t="array" aca="1" ref="K27" ca="1">INDEX(D27:H27,J27)</f>
        <v>0</v>
      </c>
      <c r="L27" s="29"/>
      <c r="M27" s="29"/>
    </row>
    <row r="28" spans="2:13" x14ac:dyDescent="0.45">
      <c r="B28" s="41" t="s">
        <v>235</v>
      </c>
    </row>
    <row r="29" spans="2:13" ht="8" customHeight="1" x14ac:dyDescent="0.45"/>
    <row r="30" spans="2:13" ht="22.05" customHeight="1" x14ac:dyDescent="0.5">
      <c r="B30" s="7" t="s">
        <v>236</v>
      </c>
      <c r="C30" s="8"/>
      <c r="D30" s="8"/>
      <c r="E30" s="8"/>
      <c r="F30" s="8"/>
      <c r="G30" s="8"/>
      <c r="H30" s="8"/>
      <c r="I30" s="8"/>
      <c r="J30" s="8"/>
      <c r="K30" s="8"/>
      <c r="L30" s="8"/>
      <c r="M30" s="8"/>
    </row>
    <row r="31" spans="2:13" ht="18" customHeight="1" x14ac:dyDescent="0.45">
      <c r="B31" s="13" t="s">
        <v>237</v>
      </c>
    </row>
    <row r="32" spans="2:13" ht="18" customHeight="1" x14ac:dyDescent="0.45">
      <c r="B32" s="35" t="s">
        <v>153</v>
      </c>
      <c r="C32" s="36" t="s">
        <v>238</v>
      </c>
      <c r="D32" s="36" t="s">
        <v>143</v>
      </c>
      <c r="E32" s="36" t="s">
        <v>144</v>
      </c>
      <c r="F32" s="36" t="s">
        <v>145</v>
      </c>
      <c r="G32" s="36" t="s">
        <v>146</v>
      </c>
      <c r="H32" s="36" t="s">
        <v>147</v>
      </c>
      <c r="I32" s="5"/>
      <c r="J32" s="36" t="s">
        <v>239</v>
      </c>
      <c r="K32" s="36" t="s">
        <v>240</v>
      </c>
      <c r="L32" s="5"/>
      <c r="M32" s="5"/>
    </row>
    <row r="33" spans="2:13" x14ac:dyDescent="0.45">
      <c r="B33" s="51" t="s">
        <v>234</v>
      </c>
      <c r="C33" s="29"/>
      <c r="D33" s="52">
        <v>1</v>
      </c>
      <c r="E33" s="52">
        <v>2</v>
      </c>
      <c r="F33" s="52">
        <v>3</v>
      </c>
      <c r="G33" s="52">
        <v>4</v>
      </c>
      <c r="H33" s="52">
        <v>5</v>
      </c>
      <c r="I33" s="29"/>
      <c r="J33" s="29"/>
      <c r="K33" s="29"/>
      <c r="L33" s="29"/>
      <c r="M33" s="29"/>
    </row>
    <row r="34" spans="2:13" x14ac:dyDescent="0.45">
      <c r="B34" s="26" t="s">
        <v>160</v>
      </c>
      <c r="C34" s="43">
        <v>0</v>
      </c>
      <c r="D34" s="54">
        <f>IF(D$33&lt;$C20,-99,MAX(0,C34)+Projects!E$9)</f>
        <v>-99</v>
      </c>
      <c r="E34" s="54">
        <f>IF(E$33&lt;$C20,-99,MAX(0,D34)+Projects!F$9)</f>
        <v>-99</v>
      </c>
      <c r="F34" s="54">
        <f>IF(F$33&lt;$C20,-99,MAX(0,E34)+Projects!G$9)</f>
        <v>-99</v>
      </c>
      <c r="G34" s="54">
        <f>IF(G$33&lt;$C20,-99,MAX(0,F34)+Projects!H$9)</f>
        <v>3</v>
      </c>
      <c r="H34" s="54">
        <f>IF(H$33&lt;$C20,-99,MAX(0,G34)+Projects!I$9)</f>
        <v>4</v>
      </c>
      <c r="I34" s="29"/>
      <c r="J34" s="55" cm="1">
        <f t="array" aca="1" ref="J34" ca="1">INDEX(D34:H34,J20)</f>
        <v>4</v>
      </c>
      <c r="K34" s="55">
        <f t="shared" ref="K34:K41" si="1">H34</f>
        <v>4</v>
      </c>
      <c r="L34" s="29"/>
      <c r="M34" s="29"/>
    </row>
    <row r="35" spans="2:13" x14ac:dyDescent="0.45">
      <c r="B35" s="26" t="s">
        <v>162</v>
      </c>
      <c r="C35" s="43">
        <v>0</v>
      </c>
      <c r="D35" s="54">
        <f>IF(D$33&lt;$C21,-99,MAX(0,C35)+Projects!E$9)</f>
        <v>-99</v>
      </c>
      <c r="E35" s="54">
        <f>IF(E$33&lt;$C21,-99,MAX(0,D35)+Projects!F$9)</f>
        <v>-99</v>
      </c>
      <c r="F35" s="54">
        <f>IF(F$33&lt;$C21,-99,MAX(0,E35)+Projects!G$9)</f>
        <v>2</v>
      </c>
      <c r="G35" s="54">
        <f>IF(G$33&lt;$C21,-99,MAX(0,F35)+Projects!H$9)</f>
        <v>5</v>
      </c>
      <c r="H35" s="54">
        <f>IF(H$33&lt;$C21,-99,MAX(0,G35)+Projects!I$9)</f>
        <v>6</v>
      </c>
      <c r="I35" s="29"/>
      <c r="J35" s="55" cm="1">
        <f t="array" aca="1" ref="J35" ca="1">INDEX(D35:H35,J21)</f>
        <v>2</v>
      </c>
      <c r="K35" s="55">
        <f t="shared" si="1"/>
        <v>6</v>
      </c>
      <c r="L35" s="29"/>
      <c r="M35" s="29"/>
    </row>
    <row r="36" spans="2:13" x14ac:dyDescent="0.45">
      <c r="B36" s="26" t="s">
        <v>164</v>
      </c>
      <c r="C36" s="43">
        <v>0</v>
      </c>
      <c r="D36" s="54">
        <f>IF(D$33&lt;$C22,-99,MAX(0,C36)+Projects!E$9)</f>
        <v>-99</v>
      </c>
      <c r="E36" s="54">
        <f>IF(E$33&lt;$C22,-99,MAX(0,D36)+Projects!F$9)</f>
        <v>-99</v>
      </c>
      <c r="F36" s="54">
        <f>IF(F$33&lt;$C22,-99,MAX(0,E36)+Projects!G$9)</f>
        <v>2</v>
      </c>
      <c r="G36" s="54">
        <f>IF(G$33&lt;$C22,-99,MAX(0,F36)+Projects!H$9)</f>
        <v>5</v>
      </c>
      <c r="H36" s="54">
        <f>IF(H$33&lt;$C22,-99,MAX(0,G36)+Projects!I$9)</f>
        <v>6</v>
      </c>
      <c r="I36" s="29"/>
      <c r="J36" s="55" cm="1">
        <f t="array" aca="1" ref="J36" ca="1">INDEX(D36:H36,J22)</f>
        <v>2</v>
      </c>
      <c r="K36" s="55">
        <f t="shared" si="1"/>
        <v>6</v>
      </c>
      <c r="L36" s="29"/>
      <c r="M36" s="29"/>
    </row>
    <row r="37" spans="2:13" x14ac:dyDescent="0.45">
      <c r="B37" s="26" t="s">
        <v>166</v>
      </c>
      <c r="C37" s="43">
        <v>0</v>
      </c>
      <c r="D37" s="54">
        <f>IF(D$33&lt;$C23,-99,MAX(0,C37)+Projects!E$9)</f>
        <v>-99</v>
      </c>
      <c r="E37" s="54">
        <f>IF(E$33&lt;$C23,-99,MAX(0,D37)+Projects!F$9)</f>
        <v>1</v>
      </c>
      <c r="F37" s="54">
        <f>IF(F$33&lt;$C23,-99,MAX(0,E37)+Projects!G$9)</f>
        <v>3</v>
      </c>
      <c r="G37" s="54">
        <f>IF(G$33&lt;$C23,-99,MAX(0,F37)+Projects!H$9)</f>
        <v>6</v>
      </c>
      <c r="H37" s="54">
        <f>IF(H$33&lt;$C23,-99,MAX(0,G37)+Projects!I$9)</f>
        <v>7</v>
      </c>
      <c r="I37" s="29"/>
      <c r="J37" s="55" cm="1">
        <f t="array" aca="1" ref="J37" ca="1">INDEX(D37:H37,J23)</f>
        <v>3</v>
      </c>
      <c r="K37" s="55">
        <f t="shared" si="1"/>
        <v>7</v>
      </c>
      <c r="L37" s="29"/>
      <c r="M37" s="29"/>
    </row>
    <row r="38" spans="2:13" x14ac:dyDescent="0.45">
      <c r="B38" s="26" t="s">
        <v>167</v>
      </c>
      <c r="C38" s="43">
        <v>0</v>
      </c>
      <c r="D38" s="54">
        <f>IF(D$33&lt;$C24,-99,MAX(0,C38)+Projects!E$9)</f>
        <v>-99</v>
      </c>
      <c r="E38" s="54">
        <f>IF(E$33&lt;$C24,-99,MAX(0,D38)+Projects!F$9)</f>
        <v>1</v>
      </c>
      <c r="F38" s="54">
        <f>IF(F$33&lt;$C24,-99,MAX(0,E38)+Projects!G$9)</f>
        <v>3</v>
      </c>
      <c r="G38" s="54">
        <f>IF(G$33&lt;$C24,-99,MAX(0,F38)+Projects!H$9)</f>
        <v>6</v>
      </c>
      <c r="H38" s="54">
        <f>IF(H$33&lt;$C24,-99,MAX(0,G38)+Projects!I$9)</f>
        <v>7</v>
      </c>
      <c r="I38" s="29"/>
      <c r="J38" s="55" cm="1">
        <f t="array" aca="1" ref="J38" ca="1">INDEX(D38:H38,J24)</f>
        <v>3</v>
      </c>
      <c r="K38" s="55">
        <f t="shared" si="1"/>
        <v>7</v>
      </c>
      <c r="L38" s="29"/>
      <c r="M38" s="29"/>
    </row>
    <row r="39" spans="2:13" x14ac:dyDescent="0.45">
      <c r="B39" s="26" t="s">
        <v>169</v>
      </c>
      <c r="C39" s="43">
        <v>0</v>
      </c>
      <c r="D39" s="54">
        <f>IF(D$33&lt;$C25,-99,MAX(0,C39)+Projects!E$9)</f>
        <v>1</v>
      </c>
      <c r="E39" s="54">
        <f>IF(E$33&lt;$C25,-99,MAX(0,D39)+Projects!F$9)</f>
        <v>2</v>
      </c>
      <c r="F39" s="54">
        <f>IF(F$33&lt;$C25,-99,MAX(0,E39)+Projects!G$9)</f>
        <v>4</v>
      </c>
      <c r="G39" s="54">
        <f>IF(G$33&lt;$C25,-99,MAX(0,F39)+Projects!H$9)</f>
        <v>7</v>
      </c>
      <c r="H39" s="54">
        <f>IF(H$33&lt;$C25,-99,MAX(0,G39)+Projects!I$9)</f>
        <v>8</v>
      </c>
      <c r="I39" s="29"/>
      <c r="J39" s="55" cm="1">
        <f t="array" aca="1" ref="J39" ca="1">INDEX(D39:H39,J25)</f>
        <v>4</v>
      </c>
      <c r="K39" s="55">
        <f t="shared" si="1"/>
        <v>8</v>
      </c>
      <c r="L39" s="29"/>
      <c r="M39" s="29"/>
    </row>
    <row r="40" spans="2:13" x14ac:dyDescent="0.45">
      <c r="B40" s="26" t="s">
        <v>170</v>
      </c>
      <c r="C40" s="43">
        <v>0</v>
      </c>
      <c r="D40" s="54">
        <f>IF(D$33&lt;$C26,-99,MAX(0,C40)+Projects!E$9)</f>
        <v>-99</v>
      </c>
      <c r="E40" s="54">
        <f>IF(E$33&lt;$C26,-99,MAX(0,D40)+Projects!F$9)</f>
        <v>-99</v>
      </c>
      <c r="F40" s="54">
        <f>IF(F$33&lt;$C26,-99,MAX(0,E40)+Projects!G$9)</f>
        <v>2</v>
      </c>
      <c r="G40" s="54">
        <f>IF(G$33&lt;$C26,-99,MAX(0,F40)+Projects!H$9)</f>
        <v>5</v>
      </c>
      <c r="H40" s="54">
        <f>IF(H$33&lt;$C26,-99,MAX(0,G40)+Projects!I$9)</f>
        <v>6</v>
      </c>
      <c r="I40" s="29"/>
      <c r="J40" s="55" cm="1">
        <f t="array" aca="1" ref="J40" ca="1">INDEX(D40:H40,J26)</f>
        <v>5</v>
      </c>
      <c r="K40" s="55">
        <f t="shared" si="1"/>
        <v>6</v>
      </c>
      <c r="L40" s="29"/>
      <c r="M40" s="29"/>
    </row>
    <row r="41" spans="2:13" x14ac:dyDescent="0.45">
      <c r="B41" s="26" t="s">
        <v>172</v>
      </c>
      <c r="C41" s="43">
        <v>0</v>
      </c>
      <c r="D41" s="54">
        <f>IF(D$33&lt;$C27,-99,MAX(0,C41)+Projects!E$9)</f>
        <v>1</v>
      </c>
      <c r="E41" s="54">
        <f>IF(E$33&lt;$C27,-99,MAX(0,D41)+Projects!F$9)</f>
        <v>2</v>
      </c>
      <c r="F41" s="54">
        <f>IF(F$33&lt;$C27,-99,MAX(0,E41)+Projects!G$9)</f>
        <v>4</v>
      </c>
      <c r="G41" s="54">
        <f>IF(G$33&lt;$C27,-99,MAX(0,F41)+Projects!H$9)</f>
        <v>7</v>
      </c>
      <c r="H41" s="54">
        <f>IF(H$33&lt;$C27,-99,MAX(0,G41)+Projects!I$9)</f>
        <v>8</v>
      </c>
      <c r="I41" s="29"/>
      <c r="J41" s="55" cm="1">
        <f t="array" aca="1" ref="J41" ca="1">INDEX(D41:H41,J27)</f>
        <v>4</v>
      </c>
      <c r="K41" s="55">
        <f t="shared" si="1"/>
        <v>8</v>
      </c>
      <c r="L41" s="29"/>
      <c r="M41" s="29"/>
    </row>
    <row r="42" spans="2:13" x14ac:dyDescent="0.45">
      <c r="B42" s="41" t="s">
        <v>241</v>
      </c>
    </row>
    <row r="43" spans="2:13" ht="8" customHeight="1" x14ac:dyDescent="0.45"/>
    <row r="44" spans="2:13" ht="22.05" customHeight="1" x14ac:dyDescent="0.5">
      <c r="B44" s="7" t="s">
        <v>242</v>
      </c>
      <c r="C44" s="8"/>
      <c r="D44" s="8"/>
      <c r="E44" s="8"/>
      <c r="F44" s="8"/>
      <c r="G44" s="8"/>
      <c r="H44" s="8"/>
      <c r="I44" s="8"/>
      <c r="J44" s="8"/>
      <c r="K44" s="8"/>
      <c r="L44" s="8"/>
      <c r="M44" s="8"/>
    </row>
    <row r="45" spans="2:13" ht="18" customHeight="1" x14ac:dyDescent="0.45">
      <c r="B45" s="13" t="s">
        <v>243</v>
      </c>
    </row>
    <row r="46" spans="2:13" ht="18" customHeight="1" x14ac:dyDescent="0.45">
      <c r="B46" s="37" t="s">
        <v>153</v>
      </c>
      <c r="C46" s="56"/>
      <c r="D46" s="38" t="s">
        <v>233</v>
      </c>
      <c r="E46" s="38" t="s">
        <v>244</v>
      </c>
      <c r="F46" s="38" t="s">
        <v>245</v>
      </c>
      <c r="G46" s="38" t="s">
        <v>245</v>
      </c>
      <c r="H46" s="38" t="s">
        <v>246</v>
      </c>
      <c r="I46" s="5"/>
      <c r="J46" s="5"/>
      <c r="K46" s="5"/>
      <c r="L46" s="5"/>
      <c r="M46" s="5"/>
    </row>
    <row r="47" spans="2:13" x14ac:dyDescent="0.45">
      <c r="B47" s="39"/>
      <c r="C47" s="39"/>
      <c r="D47" s="39" t="s">
        <v>247</v>
      </c>
      <c r="E47" s="39" t="s">
        <v>248</v>
      </c>
      <c r="F47" s="39" t="s">
        <v>249</v>
      </c>
      <c r="G47" s="39" t="s">
        <v>250</v>
      </c>
      <c r="H47" s="39"/>
    </row>
    <row r="48" spans="2:13" x14ac:dyDescent="0.45">
      <c r="B48" s="26" t="s">
        <v>160</v>
      </c>
      <c r="C48" s="29"/>
      <c r="D48" s="43">
        <f ca="1">Launched_A</f>
        <v>1</v>
      </c>
      <c r="E48" s="57" cm="1">
        <f t="array" aca="1" ref="E48" ca="1">_xll.VoseLognormalAlt(Projects!$J$16,0.1,Projects!$K$16,0.9,0)</f>
        <v>1132.2182539305259</v>
      </c>
      <c r="F48" s="58">
        <f ca="1">D48*E48/(1+Disc)^LaunchT_A</f>
        <v>773.32030184449525</v>
      </c>
      <c r="G48" s="58">
        <f ca="1">SUMPRODUCT(Spend!$F$25:$O$25,Spend!$F$9:$O$9)</f>
        <v>160.07569511105939</v>
      </c>
      <c r="H48" s="58">
        <f t="shared" ref="H48:H55" ca="1" si="2">F48-G48</f>
        <v>613.24460673343583</v>
      </c>
      <c r="I48" s="29"/>
      <c r="J48" s="29"/>
      <c r="K48" s="29"/>
      <c r="L48" s="29"/>
      <c r="M48" s="29"/>
    </row>
    <row r="49" spans="2:13" x14ac:dyDescent="0.45">
      <c r="B49" s="26" t="s">
        <v>162</v>
      </c>
      <c r="C49" s="29"/>
      <c r="D49" s="43">
        <f ca="1">Launched_B</f>
        <v>0</v>
      </c>
      <c r="E49" s="57" cm="1">
        <f t="array" aca="1" ref="E49" ca="1">_xll.VoseLognormalAlt(Projects!$J$17,0.1,Projects!$K$17,0.9,0)</f>
        <v>719.61710736227315</v>
      </c>
      <c r="F49" s="58">
        <f ca="1">D49*E49/(1+Disc)^LaunchT_B</f>
        <v>0</v>
      </c>
      <c r="G49" s="58">
        <f ca="1">SUMPRODUCT(Spend!$F$26:$O$26,Spend!$F$9:$O$9)</f>
        <v>45.50616903217599</v>
      </c>
      <c r="H49" s="58">
        <f t="shared" ca="1" si="2"/>
        <v>-45.50616903217599</v>
      </c>
      <c r="I49" s="29"/>
      <c r="J49" s="29"/>
      <c r="K49" s="29"/>
      <c r="L49" s="29"/>
      <c r="M49" s="29"/>
    </row>
    <row r="50" spans="2:13" x14ac:dyDescent="0.45">
      <c r="B50" s="26" t="s">
        <v>164</v>
      </c>
      <c r="C50" s="29"/>
      <c r="D50" s="43">
        <f ca="1">Launched_C</f>
        <v>0</v>
      </c>
      <c r="E50" s="57" cm="1">
        <f t="array" aca="1" ref="E50" ca="1">_xll.VoseLognormalAlt(Projects!$J$18,0.1,Projects!$K$18,0.9,0)</f>
        <v>1006.7578168784635</v>
      </c>
      <c r="F50" s="58">
        <f ca="1">D50*E50/(1+Disc)^LaunchT_C</f>
        <v>0</v>
      </c>
      <c r="G50" s="58">
        <f ca="1">SUMPRODUCT(Spend!$F$27:$O$27,Spend!$F$9:$O$9)</f>
        <v>45.50616903217599</v>
      </c>
      <c r="H50" s="58">
        <f t="shared" ca="1" si="2"/>
        <v>-45.50616903217599</v>
      </c>
      <c r="I50" s="29"/>
      <c r="J50" s="29"/>
      <c r="K50" s="29"/>
      <c r="L50" s="29"/>
      <c r="M50" s="29"/>
    </row>
    <row r="51" spans="2:13" x14ac:dyDescent="0.45">
      <c r="B51" s="26" t="s">
        <v>166</v>
      </c>
      <c r="C51" s="29"/>
      <c r="D51" s="43">
        <f ca="1">Launched_D</f>
        <v>0</v>
      </c>
      <c r="E51" s="57" cm="1">
        <f t="array" aca="1" ref="E51" ca="1">_xll.VoseLognormalAlt(Projects!$J$19,0.1,Projects!$K$19,0.9,0)</f>
        <v>524.51580810959399</v>
      </c>
      <c r="F51" s="58">
        <f ca="1">D51*E51/(1+Disc)^LaunchT_D</f>
        <v>0</v>
      </c>
      <c r="G51" s="58">
        <f ca="1">SUMPRODUCT(Spend!$F$28:$O$28,Spend!$F$9:$O$9)</f>
        <v>55.671183413389329</v>
      </c>
      <c r="H51" s="58">
        <f t="shared" ca="1" si="2"/>
        <v>-55.671183413389329</v>
      </c>
      <c r="I51" s="29"/>
      <c r="J51" s="29"/>
      <c r="K51" s="29"/>
      <c r="L51" s="29"/>
      <c r="M51" s="29"/>
    </row>
    <row r="52" spans="2:13" x14ac:dyDescent="0.45">
      <c r="B52" s="26" t="s">
        <v>167</v>
      </c>
      <c r="C52" s="29"/>
      <c r="D52" s="43">
        <f ca="1">Launched_E</f>
        <v>0</v>
      </c>
      <c r="E52" s="57" cm="1">
        <f t="array" aca="1" ref="E52" ca="1">_xll.VoseLognormalAlt(Projects!$J$20,0.1,Projects!$K$20,0.9,0)</f>
        <v>1154.303865212444</v>
      </c>
      <c r="F52" s="58">
        <f ca="1">D52*E52/(1+Disc)^LaunchT_E</f>
        <v>0</v>
      </c>
      <c r="G52" s="58">
        <f ca="1">SUMPRODUCT(Spend!$F$29:$O$29,Spend!$F$9:$O$9)</f>
        <v>55.671183413389329</v>
      </c>
      <c r="H52" s="58">
        <f t="shared" ca="1" si="2"/>
        <v>-55.671183413389329</v>
      </c>
      <c r="I52" s="29"/>
      <c r="J52" s="29"/>
      <c r="K52" s="29"/>
      <c r="L52" s="29"/>
      <c r="M52" s="29"/>
    </row>
    <row r="53" spans="2:13" x14ac:dyDescent="0.45">
      <c r="B53" s="26" t="s">
        <v>169</v>
      </c>
      <c r="C53" s="29"/>
      <c r="D53" s="43">
        <f ca="1">Launched_F</f>
        <v>0</v>
      </c>
      <c r="E53" s="57" cm="1">
        <f t="array" aca="1" ref="E53" ca="1">_xll.VoseLognormalAlt(Projects!$J$21,0.1,Projects!$K$21,0.9,0)</f>
        <v>2586.9576308603264</v>
      </c>
      <c r="F53" s="58">
        <f ca="1">D53*E53/(1+Disc)^LaunchT_F</f>
        <v>0</v>
      </c>
      <c r="G53" s="58">
        <f ca="1">SUMPRODUCT(Spend!$F$30:$O$30,Spend!$F$9:$O$9)</f>
        <v>58.237867453409578</v>
      </c>
      <c r="H53" s="58">
        <f t="shared" ca="1" si="2"/>
        <v>-58.237867453409578</v>
      </c>
      <c r="I53" s="29"/>
      <c r="J53" s="29"/>
      <c r="K53" s="29"/>
      <c r="L53" s="29"/>
      <c r="M53" s="29"/>
    </row>
    <row r="54" spans="2:13" x14ac:dyDescent="0.45">
      <c r="B54" s="26" t="s">
        <v>170</v>
      </c>
      <c r="C54" s="29"/>
      <c r="D54" s="43">
        <f ca="1">Launched_G</f>
        <v>0</v>
      </c>
      <c r="E54" s="57" cm="1">
        <f t="array" aca="1" ref="E54" ca="1">_xll.VoseLognormalAlt(Projects!$J$22,0.1,Projects!$K$22,0.9,0)</f>
        <v>531.78445936566618</v>
      </c>
      <c r="F54" s="58">
        <f ca="1">D54*E54/(1+Disc)^LaunchT_G</f>
        <v>0</v>
      </c>
      <c r="G54" s="58">
        <f ca="1">SUMPRODUCT(Spend!$F$31:$O$31,Spend!$F$9:$O$9)</f>
        <v>174.84000567186905</v>
      </c>
      <c r="H54" s="58">
        <f t="shared" ca="1" si="2"/>
        <v>-174.84000567186905</v>
      </c>
      <c r="I54" s="29"/>
      <c r="J54" s="29"/>
      <c r="K54" s="29"/>
      <c r="L54" s="29"/>
      <c r="M54" s="29"/>
    </row>
    <row r="55" spans="2:13" x14ac:dyDescent="0.45">
      <c r="B55" s="26" t="s">
        <v>172</v>
      </c>
      <c r="C55" s="29"/>
      <c r="D55" s="43">
        <f ca="1">Launched_H</f>
        <v>0</v>
      </c>
      <c r="E55" s="57" cm="1">
        <f t="array" aca="1" ref="E55" ca="1">_xll.VoseLognormalAlt(Projects!$J$23,0.1,Projects!$K$23,0.9,0)</f>
        <v>804.8053306678338</v>
      </c>
      <c r="F55" s="58">
        <f ca="1">D55*E55/(1+Disc)^LaunchT_H</f>
        <v>0</v>
      </c>
      <c r="G55" s="58">
        <f ca="1">SUMPRODUCT(Spend!$F$32:$O$32,Spend!$F$9:$O$9)</f>
        <v>58.237867453409578</v>
      </c>
      <c r="H55" s="58">
        <f t="shared" ca="1" si="2"/>
        <v>-58.237867453409578</v>
      </c>
      <c r="I55" s="29"/>
      <c r="J55" s="29"/>
      <c r="K55" s="29"/>
      <c r="L55" s="29"/>
      <c r="M55" s="29"/>
    </row>
  </sheetData>
  <hyperlinks>
    <hyperlink ref="B4" location="'Decisions'!A1" display="◂  Decisions" xr:uid="{00000000-0004-0000-0400-000000000000}"/>
    <hyperlink ref="M4" location="'Spend'!A1" display="Next:  Spend  ▸" xr:uid="{00000000-0004-0000-04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AA0BA"/>
    <pageSetUpPr fitToPage="1"/>
  </sheetPr>
  <dimension ref="A1:O96"/>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0" customWidth="1"/>
    <col min="3" max="3" width="12" customWidth="1"/>
    <col min="4" max="4" width="10" customWidth="1"/>
    <col min="5" max="5" width="3" customWidth="1"/>
    <col min="6" max="15" width="8.3984375" customWidth="1"/>
  </cols>
  <sheetData>
    <row r="1" spans="1:15" ht="6" customHeight="1" x14ac:dyDescent="0.45"/>
    <row r="2" spans="1:15" ht="30" customHeight="1" x14ac:dyDescent="0.45">
      <c r="A2" s="1"/>
      <c r="B2" s="22" t="s">
        <v>0</v>
      </c>
      <c r="C2" s="1"/>
      <c r="D2" s="1"/>
      <c r="E2" s="1"/>
      <c r="F2" s="1"/>
      <c r="G2" s="1"/>
      <c r="H2" s="1"/>
      <c r="I2" s="1"/>
      <c r="J2" s="1"/>
      <c r="K2" s="1"/>
      <c r="L2" s="1"/>
      <c r="M2" s="1"/>
      <c r="N2" s="1"/>
      <c r="O2" s="3" t="s">
        <v>1</v>
      </c>
    </row>
    <row r="3" spans="1:15" ht="20" customHeight="1" x14ac:dyDescent="0.45">
      <c r="A3" s="1"/>
      <c r="B3" s="4" t="s">
        <v>251</v>
      </c>
      <c r="C3" s="1"/>
      <c r="D3" s="1"/>
      <c r="E3" s="1"/>
      <c r="F3" s="1"/>
      <c r="G3" s="1"/>
      <c r="H3" s="1"/>
      <c r="I3" s="1"/>
      <c r="J3" s="1"/>
      <c r="K3" s="1"/>
      <c r="L3" s="1"/>
      <c r="M3" s="1"/>
      <c r="N3" s="1"/>
      <c r="O3" s="1"/>
    </row>
    <row r="4" spans="1:15" ht="20" customHeight="1" x14ac:dyDescent="0.45">
      <c r="A4" s="5"/>
      <c r="B4" s="23" t="s">
        <v>252</v>
      </c>
      <c r="C4" s="5"/>
      <c r="D4" s="5"/>
      <c r="E4" s="5"/>
      <c r="F4" s="5"/>
      <c r="G4" s="5"/>
      <c r="H4" s="5"/>
      <c r="I4" s="5"/>
      <c r="J4" s="5"/>
      <c r="K4" s="5"/>
      <c r="L4" s="5"/>
      <c r="M4" s="5"/>
      <c r="N4" s="5"/>
      <c r="O4" s="6" t="s">
        <v>253</v>
      </c>
    </row>
    <row r="5" spans="1:15" ht="8" customHeight="1" x14ac:dyDescent="0.45"/>
    <row r="6" spans="1:15" ht="16.05" customHeight="1" x14ac:dyDescent="0.45">
      <c r="B6" s="59" t="s">
        <v>254</v>
      </c>
      <c r="C6" s="60"/>
      <c r="D6" s="61" t="s">
        <v>255</v>
      </c>
      <c r="E6" s="62"/>
      <c r="F6" s="63">
        <v>1</v>
      </c>
      <c r="G6" s="63">
        <f t="shared" ref="G6:O6" si="0">F6+1</f>
        <v>2</v>
      </c>
      <c r="H6" s="63">
        <f t="shared" si="0"/>
        <v>3</v>
      </c>
      <c r="I6" s="63">
        <f t="shared" si="0"/>
        <v>4</v>
      </c>
      <c r="J6" s="63">
        <f t="shared" si="0"/>
        <v>5</v>
      </c>
      <c r="K6" s="63">
        <f t="shared" si="0"/>
        <v>6</v>
      </c>
      <c r="L6" s="63">
        <f t="shared" si="0"/>
        <v>7</v>
      </c>
      <c r="M6" s="63">
        <f t="shared" si="0"/>
        <v>8</v>
      </c>
      <c r="N6" s="63">
        <f t="shared" si="0"/>
        <v>9</v>
      </c>
      <c r="O6" s="63">
        <f t="shared" si="0"/>
        <v>10</v>
      </c>
    </row>
    <row r="7" spans="1:15" ht="16.05" customHeight="1" x14ac:dyDescent="0.45">
      <c r="B7" s="5"/>
      <c r="C7" s="5"/>
      <c r="D7" s="5"/>
      <c r="E7" s="5"/>
      <c r="F7" s="5"/>
      <c r="G7" s="5"/>
      <c r="H7" s="5"/>
      <c r="I7" s="5"/>
      <c r="J7" s="5"/>
      <c r="K7" s="5"/>
      <c r="L7" s="5"/>
      <c r="M7" s="5"/>
      <c r="N7" s="5"/>
      <c r="O7" s="5"/>
    </row>
    <row r="8" spans="1:15" ht="6" customHeight="1" x14ac:dyDescent="0.45"/>
    <row r="9" spans="1:15" x14ac:dyDescent="0.45">
      <c r="B9" s="26" t="s">
        <v>256</v>
      </c>
      <c r="C9" s="27"/>
      <c r="D9" s="29"/>
      <c r="E9" s="29"/>
      <c r="F9" s="64">
        <f t="shared" ref="F9:O9" si="1">1/(1+Disc)^(F$6-0.5)</f>
        <v>0.95346258924559224</v>
      </c>
      <c r="G9" s="64">
        <f t="shared" si="1"/>
        <v>0.86678417204144742</v>
      </c>
      <c r="H9" s="64">
        <f t="shared" si="1"/>
        <v>0.78798561094677033</v>
      </c>
      <c r="I9" s="64">
        <f t="shared" si="1"/>
        <v>0.71635055540615489</v>
      </c>
      <c r="J9" s="64">
        <f t="shared" si="1"/>
        <v>0.65122777764195883</v>
      </c>
      <c r="K9" s="64">
        <f t="shared" si="1"/>
        <v>0.59202525240178083</v>
      </c>
      <c r="L9" s="64">
        <f t="shared" si="1"/>
        <v>0.53820477491070973</v>
      </c>
      <c r="M9" s="64">
        <f t="shared" si="1"/>
        <v>0.48927706810064514</v>
      </c>
      <c r="N9" s="64">
        <f t="shared" si="1"/>
        <v>0.44479733463695009</v>
      </c>
      <c r="O9" s="64">
        <f t="shared" si="1"/>
        <v>0.4043612133063183</v>
      </c>
    </row>
    <row r="10" spans="1:15" ht="8" customHeight="1" x14ac:dyDescent="0.45"/>
    <row r="11" spans="1:15" ht="22.05" customHeight="1" x14ac:dyDescent="0.5">
      <c r="B11" s="7" t="s">
        <v>257</v>
      </c>
      <c r="C11" s="8"/>
      <c r="D11" s="8"/>
      <c r="E11" s="8"/>
      <c r="F11" s="8"/>
      <c r="G11" s="8"/>
      <c r="H11" s="8"/>
      <c r="I11" s="8"/>
      <c r="J11" s="8"/>
      <c r="K11" s="8"/>
      <c r="L11" s="8"/>
      <c r="M11" s="8"/>
      <c r="N11" s="8"/>
      <c r="O11" s="8"/>
    </row>
    <row r="12" spans="1:15" ht="18" customHeight="1" x14ac:dyDescent="0.45">
      <c r="B12" s="13" t="s">
        <v>258</v>
      </c>
    </row>
    <row r="13" spans="1:15" x14ac:dyDescent="0.45">
      <c r="B13" s="26" t="s">
        <v>160</v>
      </c>
      <c r="C13" s="27" t="s">
        <v>259</v>
      </c>
      <c r="D13" s="29"/>
      <c r="E13" s="29"/>
      <c r="F13" s="65">
        <f ca="1">IF(F$6&lt;=Stop_A,COUNTIF(Pipeline!$D$34:$H$34,"&lt;"&amp;F$6)+1,0)</f>
        <v>4</v>
      </c>
      <c r="G13" s="65">
        <f ca="1">IF(G$6&lt;=Stop_A,COUNTIF(Pipeline!$D$34:$H$34,"&lt;"&amp;G$6)+1,0)</f>
        <v>4</v>
      </c>
      <c r="H13" s="65">
        <f ca="1">IF(H$6&lt;=Stop_A,COUNTIF(Pipeline!$D$34:$H$34,"&lt;"&amp;H$6)+1,0)</f>
        <v>4</v>
      </c>
      <c r="I13" s="65">
        <f ca="1">IF(I$6&lt;=Stop_A,COUNTIF(Pipeline!$D$34:$H$34,"&lt;"&amp;I$6)+1,0)</f>
        <v>5</v>
      </c>
      <c r="J13" s="65">
        <f ca="1">IF(J$6&lt;=Stop_A,COUNTIF(Pipeline!$D$34:$H$34,"&lt;"&amp;J$6)+1,0)</f>
        <v>0</v>
      </c>
      <c r="K13" s="65">
        <f ca="1">IF(K$6&lt;=Stop_A,COUNTIF(Pipeline!$D$34:$H$34,"&lt;"&amp;K$6)+1,0)</f>
        <v>0</v>
      </c>
      <c r="L13" s="65">
        <f ca="1">IF(L$6&lt;=Stop_A,COUNTIF(Pipeline!$D$34:$H$34,"&lt;"&amp;L$6)+1,0)</f>
        <v>0</v>
      </c>
      <c r="M13" s="65">
        <f ca="1">IF(M$6&lt;=Stop_A,COUNTIF(Pipeline!$D$34:$H$34,"&lt;"&amp;M$6)+1,0)</f>
        <v>0</v>
      </c>
      <c r="N13" s="65">
        <f ca="1">IF(N$6&lt;=Stop_A,COUNTIF(Pipeline!$D$34:$H$34,"&lt;"&amp;N$6)+1,0)</f>
        <v>0</v>
      </c>
      <c r="O13" s="65">
        <f ca="1">IF(O$6&lt;=Stop_A,COUNTIF(Pipeline!$D$34:$H$34,"&lt;"&amp;O$6)+1,0)</f>
        <v>0</v>
      </c>
    </row>
    <row r="14" spans="1:15" x14ac:dyDescent="0.45">
      <c r="B14" s="26" t="s">
        <v>162</v>
      </c>
      <c r="C14" s="27" t="s">
        <v>259</v>
      </c>
      <c r="D14" s="29"/>
      <c r="E14" s="29"/>
      <c r="F14" s="65">
        <f ca="1">IF(F$6&lt;=Stop_B,COUNTIF(Pipeline!$D$35:$H$35,"&lt;"&amp;F$6)+1,0)</f>
        <v>3</v>
      </c>
      <c r="G14" s="65">
        <f ca="1">IF(G$6&lt;=Stop_B,COUNTIF(Pipeline!$D$35:$H$35,"&lt;"&amp;G$6)+1,0)</f>
        <v>3</v>
      </c>
      <c r="H14" s="65">
        <f ca="1">IF(H$6&lt;=Stop_B,COUNTIF(Pipeline!$D$35:$H$35,"&lt;"&amp;H$6)+1,0)</f>
        <v>0</v>
      </c>
      <c r="I14" s="65">
        <f ca="1">IF(I$6&lt;=Stop_B,COUNTIF(Pipeline!$D$35:$H$35,"&lt;"&amp;I$6)+1,0)</f>
        <v>0</v>
      </c>
      <c r="J14" s="65">
        <f ca="1">IF(J$6&lt;=Stop_B,COUNTIF(Pipeline!$D$35:$H$35,"&lt;"&amp;J$6)+1,0)</f>
        <v>0</v>
      </c>
      <c r="K14" s="65">
        <f ca="1">IF(K$6&lt;=Stop_B,COUNTIF(Pipeline!$D$35:$H$35,"&lt;"&amp;K$6)+1,0)</f>
        <v>0</v>
      </c>
      <c r="L14" s="65">
        <f ca="1">IF(L$6&lt;=Stop_B,COUNTIF(Pipeline!$D$35:$H$35,"&lt;"&amp;L$6)+1,0)</f>
        <v>0</v>
      </c>
      <c r="M14" s="65">
        <f ca="1">IF(M$6&lt;=Stop_B,COUNTIF(Pipeline!$D$35:$H$35,"&lt;"&amp;M$6)+1,0)</f>
        <v>0</v>
      </c>
      <c r="N14" s="65">
        <f ca="1">IF(N$6&lt;=Stop_B,COUNTIF(Pipeline!$D$35:$H$35,"&lt;"&amp;N$6)+1,0)</f>
        <v>0</v>
      </c>
      <c r="O14" s="65">
        <f ca="1">IF(O$6&lt;=Stop_B,COUNTIF(Pipeline!$D$35:$H$35,"&lt;"&amp;O$6)+1,0)</f>
        <v>0</v>
      </c>
    </row>
    <row r="15" spans="1:15" x14ac:dyDescent="0.45">
      <c r="B15" s="26" t="s">
        <v>164</v>
      </c>
      <c r="C15" s="27" t="s">
        <v>259</v>
      </c>
      <c r="D15" s="29"/>
      <c r="E15" s="29"/>
      <c r="F15" s="65">
        <f ca="1">IF(F$6&lt;=Stop_C,COUNTIF(Pipeline!$D$36:$H$36,"&lt;"&amp;F$6)+1,0)</f>
        <v>3</v>
      </c>
      <c r="G15" s="65">
        <f ca="1">IF(G$6&lt;=Stop_C,COUNTIF(Pipeline!$D$36:$H$36,"&lt;"&amp;G$6)+1,0)</f>
        <v>3</v>
      </c>
      <c r="H15" s="65">
        <f ca="1">IF(H$6&lt;=Stop_C,COUNTIF(Pipeline!$D$36:$H$36,"&lt;"&amp;H$6)+1,0)</f>
        <v>0</v>
      </c>
      <c r="I15" s="65">
        <f ca="1">IF(I$6&lt;=Stop_C,COUNTIF(Pipeline!$D$36:$H$36,"&lt;"&amp;I$6)+1,0)</f>
        <v>0</v>
      </c>
      <c r="J15" s="65">
        <f ca="1">IF(J$6&lt;=Stop_C,COUNTIF(Pipeline!$D$36:$H$36,"&lt;"&amp;J$6)+1,0)</f>
        <v>0</v>
      </c>
      <c r="K15" s="65">
        <f ca="1">IF(K$6&lt;=Stop_C,COUNTIF(Pipeline!$D$36:$H$36,"&lt;"&amp;K$6)+1,0)</f>
        <v>0</v>
      </c>
      <c r="L15" s="65">
        <f ca="1">IF(L$6&lt;=Stop_C,COUNTIF(Pipeline!$D$36:$H$36,"&lt;"&amp;L$6)+1,0)</f>
        <v>0</v>
      </c>
      <c r="M15" s="65">
        <f ca="1">IF(M$6&lt;=Stop_C,COUNTIF(Pipeline!$D$36:$H$36,"&lt;"&amp;M$6)+1,0)</f>
        <v>0</v>
      </c>
      <c r="N15" s="65">
        <f ca="1">IF(N$6&lt;=Stop_C,COUNTIF(Pipeline!$D$36:$H$36,"&lt;"&amp;N$6)+1,0)</f>
        <v>0</v>
      </c>
      <c r="O15" s="65">
        <f ca="1">IF(O$6&lt;=Stop_C,COUNTIF(Pipeline!$D$36:$H$36,"&lt;"&amp;O$6)+1,0)</f>
        <v>0</v>
      </c>
    </row>
    <row r="16" spans="1:15" x14ac:dyDescent="0.45">
      <c r="B16" s="26" t="s">
        <v>166</v>
      </c>
      <c r="C16" s="27" t="s">
        <v>259</v>
      </c>
      <c r="D16" s="29"/>
      <c r="E16" s="29"/>
      <c r="F16" s="65">
        <f ca="1">IF(F$6&lt;=Stop_D,COUNTIF(Pipeline!$D$37:$H$37,"&lt;"&amp;F$6)+1,0)</f>
        <v>2</v>
      </c>
      <c r="G16" s="65">
        <f ca="1">IF(G$6&lt;=Stop_D,COUNTIF(Pipeline!$D$37:$H$37,"&lt;"&amp;G$6)+1,0)</f>
        <v>3</v>
      </c>
      <c r="H16" s="65">
        <f ca="1">IF(H$6&lt;=Stop_D,COUNTIF(Pipeline!$D$37:$H$37,"&lt;"&amp;H$6)+1,0)</f>
        <v>3</v>
      </c>
      <c r="I16" s="65">
        <f ca="1">IF(I$6&lt;=Stop_D,COUNTIF(Pipeline!$D$37:$H$37,"&lt;"&amp;I$6)+1,0)</f>
        <v>0</v>
      </c>
      <c r="J16" s="65">
        <f ca="1">IF(J$6&lt;=Stop_D,COUNTIF(Pipeline!$D$37:$H$37,"&lt;"&amp;J$6)+1,0)</f>
        <v>0</v>
      </c>
      <c r="K16" s="65">
        <f ca="1">IF(K$6&lt;=Stop_D,COUNTIF(Pipeline!$D$37:$H$37,"&lt;"&amp;K$6)+1,0)</f>
        <v>0</v>
      </c>
      <c r="L16" s="65">
        <f ca="1">IF(L$6&lt;=Stop_D,COUNTIF(Pipeline!$D$37:$H$37,"&lt;"&amp;L$6)+1,0)</f>
        <v>0</v>
      </c>
      <c r="M16" s="65">
        <f ca="1">IF(M$6&lt;=Stop_D,COUNTIF(Pipeline!$D$37:$H$37,"&lt;"&amp;M$6)+1,0)</f>
        <v>0</v>
      </c>
      <c r="N16" s="65">
        <f ca="1">IF(N$6&lt;=Stop_D,COUNTIF(Pipeline!$D$37:$H$37,"&lt;"&amp;N$6)+1,0)</f>
        <v>0</v>
      </c>
      <c r="O16" s="65">
        <f ca="1">IF(O$6&lt;=Stop_D,COUNTIF(Pipeline!$D$37:$H$37,"&lt;"&amp;O$6)+1,0)</f>
        <v>0</v>
      </c>
    </row>
    <row r="17" spans="2:15" x14ac:dyDescent="0.45">
      <c r="B17" s="26" t="s">
        <v>167</v>
      </c>
      <c r="C17" s="27" t="s">
        <v>259</v>
      </c>
      <c r="D17" s="29"/>
      <c r="E17" s="29"/>
      <c r="F17" s="65">
        <f ca="1">IF(F$6&lt;=Stop_E,COUNTIF(Pipeline!$D$38:$H$38,"&lt;"&amp;F$6)+1,0)</f>
        <v>2</v>
      </c>
      <c r="G17" s="65">
        <f ca="1">IF(G$6&lt;=Stop_E,COUNTIF(Pipeline!$D$38:$H$38,"&lt;"&amp;G$6)+1,0)</f>
        <v>3</v>
      </c>
      <c r="H17" s="65">
        <f ca="1">IF(H$6&lt;=Stop_E,COUNTIF(Pipeline!$D$38:$H$38,"&lt;"&amp;H$6)+1,0)</f>
        <v>3</v>
      </c>
      <c r="I17" s="65">
        <f ca="1">IF(I$6&lt;=Stop_E,COUNTIF(Pipeline!$D$38:$H$38,"&lt;"&amp;I$6)+1,0)</f>
        <v>0</v>
      </c>
      <c r="J17" s="65">
        <f ca="1">IF(J$6&lt;=Stop_E,COUNTIF(Pipeline!$D$38:$H$38,"&lt;"&amp;J$6)+1,0)</f>
        <v>0</v>
      </c>
      <c r="K17" s="65">
        <f ca="1">IF(K$6&lt;=Stop_E,COUNTIF(Pipeline!$D$38:$H$38,"&lt;"&amp;K$6)+1,0)</f>
        <v>0</v>
      </c>
      <c r="L17" s="65">
        <f ca="1">IF(L$6&lt;=Stop_E,COUNTIF(Pipeline!$D$38:$H$38,"&lt;"&amp;L$6)+1,0)</f>
        <v>0</v>
      </c>
      <c r="M17" s="65">
        <f ca="1">IF(M$6&lt;=Stop_E,COUNTIF(Pipeline!$D$38:$H$38,"&lt;"&amp;M$6)+1,0)</f>
        <v>0</v>
      </c>
      <c r="N17" s="65">
        <f ca="1">IF(N$6&lt;=Stop_E,COUNTIF(Pipeline!$D$38:$H$38,"&lt;"&amp;N$6)+1,0)</f>
        <v>0</v>
      </c>
      <c r="O17" s="65">
        <f ca="1">IF(O$6&lt;=Stop_E,COUNTIF(Pipeline!$D$38:$H$38,"&lt;"&amp;O$6)+1,0)</f>
        <v>0</v>
      </c>
    </row>
    <row r="18" spans="2:15" x14ac:dyDescent="0.45">
      <c r="B18" s="26" t="s">
        <v>169</v>
      </c>
      <c r="C18" s="27" t="s">
        <v>259</v>
      </c>
      <c r="D18" s="29"/>
      <c r="E18" s="29"/>
      <c r="F18" s="65">
        <f ca="1">IF(F$6&lt;=Stop_F,COUNTIF(Pipeline!$D$39:$H$39,"&lt;"&amp;F$6)+1,0)</f>
        <v>1</v>
      </c>
      <c r="G18" s="65">
        <f ca="1">IF(G$6&lt;=Stop_F,COUNTIF(Pipeline!$D$39:$H$39,"&lt;"&amp;G$6)+1,0)</f>
        <v>2</v>
      </c>
      <c r="H18" s="65">
        <f ca="1">IF(H$6&lt;=Stop_F,COUNTIF(Pipeline!$D$39:$H$39,"&lt;"&amp;H$6)+1,0)</f>
        <v>3</v>
      </c>
      <c r="I18" s="65">
        <f ca="1">IF(I$6&lt;=Stop_F,COUNTIF(Pipeline!$D$39:$H$39,"&lt;"&amp;I$6)+1,0)</f>
        <v>3</v>
      </c>
      <c r="J18" s="65">
        <f ca="1">IF(J$6&lt;=Stop_F,COUNTIF(Pipeline!$D$39:$H$39,"&lt;"&amp;J$6)+1,0)</f>
        <v>0</v>
      </c>
      <c r="K18" s="65">
        <f ca="1">IF(K$6&lt;=Stop_F,COUNTIF(Pipeline!$D$39:$H$39,"&lt;"&amp;K$6)+1,0)</f>
        <v>0</v>
      </c>
      <c r="L18" s="65">
        <f ca="1">IF(L$6&lt;=Stop_F,COUNTIF(Pipeline!$D$39:$H$39,"&lt;"&amp;L$6)+1,0)</f>
        <v>0</v>
      </c>
      <c r="M18" s="65">
        <f ca="1">IF(M$6&lt;=Stop_F,COUNTIF(Pipeline!$D$39:$H$39,"&lt;"&amp;M$6)+1,0)</f>
        <v>0</v>
      </c>
      <c r="N18" s="65">
        <f ca="1">IF(N$6&lt;=Stop_F,COUNTIF(Pipeline!$D$39:$H$39,"&lt;"&amp;N$6)+1,0)</f>
        <v>0</v>
      </c>
      <c r="O18" s="65">
        <f ca="1">IF(O$6&lt;=Stop_F,COUNTIF(Pipeline!$D$39:$H$39,"&lt;"&amp;O$6)+1,0)</f>
        <v>0</v>
      </c>
    </row>
    <row r="19" spans="2:15" x14ac:dyDescent="0.45">
      <c r="B19" s="26" t="s">
        <v>170</v>
      </c>
      <c r="C19" s="27" t="s">
        <v>259</v>
      </c>
      <c r="D19" s="29"/>
      <c r="E19" s="29"/>
      <c r="F19" s="65">
        <f ca="1">IF(F$6&lt;=Stop_G,COUNTIF(Pipeline!$D$40:$H$40,"&lt;"&amp;F$6)+1,0)</f>
        <v>3</v>
      </c>
      <c r="G19" s="65">
        <f ca="1">IF(G$6&lt;=Stop_G,COUNTIF(Pipeline!$D$40:$H$40,"&lt;"&amp;G$6)+1,0)</f>
        <v>3</v>
      </c>
      <c r="H19" s="65">
        <f ca="1">IF(H$6&lt;=Stop_G,COUNTIF(Pipeline!$D$40:$H$40,"&lt;"&amp;H$6)+1,0)</f>
        <v>4</v>
      </c>
      <c r="I19" s="65">
        <f ca="1">IF(I$6&lt;=Stop_G,COUNTIF(Pipeline!$D$40:$H$40,"&lt;"&amp;I$6)+1,0)</f>
        <v>4</v>
      </c>
      <c r="J19" s="65">
        <f ca="1">IF(J$6&lt;=Stop_G,COUNTIF(Pipeline!$D$40:$H$40,"&lt;"&amp;J$6)+1,0)</f>
        <v>4</v>
      </c>
      <c r="K19" s="65">
        <f ca="1">IF(K$6&lt;=Stop_G,COUNTIF(Pipeline!$D$40:$H$40,"&lt;"&amp;K$6)+1,0)</f>
        <v>0</v>
      </c>
      <c r="L19" s="65">
        <f ca="1">IF(L$6&lt;=Stop_G,COUNTIF(Pipeline!$D$40:$H$40,"&lt;"&amp;L$6)+1,0)</f>
        <v>0</v>
      </c>
      <c r="M19" s="65">
        <f ca="1">IF(M$6&lt;=Stop_G,COUNTIF(Pipeline!$D$40:$H$40,"&lt;"&amp;M$6)+1,0)</f>
        <v>0</v>
      </c>
      <c r="N19" s="65">
        <f ca="1">IF(N$6&lt;=Stop_G,COUNTIF(Pipeline!$D$40:$H$40,"&lt;"&amp;N$6)+1,0)</f>
        <v>0</v>
      </c>
      <c r="O19" s="65">
        <f ca="1">IF(O$6&lt;=Stop_G,COUNTIF(Pipeline!$D$40:$H$40,"&lt;"&amp;O$6)+1,0)</f>
        <v>0</v>
      </c>
    </row>
    <row r="20" spans="2:15" x14ac:dyDescent="0.45">
      <c r="B20" s="26" t="s">
        <v>172</v>
      </c>
      <c r="C20" s="27" t="s">
        <v>259</v>
      </c>
      <c r="D20" s="29"/>
      <c r="E20" s="29"/>
      <c r="F20" s="65">
        <f ca="1">IF(F$6&lt;=Stop_H,COUNTIF(Pipeline!$D$41:$H$41,"&lt;"&amp;F$6)+1,0)</f>
        <v>1</v>
      </c>
      <c r="G20" s="65">
        <f ca="1">IF(G$6&lt;=Stop_H,COUNTIF(Pipeline!$D$41:$H$41,"&lt;"&amp;G$6)+1,0)</f>
        <v>2</v>
      </c>
      <c r="H20" s="65">
        <f ca="1">IF(H$6&lt;=Stop_H,COUNTIF(Pipeline!$D$41:$H$41,"&lt;"&amp;H$6)+1,0)</f>
        <v>3</v>
      </c>
      <c r="I20" s="65">
        <f ca="1">IF(I$6&lt;=Stop_H,COUNTIF(Pipeline!$D$41:$H$41,"&lt;"&amp;I$6)+1,0)</f>
        <v>3</v>
      </c>
      <c r="J20" s="65">
        <f ca="1">IF(J$6&lt;=Stop_H,COUNTIF(Pipeline!$D$41:$H$41,"&lt;"&amp;J$6)+1,0)</f>
        <v>0</v>
      </c>
      <c r="K20" s="65">
        <f ca="1">IF(K$6&lt;=Stop_H,COUNTIF(Pipeline!$D$41:$H$41,"&lt;"&amp;K$6)+1,0)</f>
        <v>0</v>
      </c>
      <c r="L20" s="65">
        <f ca="1">IF(L$6&lt;=Stop_H,COUNTIF(Pipeline!$D$41:$H$41,"&lt;"&amp;L$6)+1,0)</f>
        <v>0</v>
      </c>
      <c r="M20" s="65">
        <f ca="1">IF(M$6&lt;=Stop_H,COUNTIF(Pipeline!$D$41:$H$41,"&lt;"&amp;M$6)+1,0)</f>
        <v>0</v>
      </c>
      <c r="N20" s="65">
        <f ca="1">IF(N$6&lt;=Stop_H,COUNTIF(Pipeline!$D$41:$H$41,"&lt;"&amp;N$6)+1,0)</f>
        <v>0</v>
      </c>
      <c r="O20" s="65">
        <f ca="1">IF(O$6&lt;=Stop_H,COUNTIF(Pipeline!$D$41:$H$41,"&lt;"&amp;O$6)+1,0)</f>
        <v>0</v>
      </c>
    </row>
    <row r="21" spans="2:15" x14ac:dyDescent="0.45">
      <c r="B21" s="41" t="s">
        <v>260</v>
      </c>
    </row>
    <row r="22" spans="2:15" ht="8" customHeight="1" x14ac:dyDescent="0.45"/>
    <row r="23" spans="2:15" ht="22.05" customHeight="1" x14ac:dyDescent="0.5">
      <c r="B23" s="7" t="s">
        <v>261</v>
      </c>
      <c r="C23" s="8"/>
      <c r="D23" s="8"/>
      <c r="E23" s="8"/>
      <c r="F23" s="8"/>
      <c r="G23" s="8"/>
      <c r="H23" s="8"/>
      <c r="I23" s="8"/>
      <c r="J23" s="8"/>
      <c r="K23" s="8"/>
      <c r="L23" s="8"/>
      <c r="M23" s="8"/>
      <c r="N23" s="8"/>
      <c r="O23" s="8"/>
    </row>
    <row r="24" spans="2:15" ht="18" customHeight="1" x14ac:dyDescent="0.45">
      <c r="B24" s="13" t="s">
        <v>262</v>
      </c>
    </row>
    <row r="25" spans="2:15" x14ac:dyDescent="0.45">
      <c r="B25" s="26" t="s">
        <v>160</v>
      </c>
      <c r="C25" s="27" t="s">
        <v>150</v>
      </c>
      <c r="D25" s="66">
        <f t="shared" ref="D25:D32" ca="1" si="2">SUM(F25:O25)</f>
        <v>185</v>
      </c>
      <c r="E25" s="29"/>
      <c r="F25" s="58" cm="1">
        <f t="array" aca="1" ref="F25" ca="1">IF(F13=0,0,INDEX(Projects!$E$10:$I$10,F13))</f>
        <v>60</v>
      </c>
      <c r="G25" s="58" cm="1">
        <f t="array" aca="1" ref="G25" ca="1">IF(G13=0,0,INDEX(Projects!$E$10:$I$10,G13))</f>
        <v>60</v>
      </c>
      <c r="H25" s="58" cm="1">
        <f t="array" aca="1" ref="H25" ca="1">IF(H13=0,0,INDEX(Projects!$E$10:$I$10,H13))</f>
        <v>60</v>
      </c>
      <c r="I25" s="58" cm="1">
        <f t="array" aca="1" ref="I25" ca="1">IF(I13=0,0,INDEX(Projects!$E$10:$I$10,I13))</f>
        <v>5</v>
      </c>
      <c r="J25" s="58" cm="1">
        <f t="array" aca="1" ref="J25" ca="1">IF(J13=0,0,INDEX(Projects!$E$10:$I$10,J13))</f>
        <v>0</v>
      </c>
      <c r="K25" s="58" cm="1">
        <f t="array" aca="1" ref="K25" ca="1">IF(K13=0,0,INDEX(Projects!$E$10:$I$10,K13))</f>
        <v>0</v>
      </c>
      <c r="L25" s="58" cm="1">
        <f t="array" aca="1" ref="L25" ca="1">IF(L13=0,0,INDEX(Projects!$E$10:$I$10,L13))</f>
        <v>0</v>
      </c>
      <c r="M25" s="58" cm="1">
        <f t="array" aca="1" ref="M25" ca="1">IF(M13=0,0,INDEX(Projects!$E$10:$I$10,M13))</f>
        <v>0</v>
      </c>
      <c r="N25" s="58" cm="1">
        <f t="array" aca="1" ref="N25" ca="1">IF(N13=0,0,INDEX(Projects!$E$10:$I$10,N13))</f>
        <v>0</v>
      </c>
      <c r="O25" s="58" cm="1">
        <f t="array" aca="1" ref="O25" ca="1">IF(O13=0,0,INDEX(Projects!$E$10:$I$10,O13))</f>
        <v>0</v>
      </c>
    </row>
    <row r="26" spans="2:15" x14ac:dyDescent="0.45">
      <c r="B26" s="26" t="s">
        <v>162</v>
      </c>
      <c r="C26" s="27" t="s">
        <v>150</v>
      </c>
      <c r="D26" s="66">
        <f t="shared" ca="1" si="2"/>
        <v>50</v>
      </c>
      <c r="E26" s="29"/>
      <c r="F26" s="58" cm="1">
        <f t="array" aca="1" ref="F26" ca="1">IF(F14=0,0,INDEX(Projects!$E$10:$I$10,F14))</f>
        <v>25</v>
      </c>
      <c r="G26" s="58" cm="1">
        <f t="array" aca="1" ref="G26" ca="1">IF(G14=0,0,INDEX(Projects!$E$10:$I$10,G14))</f>
        <v>25</v>
      </c>
      <c r="H26" s="58" cm="1">
        <f t="array" aca="1" ref="H26" ca="1">IF(H14=0,0,INDEX(Projects!$E$10:$I$10,H14))</f>
        <v>0</v>
      </c>
      <c r="I26" s="58" cm="1">
        <f t="array" aca="1" ref="I26" ca="1">IF(I14=0,0,INDEX(Projects!$E$10:$I$10,I14))</f>
        <v>0</v>
      </c>
      <c r="J26" s="58" cm="1">
        <f t="array" aca="1" ref="J26" ca="1">IF(J14=0,0,INDEX(Projects!$E$10:$I$10,J14))</f>
        <v>0</v>
      </c>
      <c r="K26" s="58" cm="1">
        <f t="array" aca="1" ref="K26" ca="1">IF(K14=0,0,INDEX(Projects!$E$10:$I$10,K14))</f>
        <v>0</v>
      </c>
      <c r="L26" s="58" cm="1">
        <f t="array" aca="1" ref="L26" ca="1">IF(L14=0,0,INDEX(Projects!$E$10:$I$10,L14))</f>
        <v>0</v>
      </c>
      <c r="M26" s="58" cm="1">
        <f t="array" aca="1" ref="M26" ca="1">IF(M14=0,0,INDEX(Projects!$E$10:$I$10,M14))</f>
        <v>0</v>
      </c>
      <c r="N26" s="58" cm="1">
        <f t="array" aca="1" ref="N26" ca="1">IF(N14=0,0,INDEX(Projects!$E$10:$I$10,N14))</f>
        <v>0</v>
      </c>
      <c r="O26" s="58" cm="1">
        <f t="array" aca="1" ref="O26" ca="1">IF(O14=0,0,INDEX(Projects!$E$10:$I$10,O14))</f>
        <v>0</v>
      </c>
    </row>
    <row r="27" spans="2:15" x14ac:dyDescent="0.45">
      <c r="B27" s="26" t="s">
        <v>164</v>
      </c>
      <c r="C27" s="27" t="s">
        <v>150</v>
      </c>
      <c r="D27" s="66">
        <f t="shared" ca="1" si="2"/>
        <v>50</v>
      </c>
      <c r="E27" s="29"/>
      <c r="F27" s="58" cm="1">
        <f t="array" aca="1" ref="F27" ca="1">IF(F15=0,0,INDEX(Projects!$E$10:$I$10,F15))</f>
        <v>25</v>
      </c>
      <c r="G27" s="58" cm="1">
        <f t="array" aca="1" ref="G27" ca="1">IF(G15=0,0,INDEX(Projects!$E$10:$I$10,G15))</f>
        <v>25</v>
      </c>
      <c r="H27" s="58" cm="1">
        <f t="array" aca="1" ref="H27" ca="1">IF(H15=0,0,INDEX(Projects!$E$10:$I$10,H15))</f>
        <v>0</v>
      </c>
      <c r="I27" s="58" cm="1">
        <f t="array" aca="1" ref="I27" ca="1">IF(I15=0,0,INDEX(Projects!$E$10:$I$10,I15))</f>
        <v>0</v>
      </c>
      <c r="J27" s="58" cm="1">
        <f t="array" aca="1" ref="J27" ca="1">IF(J15=0,0,INDEX(Projects!$E$10:$I$10,J15))</f>
        <v>0</v>
      </c>
      <c r="K27" s="58" cm="1">
        <f t="array" aca="1" ref="K27" ca="1">IF(K15=0,0,INDEX(Projects!$E$10:$I$10,K15))</f>
        <v>0</v>
      </c>
      <c r="L27" s="58" cm="1">
        <f t="array" aca="1" ref="L27" ca="1">IF(L15=0,0,INDEX(Projects!$E$10:$I$10,L15))</f>
        <v>0</v>
      </c>
      <c r="M27" s="58" cm="1">
        <f t="array" aca="1" ref="M27" ca="1">IF(M15=0,0,INDEX(Projects!$E$10:$I$10,M15))</f>
        <v>0</v>
      </c>
      <c r="N27" s="58" cm="1">
        <f t="array" aca="1" ref="N27" ca="1">IF(N15=0,0,INDEX(Projects!$E$10:$I$10,N15))</f>
        <v>0</v>
      </c>
      <c r="O27" s="58" cm="1">
        <f t="array" aca="1" ref="O27" ca="1">IF(O15=0,0,INDEX(Projects!$E$10:$I$10,O15))</f>
        <v>0</v>
      </c>
    </row>
    <row r="28" spans="2:15" x14ac:dyDescent="0.45">
      <c r="B28" s="26" t="s">
        <v>166</v>
      </c>
      <c r="C28" s="27" t="s">
        <v>150</v>
      </c>
      <c r="D28" s="66">
        <f t="shared" ca="1" si="2"/>
        <v>65</v>
      </c>
      <c r="E28" s="29"/>
      <c r="F28" s="58" cm="1">
        <f t="array" aca="1" ref="F28" ca="1">IF(F16=0,0,INDEX(Projects!$E$10:$I$10,F16))</f>
        <v>15</v>
      </c>
      <c r="G28" s="58" cm="1">
        <f t="array" aca="1" ref="G28" ca="1">IF(G16=0,0,INDEX(Projects!$E$10:$I$10,G16))</f>
        <v>25</v>
      </c>
      <c r="H28" s="58" cm="1">
        <f t="array" aca="1" ref="H28" ca="1">IF(H16=0,0,INDEX(Projects!$E$10:$I$10,H16))</f>
        <v>25</v>
      </c>
      <c r="I28" s="58" cm="1">
        <f t="array" aca="1" ref="I28" ca="1">IF(I16=0,0,INDEX(Projects!$E$10:$I$10,I16))</f>
        <v>0</v>
      </c>
      <c r="J28" s="58" cm="1">
        <f t="array" aca="1" ref="J28" ca="1">IF(J16=0,0,INDEX(Projects!$E$10:$I$10,J16))</f>
        <v>0</v>
      </c>
      <c r="K28" s="58" cm="1">
        <f t="array" aca="1" ref="K28" ca="1">IF(K16=0,0,INDEX(Projects!$E$10:$I$10,K16))</f>
        <v>0</v>
      </c>
      <c r="L28" s="58" cm="1">
        <f t="array" aca="1" ref="L28" ca="1">IF(L16=0,0,INDEX(Projects!$E$10:$I$10,L16))</f>
        <v>0</v>
      </c>
      <c r="M28" s="58" cm="1">
        <f t="array" aca="1" ref="M28" ca="1">IF(M16=0,0,INDEX(Projects!$E$10:$I$10,M16))</f>
        <v>0</v>
      </c>
      <c r="N28" s="58" cm="1">
        <f t="array" aca="1" ref="N28" ca="1">IF(N16=0,0,INDEX(Projects!$E$10:$I$10,N16))</f>
        <v>0</v>
      </c>
      <c r="O28" s="58" cm="1">
        <f t="array" aca="1" ref="O28" ca="1">IF(O16=0,0,INDEX(Projects!$E$10:$I$10,O16))</f>
        <v>0</v>
      </c>
    </row>
    <row r="29" spans="2:15" x14ac:dyDescent="0.45">
      <c r="B29" s="26" t="s">
        <v>167</v>
      </c>
      <c r="C29" s="27" t="s">
        <v>150</v>
      </c>
      <c r="D29" s="66">
        <f t="shared" ca="1" si="2"/>
        <v>65</v>
      </c>
      <c r="E29" s="29"/>
      <c r="F29" s="58" cm="1">
        <f t="array" aca="1" ref="F29" ca="1">IF(F17=0,0,INDEX(Projects!$E$10:$I$10,F17))</f>
        <v>15</v>
      </c>
      <c r="G29" s="58" cm="1">
        <f t="array" aca="1" ref="G29" ca="1">IF(G17=0,0,INDEX(Projects!$E$10:$I$10,G17))</f>
        <v>25</v>
      </c>
      <c r="H29" s="58" cm="1">
        <f t="array" aca="1" ref="H29" ca="1">IF(H17=0,0,INDEX(Projects!$E$10:$I$10,H17))</f>
        <v>25</v>
      </c>
      <c r="I29" s="58" cm="1">
        <f t="array" aca="1" ref="I29" ca="1">IF(I17=0,0,INDEX(Projects!$E$10:$I$10,I17))</f>
        <v>0</v>
      </c>
      <c r="J29" s="58" cm="1">
        <f t="array" aca="1" ref="J29" ca="1">IF(J17=0,0,INDEX(Projects!$E$10:$I$10,J17))</f>
        <v>0</v>
      </c>
      <c r="K29" s="58" cm="1">
        <f t="array" aca="1" ref="K29" ca="1">IF(K17=0,0,INDEX(Projects!$E$10:$I$10,K17))</f>
        <v>0</v>
      </c>
      <c r="L29" s="58" cm="1">
        <f t="array" aca="1" ref="L29" ca="1">IF(L17=0,0,INDEX(Projects!$E$10:$I$10,L17))</f>
        <v>0</v>
      </c>
      <c r="M29" s="58" cm="1">
        <f t="array" aca="1" ref="M29" ca="1">IF(M17=0,0,INDEX(Projects!$E$10:$I$10,M17))</f>
        <v>0</v>
      </c>
      <c r="N29" s="58" cm="1">
        <f t="array" aca="1" ref="N29" ca="1">IF(N17=0,0,INDEX(Projects!$E$10:$I$10,N17))</f>
        <v>0</v>
      </c>
      <c r="O29" s="58" cm="1">
        <f t="array" aca="1" ref="O29" ca="1">IF(O17=0,0,INDEX(Projects!$E$10:$I$10,O17))</f>
        <v>0</v>
      </c>
    </row>
    <row r="30" spans="2:15" x14ac:dyDescent="0.45">
      <c r="B30" s="26" t="s">
        <v>169</v>
      </c>
      <c r="C30" s="27" t="s">
        <v>150</v>
      </c>
      <c r="D30" s="66">
        <f t="shared" ca="1" si="2"/>
        <v>73</v>
      </c>
      <c r="E30" s="29"/>
      <c r="F30" s="58" cm="1">
        <f t="array" aca="1" ref="F30" ca="1">IF(F18=0,0,INDEX(Projects!$E$10:$I$10,F18))</f>
        <v>8</v>
      </c>
      <c r="G30" s="58" cm="1">
        <f t="array" aca="1" ref="G30" ca="1">IF(G18=0,0,INDEX(Projects!$E$10:$I$10,G18))</f>
        <v>15</v>
      </c>
      <c r="H30" s="58" cm="1">
        <f t="array" aca="1" ref="H30" ca="1">IF(H18=0,0,INDEX(Projects!$E$10:$I$10,H18))</f>
        <v>25</v>
      </c>
      <c r="I30" s="58" cm="1">
        <f t="array" aca="1" ref="I30" ca="1">IF(I18=0,0,INDEX(Projects!$E$10:$I$10,I18))</f>
        <v>25</v>
      </c>
      <c r="J30" s="58" cm="1">
        <f t="array" aca="1" ref="J30" ca="1">IF(J18=0,0,INDEX(Projects!$E$10:$I$10,J18))</f>
        <v>0</v>
      </c>
      <c r="K30" s="58" cm="1">
        <f t="array" aca="1" ref="K30" ca="1">IF(K18=0,0,INDEX(Projects!$E$10:$I$10,K18))</f>
        <v>0</v>
      </c>
      <c r="L30" s="58" cm="1">
        <f t="array" aca="1" ref="L30" ca="1">IF(L18=0,0,INDEX(Projects!$E$10:$I$10,L18))</f>
        <v>0</v>
      </c>
      <c r="M30" s="58" cm="1">
        <f t="array" aca="1" ref="M30" ca="1">IF(M18=0,0,INDEX(Projects!$E$10:$I$10,M18))</f>
        <v>0</v>
      </c>
      <c r="N30" s="58" cm="1">
        <f t="array" aca="1" ref="N30" ca="1">IF(N18=0,0,INDEX(Projects!$E$10:$I$10,N18))</f>
        <v>0</v>
      </c>
      <c r="O30" s="58" cm="1">
        <f t="array" aca="1" ref="O30" ca="1">IF(O18=0,0,INDEX(Projects!$E$10:$I$10,O18))</f>
        <v>0</v>
      </c>
    </row>
    <row r="31" spans="2:15" x14ac:dyDescent="0.45">
      <c r="B31" s="26" t="s">
        <v>170</v>
      </c>
      <c r="C31" s="27" t="s">
        <v>150</v>
      </c>
      <c r="D31" s="66">
        <f t="shared" ca="1" si="2"/>
        <v>230</v>
      </c>
      <c r="E31" s="29"/>
      <c r="F31" s="58" cm="1">
        <f t="array" aca="1" ref="F31" ca="1">IF(F19=0,0,INDEX(Projects!$E$10:$I$10,F19))</f>
        <v>25</v>
      </c>
      <c r="G31" s="58" cm="1">
        <f t="array" aca="1" ref="G31" ca="1">IF(G19=0,0,INDEX(Projects!$E$10:$I$10,G19))</f>
        <v>25</v>
      </c>
      <c r="H31" s="58" cm="1">
        <f t="array" aca="1" ref="H31" ca="1">IF(H19=0,0,INDEX(Projects!$E$10:$I$10,H19))</f>
        <v>60</v>
      </c>
      <c r="I31" s="58" cm="1">
        <f t="array" aca="1" ref="I31" ca="1">IF(I19=0,0,INDEX(Projects!$E$10:$I$10,I19))</f>
        <v>60</v>
      </c>
      <c r="J31" s="58" cm="1">
        <f t="array" aca="1" ref="J31" ca="1">IF(J19=0,0,INDEX(Projects!$E$10:$I$10,J19))</f>
        <v>60</v>
      </c>
      <c r="K31" s="58" cm="1">
        <f t="array" aca="1" ref="K31" ca="1">IF(K19=0,0,INDEX(Projects!$E$10:$I$10,K19))</f>
        <v>0</v>
      </c>
      <c r="L31" s="58" cm="1">
        <f t="array" aca="1" ref="L31" ca="1">IF(L19=0,0,INDEX(Projects!$E$10:$I$10,L19))</f>
        <v>0</v>
      </c>
      <c r="M31" s="58" cm="1">
        <f t="array" aca="1" ref="M31" ca="1">IF(M19=0,0,INDEX(Projects!$E$10:$I$10,M19))</f>
        <v>0</v>
      </c>
      <c r="N31" s="58" cm="1">
        <f t="array" aca="1" ref="N31" ca="1">IF(N19=0,0,INDEX(Projects!$E$10:$I$10,N19))</f>
        <v>0</v>
      </c>
      <c r="O31" s="58" cm="1">
        <f t="array" aca="1" ref="O31" ca="1">IF(O19=0,0,INDEX(Projects!$E$10:$I$10,O19))</f>
        <v>0</v>
      </c>
    </row>
    <row r="32" spans="2:15" x14ac:dyDescent="0.45">
      <c r="B32" s="26" t="s">
        <v>172</v>
      </c>
      <c r="C32" s="27" t="s">
        <v>150</v>
      </c>
      <c r="D32" s="66">
        <f t="shared" ca="1" si="2"/>
        <v>73</v>
      </c>
      <c r="E32" s="29"/>
      <c r="F32" s="58" cm="1">
        <f t="array" aca="1" ref="F32" ca="1">IF(F20=0,0,INDEX(Projects!$E$10:$I$10,F20))</f>
        <v>8</v>
      </c>
      <c r="G32" s="58" cm="1">
        <f t="array" aca="1" ref="G32" ca="1">IF(G20=0,0,INDEX(Projects!$E$10:$I$10,G20))</f>
        <v>15</v>
      </c>
      <c r="H32" s="58" cm="1">
        <f t="array" aca="1" ref="H32" ca="1">IF(H20=0,0,INDEX(Projects!$E$10:$I$10,H20))</f>
        <v>25</v>
      </c>
      <c r="I32" s="58" cm="1">
        <f t="array" aca="1" ref="I32" ca="1">IF(I20=0,0,INDEX(Projects!$E$10:$I$10,I20))</f>
        <v>25</v>
      </c>
      <c r="J32" s="58" cm="1">
        <f t="array" aca="1" ref="J32" ca="1">IF(J20=0,0,INDEX(Projects!$E$10:$I$10,J20))</f>
        <v>0</v>
      </c>
      <c r="K32" s="58" cm="1">
        <f t="array" aca="1" ref="K32" ca="1">IF(K20=0,0,INDEX(Projects!$E$10:$I$10,K20))</f>
        <v>0</v>
      </c>
      <c r="L32" s="58" cm="1">
        <f t="array" aca="1" ref="L32" ca="1">IF(L20=0,0,INDEX(Projects!$E$10:$I$10,L20))</f>
        <v>0</v>
      </c>
      <c r="M32" s="58" cm="1">
        <f t="array" aca="1" ref="M32" ca="1">IF(M20=0,0,INDEX(Projects!$E$10:$I$10,M20))</f>
        <v>0</v>
      </c>
      <c r="N32" s="58" cm="1">
        <f t="array" aca="1" ref="N32" ca="1">IF(N20=0,0,INDEX(Projects!$E$10:$I$10,N20))</f>
        <v>0</v>
      </c>
      <c r="O32" s="58" cm="1">
        <f t="array" aca="1" ref="O32" ca="1">IF(O20=0,0,INDEX(Projects!$E$10:$I$10,O20))</f>
        <v>0</v>
      </c>
    </row>
    <row r="33" spans="2:15" ht="8" customHeight="1" x14ac:dyDescent="0.45"/>
    <row r="34" spans="2:15" ht="22.05" customHeight="1" x14ac:dyDescent="0.5">
      <c r="B34" s="7" t="s">
        <v>263</v>
      </c>
      <c r="C34" s="8"/>
      <c r="D34" s="8"/>
      <c r="E34" s="8"/>
      <c r="F34" s="8"/>
      <c r="G34" s="8"/>
      <c r="H34" s="8"/>
      <c r="I34" s="8"/>
      <c r="J34" s="8"/>
      <c r="K34" s="8"/>
      <c r="L34" s="8"/>
      <c r="M34" s="8"/>
      <c r="N34" s="8"/>
      <c r="O34" s="8"/>
    </row>
    <row r="35" spans="2:15" ht="18" customHeight="1" x14ac:dyDescent="0.45">
      <c r="B35" s="13" t="s">
        <v>264</v>
      </c>
    </row>
    <row r="36" spans="2:15" x14ac:dyDescent="0.45">
      <c r="B36" s="26" t="s">
        <v>181</v>
      </c>
      <c r="C36" s="27" t="s">
        <v>150</v>
      </c>
      <c r="D36" s="66">
        <f ca="1">SUM(F36:O36)</f>
        <v>580</v>
      </c>
      <c r="E36" s="29"/>
      <c r="F36" s="58">
        <f t="shared" ref="F36:O36" ca="1" si="3">SUMPRODUCT(FundStart,F25:F32)</f>
        <v>150</v>
      </c>
      <c r="G36" s="58">
        <f t="shared" ca="1" si="3"/>
        <v>160</v>
      </c>
      <c r="H36" s="58">
        <f t="shared" ca="1" si="3"/>
        <v>145</v>
      </c>
      <c r="I36" s="58">
        <f t="shared" ca="1" si="3"/>
        <v>65</v>
      </c>
      <c r="J36" s="58">
        <f t="shared" ca="1" si="3"/>
        <v>60</v>
      </c>
      <c r="K36" s="58">
        <f t="shared" ca="1" si="3"/>
        <v>0</v>
      </c>
      <c r="L36" s="58">
        <f t="shared" ca="1" si="3"/>
        <v>0</v>
      </c>
      <c r="M36" s="58">
        <f t="shared" ca="1" si="3"/>
        <v>0</v>
      </c>
      <c r="N36" s="58">
        <f t="shared" ca="1" si="3"/>
        <v>0</v>
      </c>
      <c r="O36" s="58">
        <f t="shared" ca="1" si="3"/>
        <v>0</v>
      </c>
    </row>
    <row r="37" spans="2:15" x14ac:dyDescent="0.45">
      <c r="B37" s="26" t="s">
        <v>265</v>
      </c>
      <c r="C37" s="27" t="s">
        <v>150</v>
      </c>
      <c r="D37" s="66">
        <f ca="1">SUM(F37:O37)</f>
        <v>603</v>
      </c>
      <c r="E37" s="29"/>
      <c r="F37" s="67" cm="1">
        <f t="array" aca="1" ref="F37" ca="1">_xll.VoseOutput("Spend year 1, plan in use","US$m")+SUMPRODUCT(FundPlan,F25:F32)</f>
        <v>133</v>
      </c>
      <c r="G37" s="67" cm="1">
        <f t="array" aca="1" ref="G37" ca="1">_xll.VoseOutput("Spend year 2, plan in use","US$m")+SUMPRODUCT(FundPlan,G25:G32)</f>
        <v>150</v>
      </c>
      <c r="H37" s="67" cm="1">
        <f t="array" aca="1" ref="H37" ca="1">_xll.VoseOutput("Spend year 3, plan in use","US$m")+SUMPRODUCT(FundPlan,H25:H32)</f>
        <v>170</v>
      </c>
      <c r="I37" s="67" cm="1">
        <f t="array" aca="1" ref="I37" ca="1">_xll.VoseOutput("Spend year 4, plan in use","US$m")+SUMPRODUCT(FundPlan,I25:I32)</f>
        <v>90</v>
      </c>
      <c r="J37" s="67" cm="1">
        <f t="array" aca="1" ref="J37" ca="1">_xll.VoseOutput("Spend year 5, plan in use","US$m")+SUMPRODUCT(FundPlan,J25:J32)</f>
        <v>60</v>
      </c>
      <c r="K37" s="67" cm="1">
        <f t="array" aca="1" ref="K37" ca="1">_xll.VoseOutput("Spend year 6, plan in use","US$m")+SUMPRODUCT(FundPlan,K25:K32)</f>
        <v>0</v>
      </c>
      <c r="L37" s="67" cm="1">
        <f t="array" aca="1" ref="L37" ca="1">_xll.VoseOutput("Spend year 7, plan in use","US$m")+SUMPRODUCT(FundPlan,L25:L32)</f>
        <v>0</v>
      </c>
      <c r="M37" s="67" cm="1">
        <f t="array" aca="1" ref="M37" ca="1">_xll.VoseOutput("Spend year 8, plan in use","US$m")+SUMPRODUCT(FundPlan,M25:M32)</f>
        <v>0</v>
      </c>
      <c r="N37" s="67" cm="1">
        <f t="array" aca="1" ref="N37" ca="1">_xll.VoseOutput("Spend year 9, plan in use","US$m")+SUMPRODUCT(FundPlan,N25:N32)</f>
        <v>0</v>
      </c>
      <c r="O37" s="67" cm="1">
        <f t="array" aca="1" ref="O37" ca="1">_xll.VoseOutput("Spend year 10, plan in use","US$m")+SUMPRODUCT(FundPlan,O25:O32)</f>
        <v>0</v>
      </c>
    </row>
    <row r="38" spans="2:15" x14ac:dyDescent="0.45">
      <c r="B38" s="26" t="s">
        <v>266</v>
      </c>
      <c r="C38" s="27" t="s">
        <v>150</v>
      </c>
      <c r="D38" s="29"/>
      <c r="E38" s="29"/>
      <c r="F38" s="55">
        <f t="shared" ref="F38:O38" si="4">IF(F$6&lt;=BudgetYears,Budget,0)</f>
        <v>170</v>
      </c>
      <c r="G38" s="55">
        <f t="shared" si="4"/>
        <v>170</v>
      </c>
      <c r="H38" s="55">
        <f t="shared" si="4"/>
        <v>170</v>
      </c>
      <c r="I38" s="55">
        <f t="shared" si="4"/>
        <v>170</v>
      </c>
      <c r="J38" s="55">
        <f t="shared" si="4"/>
        <v>170</v>
      </c>
      <c r="K38" s="55">
        <f t="shared" si="4"/>
        <v>0</v>
      </c>
      <c r="L38" s="55">
        <f t="shared" si="4"/>
        <v>0</v>
      </c>
      <c r="M38" s="55">
        <f t="shared" si="4"/>
        <v>0</v>
      </c>
      <c r="N38" s="55">
        <f t="shared" si="4"/>
        <v>0</v>
      </c>
      <c r="O38" s="55">
        <f t="shared" si="4"/>
        <v>0</v>
      </c>
    </row>
    <row r="39" spans="2:15" ht="8" customHeight="1" x14ac:dyDescent="0.45"/>
    <row r="40" spans="2:15" ht="22.05" customHeight="1" x14ac:dyDescent="0.5">
      <c r="B40" s="7" t="s">
        <v>267</v>
      </c>
      <c r="C40" s="8"/>
      <c r="D40" s="8"/>
      <c r="E40" s="8"/>
      <c r="F40" s="8"/>
      <c r="G40" s="8"/>
      <c r="H40" s="8"/>
      <c r="I40" s="8"/>
      <c r="J40" s="8"/>
      <c r="K40" s="8"/>
      <c r="L40" s="8"/>
      <c r="M40" s="8"/>
      <c r="N40" s="8"/>
      <c r="O40" s="8"/>
    </row>
    <row r="41" spans="2:15" ht="18" customHeight="1" x14ac:dyDescent="0.45">
      <c r="B41" s="13" t="s">
        <v>268</v>
      </c>
    </row>
    <row r="42" spans="2:15" x14ac:dyDescent="0.45">
      <c r="B42" s="26" t="s">
        <v>269</v>
      </c>
      <c r="C42" s="27" t="s">
        <v>150</v>
      </c>
      <c r="D42" s="29"/>
      <c r="E42" s="29"/>
      <c r="F42" s="58">
        <f t="shared" ref="F42:O42" ca="1" si="5">IF(F$6&lt;=BudgetYears,F36,0)</f>
        <v>150</v>
      </c>
      <c r="G42" s="58">
        <f t="shared" ca="1" si="5"/>
        <v>160</v>
      </c>
      <c r="H42" s="58">
        <f t="shared" ca="1" si="5"/>
        <v>145</v>
      </c>
      <c r="I42" s="58">
        <f t="shared" ca="1" si="5"/>
        <v>65</v>
      </c>
      <c r="J42" s="58">
        <f t="shared" ca="1" si="5"/>
        <v>60</v>
      </c>
      <c r="K42" s="58">
        <f t="shared" si="5"/>
        <v>0</v>
      </c>
      <c r="L42" s="58">
        <f t="shared" si="5"/>
        <v>0</v>
      </c>
      <c r="M42" s="58">
        <f t="shared" si="5"/>
        <v>0</v>
      </c>
      <c r="N42" s="58">
        <f t="shared" si="5"/>
        <v>0</v>
      </c>
      <c r="O42" s="58">
        <f t="shared" si="5"/>
        <v>0</v>
      </c>
    </row>
    <row r="43" spans="2:15" x14ac:dyDescent="0.45">
      <c r="B43" s="26" t="s">
        <v>270</v>
      </c>
      <c r="C43" s="27" t="s">
        <v>150</v>
      </c>
      <c r="D43" s="29"/>
      <c r="E43" s="29"/>
      <c r="F43" s="58">
        <f t="shared" ref="F43:O43" ca="1" si="6">IF(F$6&lt;=BudgetYears,F37,0)</f>
        <v>133</v>
      </c>
      <c r="G43" s="58">
        <f t="shared" ca="1" si="6"/>
        <v>150</v>
      </c>
      <c r="H43" s="58">
        <f t="shared" ca="1" si="6"/>
        <v>170</v>
      </c>
      <c r="I43" s="58">
        <f t="shared" ca="1" si="6"/>
        <v>90</v>
      </c>
      <c r="J43" s="58">
        <f t="shared" ca="1" si="6"/>
        <v>60</v>
      </c>
      <c r="K43" s="58">
        <f t="shared" si="6"/>
        <v>0</v>
      </c>
      <c r="L43" s="58">
        <f t="shared" si="6"/>
        <v>0</v>
      </c>
      <c r="M43" s="58">
        <f t="shared" si="6"/>
        <v>0</v>
      </c>
      <c r="N43" s="58">
        <f t="shared" si="6"/>
        <v>0</v>
      </c>
      <c r="O43" s="58">
        <f t="shared" si="6"/>
        <v>0</v>
      </c>
    </row>
    <row r="44" spans="2:15" x14ac:dyDescent="0.45">
      <c r="B44" s="26" t="s">
        <v>271</v>
      </c>
      <c r="C44" s="27" t="s">
        <v>247</v>
      </c>
      <c r="D44" s="68">
        <f ca="1">SUM(F44:O44)</f>
        <v>0</v>
      </c>
      <c r="E44" s="29"/>
      <c r="F44" s="65">
        <f t="shared" ref="F44:O44" ca="1" si="7">IF(F42&gt;Budget,1,0)</f>
        <v>0</v>
      </c>
      <c r="G44" s="65">
        <f t="shared" ca="1" si="7"/>
        <v>0</v>
      </c>
      <c r="H44" s="65">
        <f t="shared" ca="1" si="7"/>
        <v>0</v>
      </c>
      <c r="I44" s="65">
        <f t="shared" ca="1" si="7"/>
        <v>0</v>
      </c>
      <c r="J44" s="65">
        <f t="shared" ca="1" si="7"/>
        <v>0</v>
      </c>
      <c r="K44" s="65">
        <f t="shared" si="7"/>
        <v>0</v>
      </c>
      <c r="L44" s="65">
        <f t="shared" si="7"/>
        <v>0</v>
      </c>
      <c r="M44" s="65">
        <f t="shared" si="7"/>
        <v>0</v>
      </c>
      <c r="N44" s="65">
        <f t="shared" si="7"/>
        <v>0</v>
      </c>
      <c r="O44" s="65">
        <f t="shared" si="7"/>
        <v>0</v>
      </c>
    </row>
    <row r="45" spans="2:15" x14ac:dyDescent="0.45">
      <c r="B45" s="26" t="s">
        <v>272</v>
      </c>
      <c r="C45" s="27" t="s">
        <v>247</v>
      </c>
      <c r="D45" s="68">
        <f ca="1">SUM(F45:O45)</f>
        <v>0</v>
      </c>
      <c r="E45" s="29"/>
      <c r="F45" s="65">
        <f t="shared" ref="F45:O45" ca="1" si="8">IF(F43&gt;Budget,1,0)</f>
        <v>0</v>
      </c>
      <c r="G45" s="65">
        <f t="shared" ca="1" si="8"/>
        <v>0</v>
      </c>
      <c r="H45" s="65">
        <f t="shared" ca="1" si="8"/>
        <v>0</v>
      </c>
      <c r="I45" s="65">
        <f t="shared" ca="1" si="8"/>
        <v>0</v>
      </c>
      <c r="J45" s="65">
        <f t="shared" ca="1" si="8"/>
        <v>0</v>
      </c>
      <c r="K45" s="65">
        <f t="shared" si="8"/>
        <v>0</v>
      </c>
      <c r="L45" s="65">
        <f t="shared" si="8"/>
        <v>0</v>
      </c>
      <c r="M45" s="65">
        <f t="shared" si="8"/>
        <v>0</v>
      </c>
      <c r="N45" s="65">
        <f t="shared" si="8"/>
        <v>0</v>
      </c>
      <c r="O45" s="65">
        <f t="shared" si="8"/>
        <v>0</v>
      </c>
    </row>
    <row r="46" spans="2:15" ht="8" customHeight="1" x14ac:dyDescent="0.45"/>
    <row r="47" spans="2:15" ht="22.05" customHeight="1" x14ac:dyDescent="0.5">
      <c r="B47" s="7" t="s">
        <v>273</v>
      </c>
      <c r="C47" s="8"/>
      <c r="D47" s="8"/>
      <c r="E47" s="8"/>
      <c r="F47" s="8"/>
      <c r="G47" s="8"/>
      <c r="H47" s="8"/>
      <c r="I47" s="8"/>
      <c r="J47" s="8"/>
      <c r="K47" s="8"/>
      <c r="L47" s="8"/>
      <c r="M47" s="8"/>
      <c r="N47" s="8"/>
      <c r="O47" s="8"/>
    </row>
    <row r="48" spans="2:15" ht="18" customHeight="1" x14ac:dyDescent="0.45">
      <c r="B48" s="13" t="s">
        <v>274</v>
      </c>
    </row>
    <row r="49" spans="2:15" ht="18" customHeight="1" x14ac:dyDescent="0.45">
      <c r="B49" s="35" t="s">
        <v>275</v>
      </c>
      <c r="C49" s="35" t="s">
        <v>115</v>
      </c>
      <c r="D49" s="36" t="s">
        <v>276</v>
      </c>
      <c r="E49" s="5"/>
      <c r="F49" s="35" t="s">
        <v>277</v>
      </c>
      <c r="G49" s="5"/>
      <c r="H49" s="5"/>
      <c r="I49" s="5"/>
      <c r="J49" s="5"/>
      <c r="K49" s="5"/>
      <c r="L49" s="5"/>
      <c r="M49" s="5"/>
      <c r="N49" s="5"/>
      <c r="O49" s="5"/>
    </row>
    <row r="50" spans="2:15" x14ac:dyDescent="0.45">
      <c r="B50" s="26" t="s">
        <v>278</v>
      </c>
      <c r="C50" s="27" t="s">
        <v>150</v>
      </c>
      <c r="D50" s="67" cm="1">
        <f t="array" aca="1" ref="D50" ca="1">_xll.VoseOutput("NPV, starting plan","US$m")+SUMPRODUCT(FundStart,NPVCol)</f>
        <v>291.72107958382549</v>
      </c>
      <c r="E50" s="29"/>
      <c r="F50" s="27" t="s">
        <v>279</v>
      </c>
      <c r="G50" s="29"/>
      <c r="H50" s="29"/>
      <c r="I50" s="29"/>
      <c r="J50" s="29"/>
      <c r="K50" s="29"/>
      <c r="L50" s="29"/>
      <c r="M50" s="29"/>
      <c r="N50" s="29"/>
      <c r="O50" s="29"/>
    </row>
    <row r="51" spans="2:15" x14ac:dyDescent="0.45">
      <c r="B51" s="26" t="s">
        <v>280</v>
      </c>
      <c r="C51" s="27" t="s">
        <v>150</v>
      </c>
      <c r="D51" s="67" cm="1">
        <f t="array" aca="1" ref="D51" ca="1">_xll.VoseOutput("NPV, plan in use","US$m")+SUMPRODUCT(FundPlan,NPVCol)</f>
        <v>278.98938116259183</v>
      </c>
      <c r="E51" s="29"/>
      <c r="F51" s="27" t="s">
        <v>281</v>
      </c>
      <c r="G51" s="29"/>
      <c r="H51" s="29"/>
      <c r="I51" s="29"/>
      <c r="J51" s="29"/>
      <c r="K51" s="29"/>
      <c r="L51" s="29"/>
      <c r="M51" s="29"/>
      <c r="N51" s="29"/>
      <c r="O51" s="29"/>
    </row>
    <row r="52" spans="2:15" x14ac:dyDescent="0.45">
      <c r="B52" s="26" t="s">
        <v>282</v>
      </c>
      <c r="C52" s="27" t="s">
        <v>283</v>
      </c>
      <c r="D52" s="69" cm="1">
        <f t="array" aca="1" ref="D52" ca="1">_xll.VoseOutput("Launches, starting plan","products")+SUMPRODUCT(FundStart,LaunchedCol)</f>
        <v>1</v>
      </c>
      <c r="E52" s="29"/>
      <c r="F52" s="27"/>
      <c r="G52" s="29"/>
      <c r="H52" s="29"/>
      <c r="I52" s="29"/>
      <c r="J52" s="29"/>
      <c r="K52" s="29"/>
      <c r="L52" s="29"/>
      <c r="M52" s="29"/>
      <c r="N52" s="29"/>
      <c r="O52" s="29"/>
    </row>
    <row r="53" spans="2:15" x14ac:dyDescent="0.45">
      <c r="B53" s="26" t="s">
        <v>284</v>
      </c>
      <c r="C53" s="27" t="s">
        <v>283</v>
      </c>
      <c r="D53" s="69" cm="1">
        <f t="array" aca="1" ref="D53" ca="1">_xll.VoseOutput("Launches, plan in use","products")+SUMPRODUCT(FundPlan,LaunchedCol)</f>
        <v>1</v>
      </c>
      <c r="E53" s="29"/>
      <c r="F53" s="27"/>
      <c r="G53" s="29"/>
      <c r="H53" s="29"/>
      <c r="I53" s="29"/>
      <c r="J53" s="29"/>
      <c r="K53" s="29"/>
      <c r="L53" s="29"/>
      <c r="M53" s="29"/>
      <c r="N53" s="29"/>
      <c r="O53" s="29"/>
    </row>
    <row r="54" spans="2:15" x14ac:dyDescent="0.45">
      <c r="B54" s="26" t="s">
        <v>285</v>
      </c>
      <c r="C54" s="27" t="s">
        <v>247</v>
      </c>
      <c r="D54" s="69" cm="1">
        <f t="array" aca="1" ref="D54" ca="1">_xll.VoseOutput("No launch, starting plan","1 = yes")+IF(Out_Launch_Start=0,1,0)</f>
        <v>0</v>
      </c>
      <c r="E54" s="29"/>
      <c r="F54" s="27"/>
      <c r="G54" s="29"/>
      <c r="H54" s="29"/>
      <c r="I54" s="29"/>
      <c r="J54" s="29"/>
      <c r="K54" s="29"/>
      <c r="L54" s="29"/>
      <c r="M54" s="29"/>
      <c r="N54" s="29"/>
      <c r="O54" s="29"/>
    </row>
    <row r="55" spans="2:15" x14ac:dyDescent="0.45">
      <c r="B55" s="26" t="s">
        <v>286</v>
      </c>
      <c r="C55" s="27" t="s">
        <v>247</v>
      </c>
      <c r="D55" s="69" cm="1">
        <f t="array" aca="1" ref="D55" ca="1">_xll.VoseOutput("No launch, plan in use","1 = yes")+IF(Out_Launch_Plan=0,1,0)</f>
        <v>0</v>
      </c>
      <c r="E55" s="29"/>
      <c r="F55" s="27" t="s">
        <v>287</v>
      </c>
      <c r="G55" s="29"/>
      <c r="H55" s="29"/>
      <c r="I55" s="29"/>
      <c r="J55" s="29"/>
      <c r="K55" s="29"/>
      <c r="L55" s="29"/>
      <c r="M55" s="29"/>
      <c r="N55" s="29"/>
      <c r="O55" s="29"/>
    </row>
    <row r="56" spans="2:15" x14ac:dyDescent="0.45">
      <c r="B56" s="26" t="s">
        <v>288</v>
      </c>
      <c r="C56" s="27" t="s">
        <v>247</v>
      </c>
      <c r="D56" s="69" cm="1">
        <f t="array" aca="1" ref="D56" ca="1">_xll.VoseOutput("Over budget, starting plan","1 = yes")+IF(D44&gt;0,1,0)</f>
        <v>0</v>
      </c>
      <c r="E56" s="29"/>
      <c r="F56" s="27" t="s">
        <v>289</v>
      </c>
      <c r="G56" s="29"/>
      <c r="H56" s="29"/>
      <c r="I56" s="29"/>
      <c r="J56" s="29"/>
      <c r="K56" s="29"/>
      <c r="L56" s="29"/>
      <c r="M56" s="29"/>
      <c r="N56" s="29"/>
      <c r="O56" s="29"/>
    </row>
    <row r="57" spans="2:15" x14ac:dyDescent="0.45">
      <c r="B57" s="26" t="s">
        <v>290</v>
      </c>
      <c r="C57" s="27" t="s">
        <v>247</v>
      </c>
      <c r="D57" s="69" cm="1">
        <f t="array" aca="1" ref="D57" ca="1">_xll.VoseOutput("Over budget, plan in use","1 = yes")+IF(D45&gt;0,1,0)</f>
        <v>0</v>
      </c>
      <c r="E57" s="29"/>
      <c r="F57" s="27" t="s">
        <v>287</v>
      </c>
      <c r="G57" s="29"/>
      <c r="H57" s="29"/>
      <c r="I57" s="29"/>
      <c r="J57" s="29"/>
      <c r="K57" s="29"/>
      <c r="L57" s="29"/>
      <c r="M57" s="29"/>
      <c r="N57" s="29"/>
      <c r="O57" s="29"/>
    </row>
    <row r="58" spans="2:15" x14ac:dyDescent="0.45">
      <c r="B58" s="26" t="s">
        <v>291</v>
      </c>
      <c r="C58" s="27" t="s">
        <v>150</v>
      </c>
      <c r="D58" s="67" cm="1">
        <f t="array" aca="1" ref="D58" ca="1">_xll.VoseOutput("Busiest year spend, starting plan","US$m")+MAX(F42:O42)</f>
        <v>160</v>
      </c>
      <c r="E58" s="29"/>
      <c r="F58" s="27" t="s">
        <v>292</v>
      </c>
      <c r="G58" s="29"/>
      <c r="H58" s="29"/>
      <c r="I58" s="29"/>
      <c r="J58" s="29"/>
      <c r="K58" s="29"/>
      <c r="L58" s="29"/>
      <c r="M58" s="29"/>
      <c r="N58" s="29"/>
      <c r="O58" s="29"/>
    </row>
    <row r="59" spans="2:15" x14ac:dyDescent="0.45">
      <c r="B59" s="26" t="s">
        <v>293</v>
      </c>
      <c r="C59" s="27" t="s">
        <v>150</v>
      </c>
      <c r="D59" s="67" cm="1">
        <f t="array" aca="1" ref="D59" ca="1">_xll.VoseOutput("Busiest year spend, plan in use","US$m")+MAX(F43:O43)</f>
        <v>170</v>
      </c>
      <c r="E59" s="29"/>
      <c r="F59" s="27"/>
      <c r="G59" s="29"/>
      <c r="H59" s="29"/>
      <c r="I59" s="29"/>
      <c r="J59" s="29"/>
      <c r="K59" s="29"/>
      <c r="L59" s="29"/>
      <c r="M59" s="29"/>
      <c r="N59" s="29"/>
      <c r="O59" s="29"/>
    </row>
    <row r="60" spans="2:15" x14ac:dyDescent="0.45">
      <c r="B60" s="26" t="s">
        <v>294</v>
      </c>
      <c r="C60" s="27" t="s">
        <v>150</v>
      </c>
      <c r="D60" s="67" cm="1">
        <f t="array" aca="1" ref="D60" ca="1">_xll.VoseOutput("R&amp;D cost, starting plan","US$m")+SUMPRODUCT(FundStart,PVCostCol)</f>
        <v>481.59922226066976</v>
      </c>
      <c r="E60" s="29"/>
      <c r="F60" s="27"/>
      <c r="G60" s="29"/>
      <c r="H60" s="29"/>
      <c r="I60" s="29"/>
      <c r="J60" s="29"/>
      <c r="K60" s="29"/>
      <c r="L60" s="29"/>
      <c r="M60" s="29"/>
      <c r="N60" s="29"/>
      <c r="O60" s="29"/>
    </row>
    <row r="61" spans="2:15" x14ac:dyDescent="0.45">
      <c r="B61" s="26" t="s">
        <v>295</v>
      </c>
      <c r="C61" s="27" t="s">
        <v>150</v>
      </c>
      <c r="D61" s="67" cm="1">
        <f t="array" aca="1" ref="D61" ca="1">_xll.VoseOutput("R&amp;D cost, plan in use","US$m")+SUMPRODUCT(FundPlan,PVCostCol)</f>
        <v>494.33092068190336</v>
      </c>
      <c r="E61" s="29"/>
      <c r="F61" s="27"/>
      <c r="G61" s="29"/>
      <c r="H61" s="29"/>
      <c r="I61" s="29"/>
      <c r="J61" s="29"/>
      <c r="K61" s="29"/>
      <c r="L61" s="29"/>
      <c r="M61" s="29"/>
      <c r="N61" s="29"/>
      <c r="O61" s="29"/>
    </row>
    <row r="62" spans="2:15" x14ac:dyDescent="0.45">
      <c r="B62" s="26" t="s">
        <v>296</v>
      </c>
      <c r="C62" s="27" t="s">
        <v>150</v>
      </c>
      <c r="D62" s="67" cm="1">
        <f t="array" aca="1" ref="D62" ca="1">_xll.VoseOutput("NPV project A","US$m")+NPV_A</f>
        <v>613.24460673343583</v>
      </c>
      <c r="E62" s="29"/>
      <c r="F62" s="27" t="s">
        <v>297</v>
      </c>
      <c r="G62" s="29"/>
      <c r="H62" s="29"/>
      <c r="I62" s="29"/>
      <c r="J62" s="29"/>
      <c r="K62" s="29"/>
      <c r="L62" s="29"/>
      <c r="M62" s="29"/>
      <c r="N62" s="29"/>
      <c r="O62" s="29"/>
    </row>
    <row r="63" spans="2:15" x14ac:dyDescent="0.45">
      <c r="B63" s="26" t="s">
        <v>298</v>
      </c>
      <c r="C63" s="27" t="s">
        <v>150</v>
      </c>
      <c r="D63" s="67" cm="1">
        <f t="array" aca="1" ref="D63" ca="1">_xll.VoseOutput("NPV project B","US$m")+NPV_B</f>
        <v>-45.50616903217599</v>
      </c>
      <c r="E63" s="29"/>
      <c r="F63" s="27"/>
      <c r="G63" s="29"/>
      <c r="H63" s="29"/>
      <c r="I63" s="29"/>
      <c r="J63" s="29"/>
      <c r="K63" s="29"/>
      <c r="L63" s="29"/>
      <c r="M63" s="29"/>
      <c r="N63" s="29"/>
      <c r="O63" s="29"/>
    </row>
    <row r="64" spans="2:15" x14ac:dyDescent="0.45">
      <c r="B64" s="26" t="s">
        <v>299</v>
      </c>
      <c r="C64" s="27" t="s">
        <v>150</v>
      </c>
      <c r="D64" s="67" cm="1">
        <f t="array" aca="1" ref="D64" ca="1">_xll.VoseOutput("NPV project C","US$m")+NPV_C</f>
        <v>-45.50616903217599</v>
      </c>
      <c r="E64" s="29"/>
      <c r="F64" s="27"/>
      <c r="G64" s="29"/>
      <c r="H64" s="29"/>
      <c r="I64" s="29"/>
      <c r="J64" s="29"/>
      <c r="K64" s="29"/>
      <c r="L64" s="29"/>
      <c r="M64" s="29"/>
      <c r="N64" s="29"/>
      <c r="O64" s="29"/>
    </row>
    <row r="65" spans="2:15" x14ac:dyDescent="0.45">
      <c r="B65" s="26" t="s">
        <v>300</v>
      </c>
      <c r="C65" s="27" t="s">
        <v>150</v>
      </c>
      <c r="D65" s="67" cm="1">
        <f t="array" aca="1" ref="D65" ca="1">_xll.VoseOutput("NPV project D","US$m")+NPV_D</f>
        <v>-55.671183413389329</v>
      </c>
      <c r="E65" s="29"/>
      <c r="F65" s="27"/>
      <c r="G65" s="29"/>
      <c r="H65" s="29"/>
      <c r="I65" s="29"/>
      <c r="J65" s="29"/>
      <c r="K65" s="29"/>
      <c r="L65" s="29"/>
      <c r="M65" s="29"/>
      <c r="N65" s="29"/>
      <c r="O65" s="29"/>
    </row>
    <row r="66" spans="2:15" x14ac:dyDescent="0.45">
      <c r="B66" s="26" t="s">
        <v>301</v>
      </c>
      <c r="C66" s="27" t="s">
        <v>150</v>
      </c>
      <c r="D66" s="67" cm="1">
        <f t="array" aca="1" ref="D66" ca="1">_xll.VoseOutput("NPV project E","US$m")+NPV_E</f>
        <v>-55.671183413389329</v>
      </c>
      <c r="E66" s="29"/>
      <c r="F66" s="27"/>
      <c r="G66" s="29"/>
      <c r="H66" s="29"/>
      <c r="I66" s="29"/>
      <c r="J66" s="29"/>
      <c r="K66" s="29"/>
      <c r="L66" s="29"/>
      <c r="M66" s="29"/>
      <c r="N66" s="29"/>
      <c r="O66" s="29"/>
    </row>
    <row r="67" spans="2:15" x14ac:dyDescent="0.45">
      <c r="B67" s="26" t="s">
        <v>302</v>
      </c>
      <c r="C67" s="27" t="s">
        <v>150</v>
      </c>
      <c r="D67" s="67" cm="1">
        <f t="array" aca="1" ref="D67" ca="1">_xll.VoseOutput("NPV project F","US$m")+NPV_F</f>
        <v>-58.237867453409578</v>
      </c>
      <c r="E67" s="29"/>
      <c r="F67" s="27"/>
      <c r="G67" s="29"/>
      <c r="H67" s="29"/>
      <c r="I67" s="29"/>
      <c r="J67" s="29"/>
      <c r="K67" s="29"/>
      <c r="L67" s="29"/>
      <c r="M67" s="29"/>
      <c r="N67" s="29"/>
      <c r="O67" s="29"/>
    </row>
    <row r="68" spans="2:15" x14ac:dyDescent="0.45">
      <c r="B68" s="26" t="s">
        <v>303</v>
      </c>
      <c r="C68" s="27" t="s">
        <v>150</v>
      </c>
      <c r="D68" s="67" cm="1">
        <f t="array" aca="1" ref="D68" ca="1">_xll.VoseOutput("NPV project G","US$m")+NPV_G</f>
        <v>-174.84000567186905</v>
      </c>
      <c r="E68" s="29"/>
      <c r="F68" s="27"/>
      <c r="G68" s="29"/>
      <c r="H68" s="29"/>
      <c r="I68" s="29"/>
      <c r="J68" s="29"/>
      <c r="K68" s="29"/>
      <c r="L68" s="29"/>
      <c r="M68" s="29"/>
      <c r="N68" s="29"/>
      <c r="O68" s="29"/>
    </row>
    <row r="69" spans="2:15" x14ac:dyDescent="0.45">
      <c r="B69" s="26" t="s">
        <v>304</v>
      </c>
      <c r="C69" s="27" t="s">
        <v>150</v>
      </c>
      <c r="D69" s="67" cm="1">
        <f t="array" aca="1" ref="D69" ca="1">_xll.VoseOutput("NPV project H","US$m")+NPV_H</f>
        <v>-58.237867453409578</v>
      </c>
      <c r="E69" s="29"/>
      <c r="F69" s="27"/>
      <c r="G69" s="29"/>
      <c r="H69" s="29"/>
      <c r="I69" s="29"/>
      <c r="J69" s="29"/>
      <c r="K69" s="29"/>
      <c r="L69" s="29"/>
      <c r="M69" s="29"/>
      <c r="N69" s="29"/>
      <c r="O69" s="29"/>
    </row>
    <row r="70" spans="2:15" x14ac:dyDescent="0.45">
      <c r="B70" s="26" t="s">
        <v>305</v>
      </c>
      <c r="C70" s="27" t="s">
        <v>247</v>
      </c>
      <c r="D70" s="69" cm="1">
        <f t="array" aca="1" ref="D70" ca="1">_xll.VoseOutput("Launched project A","1 = yes")+Launched_A</f>
        <v>1</v>
      </c>
      <c r="E70" s="29"/>
      <c r="F70" s="27"/>
      <c r="G70" s="29"/>
      <c r="H70" s="29"/>
      <c r="I70" s="29"/>
      <c r="J70" s="29"/>
      <c r="K70" s="29"/>
      <c r="L70" s="29"/>
      <c r="M70" s="29"/>
      <c r="N70" s="29"/>
      <c r="O70" s="29"/>
    </row>
    <row r="71" spans="2:15" x14ac:dyDescent="0.45">
      <c r="B71" s="26" t="s">
        <v>306</v>
      </c>
      <c r="C71" s="27" t="s">
        <v>247</v>
      </c>
      <c r="D71" s="69" cm="1">
        <f t="array" aca="1" ref="D71" ca="1">_xll.VoseOutput("Launched project B","1 = yes")+Launched_B</f>
        <v>0</v>
      </c>
      <c r="E71" s="29"/>
      <c r="F71" s="27"/>
      <c r="G71" s="29"/>
      <c r="H71" s="29"/>
      <c r="I71" s="29"/>
      <c r="J71" s="29"/>
      <c r="K71" s="29"/>
      <c r="L71" s="29"/>
      <c r="M71" s="29"/>
      <c r="N71" s="29"/>
      <c r="O71" s="29"/>
    </row>
    <row r="72" spans="2:15" x14ac:dyDescent="0.45">
      <c r="B72" s="26" t="s">
        <v>307</v>
      </c>
      <c r="C72" s="27" t="s">
        <v>247</v>
      </c>
      <c r="D72" s="69" cm="1">
        <f t="array" aca="1" ref="D72" ca="1">_xll.VoseOutput("Launched project C","1 = yes")+Launched_C</f>
        <v>0</v>
      </c>
      <c r="E72" s="29"/>
      <c r="F72" s="27"/>
      <c r="G72" s="29"/>
      <c r="H72" s="29"/>
      <c r="I72" s="29"/>
      <c r="J72" s="29"/>
      <c r="K72" s="29"/>
      <c r="L72" s="29"/>
      <c r="M72" s="29"/>
      <c r="N72" s="29"/>
      <c r="O72" s="29"/>
    </row>
    <row r="73" spans="2:15" x14ac:dyDescent="0.45">
      <c r="B73" s="26" t="s">
        <v>308</v>
      </c>
      <c r="C73" s="27" t="s">
        <v>247</v>
      </c>
      <c r="D73" s="69" cm="1">
        <f t="array" aca="1" ref="D73" ca="1">_xll.VoseOutput("Launched project D","1 = yes")+Launched_D</f>
        <v>0</v>
      </c>
      <c r="E73" s="29"/>
      <c r="F73" s="27"/>
      <c r="G73" s="29"/>
      <c r="H73" s="29"/>
      <c r="I73" s="29"/>
      <c r="J73" s="29"/>
      <c r="K73" s="29"/>
      <c r="L73" s="29"/>
      <c r="M73" s="29"/>
      <c r="N73" s="29"/>
      <c r="O73" s="29"/>
    </row>
    <row r="74" spans="2:15" x14ac:dyDescent="0.45">
      <c r="B74" s="26" t="s">
        <v>309</v>
      </c>
      <c r="C74" s="27" t="s">
        <v>247</v>
      </c>
      <c r="D74" s="69" cm="1">
        <f t="array" aca="1" ref="D74" ca="1">_xll.VoseOutput("Launched project E","1 = yes")+Launched_E</f>
        <v>0</v>
      </c>
      <c r="E74" s="29"/>
      <c r="F74" s="27"/>
      <c r="G74" s="29"/>
      <c r="H74" s="29"/>
      <c r="I74" s="29"/>
      <c r="J74" s="29"/>
      <c r="K74" s="29"/>
      <c r="L74" s="29"/>
      <c r="M74" s="29"/>
      <c r="N74" s="29"/>
      <c r="O74" s="29"/>
    </row>
    <row r="75" spans="2:15" x14ac:dyDescent="0.45">
      <c r="B75" s="26" t="s">
        <v>310</v>
      </c>
      <c r="C75" s="27" t="s">
        <v>247</v>
      </c>
      <c r="D75" s="69" cm="1">
        <f t="array" aca="1" ref="D75" ca="1">_xll.VoseOutput("Launched project F","1 = yes")+Launched_F</f>
        <v>0</v>
      </c>
      <c r="E75" s="29"/>
      <c r="F75" s="27"/>
      <c r="G75" s="29"/>
      <c r="H75" s="29"/>
      <c r="I75" s="29"/>
      <c r="J75" s="29"/>
      <c r="K75" s="29"/>
      <c r="L75" s="29"/>
      <c r="M75" s="29"/>
      <c r="N75" s="29"/>
      <c r="O75" s="29"/>
    </row>
    <row r="76" spans="2:15" x14ac:dyDescent="0.45">
      <c r="B76" s="26" t="s">
        <v>311</v>
      </c>
      <c r="C76" s="27" t="s">
        <v>247</v>
      </c>
      <c r="D76" s="69" cm="1">
        <f t="array" aca="1" ref="D76" ca="1">_xll.VoseOutput("Launched project G","1 = yes")+Launched_G</f>
        <v>0</v>
      </c>
      <c r="E76" s="29"/>
      <c r="F76" s="27"/>
      <c r="G76" s="29"/>
      <c r="H76" s="29"/>
      <c r="I76" s="29"/>
      <c r="J76" s="29"/>
      <c r="K76" s="29"/>
      <c r="L76" s="29"/>
      <c r="M76" s="29"/>
      <c r="N76" s="29"/>
      <c r="O76" s="29"/>
    </row>
    <row r="77" spans="2:15" x14ac:dyDescent="0.45">
      <c r="B77" s="26" t="s">
        <v>312</v>
      </c>
      <c r="C77" s="27" t="s">
        <v>247</v>
      </c>
      <c r="D77" s="69" cm="1">
        <f t="array" aca="1" ref="D77" ca="1">_xll.VoseOutput("Launched project H","1 = yes")+Launched_H</f>
        <v>0</v>
      </c>
      <c r="E77" s="29"/>
      <c r="F77" s="27"/>
      <c r="G77" s="29"/>
      <c r="H77" s="29"/>
      <c r="I77" s="29"/>
      <c r="J77" s="29"/>
      <c r="K77" s="29"/>
      <c r="L77" s="29"/>
      <c r="M77" s="29"/>
      <c r="N77" s="29"/>
      <c r="O77" s="29"/>
    </row>
    <row r="78" spans="2:15" x14ac:dyDescent="0.45">
      <c r="B78" s="26" t="s">
        <v>313</v>
      </c>
      <c r="C78" s="27" t="s">
        <v>150</v>
      </c>
      <c r="D78" s="67" cm="1">
        <f t="array" aca="1" ref="D78" ca="1">_xll.VoseOutput("R&amp;D cost project A","US$m")+PVCost_A</f>
        <v>160.07569511105939</v>
      </c>
      <c r="E78" s="29"/>
      <c r="F78" s="27"/>
      <c r="G78" s="29"/>
      <c r="H78" s="29"/>
      <c r="I78" s="29"/>
      <c r="J78" s="29"/>
      <c r="K78" s="29"/>
      <c r="L78" s="29"/>
      <c r="M78" s="29"/>
      <c r="N78" s="29"/>
      <c r="O78" s="29"/>
    </row>
    <row r="79" spans="2:15" x14ac:dyDescent="0.45">
      <c r="B79" s="26" t="s">
        <v>314</v>
      </c>
      <c r="C79" s="27" t="s">
        <v>150</v>
      </c>
      <c r="D79" s="67" cm="1">
        <f t="array" aca="1" ref="D79" ca="1">_xll.VoseOutput("R&amp;D cost project B","US$m")+PVCost_B</f>
        <v>45.50616903217599</v>
      </c>
      <c r="E79" s="29"/>
      <c r="F79" s="27"/>
      <c r="G79" s="29"/>
      <c r="H79" s="29"/>
      <c r="I79" s="29"/>
      <c r="J79" s="29"/>
      <c r="K79" s="29"/>
      <c r="L79" s="29"/>
      <c r="M79" s="29"/>
      <c r="N79" s="29"/>
      <c r="O79" s="29"/>
    </row>
    <row r="80" spans="2:15" x14ac:dyDescent="0.45">
      <c r="B80" s="26" t="s">
        <v>315</v>
      </c>
      <c r="C80" s="27" t="s">
        <v>150</v>
      </c>
      <c r="D80" s="67" cm="1">
        <f t="array" aca="1" ref="D80" ca="1">_xll.VoseOutput("R&amp;D cost project C","US$m")+PVCost_C</f>
        <v>45.50616903217599</v>
      </c>
      <c r="E80" s="29"/>
      <c r="F80" s="27"/>
      <c r="G80" s="29"/>
      <c r="H80" s="29"/>
      <c r="I80" s="29"/>
      <c r="J80" s="29"/>
      <c r="K80" s="29"/>
      <c r="L80" s="29"/>
      <c r="M80" s="29"/>
      <c r="N80" s="29"/>
      <c r="O80" s="29"/>
    </row>
    <row r="81" spans="2:15" x14ac:dyDescent="0.45">
      <c r="B81" s="26" t="s">
        <v>316</v>
      </c>
      <c r="C81" s="27" t="s">
        <v>150</v>
      </c>
      <c r="D81" s="67" cm="1">
        <f t="array" aca="1" ref="D81" ca="1">_xll.VoseOutput("R&amp;D cost project D","US$m")+PVCost_D</f>
        <v>55.671183413389329</v>
      </c>
      <c r="E81" s="29"/>
      <c r="F81" s="27"/>
      <c r="G81" s="29"/>
      <c r="H81" s="29"/>
      <c r="I81" s="29"/>
      <c r="J81" s="29"/>
      <c r="K81" s="29"/>
      <c r="L81" s="29"/>
      <c r="M81" s="29"/>
      <c r="N81" s="29"/>
      <c r="O81" s="29"/>
    </row>
    <row r="82" spans="2:15" x14ac:dyDescent="0.45">
      <c r="B82" s="26" t="s">
        <v>317</v>
      </c>
      <c r="C82" s="27" t="s">
        <v>150</v>
      </c>
      <c r="D82" s="67" cm="1">
        <f t="array" aca="1" ref="D82" ca="1">_xll.VoseOutput("R&amp;D cost project E","US$m")+PVCost_E</f>
        <v>55.671183413389329</v>
      </c>
      <c r="E82" s="29"/>
      <c r="F82" s="27"/>
      <c r="G82" s="29"/>
      <c r="H82" s="29"/>
      <c r="I82" s="29"/>
      <c r="J82" s="29"/>
      <c r="K82" s="29"/>
      <c r="L82" s="29"/>
      <c r="M82" s="29"/>
      <c r="N82" s="29"/>
      <c r="O82" s="29"/>
    </row>
    <row r="83" spans="2:15" x14ac:dyDescent="0.45">
      <c r="B83" s="26" t="s">
        <v>318</v>
      </c>
      <c r="C83" s="27" t="s">
        <v>150</v>
      </c>
      <c r="D83" s="67" cm="1">
        <f t="array" aca="1" ref="D83" ca="1">_xll.VoseOutput("R&amp;D cost project F","US$m")+PVCost_F</f>
        <v>58.237867453409578</v>
      </c>
      <c r="E83" s="29"/>
      <c r="F83" s="27"/>
      <c r="G83" s="29"/>
      <c r="H83" s="29"/>
      <c r="I83" s="29"/>
      <c r="J83" s="29"/>
      <c r="K83" s="29"/>
      <c r="L83" s="29"/>
      <c r="M83" s="29"/>
      <c r="N83" s="29"/>
      <c r="O83" s="29"/>
    </row>
    <row r="84" spans="2:15" x14ac:dyDescent="0.45">
      <c r="B84" s="26" t="s">
        <v>319</v>
      </c>
      <c r="C84" s="27" t="s">
        <v>150</v>
      </c>
      <c r="D84" s="67" cm="1">
        <f t="array" aca="1" ref="D84" ca="1">_xll.VoseOutput("R&amp;D cost project G","US$m")+PVCost_G</f>
        <v>174.84000567186905</v>
      </c>
      <c r="E84" s="29"/>
      <c r="F84" s="27"/>
      <c r="G84" s="29"/>
      <c r="H84" s="29"/>
      <c r="I84" s="29"/>
      <c r="J84" s="29"/>
      <c r="K84" s="29"/>
      <c r="L84" s="29"/>
      <c r="M84" s="29"/>
      <c r="N84" s="29"/>
      <c r="O84" s="29"/>
    </row>
    <row r="85" spans="2:15" x14ac:dyDescent="0.45">
      <c r="B85" s="26" t="s">
        <v>320</v>
      </c>
      <c r="C85" s="27" t="s">
        <v>150</v>
      </c>
      <c r="D85" s="67" cm="1">
        <f t="array" aca="1" ref="D85" ca="1">_xll.VoseOutput("R&amp;D cost project H","US$m")+PVCost_H</f>
        <v>58.237867453409578</v>
      </c>
      <c r="E85" s="29"/>
      <c r="F85" s="27"/>
      <c r="G85" s="29"/>
      <c r="H85" s="29"/>
      <c r="I85" s="29"/>
      <c r="J85" s="29"/>
      <c r="K85" s="29"/>
      <c r="L85" s="29"/>
      <c r="M85" s="29"/>
      <c r="N85" s="29"/>
      <c r="O85" s="29"/>
    </row>
    <row r="86" spans="2:15" x14ac:dyDescent="0.45">
      <c r="B86" s="26" t="s">
        <v>321</v>
      </c>
      <c r="C86" s="27" t="s">
        <v>247</v>
      </c>
      <c r="D86" s="69" cm="1">
        <f t="array" aca="1" ref="D86" ca="1">_xll.VoseOutput("Both launched BH","1 = yes")+Launched_B*Launched_H</f>
        <v>0</v>
      </c>
      <c r="E86" s="29"/>
      <c r="F86" s="27"/>
      <c r="G86" s="29"/>
      <c r="H86" s="29"/>
      <c r="I86" s="29"/>
      <c r="J86" s="29"/>
      <c r="K86" s="29"/>
      <c r="L86" s="29"/>
      <c r="M86" s="29"/>
      <c r="N86" s="29"/>
      <c r="O86" s="29"/>
    </row>
    <row r="87" spans="2:15" x14ac:dyDescent="0.45">
      <c r="B87" s="26" t="s">
        <v>322</v>
      </c>
      <c r="C87" s="27" t="s">
        <v>247</v>
      </c>
      <c r="D87" s="69" cm="1">
        <f t="array" aca="1" ref="D87" ca="1">_xll.VoseOutput("Both launched CD","1 = yes")+Launched_C*Launched_D</f>
        <v>0</v>
      </c>
      <c r="E87" s="29"/>
      <c r="F87" s="27"/>
      <c r="G87" s="29"/>
      <c r="H87" s="29"/>
      <c r="I87" s="29"/>
      <c r="J87" s="29"/>
      <c r="K87" s="29"/>
      <c r="L87" s="29"/>
      <c r="M87" s="29"/>
      <c r="N87" s="29"/>
      <c r="O87" s="29"/>
    </row>
    <row r="88" spans="2:15" x14ac:dyDescent="0.45">
      <c r="B88" s="26" t="s">
        <v>323</v>
      </c>
      <c r="C88" s="27" t="s">
        <v>247</v>
      </c>
      <c r="D88" s="69" cm="1">
        <f t="array" aca="1" ref="D88" ca="1">_xll.VoseOutput("Both launched EF","1 = yes")+Launched_E*Launched_F</f>
        <v>0</v>
      </c>
      <c r="E88" s="29"/>
      <c r="F88" s="27"/>
      <c r="G88" s="29"/>
      <c r="H88" s="29"/>
      <c r="I88" s="29"/>
      <c r="J88" s="29"/>
      <c r="K88" s="29"/>
      <c r="L88" s="29"/>
      <c r="M88" s="29"/>
      <c r="N88" s="29"/>
      <c r="O88" s="29"/>
    </row>
    <row r="89" spans="2:15" ht="8" customHeight="1" x14ac:dyDescent="0.45"/>
    <row r="90" spans="2:15" ht="22.05" customHeight="1" x14ac:dyDescent="0.5">
      <c r="B90" s="7" t="s">
        <v>324</v>
      </c>
      <c r="C90" s="8"/>
      <c r="D90" s="8"/>
      <c r="E90" s="8"/>
      <c r="F90" s="8"/>
      <c r="G90" s="8"/>
      <c r="H90" s="8"/>
      <c r="I90" s="8"/>
      <c r="J90" s="8"/>
      <c r="K90" s="8"/>
      <c r="L90" s="8"/>
      <c r="M90" s="8"/>
      <c r="N90" s="8"/>
      <c r="O90" s="8"/>
    </row>
    <row r="91" spans="2:15" ht="18" customHeight="1" x14ac:dyDescent="0.45">
      <c r="B91" s="13" t="s">
        <v>325</v>
      </c>
    </row>
    <row r="92" spans="2:15" x14ac:dyDescent="0.45">
      <c r="B92" s="26" t="s">
        <v>326</v>
      </c>
      <c r="C92" s="29"/>
      <c r="D92" s="70" t="str">
        <f>IF(COUNT(StageIdx)=8,"OK","CHECK")</f>
        <v>OK</v>
      </c>
      <c r="E92" s="29"/>
      <c r="F92" s="29"/>
      <c r="G92" s="29"/>
      <c r="H92" s="29"/>
      <c r="I92" s="29"/>
      <c r="J92" s="29"/>
      <c r="K92" s="29"/>
      <c r="L92" s="29"/>
      <c r="M92" s="29"/>
      <c r="N92" s="29"/>
      <c r="O92" s="29"/>
    </row>
    <row r="93" spans="2:15" x14ac:dyDescent="0.45">
      <c r="B93" s="26" t="s">
        <v>327</v>
      </c>
      <c r="C93" s="29"/>
      <c r="D93" s="70" t="str">
        <f>IF(SUMPRODUCT(--(DurPh&lt;&gt;INT(DurPh)))=0,"OK","CHECK")</f>
        <v>OK</v>
      </c>
      <c r="E93" s="29"/>
      <c r="F93" s="29"/>
      <c r="G93" s="29"/>
      <c r="H93" s="29"/>
      <c r="I93" s="29"/>
      <c r="J93" s="29"/>
      <c r="K93" s="29"/>
      <c r="L93" s="29"/>
      <c r="M93" s="29"/>
      <c r="N93" s="29"/>
      <c r="O93" s="29"/>
    </row>
    <row r="94" spans="2:15" x14ac:dyDescent="0.45">
      <c r="B94" s="26" t="s">
        <v>328</v>
      </c>
      <c r="C94" s="29"/>
      <c r="D94" s="70" t="str">
        <f>IF(MAX(LaunchT_A,LaunchT_B,LaunchT_C,LaunchT_D,LaunchT_E,LaunchT_F,LaunchT_G,LaunchT_H)&lt;=MAX(F6:O6),"OK","CHECK")</f>
        <v>OK</v>
      </c>
      <c r="E94" s="29"/>
      <c r="F94" s="29"/>
      <c r="G94" s="29"/>
      <c r="H94" s="29"/>
      <c r="I94" s="29"/>
      <c r="J94" s="29"/>
      <c r="K94" s="29"/>
      <c r="L94" s="29"/>
      <c r="M94" s="29"/>
      <c r="N94" s="29"/>
      <c r="O94" s="29"/>
    </row>
    <row r="95" spans="2:15" x14ac:dyDescent="0.45">
      <c r="B95" s="26" t="s">
        <v>329</v>
      </c>
      <c r="C95" s="29"/>
      <c r="D95" s="70" t="str">
        <f>IF(SUMPRODUCT((FundPlan=0)+(FundPlan=1))+SUMPRODUCT((FundStart=0)+(FundStart=1))=16,"OK","CHECK")</f>
        <v>OK</v>
      </c>
      <c r="E95" s="29"/>
      <c r="F95" s="29"/>
      <c r="G95" s="29"/>
      <c r="H95" s="29"/>
      <c r="I95" s="29"/>
      <c r="J95" s="29"/>
      <c r="K95" s="29"/>
      <c r="L95" s="29"/>
      <c r="M95" s="29"/>
      <c r="N95" s="29"/>
      <c r="O95" s="29"/>
    </row>
    <row r="96" spans="2:15" ht="14" customHeight="1" x14ac:dyDescent="0.45"/>
  </sheetData>
  <conditionalFormatting sqref="D92:D95">
    <cfRule type="expression" dxfId="9" priority="6">
      <formula>D92="CHECK"</formula>
    </cfRule>
  </conditionalFormatting>
  <conditionalFormatting sqref="F13:O20">
    <cfRule type="cellIs" dxfId="8" priority="1" operator="equal">
      <formula>1</formula>
    </cfRule>
    <cfRule type="cellIs" dxfId="7" priority="2" operator="equal">
      <formula>2</formula>
    </cfRule>
    <cfRule type="cellIs" dxfId="6" priority="3" operator="equal">
      <formula>3</formula>
    </cfRule>
    <cfRule type="cellIs" dxfId="5" priority="4" operator="equal">
      <formula>4</formula>
    </cfRule>
    <cfRule type="cellIs" dxfId="4" priority="5" operator="equal">
      <formula>5</formula>
    </cfRule>
  </conditionalFormatting>
  <hyperlinks>
    <hyperlink ref="B4" location="'Pipeline'!A1" display="◂  Pipeline" xr:uid="{00000000-0004-0000-0500-000000000000}"/>
    <hyperlink ref="O4" location="'Results'!A1" display="Next:  Results  ▸" xr:uid="{00000000-0004-0000-05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2" manualBreakCount="2">
    <brk id="33" max="16383" man="1"/>
    <brk id="4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5803D"/>
    <outlinePr summaryBelow="0"/>
    <pageSetUpPr fitToPage="1"/>
  </sheetPr>
  <dimension ref="A1:R14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330</v>
      </c>
      <c r="C3" s="1"/>
      <c r="D3" s="1"/>
      <c r="E3" s="1"/>
      <c r="F3" s="1"/>
      <c r="G3" s="1"/>
      <c r="H3" s="1"/>
      <c r="I3" s="1"/>
      <c r="J3" s="1"/>
      <c r="K3" s="1"/>
      <c r="L3" s="1"/>
      <c r="M3" s="1"/>
      <c r="N3" s="1"/>
      <c r="O3" s="1"/>
      <c r="P3" s="1"/>
      <c r="Q3" s="1"/>
      <c r="R3" s="1"/>
    </row>
    <row r="4" spans="1:18" ht="20" customHeight="1" x14ac:dyDescent="0.45">
      <c r="A4" s="5"/>
      <c r="B4" s="23" t="s">
        <v>331</v>
      </c>
      <c r="C4" s="5"/>
      <c r="D4" s="5"/>
      <c r="E4" s="5"/>
      <c r="F4" s="5"/>
      <c r="G4" s="5"/>
      <c r="H4" s="5"/>
      <c r="I4" s="5"/>
      <c r="J4" s="5"/>
      <c r="K4" s="5"/>
      <c r="L4" s="5"/>
      <c r="M4" s="5"/>
      <c r="N4" s="5"/>
      <c r="O4" s="5"/>
      <c r="P4" s="5"/>
      <c r="Q4" s="5"/>
      <c r="R4" s="5"/>
    </row>
    <row r="5" spans="1:18" ht="8" customHeight="1" x14ac:dyDescent="0.45"/>
    <row r="6" spans="1:18" ht="26" customHeight="1" x14ac:dyDescent="0.45">
      <c r="B6" s="71" t="str" cm="1">
        <f t="array" aca="1" ref="B6" ca="1">IF(ISNUMBER(_xll.VoseSimMean(Out_NPV_Plan)),"✔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72"/>
      <c r="D6" s="72"/>
      <c r="E6" s="72"/>
      <c r="F6" s="72"/>
      <c r="G6" s="72"/>
    </row>
    <row r="7" spans="1:18" x14ac:dyDescent="0.45">
      <c r="B7" s="73"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332</v>
      </c>
      <c r="C9" s="8"/>
      <c r="D9" s="8"/>
      <c r="E9" s="8"/>
      <c r="F9" s="8"/>
      <c r="G9" s="8"/>
      <c r="I9" s="74" t="s">
        <v>333</v>
      </c>
      <c r="J9" s="8"/>
      <c r="K9" s="8"/>
      <c r="L9" s="8"/>
      <c r="M9" s="8"/>
      <c r="N9" s="8"/>
      <c r="O9" s="8"/>
      <c r="P9" s="8"/>
      <c r="Q9" s="8"/>
      <c r="R9" s="8"/>
    </row>
    <row r="10" spans="1:18" ht="18" customHeight="1" x14ac:dyDescent="0.45">
      <c r="B10" s="13" t="s">
        <v>334</v>
      </c>
    </row>
    <row r="11" spans="1:18" ht="18" customHeight="1" x14ac:dyDescent="0.45">
      <c r="B11" s="24" t="s">
        <v>62</v>
      </c>
      <c r="C11" s="24" t="s">
        <v>335</v>
      </c>
      <c r="D11" s="25" t="s">
        <v>181</v>
      </c>
      <c r="E11" s="25" t="s">
        <v>180</v>
      </c>
      <c r="F11" s="25" t="s">
        <v>336</v>
      </c>
      <c r="G11" s="5"/>
    </row>
    <row r="12" spans="1:18" x14ac:dyDescent="0.45">
      <c r="B12" s="26" t="s">
        <v>160</v>
      </c>
      <c r="C12" s="27" t="str">
        <f>Projects!D16</f>
        <v>Phase III</v>
      </c>
      <c r="D12" s="75">
        <f>Fund_A_Start</f>
        <v>1</v>
      </c>
      <c r="E12" s="76">
        <f>Fund_A</f>
        <v>1</v>
      </c>
      <c r="F12" s="77">
        <f t="shared" ref="F12:F19" si="0">E12-D12</f>
        <v>0</v>
      </c>
      <c r="G12" s="29"/>
    </row>
    <row r="13" spans="1:18" x14ac:dyDescent="0.45">
      <c r="B13" s="26" t="s">
        <v>162</v>
      </c>
      <c r="C13" s="27" t="str">
        <f>Projects!D17</f>
        <v>Phase II</v>
      </c>
      <c r="D13" s="75">
        <f>Fund_B_Start</f>
        <v>1</v>
      </c>
      <c r="E13" s="76">
        <f>Fund_B</f>
        <v>1</v>
      </c>
      <c r="F13" s="77">
        <f t="shared" si="0"/>
        <v>0</v>
      </c>
      <c r="G13" s="29"/>
    </row>
    <row r="14" spans="1:18" x14ac:dyDescent="0.45">
      <c r="B14" s="26" t="s">
        <v>164</v>
      </c>
      <c r="C14" s="27" t="str">
        <f>Projects!D18</f>
        <v>Phase II</v>
      </c>
      <c r="D14" s="75">
        <f>Fund_C_Start</f>
        <v>1</v>
      </c>
      <c r="E14" s="76">
        <f>Fund_C</f>
        <v>0</v>
      </c>
      <c r="F14" s="77">
        <f t="shared" si="0"/>
        <v>-1</v>
      </c>
      <c r="G14" s="29"/>
    </row>
    <row r="15" spans="1:18" x14ac:dyDescent="0.45">
      <c r="B15" s="26" t="s">
        <v>166</v>
      </c>
      <c r="C15" s="27" t="str">
        <f>Projects!D19</f>
        <v>Phase I</v>
      </c>
      <c r="D15" s="75">
        <f>Fund_D_Start</f>
        <v>0</v>
      </c>
      <c r="E15" s="76">
        <f>Fund_D</f>
        <v>0</v>
      </c>
      <c r="F15" s="77">
        <f t="shared" si="0"/>
        <v>0</v>
      </c>
      <c r="G15" s="29"/>
    </row>
    <row r="16" spans="1:18" x14ac:dyDescent="0.45">
      <c r="B16" s="26" t="s">
        <v>167</v>
      </c>
      <c r="C16" s="27" t="str">
        <f>Projects!D20</f>
        <v>Phase I</v>
      </c>
      <c r="D16" s="75">
        <f>Fund_E_Start</f>
        <v>1</v>
      </c>
      <c r="E16" s="76">
        <f>Fund_E</f>
        <v>1</v>
      </c>
      <c r="F16" s="77">
        <f t="shared" si="0"/>
        <v>0</v>
      </c>
      <c r="G16" s="29"/>
    </row>
    <row r="17" spans="2:7" x14ac:dyDescent="0.45">
      <c r="B17" s="26" t="s">
        <v>169</v>
      </c>
      <c r="C17" s="27" t="str">
        <f>Projects!D21</f>
        <v>Preclinical</v>
      </c>
      <c r="D17" s="75">
        <f>Fund_F_Start</f>
        <v>0</v>
      </c>
      <c r="E17" s="76">
        <f>Fund_F</f>
        <v>1</v>
      </c>
      <c r="F17" s="77">
        <f t="shared" si="0"/>
        <v>1</v>
      </c>
      <c r="G17" s="29"/>
    </row>
    <row r="18" spans="2:7" x14ac:dyDescent="0.45">
      <c r="B18" s="26" t="s">
        <v>170</v>
      </c>
      <c r="C18" s="27" t="str">
        <f>Projects!D22</f>
        <v>Phase II</v>
      </c>
      <c r="D18" s="75">
        <f>Fund_G_Start</f>
        <v>1</v>
      </c>
      <c r="E18" s="76">
        <f>Fund_G</f>
        <v>1</v>
      </c>
      <c r="F18" s="77">
        <f t="shared" si="0"/>
        <v>0</v>
      </c>
      <c r="G18" s="29"/>
    </row>
    <row r="19" spans="2:7" x14ac:dyDescent="0.45">
      <c r="B19" s="26" t="s">
        <v>172</v>
      </c>
      <c r="C19" s="27" t="str">
        <f>Projects!D23</f>
        <v>Preclinical</v>
      </c>
      <c r="D19" s="75">
        <f>Fund_H_Start</f>
        <v>0</v>
      </c>
      <c r="E19" s="76">
        <f>Fund_H</f>
        <v>0</v>
      </c>
      <c r="F19" s="77">
        <f t="shared" si="0"/>
        <v>0</v>
      </c>
      <c r="G19" s="29"/>
    </row>
    <row r="20" spans="2:7" ht="6" customHeight="1" x14ac:dyDescent="0.45"/>
    <row r="21" spans="2:7" ht="28.05" customHeight="1" x14ac:dyDescent="0.45">
      <c r="B21" s="24" t="s">
        <v>337</v>
      </c>
      <c r="C21" s="24" t="s">
        <v>115</v>
      </c>
      <c r="D21" s="25" t="s">
        <v>181</v>
      </c>
      <c r="E21" s="25" t="s">
        <v>180</v>
      </c>
      <c r="F21" s="25" t="s">
        <v>336</v>
      </c>
      <c r="G21" s="25"/>
    </row>
    <row r="22" spans="2:7" x14ac:dyDescent="0.45">
      <c r="B22" s="26" t="s">
        <v>338</v>
      </c>
      <c r="C22" s="27" t="s">
        <v>339</v>
      </c>
      <c r="D22" s="78">
        <f>SUM(FundStart)</f>
        <v>5</v>
      </c>
      <c r="E22" s="78">
        <f>SUM(FundPlan)</f>
        <v>5</v>
      </c>
      <c r="F22" s="79">
        <f t="shared" ref="F22:F28" si="1">IFERROR(E22-D22,"–")</f>
        <v>0</v>
      </c>
      <c r="G22" s="29"/>
    </row>
    <row r="23" spans="2:7" x14ac:dyDescent="0.45">
      <c r="B23" s="26" t="s">
        <v>340</v>
      </c>
      <c r="C23" s="27" t="s">
        <v>150</v>
      </c>
      <c r="D23" s="80" cm="1">
        <f t="array" aca="1" ref="D23" ca="1">_xll.VoseSimMean(Out_NPV_Start)</f>
        <v>556.08460056213585</v>
      </c>
      <c r="E23" s="80" cm="1">
        <f t="array" aca="1" ref="E23" ca="1">_xll.VoseSimMean(Out_NPV_Plan)</f>
        <v>544.55172987634023</v>
      </c>
      <c r="F23" s="81">
        <f t="shared" ca="1" si="1"/>
        <v>-11.532870685795615</v>
      </c>
      <c r="G23" s="82" t="str">
        <f ca="1">IF(ISNUMBER(F23),IF(F23&gt;0,"✔ better",IF(F23=0,"same","")),"")</f>
        <v/>
      </c>
    </row>
    <row r="24" spans="2:7" x14ac:dyDescent="0.45">
      <c r="B24" s="26" t="s">
        <v>341</v>
      </c>
      <c r="C24" s="27" t="s">
        <v>150</v>
      </c>
      <c r="D24" s="80" cm="1">
        <f t="array" aca="1" ref="D24" ca="1">_xll.VoseSimPercentile(Out_NPV_Start,0.1)</f>
        <v>-436.64822490893351</v>
      </c>
      <c r="E24" s="80" cm="1">
        <f t="array" aca="1" ref="E24" ca="1">_xll.VoseSimPercentile(Out_NPV_Plan,0.1)</f>
        <v>-398.7697565907223</v>
      </c>
      <c r="F24" s="81">
        <f t="shared" ca="1" si="1"/>
        <v>37.878468318211219</v>
      </c>
      <c r="G24" s="82" t="str">
        <f ca="1">IF(ISNUMBER(F24),IF(F24&gt;0,"✔ better",IF(F24=0,"same","")),"")</f>
        <v>✔ better</v>
      </c>
    </row>
    <row r="25" spans="2:7" x14ac:dyDescent="0.45">
      <c r="B25" s="26" t="s">
        <v>342</v>
      </c>
      <c r="C25" s="27" t="s">
        <v>283</v>
      </c>
      <c r="D25" s="83" cm="1">
        <f t="array" aca="1" ref="D25" ca="1">_xll.VoseSimMean(Out_Launch_Start)</f>
        <v>1.3424</v>
      </c>
      <c r="E25" s="83" cm="1">
        <f t="array" aca="1" ref="E25" ca="1">_xll.VoseSimMean(Out_Launch_Plan)</f>
        <v>1.2164999999999999</v>
      </c>
      <c r="F25" s="84">
        <f t="shared" ca="1" si="1"/>
        <v>-0.12590000000000012</v>
      </c>
      <c r="G25" s="82" t="str">
        <f ca="1">IF(ISNUMBER(F25),IF(F25&gt;0,"✔ better",IF(F25=0,"same","")),"")</f>
        <v/>
      </c>
    </row>
    <row r="26" spans="2:7" x14ac:dyDescent="0.45">
      <c r="B26" s="26" t="s">
        <v>343</v>
      </c>
      <c r="C26" s="27" t="s">
        <v>134</v>
      </c>
      <c r="D26" s="85" cm="1">
        <f t="array" aca="1" ref="D26" ca="1">1-_xll.VoseSimProbability(Out_None_Start,0.5)</f>
        <v>0.18428157184281568</v>
      </c>
      <c r="E26" s="85" cm="1">
        <f t="array" aca="1" ref="E26" ca="1">1-_xll.VoseSimProbability(Out_None_Plan,0.5)</f>
        <v>0.21237876212378759</v>
      </c>
      <c r="F26" s="86">
        <f t="shared" ca="1" si="1"/>
        <v>2.8097190280971907E-2</v>
      </c>
      <c r="G26" s="82" t="str">
        <f ca="1">IF(ISNUMBER(F26),IF(F26&lt;0,"✔ better",IF(F26=0,"same","")),"")</f>
        <v/>
      </c>
    </row>
    <row r="27" spans="2:7" x14ac:dyDescent="0.45">
      <c r="B27" s="26" t="s">
        <v>344</v>
      </c>
      <c r="C27" s="27" t="s">
        <v>134</v>
      </c>
      <c r="D27" s="85" cm="1">
        <f t="array" aca="1" ref="D27" ca="1">1-_xll.VoseSimProbability(Out_Over_Start,0.5)</f>
        <v>0.35186481351864818</v>
      </c>
      <c r="E27" s="85" cm="1">
        <f t="array" aca="1" ref="E27" ca="1">1-_xll.VoseSimProbability(Out_Over_Plan,0.5)</f>
        <v>0.19738026197380265</v>
      </c>
      <c r="F27" s="86">
        <f t="shared" ca="1" si="1"/>
        <v>-0.15448455154484553</v>
      </c>
      <c r="G27" s="82" t="str">
        <f ca="1">IF(ISNUMBER(F27),IF(F27&lt;0,"✔ better",IF(F27=0,"same","")),"")</f>
        <v>✔ better</v>
      </c>
    </row>
    <row r="28" spans="2:7" x14ac:dyDescent="0.45">
      <c r="B28" s="26" t="s">
        <v>345</v>
      </c>
      <c r="C28" s="27" t="s">
        <v>150</v>
      </c>
      <c r="D28" s="80" cm="1">
        <f t="array" aca="1" ref="D28" ca="1">_xll.VoseSimMean(Out_Cost_Start)</f>
        <v>514.86904188035476</v>
      </c>
      <c r="E28" s="80" cm="1">
        <f t="array" aca="1" ref="E28" ca="1">_xll.VoseSimMean(Out_Cost_Plan)</f>
        <v>467.53586070266522</v>
      </c>
      <c r="F28" s="81">
        <f t="shared" ca="1" si="1"/>
        <v>-47.333181177689539</v>
      </c>
      <c r="G28" s="82" t="str">
        <f ca="1">IF(ISNUMBER(F28),IF(F28&lt;0,"✔ better",IF(F28=0,"same","")),"")</f>
        <v>✔ better</v>
      </c>
    </row>
    <row r="29" spans="2:7" x14ac:dyDescent="0.45">
      <c r="B29" s="26" t="s">
        <v>346</v>
      </c>
      <c r="C29" s="27" t="s">
        <v>134</v>
      </c>
      <c r="D29" s="45">
        <f>BudgetRisk</f>
        <v>0.25</v>
      </c>
      <c r="E29" s="45">
        <f>BudgetRisk</f>
        <v>0.25</v>
      </c>
      <c r="F29" s="29"/>
      <c r="G29" s="29"/>
    </row>
    <row r="30" spans="2:7" x14ac:dyDescent="0.45">
      <c r="B30" s="26" t="s">
        <v>347</v>
      </c>
      <c r="C30" s="27" t="s">
        <v>134</v>
      </c>
      <c r="D30" s="45">
        <f>NoLaunchRisk</f>
        <v>0.25</v>
      </c>
      <c r="E30" s="45">
        <f>NoLaunchRisk</f>
        <v>0.25</v>
      </c>
      <c r="F30" s="29"/>
      <c r="G30" s="29"/>
    </row>
    <row r="31" spans="2:7" x14ac:dyDescent="0.45">
      <c r="B31" s="41" t="str">
        <f>"Breaking the budget: spending above US$"&amp;Budget&amp;" million in at least one of the next "&amp;BudgetYears&amp;" years."</f>
        <v>Breaking the budget: spending above US$170 million in at least one of the next 5 years.</v>
      </c>
    </row>
    <row r="32" spans="2:7" ht="8" customHeight="1" x14ac:dyDescent="0.45"/>
    <row r="33" spans="2:18" x14ac:dyDescent="0.45">
      <c r="I33" s="74" t="s">
        <v>348</v>
      </c>
      <c r="J33" s="8"/>
      <c r="K33" s="8"/>
      <c r="L33" s="8"/>
      <c r="M33" s="8"/>
      <c r="N33" s="8"/>
      <c r="O33" s="8"/>
      <c r="P33" s="8"/>
      <c r="Q33" s="8"/>
      <c r="R33" s="8"/>
    </row>
    <row r="47" spans="2:18" ht="22.05" customHeight="1" x14ac:dyDescent="0.5">
      <c r="B47" s="7" t="s">
        <v>349</v>
      </c>
      <c r="C47" s="8"/>
      <c r="D47" s="8"/>
      <c r="E47" s="8"/>
      <c r="F47" s="8"/>
      <c r="G47" s="8"/>
      <c r="I47" s="74" t="s">
        <v>350</v>
      </c>
      <c r="J47" s="8"/>
      <c r="K47" s="8"/>
      <c r="L47" s="8"/>
      <c r="M47" s="8"/>
      <c r="N47" s="8"/>
      <c r="O47" s="8"/>
      <c r="P47" s="8"/>
      <c r="Q47" s="8"/>
      <c r="R47" s="8"/>
    </row>
    <row r="48" spans="2:18" ht="18" customHeight="1" x14ac:dyDescent="0.45">
      <c r="B48" s="13" t="s">
        <v>351</v>
      </c>
    </row>
    <row r="49" spans="2:7" ht="18" customHeight="1" x14ac:dyDescent="0.45">
      <c r="B49" s="87" t="s">
        <v>153</v>
      </c>
      <c r="C49" s="87" t="s">
        <v>335</v>
      </c>
      <c r="D49" s="88" t="s">
        <v>240</v>
      </c>
      <c r="E49" s="88" t="s">
        <v>352</v>
      </c>
      <c r="F49" s="88" t="s">
        <v>250</v>
      </c>
      <c r="G49" s="88" t="s">
        <v>353</v>
      </c>
    </row>
    <row r="50" spans="2:7" x14ac:dyDescent="0.45">
      <c r="B50" s="39"/>
      <c r="C50" s="39"/>
      <c r="D50" s="39" t="s">
        <v>134</v>
      </c>
      <c r="E50" s="39"/>
      <c r="F50" s="39" t="s">
        <v>354</v>
      </c>
      <c r="G50" s="39" t="s">
        <v>355</v>
      </c>
    </row>
    <row r="51" spans="2:7" x14ac:dyDescent="0.45">
      <c r="B51" s="26" t="s">
        <v>160</v>
      </c>
      <c r="C51" s="27" t="str">
        <f>Projects!D16</f>
        <v>Phase III</v>
      </c>
      <c r="D51" s="89" cm="1">
        <f t="array" aca="1" ref="D51" ca="1">_xll.VoseSimMean(OLaunch_A)</f>
        <v>0.55010000000000003</v>
      </c>
      <c r="E51" s="80" cm="1">
        <f t="array" aca="1" ref="E51" ca="1">_xll.VoseSimMean(ONPV_A)</f>
        <v>429.39083352348376</v>
      </c>
      <c r="F51" s="80" cm="1">
        <f t="array" aca="1" ref="F51" ca="1">_xll.VoseSimMean(OCost_A)</f>
        <v>158.66305181579253</v>
      </c>
      <c r="G51" s="90">
        <f t="shared" ref="G51:G58" ca="1" si="2">IFERROR((E51+F51)/F51,"–")</f>
        <v>3.7063064059930326</v>
      </c>
    </row>
    <row r="52" spans="2:7" x14ac:dyDescent="0.45">
      <c r="B52" s="26" t="s">
        <v>162</v>
      </c>
      <c r="C52" s="27" t="str">
        <f>Projects!D17</f>
        <v>Phase II</v>
      </c>
      <c r="D52" s="89" cm="1">
        <f t="array" aca="1" ref="D52" ca="1">_xll.VoseSimMean(OLaunch_B)</f>
        <v>0.19120000000000001</v>
      </c>
      <c r="E52" s="80" cm="1">
        <f t="array" aca="1" ref="E52" ca="1">_xll.VoseSimMean(ONPV_B)</f>
        <v>39.582959412564854</v>
      </c>
      <c r="F52" s="80" cm="1">
        <f t="array" aca="1" ref="F52" ca="1">_xll.VoseSimMean(OCost_B)</f>
        <v>91.55635125284121</v>
      </c>
      <c r="G52" s="90">
        <f t="shared" ca="1" si="2"/>
        <v>1.4323343915623385</v>
      </c>
    </row>
    <row r="53" spans="2:7" x14ac:dyDescent="0.45">
      <c r="B53" s="26" t="s">
        <v>164</v>
      </c>
      <c r="C53" s="27" t="str">
        <f>Projects!D18</f>
        <v>Phase II</v>
      </c>
      <c r="D53" s="89" cm="1">
        <f t="array" aca="1" ref="D53" ca="1">_xll.VoseSimMean(OLaunch_C)</f>
        <v>0.18079999999999999</v>
      </c>
      <c r="E53" s="80" cm="1">
        <f t="array" aca="1" ref="E53" ca="1">_xll.VoseSimMean(ONPV_C)</f>
        <v>17.545332406043414</v>
      </c>
      <c r="F53" s="80" cm="1">
        <f t="array" aca="1" ref="F53" ca="1">_xll.VoseSimMean(OCost_C)</f>
        <v>91.228986153323675</v>
      </c>
      <c r="G53" s="90">
        <f t="shared" ca="1" si="2"/>
        <v>1.1923219049760776</v>
      </c>
    </row>
    <row r="54" spans="2:7" x14ac:dyDescent="0.45">
      <c r="B54" s="26" t="s">
        <v>166</v>
      </c>
      <c r="C54" s="27" t="str">
        <f>Projects!D19</f>
        <v>Phase I</v>
      </c>
      <c r="D54" s="89" cm="1">
        <f t="array" aca="1" ref="D54" ca="1">_xll.VoseSimMean(OLaunch_D)</f>
        <v>0.11990000000000001</v>
      </c>
      <c r="E54" s="80" cm="1">
        <f t="array" aca="1" ref="E54" ca="1">_xll.VoseSimMean(ONPV_D)</f>
        <v>-3.248131772925698</v>
      </c>
      <c r="F54" s="80" cm="1">
        <f t="array" aca="1" ref="F54" ca="1">_xll.VoseSimMean(OCost_D)</f>
        <v>68.291792897650552</v>
      </c>
      <c r="G54" s="90">
        <f t="shared" ca="1" si="2"/>
        <v>0.95243745060561369</v>
      </c>
    </row>
    <row r="55" spans="2:7" x14ac:dyDescent="0.45">
      <c r="B55" s="26" t="s">
        <v>167</v>
      </c>
      <c r="C55" s="27" t="str">
        <f>Projects!D20</f>
        <v>Phase I</v>
      </c>
      <c r="D55" s="89" cm="1">
        <f t="array" aca="1" ref="D55" ca="1">_xll.VoseSimMean(OLaunch_E)</f>
        <v>8.3599999999999994E-2</v>
      </c>
      <c r="E55" s="80" cm="1">
        <f t="array" aca="1" ref="E55" ca="1">_xll.VoseSimMean(ONPV_E)</f>
        <v>25.206586563205732</v>
      </c>
      <c r="F55" s="80" cm="1">
        <f t="array" aca="1" ref="F55" ca="1">_xll.VoseSimMean(OCost_E)</f>
        <v>61.711172156657106</v>
      </c>
      <c r="G55" s="90">
        <f t="shared" ca="1" si="2"/>
        <v>1.4084606673685838</v>
      </c>
    </row>
    <row r="56" spans="2:7" x14ac:dyDescent="0.45">
      <c r="B56" s="26" t="s">
        <v>169</v>
      </c>
      <c r="C56" s="27" t="str">
        <f>Projects!D21</f>
        <v>Preclinical</v>
      </c>
      <c r="D56" s="89" cm="1">
        <f t="array" aca="1" ref="D56" ca="1">_xll.VoseSimMean(OLaunch_F)</f>
        <v>5.4899999999999997E-2</v>
      </c>
      <c r="E56" s="80" cm="1">
        <f t="array" aca="1" ref="E56" ca="1">_xll.VoseSimMean(ONPV_F)</f>
        <v>6.0124617202466881</v>
      </c>
      <c r="F56" s="80" cm="1">
        <f t="array" aca="1" ref="F56" ca="1">_xll.VoseSimMean(OCost_F)</f>
        <v>43.89580497562666</v>
      </c>
      <c r="G56" s="90">
        <f t="shared" ca="1" si="2"/>
        <v>1.1369712145291591</v>
      </c>
    </row>
    <row r="57" spans="2:7" x14ac:dyDescent="0.45">
      <c r="B57" s="26" t="s">
        <v>170</v>
      </c>
      <c r="C57" s="27" t="str">
        <f>Projects!D22</f>
        <v>Phase II</v>
      </c>
      <c r="D57" s="89" cm="1">
        <f t="array" aca="1" ref="D57" ca="1">_xll.VoseSimMean(OLaunch_G)</f>
        <v>0.3367</v>
      </c>
      <c r="E57" s="80" cm="1">
        <f t="array" aca="1" ref="E57" ca="1">_xll.VoseSimMean(ONPV_G)</f>
        <v>44.35888865685213</v>
      </c>
      <c r="F57" s="80" cm="1">
        <f t="array" aca="1" ref="F57" ca="1">_xll.VoseSimMean(OCost_G)</f>
        <v>111.70948050174115</v>
      </c>
      <c r="G57" s="90">
        <f t="shared" ca="1" si="2"/>
        <v>1.3970915311539804</v>
      </c>
    </row>
    <row r="58" spans="2:7" x14ac:dyDescent="0.45">
      <c r="B58" s="26" t="s">
        <v>172</v>
      </c>
      <c r="C58" s="27" t="str">
        <f>Projects!D23</f>
        <v>Preclinical</v>
      </c>
      <c r="D58" s="89" cm="1">
        <f t="array" aca="1" ref="D58" ca="1">_xll.VoseSimMean(OLaunch_H)</f>
        <v>0.08</v>
      </c>
      <c r="E58" s="80" cm="1">
        <f t="array" aca="1" ref="E58" ca="1">_xll.VoseSimMean(ONPV_H)</f>
        <v>-1.877669822737897</v>
      </c>
      <c r="F58" s="80" cm="1">
        <f t="array" aca="1" ref="F58" ca="1">_xll.VoseSimMean(OCost_H)</f>
        <v>47.529121781187946</v>
      </c>
      <c r="G58" s="90">
        <f t="shared" ca="1" si="2"/>
        <v>0.96049432953164549</v>
      </c>
    </row>
    <row r="59" spans="2:7" x14ac:dyDescent="0.45">
      <c r="B59" s="41" t="s">
        <v>356</v>
      </c>
    </row>
    <row r="60" spans="2:7" ht="8" customHeight="1" x14ac:dyDescent="0.45"/>
    <row r="63" spans="2:7" ht="22.05" customHeight="1" x14ac:dyDescent="0.5">
      <c r="B63" s="7" t="s">
        <v>357</v>
      </c>
      <c r="C63" s="8"/>
      <c r="D63" s="8"/>
      <c r="E63" s="8"/>
      <c r="F63" s="8"/>
      <c r="G63" s="8"/>
    </row>
    <row r="64" spans="2:7" ht="18" customHeight="1" x14ac:dyDescent="0.45">
      <c r="B64" s="13" t="s">
        <v>358</v>
      </c>
    </row>
    <row r="65" spans="2:7" ht="18" customHeight="1" x14ac:dyDescent="0.45">
      <c r="B65" s="87" t="s">
        <v>226</v>
      </c>
      <c r="C65" s="88" t="s">
        <v>359</v>
      </c>
      <c r="D65" s="88" t="s">
        <v>359</v>
      </c>
      <c r="E65" s="88" t="s">
        <v>360</v>
      </c>
      <c r="F65" s="5"/>
      <c r="G65" s="5"/>
    </row>
    <row r="66" spans="2:7" x14ac:dyDescent="0.45">
      <c r="B66" s="39"/>
      <c r="C66" s="39" t="s">
        <v>361</v>
      </c>
      <c r="D66" s="39" t="s">
        <v>362</v>
      </c>
      <c r="E66" s="39"/>
    </row>
    <row r="67" spans="2:7" x14ac:dyDescent="0.45">
      <c r="B67" s="26" t="s">
        <v>363</v>
      </c>
      <c r="C67" s="85" cm="1">
        <f t="array" aca="1" ref="C67" ca="1">_xll.VoseSimMean(Both_BH)</f>
        <v>3.2500000000000001E-2</v>
      </c>
      <c r="D67" s="85">
        <f ca="1">IFERROR(D52*D58,"–")</f>
        <v>1.5296000000000001E-2</v>
      </c>
      <c r="E67" s="91">
        <f ca="1">IFERROR(C67/D67,"–")</f>
        <v>2.1247384937238492</v>
      </c>
      <c r="F67" s="29"/>
      <c r="G67" s="29"/>
    </row>
    <row r="68" spans="2:7" x14ac:dyDescent="0.45">
      <c r="B68" s="26" t="s">
        <v>364</v>
      </c>
      <c r="C68" s="85" cm="1">
        <f t="array" aca="1" ref="C68" ca="1">_xll.VoseSimMean(Both_CD)</f>
        <v>4.2599999999999999E-2</v>
      </c>
      <c r="D68" s="85">
        <f ca="1">IFERROR(D53*D54,"–")</f>
        <v>2.167792E-2</v>
      </c>
      <c r="E68" s="91">
        <f ca="1">IFERROR(C68/D68,"–")</f>
        <v>1.965133186209747</v>
      </c>
      <c r="F68" s="29"/>
      <c r="G68" s="29"/>
    </row>
    <row r="69" spans="2:7" x14ac:dyDescent="0.45">
      <c r="B69" s="26" t="s">
        <v>365</v>
      </c>
      <c r="C69" s="85" cm="1">
        <f t="array" aca="1" ref="C69" ca="1">_xll.VoseSimMean(Both_EF)</f>
        <v>1.1299999999999999E-2</v>
      </c>
      <c r="D69" s="85">
        <f ca="1">IFERROR(D55*D56,"–")</f>
        <v>4.5896399999999999E-3</v>
      </c>
      <c r="E69" s="91">
        <f ca="1">IFERROR(C69/D69,"–")</f>
        <v>2.462066741618079</v>
      </c>
      <c r="F69" s="29"/>
      <c r="G69" s="29"/>
    </row>
    <row r="70" spans="2:7" ht="8" customHeight="1" x14ac:dyDescent="0.45"/>
    <row r="71" spans="2:7" ht="22.05" customHeight="1" x14ac:dyDescent="0.5">
      <c r="B71" s="7" t="s">
        <v>366</v>
      </c>
      <c r="C71" s="8"/>
      <c r="D71" s="8"/>
      <c r="E71" s="8"/>
      <c r="F71" s="8"/>
      <c r="G71" s="8"/>
    </row>
    <row r="72" spans="2:7" ht="45" customHeight="1" x14ac:dyDescent="0.45">
      <c r="B72" s="96" t="s">
        <v>367</v>
      </c>
      <c r="C72" s="97"/>
      <c r="D72" s="97"/>
      <c r="E72" s="97"/>
      <c r="F72" s="97"/>
      <c r="G72" s="97"/>
    </row>
    <row r="73" spans="2:7" ht="45" customHeight="1" x14ac:dyDescent="0.45">
      <c r="B73" s="96" t="s">
        <v>368</v>
      </c>
      <c r="C73" s="97"/>
      <c r="D73" s="97"/>
      <c r="E73" s="97"/>
      <c r="F73" s="97"/>
      <c r="G73" s="97"/>
    </row>
    <row r="74" spans="2:7" ht="45" customHeight="1" x14ac:dyDescent="0.45">
      <c r="B74" s="96" t="s">
        <v>369</v>
      </c>
      <c r="C74" s="97"/>
      <c r="D74" s="97"/>
      <c r="E74" s="97"/>
      <c r="F74" s="97"/>
      <c r="G74" s="97"/>
    </row>
    <row r="75" spans="2:7" ht="45" customHeight="1" x14ac:dyDescent="0.45">
      <c r="B75" s="96" t="s">
        <v>370</v>
      </c>
      <c r="C75" s="97"/>
      <c r="D75" s="97"/>
      <c r="E75" s="97"/>
      <c r="F75" s="97"/>
      <c r="G75" s="97"/>
    </row>
    <row r="76" spans="2:7" ht="32" customHeight="1" x14ac:dyDescent="0.45">
      <c r="B76" s="96" t="s">
        <v>371</v>
      </c>
      <c r="C76" s="97"/>
      <c r="D76" s="97"/>
      <c r="E76" s="97"/>
      <c r="F76" s="97"/>
      <c r="G76" s="97"/>
    </row>
    <row r="77" spans="2:7" ht="14" customHeight="1" x14ac:dyDescent="0.45"/>
    <row r="78" spans="2:7" ht="14" customHeight="1" x14ac:dyDescent="0.45"/>
    <row r="79" spans="2:7" ht="22.05" customHeight="1" x14ac:dyDescent="0.5">
      <c r="B79" s="7" t="s">
        <v>372</v>
      </c>
      <c r="C79" s="8"/>
      <c r="D79" s="8"/>
      <c r="E79" s="8"/>
      <c r="F79" s="8"/>
      <c r="G79" s="8"/>
    </row>
    <row r="80" spans="2:7" ht="18" customHeight="1" x14ac:dyDescent="0.45">
      <c r="B80" s="13" t="s">
        <v>373</v>
      </c>
    </row>
    <row r="81" spans="2:8" ht="28.05" hidden="1" customHeight="1" outlineLevel="1" x14ac:dyDescent="0.45">
      <c r="B81" s="25" t="s">
        <v>374</v>
      </c>
      <c r="C81" s="25" t="s">
        <v>375</v>
      </c>
      <c r="D81" s="25" t="s">
        <v>376</v>
      </c>
      <c r="E81" s="25" t="s">
        <v>377</v>
      </c>
      <c r="F81" s="25" t="s">
        <v>378</v>
      </c>
      <c r="G81" s="25" t="s">
        <v>379</v>
      </c>
      <c r="H81" s="25" t="s">
        <v>380</v>
      </c>
    </row>
    <row r="82" spans="2:8" hidden="1" outlineLevel="1" x14ac:dyDescent="0.45">
      <c r="B82" s="92">
        <v>0.01</v>
      </c>
      <c r="C82" s="92">
        <f t="shared" ref="C82:C113" si="3">1-B82</f>
        <v>0.99</v>
      </c>
      <c r="D82" s="93" cm="1">
        <f t="array" aca="1" ref="D82" ca="1">IF(ISNUMBER(_xll.VoseSimPercentile(Out_NPV_Start,$B82)),_xll.VoseSimPercentile(Out_NPV_Start,$B82),NA())</f>
        <v>-607.35130612333205</v>
      </c>
      <c r="E82" s="93" cm="1">
        <f t="array" aca="1" ref="E82" ca="1">IF(ISNUMBER(_xll.VoseSimPercentile(Out_NPV_Plan,$B82)),_xll.VoseSimPercentile(Out_NPV_Plan,$B82),NA())</f>
        <v>-581.67388623186912</v>
      </c>
      <c r="F82" s="93" cm="1">
        <f t="array" aca="1" ref="F82" ca="1">IF(ISNUMBER(_xll.VoseSimPercentile(Out_Peak_Start,$B82)),_xll.VoseSimPercentile(Out_Peak_Start,$B82),NA())</f>
        <v>150</v>
      </c>
      <c r="G82" s="93" cm="1">
        <f t="array" aca="1" ref="G82" ca="1">IF(ISNUMBER(_xll.VoseSimPercentile(Out_Peak_Plan,$B82)),_xll.VoseSimPercentile(Out_Peak_Plan,$B82),NA())</f>
        <v>133</v>
      </c>
      <c r="H82" s="93">
        <f t="shared" ref="H82:H113" si="4">Budget</f>
        <v>170</v>
      </c>
    </row>
    <row r="83" spans="2:8" hidden="1" outlineLevel="1" x14ac:dyDescent="0.45">
      <c r="B83" s="92">
        <v>0.03</v>
      </c>
      <c r="C83" s="92">
        <f t="shared" si="3"/>
        <v>0.97</v>
      </c>
      <c r="D83" s="93" cm="1">
        <f t="array" aca="1" ref="D83" ca="1">IF(ISNUMBER(_xll.VoseSimPercentile(Out_NPV_Start,$B83)),_xll.VoseSimPercentile(Out_NPV_Start,$B83),NA())</f>
        <v>-481.59922226066976</v>
      </c>
      <c r="E83" s="93" cm="1">
        <f t="array" aca="1" ref="E83" ca="1">IF(ISNUMBER(_xll.VoseSimPercentile(Out_NPV_Plan,$B83)),_xll.VoseSimPercentile(Out_NPV_Plan,$B83),NA())</f>
        <v>-490.74916790487259</v>
      </c>
      <c r="F83" s="93" cm="1">
        <f t="array" aca="1" ref="F83" ca="1">IF(ISNUMBER(_xll.VoseSimPercentile(Out_Peak_Start,$B83)),_xll.VoseSimPercentile(Out_Peak_Start,$B83),NA())</f>
        <v>150</v>
      </c>
      <c r="G83" s="93" cm="1">
        <f t="array" aca="1" ref="G83" ca="1">IF(ISNUMBER(_xll.VoseSimPercentile(Out_Peak_Plan,$B83)),_xll.VoseSimPercentile(Out_Peak_Plan,$B83),NA())</f>
        <v>133</v>
      </c>
      <c r="H83" s="93">
        <f t="shared" si="4"/>
        <v>170</v>
      </c>
    </row>
    <row r="84" spans="2:8" hidden="1" outlineLevel="1" x14ac:dyDescent="0.45">
      <c r="B84" s="92">
        <v>0.05</v>
      </c>
      <c r="C84" s="92">
        <f t="shared" si="3"/>
        <v>0.95</v>
      </c>
      <c r="D84" s="93" cm="1">
        <f t="array" aca="1" ref="D84" ca="1">IF(ISNUMBER(_xll.VoseSimPercentile(Out_NPV_Start,$B84)),_xll.VoseSimPercentile(Out_NPV_Start,$B84),NA())</f>
        <v>-478.01746948363899</v>
      </c>
      <c r="E84" s="93" cm="1">
        <f t="array" aca="1" ref="E84" ca="1">IF(ISNUMBER(_xll.VoseSimPercentile(Out_NPV_Plan,$B84)),_xll.VoseSimPercentile(Out_NPV_Plan,$B84),NA())</f>
        <v>-453.14076374604946</v>
      </c>
      <c r="F84" s="93" cm="1">
        <f t="array" aca="1" ref="F84" ca="1">IF(ISNUMBER(_xll.VoseSimPercentile(Out_Peak_Start,$B84)),_xll.VoseSimPercentile(Out_Peak_Start,$B84),NA())</f>
        <v>150</v>
      </c>
      <c r="G84" s="93" cm="1">
        <f t="array" aca="1" ref="G84" ca="1">IF(ISNUMBER(_xll.VoseSimPercentile(Out_Peak_Plan,$B84)),_xll.VoseSimPercentile(Out_Peak_Plan,$B84),NA())</f>
        <v>133</v>
      </c>
      <c r="H84" s="93">
        <f t="shared" si="4"/>
        <v>170</v>
      </c>
    </row>
    <row r="85" spans="2:8" hidden="1" outlineLevel="1" x14ac:dyDescent="0.45">
      <c r="B85" s="92">
        <v>7.0000000000000007E-2</v>
      </c>
      <c r="C85" s="92">
        <f t="shared" si="3"/>
        <v>0.92999999999999994</v>
      </c>
      <c r="D85" s="93" cm="1">
        <f t="array" aca="1" ref="D85" ca="1">IF(ISNUMBER(_xll.VoseSimPercentile(Out_NPV_Start,$B85)),_xll.VoseSimPercentile(Out_NPV_Start,$B85),NA())</f>
        <v>-469.84160074797035</v>
      </c>
      <c r="E85" s="93" cm="1">
        <f t="array" aca="1" ref="E85" ca="1">IF(ISNUMBER(_xll.VoseSimPercentile(Out_NPV_Plan,$B85)),_xll.VoseSimPercentile(Out_NPV_Plan,$B85),NA())</f>
        <v>-440.13900116542771</v>
      </c>
      <c r="F85" s="93" cm="1">
        <f t="array" aca="1" ref="F85" ca="1">IF(ISNUMBER(_xll.VoseSimPercentile(Out_Peak_Start,$B85)),_xll.VoseSimPercentile(Out_Peak_Start,$B85),NA())</f>
        <v>150</v>
      </c>
      <c r="G85" s="93" cm="1">
        <f t="array" aca="1" ref="G85" ca="1">IF(ISNUMBER(_xll.VoseSimPercentile(Out_Peak_Plan,$B85)),_xll.VoseSimPercentile(Out_Peak_Plan,$B85),NA())</f>
        <v>133</v>
      </c>
      <c r="H85" s="93">
        <f t="shared" si="4"/>
        <v>170</v>
      </c>
    </row>
    <row r="86" spans="2:8" hidden="1" outlineLevel="1" x14ac:dyDescent="0.45">
      <c r="B86" s="92">
        <v>0.09</v>
      </c>
      <c r="C86" s="92">
        <f t="shared" si="3"/>
        <v>0.91</v>
      </c>
      <c r="D86" s="93" cm="1">
        <f t="array" aca="1" ref="D86" ca="1">IF(ISNUMBER(_xll.VoseSimPercentile(Out_NPV_Start,$B86)),_xll.VoseSimPercentile(Out_NPV_Start,$B86),NA())</f>
        <v>-436.64822490893357</v>
      </c>
      <c r="E86" s="93" cm="1">
        <f t="array" aca="1" ref="E86" ca="1">IF(ISNUMBER(_xll.VoseSimPercentile(Out_NPV_Plan,$B86)),_xll.VoseSimPercentile(Out_NPV_Plan,$B86),NA())</f>
        <v>-411.77151917134404</v>
      </c>
      <c r="F86" s="93" cm="1">
        <f t="array" aca="1" ref="F86" ca="1">IF(ISNUMBER(_xll.VoseSimPercentile(Out_Peak_Start,$B86)),_xll.VoseSimPercentile(Out_Peak_Start,$B86),NA())</f>
        <v>150</v>
      </c>
      <c r="G86" s="93" cm="1">
        <f t="array" aca="1" ref="G86" ca="1">IF(ISNUMBER(_xll.VoseSimPercentile(Out_Peak_Plan,$B86)),_xll.VoseSimPercentile(Out_Peak_Plan,$B86),NA())</f>
        <v>133</v>
      </c>
      <c r="H86" s="93">
        <f t="shared" si="4"/>
        <v>170</v>
      </c>
    </row>
    <row r="87" spans="2:8" hidden="1" outlineLevel="1" x14ac:dyDescent="0.45">
      <c r="B87" s="92">
        <v>0.11</v>
      </c>
      <c r="C87" s="92">
        <f t="shared" si="3"/>
        <v>0.89</v>
      </c>
      <c r="D87" s="93" cm="1">
        <f t="array" aca="1" ref="D87" ca="1">IF(ISNUMBER(_xll.VoseSimPercentile(Out_NPV_Start,$B87)),_xll.VoseSimPercentile(Out_NPV_Start,$B87),NA())</f>
        <v>-390.79324529597301</v>
      </c>
      <c r="E87" s="93" cm="1">
        <f t="array" aca="1" ref="E87" ca="1">IF(ISNUMBER(_xll.VoseSimPercentile(Out_NPV_Plan,$B87)),_xll.VoseSimPercentile(Out_NPV_Plan,$B87),NA())</f>
        <v>-361.41533126517953</v>
      </c>
      <c r="F87" s="93" cm="1">
        <f t="array" aca="1" ref="F87" ca="1">IF(ISNUMBER(_xll.VoseSimPercentile(Out_Peak_Start,$B87)),_xll.VoseSimPercentile(Out_Peak_Start,$B87),NA())</f>
        <v>150</v>
      </c>
      <c r="G87" s="93" cm="1">
        <f t="array" aca="1" ref="G87" ca="1">IF(ISNUMBER(_xll.VoseSimPercentile(Out_Peak_Plan,$B87)),_xll.VoseSimPercentile(Out_Peak_Plan,$B87),NA())</f>
        <v>133</v>
      </c>
      <c r="H87" s="93">
        <f t="shared" si="4"/>
        <v>170</v>
      </c>
    </row>
    <row r="88" spans="2:8" hidden="1" outlineLevel="1" x14ac:dyDescent="0.45">
      <c r="B88" s="92">
        <v>0.13</v>
      </c>
      <c r="C88" s="92">
        <f t="shared" si="3"/>
        <v>0.87</v>
      </c>
      <c r="D88" s="93" cm="1">
        <f t="array" aca="1" ref="D88" ca="1">IF(ISNUMBER(_xll.VoseSimPercentile(Out_NPV_Start,$B88)),_xll.VoseSimPercentile(Out_NPV_Start,$B88),NA())</f>
        <v>-348.68363284394593</v>
      </c>
      <c r="E88" s="93" cm="1">
        <f t="array" aca="1" ref="E88" ca="1">IF(ISNUMBER(_xll.VoseSimPercentile(Out_NPV_Plan,$B88)),_xll.VoseSimPercentile(Out_NPV_Plan,$B88),NA())</f>
        <v>-361.41533126517953</v>
      </c>
      <c r="F88" s="93" cm="1">
        <f t="array" aca="1" ref="F88" ca="1">IF(ISNUMBER(_xll.VoseSimPercentile(Out_Peak_Start,$B88)),_xll.VoseSimPercentile(Out_Peak_Start,$B88),NA())</f>
        <v>150</v>
      </c>
      <c r="G88" s="93" cm="1">
        <f t="array" aca="1" ref="G88" ca="1">IF(ISNUMBER(_xll.VoseSimPercentile(Out_Peak_Plan,$B88)),_xll.VoseSimPercentile(Out_Peak_Plan,$B88),NA())</f>
        <v>133</v>
      </c>
      <c r="H88" s="93">
        <f t="shared" si="4"/>
        <v>170</v>
      </c>
    </row>
    <row r="89" spans="2:8" hidden="1" outlineLevel="1" x14ac:dyDescent="0.45">
      <c r="B89" s="92">
        <v>0.15</v>
      </c>
      <c r="C89" s="92">
        <f t="shared" si="3"/>
        <v>0.85</v>
      </c>
      <c r="D89" s="93" cm="1">
        <f t="array" aca="1" ref="D89" ca="1">IF(ISNUMBER(_xll.VoseSimPercentile(Out_NPV_Start,$B89)),_xll.VoseSimPercentile(Out_NPV_Start,$B89),NA())</f>
        <v>-348.68363284394593</v>
      </c>
      <c r="E89" s="93" cm="1">
        <f t="array" aca="1" ref="E89" ca="1">IF(ISNUMBER(_xll.VoseSimPercentile(Out_NPV_Plan,$B89)),_xll.VoseSimPercentile(Out_NPV_Plan,$B89),NA())</f>
        <v>-323.62783946750483</v>
      </c>
      <c r="F89" s="93" cm="1">
        <f t="array" aca="1" ref="F89" ca="1">IF(ISNUMBER(_xll.VoseSimPercentile(Out_Peak_Start,$B89)),_xll.VoseSimPercentile(Out_Peak_Start,$B89),NA())</f>
        <v>150</v>
      </c>
      <c r="G89" s="93" cm="1">
        <f t="array" aca="1" ref="G89" ca="1">IF(ISNUMBER(_xll.VoseSimPercentile(Out_Peak_Plan,$B89)),_xll.VoseSimPercentile(Out_Peak_Plan,$B89),NA())</f>
        <v>133</v>
      </c>
      <c r="H89" s="93">
        <f t="shared" si="4"/>
        <v>170</v>
      </c>
    </row>
    <row r="90" spans="2:8" hidden="1" outlineLevel="1" x14ac:dyDescent="0.45">
      <c r="B90" s="92">
        <v>0.17</v>
      </c>
      <c r="C90" s="92">
        <f t="shared" si="3"/>
        <v>0.83</v>
      </c>
      <c r="D90" s="93" cm="1">
        <f t="array" aca="1" ref="D90" ca="1">IF(ISNUMBER(_xll.VoseSimPercentile(Out_NPV_Start,$B90)),_xll.VoseSimPercentile(Out_NPV_Start,$B90),NA())</f>
        <v>-307.31438826924045</v>
      </c>
      <c r="E90" s="93" cm="1">
        <f t="array" aca="1" ref="E90" ca="1">IF(ISNUMBER(_xll.VoseSimPercentile(Out_NPV_Plan,$B90)),_xll.VoseSimPercentile(Out_NPV_Plan,$B90),NA())</f>
        <v>-310.80516452573465</v>
      </c>
      <c r="F90" s="93" cm="1">
        <f t="array" aca="1" ref="F90" ca="1">IF(ISNUMBER(_xll.VoseSimPercentile(Out_Peak_Start,$B90)),_xll.VoseSimPercentile(Out_Peak_Start,$B90),NA())</f>
        <v>150</v>
      </c>
      <c r="G90" s="93" cm="1">
        <f t="array" aca="1" ref="G90" ca="1">IF(ISNUMBER(_xll.VoseSimPercentile(Out_Peak_Plan,$B90)),_xll.VoseSimPercentile(Out_Peak_Plan,$B90),NA())</f>
        <v>133</v>
      </c>
      <c r="H90" s="93">
        <f t="shared" si="4"/>
        <v>170</v>
      </c>
    </row>
    <row r="91" spans="2:8" hidden="1" outlineLevel="1" x14ac:dyDescent="0.45">
      <c r="B91" s="92">
        <v>0.19</v>
      </c>
      <c r="C91" s="92">
        <f t="shared" si="3"/>
        <v>0.81</v>
      </c>
      <c r="D91" s="93" cm="1">
        <f t="array" aca="1" ref="D91" ca="1">IF(ISNUMBER(_xll.VoseSimPercentile(Out_NPV_Start,$B91)),_xll.VoseSimPercentile(Out_NPV_Start,$B91),NA())</f>
        <v>-307.31438826924045</v>
      </c>
      <c r="E91" s="93" cm="1">
        <f t="array" aca="1" ref="E91" ca="1">IF(ISNUMBER(_xll.VoseSimPercentile(Out_NPV_Plan,$B91)),_xll.VoseSimPercentile(Out_NPV_Plan,$B91),NA())</f>
        <v>-294.40359624973564</v>
      </c>
      <c r="F91" s="93" cm="1">
        <f t="array" aca="1" ref="F91" ca="1">IF(ISNUMBER(_xll.VoseSimPercentile(Out_Peak_Start,$B91)),_xll.VoseSimPercentile(Out_Peak_Start,$B91),NA())</f>
        <v>150</v>
      </c>
      <c r="G91" s="93" cm="1">
        <f t="array" aca="1" ref="G91" ca="1">IF(ISNUMBER(_xll.VoseSimPercentile(Out_Peak_Plan,$B91)),_xll.VoseSimPercentile(Out_Peak_Plan,$B91),NA())</f>
        <v>133</v>
      </c>
      <c r="H91" s="93">
        <f t="shared" si="4"/>
        <v>170</v>
      </c>
    </row>
    <row r="92" spans="2:8" hidden="1" outlineLevel="1" x14ac:dyDescent="0.45">
      <c r="B92" s="92">
        <v>0.21</v>
      </c>
      <c r="C92" s="92">
        <f t="shared" si="3"/>
        <v>0.79</v>
      </c>
      <c r="D92" s="93" cm="1">
        <f t="array" aca="1" ref="D92" ca="1">IF(ISNUMBER(_xll.VoseSimPercentile(Out_NPV_Start,$B92)),_xll.VoseSimPercentile(Out_NPV_Start,$B92),NA())</f>
        <v>-239.76099877926632</v>
      </c>
      <c r="E92" s="93" cm="1">
        <f t="array" aca="1" ref="E92" ca="1">IF(ISNUMBER(_xll.VoseSimPercentile(Out_NPV_Plan,$B92)),_xll.VoseSimPercentile(Out_NPV_Plan,$B92),NA())</f>
        <v>-269.43591995102923</v>
      </c>
      <c r="F92" s="93" cm="1">
        <f t="array" aca="1" ref="F92" ca="1">IF(ISNUMBER(_xll.VoseSimPercentile(Out_Peak_Start,$B92)),_xll.VoseSimPercentile(Out_Peak_Start,$B92),NA())</f>
        <v>150</v>
      </c>
      <c r="G92" s="93" cm="1">
        <f t="array" aca="1" ref="G92" ca="1">IF(ISNUMBER(_xll.VoseSimPercentile(Out_Peak_Plan,$B92)),_xll.VoseSimPercentile(Out_Peak_Plan,$B92),NA())</f>
        <v>133</v>
      </c>
      <c r="H92" s="93">
        <f t="shared" si="4"/>
        <v>170</v>
      </c>
    </row>
    <row r="93" spans="2:8" hidden="1" outlineLevel="1" x14ac:dyDescent="0.45">
      <c r="B93" s="92">
        <v>0.23</v>
      </c>
      <c r="C93" s="92">
        <f t="shared" si="3"/>
        <v>0.77</v>
      </c>
      <c r="D93" s="93" cm="1">
        <f t="array" aca="1" ref="D93" ca="1">IF(ISNUMBER(_xll.VoseSimPercentile(Out_NPV_Start,$B93)),_xll.VoseSimPercentile(Out_NPV_Start,$B93),NA())</f>
        <v>-166.31734403152066</v>
      </c>
      <c r="E93" s="93" cm="1">
        <f t="array" aca="1" ref="E93" ca="1">IF(ISNUMBER(_xll.VoseSimPercentile(Out_NPV_Plan,$B93)),_xll.VoseSimPercentile(Out_NPV_Plan,$B93),NA())</f>
        <v>-225.22519048048568</v>
      </c>
      <c r="F93" s="93" cm="1">
        <f t="array" aca="1" ref="F93" ca="1">IF(ISNUMBER(_xll.VoseSimPercentile(Out_Peak_Start,$B93)),_xll.VoseSimPercentile(Out_Peak_Start,$B93),NA())</f>
        <v>160</v>
      </c>
      <c r="G93" s="93" cm="1">
        <f t="array" aca="1" ref="G93" ca="1">IF(ISNUMBER(_xll.VoseSimPercentile(Out_Peak_Plan,$B93)),_xll.VoseSimPercentile(Out_Peak_Plan,$B93),NA())</f>
        <v>135</v>
      </c>
      <c r="H93" s="93">
        <f t="shared" si="4"/>
        <v>170</v>
      </c>
    </row>
    <row r="94" spans="2:8" hidden="1" outlineLevel="1" x14ac:dyDescent="0.45">
      <c r="B94" s="92">
        <v>0.25</v>
      </c>
      <c r="C94" s="92">
        <f t="shared" si="3"/>
        <v>0.75</v>
      </c>
      <c r="D94" s="93" cm="1">
        <f t="array" aca="1" ref="D94" ca="1">IF(ISNUMBER(_xll.VoseSimPercentile(Out_NPV_Start,$B94)),_xll.VoseSimPercentile(Out_NPV_Start,$B94),NA())</f>
        <v>-110.28330119081654</v>
      </c>
      <c r="E94" s="93" cm="1">
        <f t="array" aca="1" ref="E94" ca="1">IF(ISNUMBER(_xll.VoseSimPercentile(Out_NPV_Plan,$B94)),_xll.VoseSimPercentile(Out_NPV_Plan,$B94),NA())</f>
        <v>-149.19355449071458</v>
      </c>
      <c r="F94" s="93" cm="1">
        <f t="array" aca="1" ref="F94" ca="1">IF(ISNUMBER(_xll.VoseSimPercentile(Out_Peak_Start,$B94)),_xll.VoseSimPercentile(Out_Peak_Start,$B94),NA())</f>
        <v>160</v>
      </c>
      <c r="G94" s="93" cm="1">
        <f t="array" aca="1" ref="G94" ca="1">IF(ISNUMBER(_xll.VoseSimPercentile(Out_Peak_Plan,$B94)),_xll.VoseSimPercentile(Out_Peak_Plan,$B94),NA())</f>
        <v>135</v>
      </c>
      <c r="H94" s="93">
        <f t="shared" si="4"/>
        <v>170</v>
      </c>
    </row>
    <row r="95" spans="2:8" hidden="1" outlineLevel="1" x14ac:dyDescent="0.45">
      <c r="B95" s="92">
        <v>0.27</v>
      </c>
      <c r="C95" s="92">
        <f t="shared" si="3"/>
        <v>0.73</v>
      </c>
      <c r="D95" s="93" cm="1">
        <f t="array" aca="1" ref="D95" ca="1">IF(ISNUMBER(_xll.VoseSimPercentile(Out_NPV_Start,$B95)),_xll.VoseSimPercentile(Out_NPV_Start,$B95),NA())</f>
        <v>-64.314669836968292</v>
      </c>
      <c r="E95" s="93" cm="1">
        <f t="array" aca="1" ref="E95" ca="1">IF(ISNUMBER(_xll.VoseSimPercentile(Out_NPV_Plan,$B95)),_xll.VoseSimPercentile(Out_NPV_Plan,$B95),NA())</f>
        <v>-85.549648390246716</v>
      </c>
      <c r="F95" s="93" cm="1">
        <f t="array" aca="1" ref="F95" ca="1">IF(ISNUMBER(_xll.VoseSimPercentile(Out_Peak_Start,$B95)),_xll.VoseSimPercentile(Out_Peak_Start,$B95),NA())</f>
        <v>160</v>
      </c>
      <c r="G95" s="93" cm="1">
        <f t="array" aca="1" ref="G95" ca="1">IF(ISNUMBER(_xll.VoseSimPercentile(Out_Peak_Plan,$B95)),_xll.VoseSimPercentile(Out_Peak_Plan,$B95),NA())</f>
        <v>135</v>
      </c>
      <c r="H95" s="93">
        <f t="shared" si="4"/>
        <v>170</v>
      </c>
    </row>
    <row r="96" spans="2:8" hidden="1" outlineLevel="1" x14ac:dyDescent="0.45">
      <c r="B96" s="92">
        <v>0.28999999999999998</v>
      </c>
      <c r="C96" s="92">
        <f t="shared" si="3"/>
        <v>0.71</v>
      </c>
      <c r="D96" s="93" cm="1">
        <f t="array" aca="1" ref="D96" ca="1">IF(ISNUMBER(_xll.VoseSimPercentile(Out_NPV_Start,$B96)),_xll.VoseSimPercentile(Out_NPV_Start,$B96),NA())</f>
        <v>-14.579094268872481</v>
      </c>
      <c r="E96" s="93" cm="1">
        <f t="array" aca="1" ref="E96" ca="1">IF(ISNUMBER(_xll.VoseSimPercentile(Out_NPV_Plan,$B96)),_xll.VoseSimPercentile(Out_NPV_Plan,$B96),NA())</f>
        <v>-33.964748865050382</v>
      </c>
      <c r="F96" s="93" cm="1">
        <f t="array" aca="1" ref="F96" ca="1">IF(ISNUMBER(_xll.VoseSimPercentile(Out_Peak_Start,$B96)),_xll.VoseSimPercentile(Out_Peak_Start,$B96),NA())</f>
        <v>160</v>
      </c>
      <c r="G96" s="93" cm="1">
        <f t="array" aca="1" ref="G96" ca="1">IF(ISNUMBER(_xll.VoseSimPercentile(Out_Peak_Plan,$B96)),_xll.VoseSimPercentile(Out_Peak_Plan,$B96),NA())</f>
        <v>145</v>
      </c>
      <c r="H96" s="93">
        <f t="shared" si="4"/>
        <v>170</v>
      </c>
    </row>
    <row r="97" spans="2:8" hidden="1" outlineLevel="1" x14ac:dyDescent="0.45">
      <c r="B97" s="92">
        <v>0.31</v>
      </c>
      <c r="C97" s="92">
        <f t="shared" si="3"/>
        <v>0.69</v>
      </c>
      <c r="D97" s="93" cm="1">
        <f t="array" aca="1" ref="D97" ca="1">IF(ISNUMBER(_xll.VoseSimPercentile(Out_NPV_Start,$B97)),_xll.VoseSimPercentile(Out_NPV_Start,$B97),NA())</f>
        <v>35.501556829005651</v>
      </c>
      <c r="E97" s="93" cm="1">
        <f t="array" aca="1" ref="E97" ca="1">IF(ISNUMBER(_xll.VoseSimPercentile(Out_NPV_Plan,$B97)),_xll.VoseSimPercentile(Out_NPV_Plan,$B97),NA())</f>
        <v>14.970621912676449</v>
      </c>
      <c r="F97" s="93" cm="1">
        <f t="array" aca="1" ref="F97" ca="1">IF(ISNUMBER(_xll.VoseSimPercentile(Out_Peak_Start,$B97)),_xll.VoseSimPercentile(Out_Peak_Start,$B97),NA())</f>
        <v>160</v>
      </c>
      <c r="G97" s="93" cm="1">
        <f t="array" aca="1" ref="G97" ca="1">IF(ISNUMBER(_xll.VoseSimPercentile(Out_Peak_Plan,$B97)),_xll.VoseSimPercentile(Out_Peak_Plan,$B97),NA())</f>
        <v>145</v>
      </c>
      <c r="H97" s="93">
        <f t="shared" si="4"/>
        <v>170</v>
      </c>
    </row>
    <row r="98" spans="2:8" hidden="1" outlineLevel="1" x14ac:dyDescent="0.45">
      <c r="B98" s="92">
        <v>0.33</v>
      </c>
      <c r="C98" s="92">
        <f t="shared" si="3"/>
        <v>0.66999999999999993</v>
      </c>
      <c r="D98" s="93" cm="1">
        <f t="array" aca="1" ref="D98" ca="1">IF(ISNUMBER(_xll.VoseSimPercentile(Out_NPV_Start,$B98)),_xll.VoseSimPercentile(Out_NPV_Start,$B98),NA())</f>
        <v>83.375156834968834</v>
      </c>
      <c r="E98" s="93" cm="1">
        <f t="array" aca="1" ref="E98" ca="1">IF(ISNUMBER(_xll.VoseSimPercentile(Out_NPV_Plan,$B98)),_xll.VoseSimPercentile(Out_NPV_Plan,$B98),NA())</f>
        <v>60.091508210515215</v>
      </c>
      <c r="F98" s="93" cm="1">
        <f t="array" aca="1" ref="F98" ca="1">IF(ISNUMBER(_xll.VoseSimPercentile(Out_Peak_Start,$B98)),_xll.VoseSimPercentile(Out_Peak_Start,$B98),NA())</f>
        <v>160</v>
      </c>
      <c r="G98" s="93" cm="1">
        <f t="array" aca="1" ref="G98" ca="1">IF(ISNUMBER(_xll.VoseSimPercentile(Out_Peak_Plan,$B98)),_xll.VoseSimPercentile(Out_Peak_Plan,$B98),NA())</f>
        <v>145</v>
      </c>
      <c r="H98" s="93">
        <f t="shared" si="4"/>
        <v>170</v>
      </c>
    </row>
    <row r="99" spans="2:8" hidden="1" outlineLevel="1" x14ac:dyDescent="0.45">
      <c r="B99" s="92">
        <v>0.35</v>
      </c>
      <c r="C99" s="92">
        <f t="shared" si="3"/>
        <v>0.65</v>
      </c>
      <c r="D99" s="93" cm="1">
        <f t="array" aca="1" ref="D99" ca="1">IF(ISNUMBER(_xll.VoseSimPercentile(Out_NPV_Start,$B99)),_xll.VoseSimPercentile(Out_NPV_Start,$B99),NA())</f>
        <v>129.07458598192841</v>
      </c>
      <c r="E99" s="93" cm="1">
        <f t="array" aca="1" ref="E99" ca="1">IF(ISNUMBER(_xll.VoseSimPercentile(Out_NPV_Plan,$B99)),_xll.VoseSimPercentile(Out_NPV_Plan,$B99),NA())</f>
        <v>103.3153923371691</v>
      </c>
      <c r="F99" s="93" cm="1">
        <f t="array" aca="1" ref="F99" ca="1">IF(ISNUMBER(_xll.VoseSimPercentile(Out_Peak_Start,$B99)),_xll.VoseSimPercentile(Out_Peak_Start,$B99),NA())</f>
        <v>160</v>
      </c>
      <c r="G99" s="93" cm="1">
        <f t="array" aca="1" ref="G99" ca="1">IF(ISNUMBER(_xll.VoseSimPercentile(Out_Peak_Plan,$B99)),_xll.VoseSimPercentile(Out_Peak_Plan,$B99),NA())</f>
        <v>145</v>
      </c>
      <c r="H99" s="93">
        <f t="shared" si="4"/>
        <v>170</v>
      </c>
    </row>
    <row r="100" spans="2:8" hidden="1" outlineLevel="1" x14ac:dyDescent="0.45">
      <c r="B100" s="92">
        <v>0.37</v>
      </c>
      <c r="C100" s="92">
        <f t="shared" si="3"/>
        <v>0.63</v>
      </c>
      <c r="D100" s="93" cm="1">
        <f t="array" aca="1" ref="D100" ca="1">IF(ISNUMBER(_xll.VoseSimPercentile(Out_NPV_Start,$B100)),_xll.VoseSimPercentile(Out_NPV_Start,$B100),NA())</f>
        <v>173.16411416637712</v>
      </c>
      <c r="E100" s="93" cm="1">
        <f t="array" aca="1" ref="E100" ca="1">IF(ISNUMBER(_xll.VoseSimPercentile(Out_NPV_Plan,$B100)),_xll.VoseSimPercentile(Out_NPV_Plan,$B100),NA())</f>
        <v>149.97989490239311</v>
      </c>
      <c r="F100" s="93" cm="1">
        <f t="array" aca="1" ref="F100" ca="1">IF(ISNUMBER(_xll.VoseSimPercentile(Out_Peak_Start,$B100)),_xll.VoseSimPercentile(Out_Peak_Start,$B100),NA())</f>
        <v>160</v>
      </c>
      <c r="G100" s="93" cm="1">
        <f t="array" aca="1" ref="G100" ca="1">IF(ISNUMBER(_xll.VoseSimPercentile(Out_Peak_Plan,$B100)),_xll.VoseSimPercentile(Out_Peak_Plan,$B100),NA())</f>
        <v>145</v>
      </c>
      <c r="H100" s="93">
        <f t="shared" si="4"/>
        <v>170</v>
      </c>
    </row>
    <row r="101" spans="2:8" hidden="1" outlineLevel="1" x14ac:dyDescent="0.45">
      <c r="B101" s="92">
        <v>0.39</v>
      </c>
      <c r="C101" s="92">
        <f t="shared" si="3"/>
        <v>0.61</v>
      </c>
      <c r="D101" s="93" cm="1">
        <f t="array" aca="1" ref="D101" ca="1">IF(ISNUMBER(_xll.VoseSimPercentile(Out_NPV_Start,$B101)),_xll.VoseSimPercentile(Out_NPV_Start,$B101),NA())</f>
        <v>218.73438915800489</v>
      </c>
      <c r="E101" s="93" cm="1">
        <f t="array" aca="1" ref="E101" ca="1">IF(ISNUMBER(_xll.VoseSimPercentile(Out_NPV_Plan,$B101)),_xll.VoseSimPercentile(Out_NPV_Plan,$B101),NA())</f>
        <v>195.01852096026522</v>
      </c>
      <c r="F101" s="93" cm="1">
        <f t="array" aca="1" ref="F101" ca="1">IF(ISNUMBER(_xll.VoseSimPercentile(Out_Peak_Start,$B101)),_xll.VoseSimPercentile(Out_Peak_Start,$B101),NA())</f>
        <v>160</v>
      </c>
      <c r="G101" s="93" cm="1">
        <f t="array" aca="1" ref="G101" ca="1">IF(ISNUMBER(_xll.VoseSimPercentile(Out_Peak_Plan,$B101)),_xll.VoseSimPercentile(Out_Peak_Plan,$B101),NA())</f>
        <v>145</v>
      </c>
      <c r="H101" s="93">
        <f t="shared" si="4"/>
        <v>170</v>
      </c>
    </row>
    <row r="102" spans="2:8" hidden="1" outlineLevel="1" x14ac:dyDescent="0.45">
      <c r="B102" s="92">
        <v>0.41</v>
      </c>
      <c r="C102" s="92">
        <f t="shared" si="3"/>
        <v>0.59000000000000008</v>
      </c>
      <c r="D102" s="93" cm="1">
        <f t="array" aca="1" ref="D102" ca="1">IF(ISNUMBER(_xll.VoseSimPercentile(Out_NPV_Start,$B102)),_xll.VoseSimPercentile(Out_NPV_Start,$B102),NA())</f>
        <v>261.25963023293468</v>
      </c>
      <c r="E102" s="93" cm="1">
        <f t="array" aca="1" ref="E102" ca="1">IF(ISNUMBER(_xll.VoseSimPercentile(Out_NPV_Plan,$B102)),_xll.VoseSimPercentile(Out_NPV_Plan,$B102),NA())</f>
        <v>237.0453120527028</v>
      </c>
      <c r="F102" s="93" cm="1">
        <f t="array" aca="1" ref="F102" ca="1">IF(ISNUMBER(_xll.VoseSimPercentile(Out_Peak_Start,$B102)),_xll.VoseSimPercentile(Out_Peak_Start,$B102),NA())</f>
        <v>160</v>
      </c>
      <c r="G102" s="93" cm="1">
        <f t="array" aca="1" ref="G102" ca="1">IF(ISNUMBER(_xll.VoseSimPercentile(Out_Peak_Plan,$B102)),_xll.VoseSimPercentile(Out_Peak_Plan,$B102),NA())</f>
        <v>145</v>
      </c>
      <c r="H102" s="93">
        <f t="shared" si="4"/>
        <v>170</v>
      </c>
    </row>
    <row r="103" spans="2:8" hidden="1" outlineLevel="1" x14ac:dyDescent="0.45">
      <c r="B103" s="92">
        <v>0.43</v>
      </c>
      <c r="C103" s="92">
        <f t="shared" si="3"/>
        <v>0.57000000000000006</v>
      </c>
      <c r="D103" s="93" cm="1">
        <f t="array" aca="1" ref="D103" ca="1">IF(ISNUMBER(_xll.VoseSimPercentile(Out_NPV_Start,$B103)),_xll.VoseSimPercentile(Out_NPV_Start,$B103),NA())</f>
        <v>306.51223455793172</v>
      </c>
      <c r="E103" s="93" cm="1">
        <f t="array" aca="1" ref="E103" ca="1">IF(ISNUMBER(_xll.VoseSimPercentile(Out_NPV_Plan,$B103)),_xll.VoseSimPercentile(Out_NPV_Plan,$B103),NA())</f>
        <v>286.24062099026702</v>
      </c>
      <c r="F103" s="93" cm="1">
        <f t="array" aca="1" ref="F103" ca="1">IF(ISNUMBER(_xll.VoseSimPercentile(Out_Peak_Start,$B103)),_xll.VoseSimPercentile(Out_Peak_Start,$B103),NA())</f>
        <v>160</v>
      </c>
      <c r="G103" s="93" cm="1">
        <f t="array" aca="1" ref="G103" ca="1">IF(ISNUMBER(_xll.VoseSimPercentile(Out_Peak_Plan,$B103)),_xll.VoseSimPercentile(Out_Peak_Plan,$B103),NA())</f>
        <v>145</v>
      </c>
      <c r="H103" s="93">
        <f t="shared" si="4"/>
        <v>170</v>
      </c>
    </row>
    <row r="104" spans="2:8" hidden="1" outlineLevel="1" x14ac:dyDescent="0.45">
      <c r="B104" s="92">
        <v>0.45</v>
      </c>
      <c r="C104" s="92">
        <f t="shared" si="3"/>
        <v>0.55000000000000004</v>
      </c>
      <c r="D104" s="93" cm="1">
        <f t="array" aca="1" ref="D104" ca="1">IF(ISNUMBER(_xll.VoseSimPercentile(Out_NPV_Start,$B104)),_xll.VoseSimPercentile(Out_NPV_Start,$B104),NA())</f>
        <v>348.1523204717675</v>
      </c>
      <c r="E104" s="93" cm="1">
        <f t="array" aca="1" ref="E104" ca="1">IF(ISNUMBER(_xll.VoseSimPercentile(Out_NPV_Plan,$B104)),_xll.VoseSimPercentile(Out_NPV_Plan,$B104),NA())</f>
        <v>330.86309519221118</v>
      </c>
      <c r="F104" s="93" cm="1">
        <f t="array" aca="1" ref="F104" ca="1">IF(ISNUMBER(_xll.VoseSimPercentile(Out_Peak_Start,$B104)),_xll.VoseSimPercentile(Out_Peak_Start,$B104),NA())</f>
        <v>160</v>
      </c>
      <c r="G104" s="93" cm="1">
        <f t="array" aca="1" ref="G104" ca="1">IF(ISNUMBER(_xll.VoseSimPercentile(Out_Peak_Plan,$B104)),_xll.VoseSimPercentile(Out_Peak_Plan,$B104),NA())</f>
        <v>145</v>
      </c>
      <c r="H104" s="93">
        <f t="shared" si="4"/>
        <v>170</v>
      </c>
    </row>
    <row r="105" spans="2:8" hidden="1" outlineLevel="1" x14ac:dyDescent="0.45">
      <c r="B105" s="92">
        <v>0.47</v>
      </c>
      <c r="C105" s="92">
        <f t="shared" si="3"/>
        <v>0.53</v>
      </c>
      <c r="D105" s="93" cm="1">
        <f t="array" aca="1" ref="D105" ca="1">IF(ISNUMBER(_xll.VoseSimPercentile(Out_NPV_Start,$B105)),_xll.VoseSimPercentile(Out_NPV_Start,$B105),NA())</f>
        <v>394.62345448739336</v>
      </c>
      <c r="E105" s="93" cm="1">
        <f t="array" aca="1" ref="E105" ca="1">IF(ISNUMBER(_xll.VoseSimPercentile(Out_NPV_Plan,$B105)),_xll.VoseSimPercentile(Out_NPV_Plan,$B105),NA())</f>
        <v>374.90641639945824</v>
      </c>
      <c r="F105" s="93" cm="1">
        <f t="array" aca="1" ref="F105" ca="1">IF(ISNUMBER(_xll.VoseSimPercentile(Out_Peak_Start,$B105)),_xll.VoseSimPercentile(Out_Peak_Start,$B105),NA())</f>
        <v>160</v>
      </c>
      <c r="G105" s="93" cm="1">
        <f t="array" aca="1" ref="G105" ca="1">IF(ISNUMBER(_xll.VoseSimPercentile(Out_Peak_Plan,$B105)),_xll.VoseSimPercentile(Out_Peak_Plan,$B105),NA())</f>
        <v>145</v>
      </c>
      <c r="H105" s="93">
        <f t="shared" si="4"/>
        <v>170</v>
      </c>
    </row>
    <row r="106" spans="2:8" hidden="1" outlineLevel="1" x14ac:dyDescent="0.45">
      <c r="B106" s="92">
        <v>0.49</v>
      </c>
      <c r="C106" s="92">
        <f t="shared" si="3"/>
        <v>0.51</v>
      </c>
      <c r="D106" s="93" cm="1">
        <f t="array" aca="1" ref="D106" ca="1">IF(ISNUMBER(_xll.VoseSimPercentile(Out_NPV_Start,$B106)),_xll.VoseSimPercentile(Out_NPV_Start,$B106),NA())</f>
        <v>433.82082158777382</v>
      </c>
      <c r="E106" s="93" cm="1">
        <f t="array" aca="1" ref="E106" ca="1">IF(ISNUMBER(_xll.VoseSimPercentile(Out_NPV_Plan,$B106)),_xll.VoseSimPercentile(Out_NPV_Plan,$B106),NA())</f>
        <v>417.56150021085097</v>
      </c>
      <c r="F106" s="93" cm="1">
        <f t="array" aca="1" ref="F106" ca="1">IF(ISNUMBER(_xll.VoseSimPercentile(Out_Peak_Start,$B106)),_xll.VoseSimPercentile(Out_Peak_Start,$B106),NA())</f>
        <v>160</v>
      </c>
      <c r="G106" s="93" cm="1">
        <f t="array" aca="1" ref="G106" ca="1">IF(ISNUMBER(_xll.VoseSimPercentile(Out_Peak_Plan,$B106)),_xll.VoseSimPercentile(Out_Peak_Plan,$B106),NA())</f>
        <v>150</v>
      </c>
      <c r="H106" s="93">
        <f t="shared" si="4"/>
        <v>170</v>
      </c>
    </row>
    <row r="107" spans="2:8" hidden="1" outlineLevel="1" x14ac:dyDescent="0.45">
      <c r="B107" s="92">
        <v>0.51</v>
      </c>
      <c r="C107" s="92">
        <f t="shared" si="3"/>
        <v>0.49</v>
      </c>
      <c r="D107" s="93" cm="1">
        <f t="array" aca="1" ref="D107" ca="1">IF(ISNUMBER(_xll.VoseSimPercentile(Out_NPV_Start,$B107)),_xll.VoseSimPercentile(Out_NPV_Start,$B107),NA())</f>
        <v>474.13670996167639</v>
      </c>
      <c r="E107" s="93" cm="1">
        <f t="array" aca="1" ref="E107" ca="1">IF(ISNUMBER(_xll.VoseSimPercentile(Out_NPV_Plan,$B107)),_xll.VoseSimPercentile(Out_NPV_Plan,$B107),NA())</f>
        <v>454.94351512929057</v>
      </c>
      <c r="F107" s="93" cm="1">
        <f t="array" aca="1" ref="F107" ca="1">IF(ISNUMBER(_xll.VoseSimPercentile(Out_Peak_Start,$B107)),_xll.VoseSimPercentile(Out_Peak_Start,$B107),NA())</f>
        <v>160</v>
      </c>
      <c r="G107" s="93" cm="1">
        <f t="array" aca="1" ref="G107" ca="1">IF(ISNUMBER(_xll.VoseSimPercentile(Out_Peak_Plan,$B107)),_xll.VoseSimPercentile(Out_Peak_Plan,$B107),NA())</f>
        <v>150</v>
      </c>
      <c r="H107" s="93">
        <f t="shared" si="4"/>
        <v>170</v>
      </c>
    </row>
    <row r="108" spans="2:8" hidden="1" outlineLevel="1" x14ac:dyDescent="0.45">
      <c r="B108" s="92">
        <v>0.53</v>
      </c>
      <c r="C108" s="92">
        <f t="shared" si="3"/>
        <v>0.47</v>
      </c>
      <c r="D108" s="93" cm="1">
        <f t="array" aca="1" ref="D108" ca="1">IF(ISNUMBER(_xll.VoseSimPercentile(Out_NPV_Start,$B108)),_xll.VoseSimPercentile(Out_NPV_Start,$B108),NA())</f>
        <v>514.91625592671335</v>
      </c>
      <c r="E108" s="93" cm="1">
        <f t="array" aca="1" ref="E108" ca="1">IF(ISNUMBER(_xll.VoseSimPercentile(Out_NPV_Plan,$B108)),_xll.VoseSimPercentile(Out_NPV_Plan,$B108),NA())</f>
        <v>503.87903783544817</v>
      </c>
      <c r="F108" s="93" cm="1">
        <f t="array" aca="1" ref="F108" ca="1">IF(ISNUMBER(_xll.VoseSimPercentile(Out_Peak_Start,$B108)),_xll.VoseSimPercentile(Out_Peak_Start,$B108),NA())</f>
        <v>160</v>
      </c>
      <c r="G108" s="93" cm="1">
        <f t="array" aca="1" ref="G108" ca="1">IF(ISNUMBER(_xll.VoseSimPercentile(Out_Peak_Plan,$B108)),_xll.VoseSimPercentile(Out_Peak_Plan,$B108),NA())</f>
        <v>150</v>
      </c>
      <c r="H108" s="93">
        <f t="shared" si="4"/>
        <v>170</v>
      </c>
    </row>
    <row r="109" spans="2:8" hidden="1" outlineLevel="1" x14ac:dyDescent="0.45">
      <c r="B109" s="92">
        <v>0.55000000000000004</v>
      </c>
      <c r="C109" s="92">
        <f t="shared" si="3"/>
        <v>0.44999999999999996</v>
      </c>
      <c r="D109" s="93" cm="1">
        <f t="array" aca="1" ref="D109" ca="1">IF(ISNUMBER(_xll.VoseSimPercentile(Out_NPV_Start,$B109)),_xll.VoseSimPercentile(Out_NPV_Start,$B109),NA())</f>
        <v>560.00538446971007</v>
      </c>
      <c r="E109" s="93" cm="1">
        <f t="array" aca="1" ref="E109" ca="1">IF(ISNUMBER(_xll.VoseSimPercentile(Out_NPV_Plan,$B109)),_xll.VoseSimPercentile(Out_NPV_Plan,$B109),NA())</f>
        <v>548.96813438534673</v>
      </c>
      <c r="F109" s="93" cm="1">
        <f t="array" aca="1" ref="F109" ca="1">IF(ISNUMBER(_xll.VoseSimPercentile(Out_Peak_Start,$B109)),_xll.VoseSimPercentile(Out_Peak_Start,$B109),NA())</f>
        <v>160</v>
      </c>
      <c r="G109" s="93" cm="1">
        <f t="array" aca="1" ref="G109" ca="1">IF(ISNUMBER(_xll.VoseSimPercentile(Out_Peak_Plan,$B109)),_xll.VoseSimPercentile(Out_Peak_Plan,$B109),NA())</f>
        <v>150</v>
      </c>
      <c r="H109" s="93">
        <f t="shared" si="4"/>
        <v>170</v>
      </c>
    </row>
    <row r="110" spans="2:8" hidden="1" outlineLevel="1" x14ac:dyDescent="0.45">
      <c r="B110" s="92">
        <v>0.56999999999999995</v>
      </c>
      <c r="C110" s="92">
        <f t="shared" si="3"/>
        <v>0.43000000000000005</v>
      </c>
      <c r="D110" s="93" cm="1">
        <f t="array" aca="1" ref="D110" ca="1">IF(ISNUMBER(_xll.VoseSimPercentile(Out_NPV_Start,$B110)),_xll.VoseSimPercentile(Out_NPV_Start,$B110),NA())</f>
        <v>604.16959271325584</v>
      </c>
      <c r="E110" s="93" cm="1">
        <f t="array" aca="1" ref="E110" ca="1">IF(ISNUMBER(_xll.VoseSimPercentile(Out_NPV_Plan,$B110)),_xll.VoseSimPercentile(Out_NPV_Plan,$B110),NA())</f>
        <v>592.68283609450862</v>
      </c>
      <c r="F110" s="93" cm="1">
        <f t="array" aca="1" ref="F110" ca="1">IF(ISNUMBER(_xll.VoseSimPercentile(Out_Peak_Start,$B110)),_xll.VoseSimPercentile(Out_Peak_Start,$B110),NA())</f>
        <v>160</v>
      </c>
      <c r="G110" s="93" cm="1">
        <f t="array" aca="1" ref="G110" ca="1">IF(ISNUMBER(_xll.VoseSimPercentile(Out_Peak_Plan,$B110)),_xll.VoseSimPercentile(Out_Peak_Plan,$B110),NA())</f>
        <v>150</v>
      </c>
      <c r="H110" s="93">
        <f t="shared" si="4"/>
        <v>170</v>
      </c>
    </row>
    <row r="111" spans="2:8" hidden="1" outlineLevel="1" x14ac:dyDescent="0.45">
      <c r="B111" s="92">
        <v>0.59</v>
      </c>
      <c r="C111" s="92">
        <f t="shared" si="3"/>
        <v>0.41000000000000003</v>
      </c>
      <c r="D111" s="93" cm="1">
        <f t="array" aca="1" ref="D111" ca="1">IF(ISNUMBER(_xll.VoseSimPercentile(Out_NPV_Start,$B111)),_xll.VoseSimPercentile(Out_NPV_Start,$B111),NA())</f>
        <v>654.11687796327158</v>
      </c>
      <c r="E111" s="93" cm="1">
        <f t="array" aca="1" ref="E111" ca="1">IF(ISNUMBER(_xll.VoseSimPercentile(Out_NPV_Plan,$B111)),_xll.VoseSimPercentile(Out_NPV_Plan,$B111),NA())</f>
        <v>636.61466780353578</v>
      </c>
      <c r="F111" s="93" cm="1">
        <f t="array" aca="1" ref="F111" ca="1">IF(ISNUMBER(_xll.VoseSimPercentile(Out_Peak_Start,$B111)),_xll.VoseSimPercentile(Out_Peak_Start,$B111),NA())</f>
        <v>160</v>
      </c>
      <c r="G111" s="93" cm="1">
        <f t="array" aca="1" ref="G111" ca="1">IF(ISNUMBER(_xll.VoseSimPercentile(Out_Peak_Plan,$B111)),_xll.VoseSimPercentile(Out_Peak_Plan,$B111),NA())</f>
        <v>150</v>
      </c>
      <c r="H111" s="93">
        <f t="shared" si="4"/>
        <v>170</v>
      </c>
    </row>
    <row r="112" spans="2:8" hidden="1" outlineLevel="1" x14ac:dyDescent="0.45">
      <c r="B112" s="92">
        <v>0.61</v>
      </c>
      <c r="C112" s="92">
        <f t="shared" si="3"/>
        <v>0.39</v>
      </c>
      <c r="D112" s="93" cm="1">
        <f t="array" aca="1" ref="D112" ca="1">IF(ISNUMBER(_xll.VoseSimPercentile(Out_NPV_Start,$B112)),_xll.VoseSimPercentile(Out_NPV_Start,$B112),NA())</f>
        <v>697.86741113098628</v>
      </c>
      <c r="E112" s="93" cm="1">
        <f t="array" aca="1" ref="E112" ca="1">IF(ISNUMBER(_xll.VoseSimPercentile(Out_NPV_Plan,$B112)),_xll.VoseSimPercentile(Out_NPV_Plan,$B112),NA())</f>
        <v>681.16997955347563</v>
      </c>
      <c r="F112" s="93" cm="1">
        <f t="array" aca="1" ref="F112" ca="1">IF(ISNUMBER(_xll.VoseSimPercentile(Out_Peak_Start,$B112)),_xll.VoseSimPercentile(Out_Peak_Start,$B112),NA())</f>
        <v>160</v>
      </c>
      <c r="G112" s="93" cm="1">
        <f t="array" aca="1" ref="G112" ca="1">IF(ISNUMBER(_xll.VoseSimPercentile(Out_Peak_Plan,$B112)),_xll.VoseSimPercentile(Out_Peak_Plan,$B112),NA())</f>
        <v>150</v>
      </c>
      <c r="H112" s="93">
        <f t="shared" si="4"/>
        <v>170</v>
      </c>
    </row>
    <row r="113" spans="2:8" hidden="1" outlineLevel="1" x14ac:dyDescent="0.45">
      <c r="B113" s="92">
        <v>0.63</v>
      </c>
      <c r="C113" s="92">
        <f t="shared" si="3"/>
        <v>0.37</v>
      </c>
      <c r="D113" s="93" cm="1">
        <f t="array" aca="1" ref="D113" ca="1">IF(ISNUMBER(_xll.VoseSimPercentile(Out_NPV_Start,$B113)),_xll.VoseSimPercentile(Out_NPV_Start,$B113),NA())</f>
        <v>745.29165889463388</v>
      </c>
      <c r="E113" s="93" cm="1">
        <f t="array" aca="1" ref="E113" ca="1">IF(ISNUMBER(_xll.VoseSimPercentile(Out_NPV_Plan,$B113)),_xll.VoseSimPercentile(Out_NPV_Plan,$B113),NA())</f>
        <v>726.33751250096429</v>
      </c>
      <c r="F113" s="93" cm="1">
        <f t="array" aca="1" ref="F113" ca="1">IF(ISNUMBER(_xll.VoseSimPercentile(Out_Peak_Start,$B113)),_xll.VoseSimPercentile(Out_Peak_Start,$B113),NA())</f>
        <v>160</v>
      </c>
      <c r="G113" s="93" cm="1">
        <f t="array" aca="1" ref="G113" ca="1">IF(ISNUMBER(_xll.VoseSimPercentile(Out_Peak_Plan,$B113)),_xll.VoseSimPercentile(Out_Peak_Plan,$B113),NA())</f>
        <v>150</v>
      </c>
      <c r="H113" s="93">
        <f t="shared" si="4"/>
        <v>170</v>
      </c>
    </row>
    <row r="114" spans="2:8" hidden="1" outlineLevel="1" x14ac:dyDescent="0.45">
      <c r="B114" s="92">
        <v>0.65</v>
      </c>
      <c r="C114" s="92">
        <f t="shared" ref="C114:C145" si="5">1-B114</f>
        <v>0.35</v>
      </c>
      <c r="D114" s="93" cm="1">
        <f t="array" aca="1" ref="D114" ca="1">IF(ISNUMBER(_xll.VoseSimPercentile(Out_NPV_Start,$B114)),_xll.VoseSimPercentile(Out_NPV_Start,$B114),NA())</f>
        <v>791.7583612352928</v>
      </c>
      <c r="E114" s="93" cm="1">
        <f t="array" aca="1" ref="E114" ca="1">IF(ISNUMBER(_xll.VoseSimPercentile(Out_NPV_Plan,$B114)),_xll.VoseSimPercentile(Out_NPV_Plan,$B114),NA())</f>
        <v>769.55714997880295</v>
      </c>
      <c r="F114" s="93" cm="1">
        <f t="array" aca="1" ref="F114" ca="1">IF(ISNUMBER(_xll.VoseSimPercentile(Out_Peak_Start,$B114)),_xll.VoseSimPercentile(Out_Peak_Start,$B114),NA())</f>
        <v>180</v>
      </c>
      <c r="G114" s="93" cm="1">
        <f t="array" aca="1" ref="G114" ca="1">IF(ISNUMBER(_xll.VoseSimPercentile(Out_Peak_Plan,$B114)),_xll.VoseSimPercentile(Out_Peak_Plan,$B114),NA())</f>
        <v>150</v>
      </c>
      <c r="H114" s="93">
        <f t="shared" ref="H114:H131" si="6">Budget</f>
        <v>170</v>
      </c>
    </row>
    <row r="115" spans="2:8" hidden="1" outlineLevel="1" x14ac:dyDescent="0.45">
      <c r="B115" s="92">
        <v>0.67</v>
      </c>
      <c r="C115" s="92">
        <f t="shared" si="5"/>
        <v>0.32999999999999996</v>
      </c>
      <c r="D115" s="93" cm="1">
        <f t="array" aca="1" ref="D115" ca="1">IF(ISNUMBER(_xll.VoseSimPercentile(Out_NPV_Start,$B115)),_xll.VoseSimPercentile(Out_NPV_Start,$B115),NA())</f>
        <v>835.84468583233922</v>
      </c>
      <c r="E115" s="93" cm="1">
        <f t="array" aca="1" ref="E115" ca="1">IF(ISNUMBER(_xll.VoseSimPercentile(Out_NPV_Plan,$B115)),_xll.VoseSimPercentile(Out_NPV_Plan,$B115),NA())</f>
        <v>818.2322965041277</v>
      </c>
      <c r="F115" s="93" cm="1">
        <f t="array" aca="1" ref="F115" ca="1">IF(ISNUMBER(_xll.VoseSimPercentile(Out_Peak_Start,$B115)),_xll.VoseSimPercentile(Out_Peak_Start,$B115),NA())</f>
        <v>180</v>
      </c>
      <c r="G115" s="93" cm="1">
        <f t="array" aca="1" ref="G115" ca="1">IF(ISNUMBER(_xll.VoseSimPercentile(Out_Peak_Plan,$B115)),_xll.VoseSimPercentile(Out_Peak_Plan,$B115),NA())</f>
        <v>150</v>
      </c>
      <c r="H115" s="93">
        <f t="shared" si="6"/>
        <v>170</v>
      </c>
    </row>
    <row r="116" spans="2:8" hidden="1" outlineLevel="1" x14ac:dyDescent="0.45">
      <c r="B116" s="92">
        <v>0.69</v>
      </c>
      <c r="C116" s="92">
        <f t="shared" si="5"/>
        <v>0.31000000000000005</v>
      </c>
      <c r="D116" s="93" cm="1">
        <f t="array" aca="1" ref="D116" ca="1">IF(ISNUMBER(_xll.VoseSimPercentile(Out_NPV_Start,$B116)),_xll.VoseSimPercentile(Out_NPV_Start,$B116),NA())</f>
        <v>887.11124545816824</v>
      </c>
      <c r="E116" s="93" cm="1">
        <f t="array" aca="1" ref="E116" ca="1">IF(ISNUMBER(_xll.VoseSimPercentile(Out_NPV_Plan,$B116)),_xll.VoseSimPercentile(Out_NPV_Plan,$B116),NA())</f>
        <v>868.83054942653553</v>
      </c>
      <c r="F116" s="93" cm="1">
        <f t="array" aca="1" ref="F116" ca="1">IF(ISNUMBER(_xll.VoseSimPercentile(Out_Peak_Start,$B116)),_xll.VoseSimPercentile(Out_Peak_Start,$B116),NA())</f>
        <v>180</v>
      </c>
      <c r="G116" s="93" cm="1">
        <f t="array" aca="1" ref="G116" ca="1">IF(ISNUMBER(_xll.VoseSimPercentile(Out_Peak_Plan,$B116)),_xll.VoseSimPercentile(Out_Peak_Plan,$B116),NA())</f>
        <v>170</v>
      </c>
      <c r="H116" s="93">
        <f t="shared" si="6"/>
        <v>170</v>
      </c>
    </row>
    <row r="117" spans="2:8" hidden="1" outlineLevel="1" x14ac:dyDescent="0.45">
      <c r="B117" s="92">
        <v>0.71</v>
      </c>
      <c r="C117" s="92">
        <f t="shared" si="5"/>
        <v>0.29000000000000004</v>
      </c>
      <c r="D117" s="93" cm="1">
        <f t="array" aca="1" ref="D117" ca="1">IF(ISNUMBER(_xll.VoseSimPercentile(Out_NPV_Start,$B117)),_xll.VoseSimPercentile(Out_NPV_Start,$B117),NA())</f>
        <v>943.18858890332638</v>
      </c>
      <c r="E117" s="93" cm="1">
        <f t="array" aca="1" ref="E117" ca="1">IF(ISNUMBER(_xll.VoseSimPercentile(Out_NPV_Plan,$B117)),_xll.VoseSimPercentile(Out_NPV_Plan,$B117),NA())</f>
        <v>921.90873115290049</v>
      </c>
      <c r="F117" s="93" cm="1">
        <f t="array" aca="1" ref="F117" ca="1">IF(ISNUMBER(_xll.VoseSimPercentile(Out_Peak_Start,$B117)),_xll.VoseSimPercentile(Out_Peak_Start,$B117),NA())</f>
        <v>180</v>
      </c>
      <c r="G117" s="93" cm="1">
        <f t="array" aca="1" ref="G117" ca="1">IF(ISNUMBER(_xll.VoseSimPercentile(Out_Peak_Plan,$B117)),_xll.VoseSimPercentile(Out_Peak_Plan,$B117),NA())</f>
        <v>170</v>
      </c>
      <c r="H117" s="93">
        <f t="shared" si="6"/>
        <v>170</v>
      </c>
    </row>
    <row r="118" spans="2:8" hidden="1" outlineLevel="1" x14ac:dyDescent="0.45">
      <c r="B118" s="92">
        <v>0.73</v>
      </c>
      <c r="C118" s="92">
        <f t="shared" si="5"/>
        <v>0.27</v>
      </c>
      <c r="D118" s="93" cm="1">
        <f t="array" aca="1" ref="D118" ca="1">IF(ISNUMBER(_xll.VoseSimPercentile(Out_NPV_Start,$B118)),_xll.VoseSimPercentile(Out_NPV_Start,$B118),NA())</f>
        <v>991.43415356977016</v>
      </c>
      <c r="E118" s="93" cm="1">
        <f t="array" aca="1" ref="E118" ca="1">IF(ISNUMBER(_xll.VoseSimPercentile(Out_NPV_Plan,$B118)),_xll.VoseSimPercentile(Out_NPV_Plan,$B118),NA())</f>
        <v>969.12340984258299</v>
      </c>
      <c r="F118" s="93" cm="1">
        <f t="array" aca="1" ref="F118" ca="1">IF(ISNUMBER(_xll.VoseSimPercentile(Out_Peak_Start,$B118)),_xll.VoseSimPercentile(Out_Peak_Start,$B118),NA())</f>
        <v>180</v>
      </c>
      <c r="G118" s="93" cm="1">
        <f t="array" aca="1" ref="G118" ca="1">IF(ISNUMBER(_xll.VoseSimPercentile(Out_Peak_Plan,$B118)),_xll.VoseSimPercentile(Out_Peak_Plan,$B118),NA())</f>
        <v>170</v>
      </c>
      <c r="H118" s="93">
        <f t="shared" si="6"/>
        <v>170</v>
      </c>
    </row>
    <row r="119" spans="2:8" hidden="1" outlineLevel="1" x14ac:dyDescent="0.45">
      <c r="B119" s="92">
        <v>0.75</v>
      </c>
      <c r="C119" s="92">
        <f t="shared" si="5"/>
        <v>0.25</v>
      </c>
      <c r="D119" s="93" cm="1">
        <f t="array" aca="1" ref="D119" ca="1">IF(ISNUMBER(_xll.VoseSimPercentile(Out_NPV_Start,$B119)),_xll.VoseSimPercentile(Out_NPV_Start,$B119),NA())</f>
        <v>1045.4981523669906</v>
      </c>
      <c r="E119" s="93" cm="1">
        <f t="array" aca="1" ref="E119" ca="1">IF(ISNUMBER(_xll.VoseSimPercentile(Out_NPV_Plan,$B119)),_xll.VoseSimPercentile(Out_NPV_Plan,$B119),NA())</f>
        <v>1019.6883738233838</v>
      </c>
      <c r="F119" s="93" cm="1">
        <f t="array" aca="1" ref="F119" ca="1">IF(ISNUMBER(_xll.VoseSimPercentile(Out_Peak_Start,$B119)),_xll.VoseSimPercentile(Out_Peak_Start,$B119),NA())</f>
        <v>205</v>
      </c>
      <c r="G119" s="93" cm="1">
        <f t="array" aca="1" ref="G119" ca="1">IF(ISNUMBER(_xll.VoseSimPercentile(Out_Peak_Plan,$B119)),_xll.VoseSimPercentile(Out_Peak_Plan,$B119),NA())</f>
        <v>170</v>
      </c>
      <c r="H119" s="93">
        <f t="shared" si="6"/>
        <v>170</v>
      </c>
    </row>
    <row r="120" spans="2:8" hidden="1" outlineLevel="1" x14ac:dyDescent="0.45">
      <c r="B120" s="92">
        <v>0.77</v>
      </c>
      <c r="C120" s="92">
        <f t="shared" si="5"/>
        <v>0.22999999999999998</v>
      </c>
      <c r="D120" s="93" cm="1">
        <f t="array" aca="1" ref="D120" ca="1">IF(ISNUMBER(_xll.VoseSimPercentile(Out_NPV_Start,$B120)),_xll.VoseSimPercentile(Out_NPV_Start,$B120),NA())</f>
        <v>1104.0351292262403</v>
      </c>
      <c r="E120" s="93" cm="1">
        <f t="array" aca="1" ref="E120" ca="1">IF(ISNUMBER(_xll.VoseSimPercentile(Out_NPV_Plan,$B120)),_xll.VoseSimPercentile(Out_NPV_Plan,$B120),NA())</f>
        <v>1086.9465498753459</v>
      </c>
      <c r="F120" s="93" cm="1">
        <f t="array" aca="1" ref="F120" ca="1">IF(ISNUMBER(_xll.VoseSimPercentile(Out_Peak_Start,$B120)),_xll.VoseSimPercentile(Out_Peak_Start,$B120),NA())</f>
        <v>205</v>
      </c>
      <c r="G120" s="93" cm="1">
        <f t="array" aca="1" ref="G120" ca="1">IF(ISNUMBER(_xll.VoseSimPercentile(Out_Peak_Plan,$B120)),_xll.VoseSimPercentile(Out_Peak_Plan,$B120),NA())</f>
        <v>170</v>
      </c>
      <c r="H120" s="93">
        <f t="shared" si="6"/>
        <v>170</v>
      </c>
    </row>
    <row r="121" spans="2:8" hidden="1" outlineLevel="1" x14ac:dyDescent="0.45">
      <c r="B121" s="92">
        <v>0.79</v>
      </c>
      <c r="C121" s="92">
        <f t="shared" si="5"/>
        <v>0.20999999999999996</v>
      </c>
      <c r="D121" s="93" cm="1">
        <f t="array" aca="1" ref="D121" ca="1">IF(ISNUMBER(_xll.VoseSimPercentile(Out_NPV_Start,$B121)),_xll.VoseSimPercentile(Out_NPV_Start,$B121),NA())</f>
        <v>1165.1318928466612</v>
      </c>
      <c r="E121" s="93" cm="1">
        <f t="array" aca="1" ref="E121" ca="1">IF(ISNUMBER(_xll.VoseSimPercentile(Out_NPV_Plan,$B121)),_xll.VoseSimPercentile(Out_NPV_Plan,$B121),NA())</f>
        <v>1147.6539629063875</v>
      </c>
      <c r="F121" s="93" cm="1">
        <f t="array" aca="1" ref="F121" ca="1">IF(ISNUMBER(_xll.VoseSimPercentile(Out_Peak_Start,$B121)),_xll.VoseSimPercentile(Out_Peak_Start,$B121),NA())</f>
        <v>205</v>
      </c>
      <c r="G121" s="93" cm="1">
        <f t="array" aca="1" ref="G121" ca="1">IF(ISNUMBER(_xll.VoseSimPercentile(Out_Peak_Plan,$B121)),_xll.VoseSimPercentile(Out_Peak_Plan,$B121),NA())</f>
        <v>170</v>
      </c>
      <c r="H121" s="93">
        <f t="shared" si="6"/>
        <v>170</v>
      </c>
    </row>
    <row r="122" spans="2:8" hidden="1" outlineLevel="1" x14ac:dyDescent="0.45">
      <c r="B122" s="92">
        <v>0.81</v>
      </c>
      <c r="C122" s="92">
        <f t="shared" si="5"/>
        <v>0.18999999999999995</v>
      </c>
      <c r="D122" s="93" cm="1">
        <f t="array" aca="1" ref="D122" ca="1">IF(ISNUMBER(_xll.VoseSimPercentile(Out_NPV_Start,$B122)),_xll.VoseSimPercentile(Out_NPV_Start,$B122),NA())</f>
        <v>1235.5888672177969</v>
      </c>
      <c r="E122" s="93" cm="1">
        <f t="array" aca="1" ref="E122" ca="1">IF(ISNUMBER(_xll.VoseSimPercentile(Out_NPV_Plan,$B122)),_xll.VoseSimPercentile(Out_NPV_Plan,$B122),NA())</f>
        <v>1211.3632413889568</v>
      </c>
      <c r="F122" s="93" cm="1">
        <f t="array" aca="1" ref="F122" ca="1">IF(ISNUMBER(_xll.VoseSimPercentile(Out_Peak_Start,$B122)),_xll.VoseSimPercentile(Out_Peak_Start,$B122),NA())</f>
        <v>205</v>
      </c>
      <c r="G122" s="93" cm="1">
        <f t="array" aca="1" ref="G122" ca="1">IF(ISNUMBER(_xll.VoseSimPercentile(Out_Peak_Plan,$B122)),_xll.VoseSimPercentile(Out_Peak_Plan,$B122),NA())</f>
        <v>180</v>
      </c>
      <c r="H122" s="93">
        <f t="shared" si="6"/>
        <v>170</v>
      </c>
    </row>
    <row r="123" spans="2:8" hidden="1" outlineLevel="1" x14ac:dyDescent="0.45">
      <c r="B123" s="92">
        <v>0.83</v>
      </c>
      <c r="C123" s="92">
        <f t="shared" si="5"/>
        <v>0.17000000000000004</v>
      </c>
      <c r="D123" s="93" cm="1">
        <f t="array" aca="1" ref="D123" ca="1">IF(ISNUMBER(_xll.VoseSimPercentile(Out_NPV_Start,$B123)),_xll.VoseSimPercentile(Out_NPV_Start,$B123),NA())</f>
        <v>1311.47845322802</v>
      </c>
      <c r="E123" s="93" cm="1">
        <f t="array" aca="1" ref="E123" ca="1">IF(ISNUMBER(_xll.VoseSimPercentile(Out_NPV_Plan,$B123)),_xll.VoseSimPercentile(Out_NPV_Plan,$B123),NA())</f>
        <v>1283.5998172275854</v>
      </c>
      <c r="F123" s="93" cm="1">
        <f t="array" aca="1" ref="F123" ca="1">IF(ISNUMBER(_xll.VoseSimPercentile(Out_Peak_Start,$B123)),_xll.VoseSimPercentile(Out_Peak_Start,$B123),NA())</f>
        <v>205</v>
      </c>
      <c r="G123" s="93" cm="1">
        <f t="array" aca="1" ref="G123" ca="1">IF(ISNUMBER(_xll.VoseSimPercentile(Out_Peak_Plan,$B123)),_xll.VoseSimPercentile(Out_Peak_Plan,$B123),NA())</f>
        <v>180</v>
      </c>
      <c r="H123" s="93">
        <f t="shared" si="6"/>
        <v>170</v>
      </c>
    </row>
    <row r="124" spans="2:8" hidden="1" outlineLevel="1" x14ac:dyDescent="0.45">
      <c r="B124" s="92">
        <v>0.85</v>
      </c>
      <c r="C124" s="92">
        <f t="shared" si="5"/>
        <v>0.15000000000000002</v>
      </c>
      <c r="D124" s="93" cm="1">
        <f t="array" aca="1" ref="D124" ca="1">IF(ISNUMBER(_xll.VoseSimPercentile(Out_NPV_Start,$B124)),_xll.VoseSimPercentile(Out_NPV_Start,$B124),NA())</f>
        <v>1402.3514872213739</v>
      </c>
      <c r="E124" s="93" cm="1">
        <f t="array" aca="1" ref="E124" ca="1">IF(ISNUMBER(_xll.VoseSimPercentile(Out_NPV_Plan,$B124)),_xll.VoseSimPercentile(Out_NPV_Plan,$B124),NA())</f>
        <v>1371.6354927372299</v>
      </c>
      <c r="F124" s="93" cm="1">
        <f t="array" aca="1" ref="F124" ca="1">IF(ISNUMBER(_xll.VoseSimPercentile(Out_Peak_Start,$B124)),_xll.VoseSimPercentile(Out_Peak_Start,$B124),NA())</f>
        <v>205</v>
      </c>
      <c r="G124" s="93" cm="1">
        <f t="array" aca="1" ref="G124" ca="1">IF(ISNUMBER(_xll.VoseSimPercentile(Out_Peak_Plan,$B124)),_xll.VoseSimPercentile(Out_Peak_Plan,$B124),NA())</f>
        <v>180</v>
      </c>
      <c r="H124" s="93">
        <f t="shared" si="6"/>
        <v>170</v>
      </c>
    </row>
    <row r="125" spans="2:8" hidden="1" outlineLevel="1" x14ac:dyDescent="0.45">
      <c r="B125" s="92">
        <v>0.87</v>
      </c>
      <c r="C125" s="92">
        <f t="shared" si="5"/>
        <v>0.13</v>
      </c>
      <c r="D125" s="93" cm="1">
        <f t="array" aca="1" ref="D125" ca="1">IF(ISNUMBER(_xll.VoseSimPercentile(Out_NPV_Start,$B125)),_xll.VoseSimPercentile(Out_NPV_Start,$B125),NA())</f>
        <v>1489.5239521209742</v>
      </c>
      <c r="E125" s="93" cm="1">
        <f t="array" aca="1" ref="E125" ca="1">IF(ISNUMBER(_xll.VoseSimPercentile(Out_NPV_Plan,$B125)),_xll.VoseSimPercentile(Out_NPV_Plan,$B125),NA())</f>
        <v>1463.6052952008822</v>
      </c>
      <c r="F125" s="93" cm="1">
        <f t="array" aca="1" ref="F125" ca="1">IF(ISNUMBER(_xll.VoseSimPercentile(Out_Peak_Start,$B125)),_xll.VoseSimPercentile(Out_Peak_Start,$B125),NA())</f>
        <v>205</v>
      </c>
      <c r="G125" s="93" cm="1">
        <f t="array" aca="1" ref="G125" ca="1">IF(ISNUMBER(_xll.VoseSimPercentile(Out_Peak_Plan,$B125)),_xll.VoseSimPercentile(Out_Peak_Plan,$B125),NA())</f>
        <v>205</v>
      </c>
      <c r="H125" s="93">
        <f t="shared" si="6"/>
        <v>170</v>
      </c>
    </row>
    <row r="126" spans="2:8" hidden="1" outlineLevel="1" x14ac:dyDescent="0.45">
      <c r="B126" s="92">
        <v>0.89</v>
      </c>
      <c r="C126" s="92">
        <f t="shared" si="5"/>
        <v>0.10999999999999999</v>
      </c>
      <c r="D126" s="93" cm="1">
        <f t="array" aca="1" ref="D126" ca="1">IF(ISNUMBER(_xll.VoseSimPercentile(Out_NPV_Start,$B126)),_xll.VoseSimPercentile(Out_NPV_Start,$B126),NA())</f>
        <v>1601.0403498756984</v>
      </c>
      <c r="E126" s="93" cm="1">
        <f t="array" aca="1" ref="E126" ca="1">IF(ISNUMBER(_xll.VoseSimPercentile(Out_NPV_Plan,$B126)),_xll.VoseSimPercentile(Out_NPV_Plan,$B126),NA())</f>
        <v>1568.6606743466991</v>
      </c>
      <c r="F126" s="93" cm="1">
        <f t="array" aca="1" ref="F126" ca="1">IF(ISNUMBER(_xll.VoseSimPercentile(Out_Peak_Start,$B126)),_xll.VoseSimPercentile(Out_Peak_Start,$B126),NA())</f>
        <v>205</v>
      </c>
      <c r="G126" s="93" cm="1">
        <f t="array" aca="1" ref="G126" ca="1">IF(ISNUMBER(_xll.VoseSimPercentile(Out_Peak_Plan,$B126)),_xll.VoseSimPercentile(Out_Peak_Plan,$B126),NA())</f>
        <v>205</v>
      </c>
      <c r="H126" s="93">
        <f t="shared" si="6"/>
        <v>170</v>
      </c>
    </row>
    <row r="127" spans="2:8" hidden="1" outlineLevel="1" x14ac:dyDescent="0.45">
      <c r="B127" s="92">
        <v>0.91</v>
      </c>
      <c r="C127" s="92">
        <f t="shared" si="5"/>
        <v>8.9999999999999969E-2</v>
      </c>
      <c r="D127" s="93" cm="1">
        <f t="array" aca="1" ref="D127" ca="1">IF(ISNUMBER(_xll.VoseSimPercentile(Out_NPV_Start,$B127)),_xll.VoseSimPercentile(Out_NPV_Start,$B127),NA())</f>
        <v>1716.3243146867762</v>
      </c>
      <c r="E127" s="93" cm="1">
        <f t="array" aca="1" ref="E127" ca="1">IF(ISNUMBER(_xll.VoseSimPercentile(Out_NPV_Plan,$B127)),_xll.VoseSimPercentile(Out_NPV_Plan,$B127),NA())</f>
        <v>1691.7860473187598</v>
      </c>
      <c r="F127" s="93" cm="1">
        <f t="array" aca="1" ref="F127" ca="1">IF(ISNUMBER(_xll.VoseSimPercentile(Out_Peak_Start,$B127)),_xll.VoseSimPercentile(Out_Peak_Start,$B127),NA())</f>
        <v>205</v>
      </c>
      <c r="G127" s="93" cm="1">
        <f t="array" aca="1" ref="G127" ca="1">IF(ISNUMBER(_xll.VoseSimPercentile(Out_Peak_Plan,$B127)),_xll.VoseSimPercentile(Out_Peak_Plan,$B127),NA())</f>
        <v>205</v>
      </c>
      <c r="H127" s="93">
        <f t="shared" si="6"/>
        <v>170</v>
      </c>
    </row>
    <row r="128" spans="2:8" hidden="1" outlineLevel="1" x14ac:dyDescent="0.45">
      <c r="B128" s="92">
        <v>0.93</v>
      </c>
      <c r="C128" s="92">
        <f t="shared" si="5"/>
        <v>6.9999999999999951E-2</v>
      </c>
      <c r="D128" s="93" cm="1">
        <f t="array" aca="1" ref="D128" ca="1">IF(ISNUMBER(_xll.VoseSimPercentile(Out_NPV_Start,$B128)),_xll.VoseSimPercentile(Out_NPV_Start,$B128),NA())</f>
        <v>1870.8850347702714</v>
      </c>
      <c r="E128" s="93" cm="1">
        <f t="array" aca="1" ref="E128" ca="1">IF(ISNUMBER(_xll.VoseSimPercentile(Out_NPV_Plan,$B128)),_xll.VoseSimPercentile(Out_NPV_Plan,$B128),NA())</f>
        <v>1840.9624412103026</v>
      </c>
      <c r="F128" s="93" cm="1">
        <f t="array" aca="1" ref="F128" ca="1">IF(ISNUMBER(_xll.VoseSimPercentile(Out_Peak_Start,$B128)),_xll.VoseSimPercentile(Out_Peak_Start,$B128),NA())</f>
        <v>205</v>
      </c>
      <c r="G128" s="93" cm="1">
        <f t="array" aca="1" ref="G128" ca="1">IF(ISNUMBER(_xll.VoseSimPercentile(Out_Peak_Plan,$B128)),_xll.VoseSimPercentile(Out_Peak_Plan,$B128),NA())</f>
        <v>205</v>
      </c>
      <c r="H128" s="93">
        <f t="shared" si="6"/>
        <v>170</v>
      </c>
    </row>
    <row r="129" spans="2:8" hidden="1" outlineLevel="1" x14ac:dyDescent="0.45">
      <c r="B129" s="92">
        <v>0.95</v>
      </c>
      <c r="C129" s="92">
        <f t="shared" si="5"/>
        <v>5.0000000000000044E-2</v>
      </c>
      <c r="D129" s="93" cm="1">
        <f t="array" aca="1" ref="D129" ca="1">IF(ISNUMBER(_xll.VoseSimPercentile(Out_NPV_Start,$B129)),_xll.VoseSimPercentile(Out_NPV_Start,$B129),NA())</f>
        <v>2063.6838033686981</v>
      </c>
      <c r="E129" s="93" cm="1">
        <f t="array" aca="1" ref="E129" ca="1">IF(ISNUMBER(_xll.VoseSimPercentile(Out_NPV_Plan,$B129)),_xll.VoseSimPercentile(Out_NPV_Plan,$B129),NA())</f>
        <v>2035.5437621967103</v>
      </c>
      <c r="F129" s="93" cm="1">
        <f t="array" aca="1" ref="F129" ca="1">IF(ISNUMBER(_xll.VoseSimPercentile(Out_Peak_Start,$B129)),_xll.VoseSimPercentile(Out_Peak_Start,$B129),NA())</f>
        <v>240</v>
      </c>
      <c r="G129" s="93" cm="1">
        <f t="array" aca="1" ref="G129" ca="1">IF(ISNUMBER(_xll.VoseSimPercentile(Out_Peak_Plan,$B129)),_xll.VoseSimPercentile(Out_Peak_Plan,$B129),NA())</f>
        <v>205</v>
      </c>
      <c r="H129" s="93">
        <f t="shared" si="6"/>
        <v>170</v>
      </c>
    </row>
    <row r="130" spans="2:8" hidden="1" outlineLevel="1" x14ac:dyDescent="0.45">
      <c r="B130" s="92">
        <v>0.97</v>
      </c>
      <c r="C130" s="92">
        <f t="shared" si="5"/>
        <v>3.0000000000000027E-2</v>
      </c>
      <c r="D130" s="93" cm="1">
        <f t="array" aca="1" ref="D130" ca="1">IF(ISNUMBER(_xll.VoseSimPercentile(Out_NPV_Start,$B130)),_xll.VoseSimPercentile(Out_NPV_Start,$B130),NA())</f>
        <v>2359.1001528624902</v>
      </c>
      <c r="E130" s="93" cm="1">
        <f t="array" aca="1" ref="E130" ca="1">IF(ISNUMBER(_xll.VoseSimPercentile(Out_NPV_Plan,$B130)),_xll.VoseSimPercentile(Out_NPV_Plan,$B130),NA())</f>
        <v>2355.6958618808467</v>
      </c>
      <c r="F130" s="93" cm="1">
        <f t="array" aca="1" ref="F130" ca="1">IF(ISNUMBER(_xll.VoseSimPercentile(Out_Peak_Start,$B130)),_xll.VoseSimPercentile(Out_Peak_Start,$B130),NA())</f>
        <v>265</v>
      </c>
      <c r="G130" s="93" cm="1">
        <f t="array" aca="1" ref="G130" ca="1">IF(ISNUMBER(_xll.VoseSimPercentile(Out_Peak_Plan,$B130)),_xll.VoseSimPercentile(Out_Peak_Plan,$B130),NA())</f>
        <v>230</v>
      </c>
      <c r="H130" s="93">
        <f t="shared" si="6"/>
        <v>170</v>
      </c>
    </row>
    <row r="131" spans="2:8" hidden="1" outlineLevel="1" x14ac:dyDescent="0.45">
      <c r="B131" s="92">
        <v>0.99</v>
      </c>
      <c r="C131" s="92">
        <f t="shared" si="5"/>
        <v>1.0000000000000009E-2</v>
      </c>
      <c r="D131" s="93" cm="1">
        <f t="array" aca="1" ref="D131" ca="1">IF(ISNUMBER(_xll.VoseSimPercentile(Out_NPV_Start,$B131)),_xll.VoseSimPercentile(Out_NPV_Start,$B131),NA())</f>
        <v>2983.0153813387783</v>
      </c>
      <c r="E131" s="93" cm="1">
        <f t="array" aca="1" ref="E131" ca="1">IF(ISNUMBER(_xll.VoseSimPercentile(Out_NPV_Plan,$B131)),_xll.VoseSimPercentile(Out_NPV_Plan,$B131),NA())</f>
        <v>3086.2088236602631</v>
      </c>
      <c r="F131" s="93" cm="1">
        <f t="array" aca="1" ref="F131" ca="1">IF(ISNUMBER(_xll.VoseSimPercentile(Out_Peak_Start,$B131)),_xll.VoseSimPercentile(Out_Peak_Start,$B131),NA())</f>
        <v>265</v>
      </c>
      <c r="G131" s="93" cm="1">
        <f t="array" aca="1" ref="G131" ca="1">IF(ISNUMBER(_xll.VoseSimPercentile(Out_Peak_Plan,$B131)),_xll.VoseSimPercentile(Out_Peak_Plan,$B131),NA())</f>
        <v>230</v>
      </c>
      <c r="H131" s="93">
        <f t="shared" si="6"/>
        <v>170</v>
      </c>
    </row>
    <row r="132" spans="2:8" hidden="1" outlineLevel="1" x14ac:dyDescent="0.45"/>
    <row r="133" spans="2:8" ht="28.05" hidden="1" customHeight="1" outlineLevel="1" x14ac:dyDescent="0.45">
      <c r="B133" s="24" t="s">
        <v>381</v>
      </c>
      <c r="C133" s="25" t="s">
        <v>382</v>
      </c>
      <c r="D133" s="25" t="s">
        <v>383</v>
      </c>
      <c r="E133" s="25" t="s">
        <v>384</v>
      </c>
      <c r="F133" s="25" t="s">
        <v>385</v>
      </c>
      <c r="G133" s="25" t="s">
        <v>266</v>
      </c>
    </row>
    <row r="134" spans="2:8" hidden="1" outlineLevel="1" x14ac:dyDescent="0.45">
      <c r="B134" s="94">
        <f>Spend!F6</f>
        <v>1</v>
      </c>
      <c r="C134" s="93" cm="1">
        <f t="array" aca="1" ref="C134" ca="1">IF(ISNUMBER(_xll.VoseSimPercentile(Out_Spend_1,0.1)),_xll.VoseSimPercentile(Out_Spend_1,0.1),NA())</f>
        <v>133</v>
      </c>
      <c r="D134" s="93" cm="1">
        <f t="array" aca="1" ref="D134" ca="1">IF(ISNUMBER(_xll.VoseSimPercentile(Out_Spend_1,0.5)),_xll.VoseSimPercentile(Out_Spend_1,0.5),NA())</f>
        <v>133</v>
      </c>
      <c r="E134" s="93" cm="1">
        <f t="array" aca="1" ref="E134" ca="1">IF(ISNUMBER(_xll.VoseSimPercentile(Out_Spend_1,0.9)),_xll.VoseSimPercentile(Out_Spend_1,0.9),NA())</f>
        <v>133</v>
      </c>
      <c r="F134" s="93" cm="1">
        <f t="array" aca="1" ref="F134" ca="1">IF(ISNUMBER(_xll.VoseSimMean(Out_Spend_1)),_xll.VoseSimMean(Out_Spend_1),NA())</f>
        <v>133</v>
      </c>
      <c r="G134" s="93">
        <f>IF(1&lt;=BudgetYears,Budget,NA())</f>
        <v>170</v>
      </c>
    </row>
    <row r="135" spans="2:8" hidden="1" outlineLevel="1" x14ac:dyDescent="0.45">
      <c r="B135" s="94">
        <f>Spend!G6</f>
        <v>2</v>
      </c>
      <c r="C135" s="93" cm="1">
        <f t="array" aca="1" ref="C135" ca="1">IF(ISNUMBER(_xll.VoseSimPercentile(Out_Spend_2,0.1)),_xll.VoseSimPercentile(Out_Spend_2,0.1),NA())</f>
        <v>110</v>
      </c>
      <c r="D135" s="93" cm="1">
        <f t="array" aca="1" ref="D135" ca="1">IF(ISNUMBER(_xll.VoseSimPercentile(Out_Spend_2,0.5)),_xll.VoseSimPercentile(Out_Spend_2,0.5),NA())</f>
        <v>135</v>
      </c>
      <c r="E135" s="93" cm="1">
        <f t="array" aca="1" ref="E135" ca="1">IF(ISNUMBER(_xll.VoseSimPercentile(Out_Spend_2,0.9)),_xll.VoseSimPercentile(Out_Spend_2,0.9),NA())</f>
        <v>150</v>
      </c>
      <c r="F135" s="93" cm="1">
        <f t="array" aca="1" ref="F135" ca="1">IF(ISNUMBER(_xll.VoseSimMean(Out_Spend_2)),_xll.VoseSimMean(Out_Spend_2),NA())</f>
        <v>136.2635631781589</v>
      </c>
      <c r="G135" s="93">
        <f>IF(2&lt;=BudgetYears,Budget,NA())</f>
        <v>170</v>
      </c>
    </row>
    <row r="136" spans="2:8" hidden="1" outlineLevel="1" x14ac:dyDescent="0.45">
      <c r="B136" s="94">
        <f>Spend!H6</f>
        <v>3</v>
      </c>
      <c r="C136" s="93" cm="1">
        <f t="array" aca="1" ref="C136" ca="1">IF(ISNUMBER(_xll.VoseSimPercentile(Out_Spend_3,0.1)),_xll.VoseSimPercentile(Out_Spend_3,0.1),NA())</f>
        <v>85</v>
      </c>
      <c r="D136" s="93" cm="1">
        <f t="array" aca="1" ref="D136" ca="1">IF(ISNUMBER(_xll.VoseSimPercentile(Out_Spend_3,0.5)),_xll.VoseSimPercentile(Out_Spend_3,0.5),NA())</f>
        <v>145</v>
      </c>
      <c r="E136" s="93" cm="1">
        <f t="array" aca="1" ref="E136" ca="1">IF(ISNUMBER(_xll.VoseSimPercentile(Out_Spend_3,0.9)),_xll.VoseSimPercentile(Out_Spend_3,0.9),NA())</f>
        <v>205</v>
      </c>
      <c r="F136" s="93" cm="1">
        <f t="array" aca="1" ref="F136" ca="1">IF(ISNUMBER(_xll.VoseSimMean(Out_Spend_3)),_xll.VoseSimMean(Out_Spend_3),NA())</f>
        <v>138.38716935846793</v>
      </c>
      <c r="G136" s="93">
        <f>IF(3&lt;=BudgetYears,Budget,NA())</f>
        <v>170</v>
      </c>
    </row>
    <row r="137" spans="2:8" hidden="1" outlineLevel="1" x14ac:dyDescent="0.45">
      <c r="B137" s="94">
        <f>Spend!I6</f>
        <v>4</v>
      </c>
      <c r="C137" s="93" cm="1">
        <f t="array" aca="1" ref="C137" ca="1">IF(ISNUMBER(_xll.VoseSimPercentile(Out_Spend_4,0.1)),_xll.VoseSimPercentile(Out_Spend_4,0.1),NA())</f>
        <v>5</v>
      </c>
      <c r="D137" s="93" cm="1">
        <f t="array" aca="1" ref="D137" ca="1">IF(ISNUMBER(_xll.VoseSimPercentile(Out_Spend_4,0.5)),_xll.VoseSimPercentile(Out_Spend_4,0.5),NA())</f>
        <v>65</v>
      </c>
      <c r="E137" s="93" cm="1">
        <f t="array" aca="1" ref="E137" ca="1">IF(ISNUMBER(_xll.VoseSimPercentile(Out_Spend_4,0.9)),_xll.VoseSimPercentile(Out_Spend_4,0.9),NA())</f>
        <v>145</v>
      </c>
      <c r="F137" s="93" cm="1">
        <f t="array" aca="1" ref="F137" ca="1">IF(ISNUMBER(_xll.VoseSimMean(Out_Spend_4)),_xll.VoseSimMean(Out_Spend_4),NA())</f>
        <v>75.167758387919392</v>
      </c>
      <c r="G137" s="93">
        <f>IF(4&lt;=BudgetYears,Budget,NA())</f>
        <v>170</v>
      </c>
    </row>
    <row r="138" spans="2:8" hidden="1" outlineLevel="1" x14ac:dyDescent="0.45">
      <c r="B138" s="94">
        <f>Spend!J6</f>
        <v>5</v>
      </c>
      <c r="C138" s="93" cm="1">
        <f t="array" aca="1" ref="C138" ca="1">IF(ISNUMBER(_xll.VoseSimPercentile(Out_Spend_5,0.1)),_xll.VoseSimPercentile(Out_Spend_5,0.1),NA())</f>
        <v>0</v>
      </c>
      <c r="D138" s="93" cm="1">
        <f t="array" aca="1" ref="D138" ca="1">IF(ISNUMBER(_xll.VoseSimPercentile(Out_Spend_5,0.5)),_xll.VoseSimPercentile(Out_Spend_5,0.5),NA())</f>
        <v>60</v>
      </c>
      <c r="E138" s="93" cm="1">
        <f t="array" aca="1" ref="E138" ca="1">IF(ISNUMBER(_xll.VoseSimPercentile(Out_Spend_5,0.9)),_xll.VoseSimPercentile(Out_Spend_5,0.9),NA())</f>
        <v>120</v>
      </c>
      <c r="F138" s="93" cm="1">
        <f t="array" aca="1" ref="F138" ca="1">IF(ISNUMBER(_xll.VoseSimMean(Out_Spend_5)),_xll.VoseSimMean(Out_Spend_5),NA())</f>
        <v>67.986399319965997</v>
      </c>
      <c r="G138" s="93">
        <f>IF(5&lt;=BudgetYears,Budget,NA())</f>
        <v>170</v>
      </c>
    </row>
    <row r="139" spans="2:8" hidden="1" outlineLevel="1" x14ac:dyDescent="0.45">
      <c r="B139" s="94">
        <f>Spend!K6</f>
        <v>6</v>
      </c>
      <c r="C139" s="93" cm="1">
        <f t="array" aca="1" ref="C139" ca="1">IF(ISNUMBER(_xll.VoseSimPercentile(Out_Spend_6,0.1)),_xll.VoseSimPercentile(Out_Spend_6,0.1),NA())</f>
        <v>0</v>
      </c>
      <c r="D139" s="93" cm="1">
        <f t="array" aca="1" ref="D139" ca="1">IF(ISNUMBER(_xll.VoseSimPercentile(Out_Spend_6,0.5)),_xll.VoseSimPercentile(Out_Spend_6,0.5),NA())</f>
        <v>5</v>
      </c>
      <c r="E139" s="93" cm="1">
        <f t="array" aca="1" ref="E139" ca="1">IF(ISNUMBER(_xll.VoseSimPercentile(Out_Spend_6,0.9)),_xll.VoseSimPercentile(Out_Spend_6,0.9),NA())</f>
        <v>65</v>
      </c>
      <c r="F139" s="93" cm="1">
        <f t="array" aca="1" ref="F139" ca="1">IF(ISNUMBER(_xll.VoseSimMean(Out_Spend_6)),_xll.VoseSimMean(Out_Spend_6),NA())</f>
        <v>19.512725636281814</v>
      </c>
      <c r="G139" s="93" t="e">
        <f>IF(6&lt;=BudgetYears,Budget,NA())</f>
        <v>#N/A</v>
      </c>
    </row>
    <row r="140" spans="2:8" hidden="1" outlineLevel="1" x14ac:dyDescent="0.45">
      <c r="B140" s="94">
        <f>Spend!L6</f>
        <v>7</v>
      </c>
      <c r="C140" s="93" cm="1">
        <f t="array" aca="1" ref="C140" ca="1">IF(ISNUMBER(_xll.VoseSimPercentile(Out_Spend_7,0.1)),_xll.VoseSimPercentile(Out_Spend_7,0.1),NA())</f>
        <v>0</v>
      </c>
      <c r="D140" s="93" cm="1">
        <f t="array" aca="1" ref="D140" ca="1">IF(ISNUMBER(_xll.VoseSimPercentile(Out_Spend_7,0.5)),_xll.VoseSimPercentile(Out_Spend_7,0.5),NA())</f>
        <v>0</v>
      </c>
      <c r="E140" s="93" cm="1">
        <f t="array" aca="1" ref="E140" ca="1">IF(ISNUMBER(_xll.VoseSimPercentile(Out_Spend_7,0.9)),_xll.VoseSimPercentile(Out_Spend_7,0.9),NA())</f>
        <v>60</v>
      </c>
      <c r="F140" s="93" cm="1">
        <f t="array" aca="1" ref="F140" ca="1">IF(ISNUMBER(_xll.VoseSimMean(Out_Spend_7)),_xll.VoseSimMean(Out_Spend_7),NA())</f>
        <v>6.9603480174008698</v>
      </c>
      <c r="G140" s="93" t="e">
        <f>IF(7&lt;=BudgetYears,Budget,NA())</f>
        <v>#N/A</v>
      </c>
    </row>
    <row r="141" spans="2:8" hidden="1" outlineLevel="1" x14ac:dyDescent="0.45">
      <c r="B141" s="94">
        <f>Spend!M6</f>
        <v>8</v>
      </c>
      <c r="C141" s="93" cm="1">
        <f t="array" aca="1" ref="C141" ca="1">IF(ISNUMBER(_xll.VoseSimPercentile(Out_Spend_8,0.1)),_xll.VoseSimPercentile(Out_Spend_8,0.1),NA())</f>
        <v>0</v>
      </c>
      <c r="D141" s="93" cm="1">
        <f t="array" aca="1" ref="D141" ca="1">IF(ISNUMBER(_xll.VoseSimPercentile(Out_Spend_8,0.5)),_xll.VoseSimPercentile(Out_Spend_8,0.5),NA())</f>
        <v>0</v>
      </c>
      <c r="E141" s="93" cm="1">
        <f t="array" aca="1" ref="E141" ca="1">IF(ISNUMBER(_xll.VoseSimPercentile(Out_Spend_8,0.9)),_xll.VoseSimPercentile(Out_Spend_8,0.9),NA())</f>
        <v>0</v>
      </c>
      <c r="F141" s="93" cm="1">
        <f t="array" aca="1" ref="F141" ca="1">IF(ISNUMBER(_xll.VoseSimMean(Out_Spend_8)),_xll.VoseSimMean(Out_Spend_8),NA())</f>
        <v>0.30351517575878795</v>
      </c>
      <c r="G141" s="93" t="e">
        <f>IF(8&lt;=BudgetYears,Budget,NA())</f>
        <v>#N/A</v>
      </c>
    </row>
    <row r="142" spans="2:8" hidden="1" outlineLevel="1" x14ac:dyDescent="0.45">
      <c r="B142" s="94">
        <f>Spend!N6</f>
        <v>9</v>
      </c>
      <c r="C142" s="93" cm="1">
        <f t="array" aca="1" ref="C142" ca="1">IF(ISNUMBER(_xll.VoseSimPercentile(Out_Spend_9,0.1)),_xll.VoseSimPercentile(Out_Spend_9,0.1),NA())</f>
        <v>0</v>
      </c>
      <c r="D142" s="93" cm="1">
        <f t="array" aca="1" ref="D142" ca="1">IF(ISNUMBER(_xll.VoseSimPercentile(Out_Spend_9,0.5)),_xll.VoseSimPercentile(Out_Spend_9,0.5),NA())</f>
        <v>0</v>
      </c>
      <c r="E142" s="93" cm="1">
        <f t="array" aca="1" ref="E142" ca="1">IF(ISNUMBER(_xll.VoseSimPercentile(Out_Spend_9,0.9)),_xll.VoseSimPercentile(Out_Spend_9,0.9),NA())</f>
        <v>0</v>
      </c>
      <c r="F142" s="93" cm="1">
        <f t="array" aca="1" ref="F142" ca="1">IF(ISNUMBER(_xll.VoseSimMean(Out_Spend_9)),_xll.VoseSimMean(Out_Spend_9),NA())</f>
        <v>0</v>
      </c>
      <c r="G142" s="93" t="e">
        <f>IF(9&lt;=BudgetYears,Budget,NA())</f>
        <v>#N/A</v>
      </c>
    </row>
    <row r="143" spans="2:8" hidden="1" outlineLevel="1" x14ac:dyDescent="0.45">
      <c r="B143" s="94">
        <f>Spend!O6</f>
        <v>10</v>
      </c>
      <c r="C143" s="93" cm="1">
        <f t="array" aca="1" ref="C143" ca="1">IF(ISNUMBER(_xll.VoseSimPercentile(Out_Spend_10,0.1)),_xll.VoseSimPercentile(Out_Spend_10,0.1),NA())</f>
        <v>0</v>
      </c>
      <c r="D143" s="93" cm="1">
        <f t="array" aca="1" ref="D143" ca="1">IF(ISNUMBER(_xll.VoseSimPercentile(Out_Spend_10,0.5)),_xll.VoseSimPercentile(Out_Spend_10,0.5),NA())</f>
        <v>0</v>
      </c>
      <c r="E143" s="93" cm="1">
        <f t="array" aca="1" ref="E143" ca="1">IF(ISNUMBER(_xll.VoseSimPercentile(Out_Spend_10,0.9)),_xll.VoseSimPercentile(Out_Spend_10,0.9),NA())</f>
        <v>0</v>
      </c>
      <c r="F143" s="93" cm="1">
        <f t="array" aca="1" ref="F143" ca="1">IF(ISNUMBER(_xll.VoseSimMean(Out_Spend_10)),_xll.VoseSimMean(Out_Spend_10),NA())</f>
        <v>0</v>
      </c>
      <c r="G143" s="93" t="e">
        <f>IF(10&lt;=BudgetYears,Budget,NA())</f>
        <v>#N/A</v>
      </c>
    </row>
  </sheetData>
  <mergeCells count="5">
    <mergeCell ref="B76:G76"/>
    <mergeCell ref="B75:G75"/>
    <mergeCell ref="B73:G73"/>
    <mergeCell ref="B74:G74"/>
    <mergeCell ref="B72:G72"/>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34:F143">
    <cfRule type="expression" dxfId="1" priority="4">
      <formula>ISNA(C134)</formula>
    </cfRule>
  </conditionalFormatting>
  <conditionalFormatting sqref="D82:H131">
    <cfRule type="expression" dxfId="0" priority="3">
      <formula>ISNA(D82)</formula>
    </cfRule>
  </conditionalFormatting>
  <hyperlinks>
    <hyperlink ref="B4" location="'Spend'!A1" display="◂  Spend" xr:uid="{00000000-0004-0000-06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6" max="16383"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
  <sheetViews>
    <sheetView workbookViewId="0"/>
  </sheetViews>
  <sheetFormatPr defaultRowHeight="14.25" x14ac:dyDescent="0.45"/>
  <sheetData>
    <row r="1" spans="1:5" x14ac:dyDescent="0.45">
      <c r="A1" s="95" t="s">
        <v>386</v>
      </c>
      <c r="B1">
        <v>0</v>
      </c>
      <c r="C1">
        <v>1</v>
      </c>
      <c r="D1">
        <v>1</v>
      </c>
      <c r="E1" s="95" t="s">
        <v>387</v>
      </c>
    </row>
    <row r="2" spans="1:5" x14ac:dyDescent="0.45">
      <c r="A2">
        <v>1</v>
      </c>
      <c r="B2" s="95" t="s">
        <v>388</v>
      </c>
      <c r="C2">
        <v>1</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7AA94-5724-497D-9826-2777C91790A3}">
  <dimension ref="A1:B1"/>
  <sheetViews>
    <sheetView workbookViewId="0"/>
  </sheetViews>
  <sheetFormatPr defaultRowHeight="14.25" x14ac:dyDescent="0.45"/>
  <sheetData>
    <row r="1" spans="1:2" x14ac:dyDescent="0.45">
      <c r="A1" s="103" t="s">
        <v>393</v>
      </c>
      <c r="B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DC4FF-C2B1-409B-9946-60ADB70B0C2C}">
  <dimension ref="A1"/>
  <sheetViews>
    <sheetView workbookViewId="0"/>
  </sheetViews>
  <sheetFormatPr defaultRowHeight="14.25" x14ac:dyDescent="0.4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BB5E-C045-4DF4-AB6A-A41C81236F9B}">
  <dimension ref="B3:B49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233</v>
      </c>
    </row>
    <row r="14" spans="2:2" x14ac:dyDescent="0.45">
      <c r="B14">
        <v>0</v>
      </c>
    </row>
    <row r="15" spans="2:2" x14ac:dyDescent="0.45">
      <c r="B15">
        <v>0</v>
      </c>
    </row>
    <row r="16" spans="2:2" x14ac:dyDescent="0.45">
      <c r="B16">
        <v>475</v>
      </c>
    </row>
    <row r="17" spans="2:2" x14ac:dyDescent="0.45">
      <c r="B17">
        <v>0</v>
      </c>
    </row>
    <row r="18" spans="2:2" x14ac:dyDescent="0.45">
      <c r="B18">
        <v>0</v>
      </c>
    </row>
    <row r="19" spans="2:2" x14ac:dyDescent="0.45">
      <c r="B19">
        <v>435</v>
      </c>
    </row>
    <row r="20" spans="2:2" x14ac:dyDescent="0.45">
      <c r="B20">
        <v>0</v>
      </c>
    </row>
    <row r="21" spans="2:2" x14ac:dyDescent="0.45">
      <c r="B21">
        <v>0</v>
      </c>
    </row>
    <row r="22" spans="2:2" x14ac:dyDescent="0.45">
      <c r="B22">
        <v>857</v>
      </c>
    </row>
    <row r="23" spans="2:2" x14ac:dyDescent="0.45">
      <c r="B23">
        <v>139</v>
      </c>
    </row>
    <row r="24" spans="2:2" x14ac:dyDescent="0.45">
      <c r="B24">
        <v>331</v>
      </c>
    </row>
    <row r="25" spans="2:2" x14ac:dyDescent="0.45">
      <c r="B25">
        <v>177</v>
      </c>
    </row>
    <row r="26" spans="2:2" x14ac:dyDescent="0.45">
      <c r="B26">
        <v>199</v>
      </c>
    </row>
    <row r="27" spans="2:2" x14ac:dyDescent="0.45">
      <c r="B27">
        <v>510</v>
      </c>
    </row>
    <row r="28" spans="2:2" x14ac:dyDescent="0.45">
      <c r="B28">
        <v>0</v>
      </c>
    </row>
    <row r="29" spans="2:2" x14ac:dyDescent="0.45">
      <c r="B29">
        <v>266</v>
      </c>
    </row>
    <row r="30" spans="2:2" x14ac:dyDescent="0.45">
      <c r="B30">
        <v>64</v>
      </c>
    </row>
    <row r="31" spans="2:2" x14ac:dyDescent="0.45">
      <c r="B31">
        <v>205</v>
      </c>
    </row>
    <row r="32" spans="2:2" x14ac:dyDescent="0.45">
      <c r="B32">
        <v>109</v>
      </c>
    </row>
    <row r="33" spans="2:2" x14ac:dyDescent="0.45">
      <c r="B33">
        <v>320</v>
      </c>
    </row>
    <row r="34" spans="2:2" x14ac:dyDescent="0.45">
      <c r="B34">
        <v>229</v>
      </c>
    </row>
    <row r="35" spans="2:2" x14ac:dyDescent="0.45">
      <c r="B35">
        <v>216</v>
      </c>
    </row>
    <row r="36" spans="2:2" x14ac:dyDescent="0.45">
      <c r="B36">
        <v>293</v>
      </c>
    </row>
    <row r="37" spans="2:2" x14ac:dyDescent="0.45">
      <c r="B37">
        <v>386</v>
      </c>
    </row>
    <row r="38" spans="2:2" x14ac:dyDescent="0.45">
      <c r="B38">
        <v>281</v>
      </c>
    </row>
    <row r="39" spans="2:2" x14ac:dyDescent="0.45">
      <c r="B39">
        <v>99</v>
      </c>
    </row>
    <row r="40" spans="2:2" x14ac:dyDescent="0.45">
      <c r="B40">
        <v>117</v>
      </c>
    </row>
    <row r="41" spans="2:2" x14ac:dyDescent="0.45">
      <c r="B41">
        <v>32</v>
      </c>
    </row>
    <row r="42" spans="2:2" x14ac:dyDescent="0.45">
      <c r="B42">
        <v>27</v>
      </c>
    </row>
    <row r="43" spans="2:2" x14ac:dyDescent="0.45">
      <c r="B43">
        <v>505</v>
      </c>
    </row>
    <row r="44" spans="2:2" x14ac:dyDescent="0.45">
      <c r="B44">
        <v>0</v>
      </c>
    </row>
    <row r="45" spans="2:2" x14ac:dyDescent="0.45">
      <c r="B45">
        <v>853</v>
      </c>
    </row>
    <row r="46" spans="2:2" x14ac:dyDescent="0.45">
      <c r="B46">
        <v>0</v>
      </c>
    </row>
    <row r="47" spans="2:2" x14ac:dyDescent="0.45">
      <c r="B47">
        <v>498</v>
      </c>
    </row>
    <row r="48" spans="2:2" x14ac:dyDescent="0.45">
      <c r="B48">
        <v>0</v>
      </c>
    </row>
    <row r="49" spans="2:2" x14ac:dyDescent="0.45">
      <c r="B49">
        <v>0</v>
      </c>
    </row>
    <row r="50" spans="2:2" x14ac:dyDescent="0.45">
      <c r="B50">
        <v>124</v>
      </c>
    </row>
    <row r="51" spans="2:2" x14ac:dyDescent="0.45">
      <c r="B51">
        <v>0</v>
      </c>
    </row>
    <row r="52" spans="2:2" x14ac:dyDescent="0.45">
      <c r="B52">
        <v>20</v>
      </c>
    </row>
    <row r="53" spans="2:2" x14ac:dyDescent="0.45">
      <c r="B53">
        <v>1538</v>
      </c>
    </row>
    <row r="54" spans="2:2" x14ac:dyDescent="0.45">
      <c r="B54">
        <v>0</v>
      </c>
    </row>
    <row r="55" spans="2:2" x14ac:dyDescent="0.45">
      <c r="B55">
        <v>0</v>
      </c>
    </row>
    <row r="56" spans="2:2" x14ac:dyDescent="0.45">
      <c r="B56">
        <v>0</v>
      </c>
    </row>
    <row r="57" spans="2:2" x14ac:dyDescent="0.45">
      <c r="B57">
        <v>328</v>
      </c>
    </row>
    <row r="58" spans="2:2" x14ac:dyDescent="0.45">
      <c r="B58">
        <v>26</v>
      </c>
    </row>
    <row r="59" spans="2:2" x14ac:dyDescent="0.45">
      <c r="B59">
        <v>0</v>
      </c>
    </row>
    <row r="60" spans="2:2" x14ac:dyDescent="0.45">
      <c r="B60">
        <v>0</v>
      </c>
    </row>
    <row r="61" spans="2:2" x14ac:dyDescent="0.45">
      <c r="B61">
        <v>0</v>
      </c>
    </row>
    <row r="62" spans="2:2" x14ac:dyDescent="0.45">
      <c r="B62">
        <v>108</v>
      </c>
    </row>
    <row r="63" spans="2:2" x14ac:dyDescent="0.45">
      <c r="B63">
        <v>1765</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235</v>
      </c>
    </row>
    <row r="73" spans="2:2" x14ac:dyDescent="0.45">
      <c r="B73">
        <v>1866</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134</v>
      </c>
    </row>
    <row r="83" spans="2:2" x14ac:dyDescent="0.45">
      <c r="B83">
        <v>0</v>
      </c>
    </row>
    <row r="84" spans="2:2" x14ac:dyDescent="0.45">
      <c r="B84">
        <v>0</v>
      </c>
    </row>
    <row r="85" spans="2:2" x14ac:dyDescent="0.45">
      <c r="B85">
        <v>0</v>
      </c>
    </row>
    <row r="86" spans="2:2" x14ac:dyDescent="0.45">
      <c r="B86">
        <v>0</v>
      </c>
    </row>
    <row r="87" spans="2:2" x14ac:dyDescent="0.45">
      <c r="B87">
        <v>0</v>
      </c>
    </row>
    <row r="88" spans="2:2" x14ac:dyDescent="0.45">
      <c r="B88">
        <v>2000</v>
      </c>
    </row>
    <row r="89" spans="2:2" x14ac:dyDescent="0.45">
      <c r="B89">
        <v>0</v>
      </c>
    </row>
    <row r="90" spans="2:2" x14ac:dyDescent="0.45">
      <c r="B90">
        <v>0</v>
      </c>
    </row>
    <row r="91" spans="2:2" x14ac:dyDescent="0.45">
      <c r="B91">
        <v>0</v>
      </c>
    </row>
    <row r="92" spans="2:2" x14ac:dyDescent="0.45">
      <c r="B92">
        <v>0</v>
      </c>
    </row>
    <row r="93" spans="2:2" x14ac:dyDescent="0.45">
      <c r="B93">
        <v>0</v>
      </c>
    </row>
    <row r="94" spans="2:2" x14ac:dyDescent="0.45">
      <c r="B94">
        <v>0</v>
      </c>
    </row>
    <row r="95" spans="2:2" x14ac:dyDescent="0.45">
      <c r="B95">
        <v>0</v>
      </c>
    </row>
    <row r="96" spans="2:2" x14ac:dyDescent="0.45">
      <c r="B96">
        <v>0</v>
      </c>
    </row>
    <row r="97" spans="2:2" x14ac:dyDescent="0.45">
      <c r="B97">
        <v>0</v>
      </c>
    </row>
    <row r="98" spans="2:2" x14ac:dyDescent="0.45">
      <c r="B98">
        <v>2000</v>
      </c>
    </row>
    <row r="99" spans="2:2" x14ac:dyDescent="0.45">
      <c r="B99">
        <v>0</v>
      </c>
    </row>
    <row r="100" spans="2:2" x14ac:dyDescent="0.45">
      <c r="B100">
        <v>0</v>
      </c>
    </row>
    <row r="101" spans="2:2" x14ac:dyDescent="0.45">
      <c r="B101">
        <v>0</v>
      </c>
    </row>
    <row r="102" spans="2:2" x14ac:dyDescent="0.45">
      <c r="B102">
        <v>0</v>
      </c>
    </row>
    <row r="103" spans="2:2" x14ac:dyDescent="0.45">
      <c r="B103">
        <v>503</v>
      </c>
    </row>
    <row r="104" spans="2:2" x14ac:dyDescent="0.45">
      <c r="B104">
        <v>510</v>
      </c>
    </row>
    <row r="105" spans="2:2" x14ac:dyDescent="0.45">
      <c r="B105">
        <v>494</v>
      </c>
    </row>
    <row r="106" spans="2:2" x14ac:dyDescent="0.45">
      <c r="B106">
        <v>288</v>
      </c>
    </row>
    <row r="107" spans="2:2" x14ac:dyDescent="0.45">
      <c r="B107">
        <v>124</v>
      </c>
    </row>
    <row r="108" spans="2:2" x14ac:dyDescent="0.45">
      <c r="B108">
        <v>46</v>
      </c>
    </row>
    <row r="109" spans="2:2" x14ac:dyDescent="0.45">
      <c r="B109">
        <v>23</v>
      </c>
    </row>
    <row r="110" spans="2:2" x14ac:dyDescent="0.45">
      <c r="B110">
        <v>8</v>
      </c>
    </row>
    <row r="111" spans="2:2" x14ac:dyDescent="0.45">
      <c r="B111">
        <v>3</v>
      </c>
    </row>
    <row r="112" spans="2:2" x14ac:dyDescent="0.45">
      <c r="B112">
        <v>1</v>
      </c>
    </row>
    <row r="113" spans="2:2" x14ac:dyDescent="0.45">
      <c r="B113">
        <v>539</v>
      </c>
    </row>
    <row r="114" spans="2:2" x14ac:dyDescent="0.45">
      <c r="B114">
        <v>485</v>
      </c>
    </row>
    <row r="115" spans="2:2" x14ac:dyDescent="0.45">
      <c r="B115">
        <v>506</v>
      </c>
    </row>
    <row r="116" spans="2:2" x14ac:dyDescent="0.45">
      <c r="B116">
        <v>282</v>
      </c>
    </row>
    <row r="117" spans="2:2" x14ac:dyDescent="0.45">
      <c r="B117">
        <v>116</v>
      </c>
    </row>
    <row r="118" spans="2:2" x14ac:dyDescent="0.45">
      <c r="B118">
        <v>39</v>
      </c>
    </row>
    <row r="119" spans="2:2" x14ac:dyDescent="0.45">
      <c r="B119">
        <v>19</v>
      </c>
    </row>
    <row r="120" spans="2:2" x14ac:dyDescent="0.45">
      <c r="B120">
        <v>9</v>
      </c>
    </row>
    <row r="121" spans="2:2" x14ac:dyDescent="0.45">
      <c r="B121">
        <v>3</v>
      </c>
    </row>
    <row r="122" spans="2:2" x14ac:dyDescent="0.45">
      <c r="B122">
        <v>2</v>
      </c>
    </row>
    <row r="123" spans="2:2" x14ac:dyDescent="0.45">
      <c r="B123">
        <v>386</v>
      </c>
    </row>
    <row r="124" spans="2:2" x14ac:dyDescent="0.45">
      <c r="B124">
        <v>815</v>
      </c>
    </row>
    <row r="125" spans="2:2" x14ac:dyDescent="0.45">
      <c r="B125">
        <v>0</v>
      </c>
    </row>
    <row r="126" spans="2:2" x14ac:dyDescent="0.45">
      <c r="B126">
        <v>604</v>
      </c>
    </row>
    <row r="127" spans="2:2" x14ac:dyDescent="0.45">
      <c r="B127">
        <v>0</v>
      </c>
    </row>
    <row r="128" spans="2:2" x14ac:dyDescent="0.45">
      <c r="B128">
        <v>166</v>
      </c>
    </row>
    <row r="129" spans="2:2" x14ac:dyDescent="0.45">
      <c r="B129">
        <v>0</v>
      </c>
    </row>
    <row r="130" spans="2:2" x14ac:dyDescent="0.45">
      <c r="B130">
        <v>27</v>
      </c>
    </row>
    <row r="131" spans="2:2" x14ac:dyDescent="0.45">
      <c r="B131">
        <v>0</v>
      </c>
    </row>
    <row r="132" spans="2:2" x14ac:dyDescent="0.45">
      <c r="B132">
        <v>2</v>
      </c>
    </row>
    <row r="133" spans="2:2" x14ac:dyDescent="0.45">
      <c r="B133">
        <v>436</v>
      </c>
    </row>
    <row r="134" spans="2:2" x14ac:dyDescent="0.45">
      <c r="B134">
        <v>868</v>
      </c>
    </row>
    <row r="135" spans="2:2" x14ac:dyDescent="0.45">
      <c r="B135">
        <v>0</v>
      </c>
    </row>
    <row r="136" spans="2:2" x14ac:dyDescent="0.45">
      <c r="B136">
        <v>546</v>
      </c>
    </row>
    <row r="137" spans="2:2" x14ac:dyDescent="0.45">
      <c r="B137">
        <v>0</v>
      </c>
    </row>
    <row r="138" spans="2:2" x14ac:dyDescent="0.45">
      <c r="B138">
        <v>137</v>
      </c>
    </row>
    <row r="139" spans="2:2" x14ac:dyDescent="0.45">
      <c r="B139">
        <v>0</v>
      </c>
    </row>
    <row r="140" spans="2:2" x14ac:dyDescent="0.45">
      <c r="B140">
        <v>12</v>
      </c>
    </row>
    <row r="141" spans="2:2" x14ac:dyDescent="0.45">
      <c r="B141">
        <v>0</v>
      </c>
    </row>
    <row r="142" spans="2:2" x14ac:dyDescent="0.45">
      <c r="B142">
        <v>1</v>
      </c>
    </row>
    <row r="143" spans="2:2" x14ac:dyDescent="0.45">
      <c r="B143">
        <v>1614</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386</v>
      </c>
    </row>
    <row r="153" spans="2:2" x14ac:dyDescent="0.45">
      <c r="B153">
        <v>1564</v>
      </c>
    </row>
    <row r="154" spans="2:2" x14ac:dyDescent="0.45">
      <c r="B154">
        <v>0</v>
      </c>
    </row>
    <row r="155" spans="2:2" x14ac:dyDescent="0.45">
      <c r="B155">
        <v>0</v>
      </c>
    </row>
    <row r="156" spans="2:2" x14ac:dyDescent="0.45">
      <c r="B156">
        <v>0</v>
      </c>
    </row>
    <row r="157" spans="2:2" x14ac:dyDescent="0.45">
      <c r="B157">
        <v>0</v>
      </c>
    </row>
    <row r="158" spans="2:2" x14ac:dyDescent="0.45">
      <c r="B158">
        <v>0</v>
      </c>
    </row>
    <row r="159" spans="2:2" x14ac:dyDescent="0.45">
      <c r="B159">
        <v>0</v>
      </c>
    </row>
    <row r="160" spans="2:2" x14ac:dyDescent="0.45">
      <c r="B160">
        <v>0</v>
      </c>
    </row>
    <row r="161" spans="2:2" x14ac:dyDescent="0.45">
      <c r="B161">
        <v>0</v>
      </c>
    </row>
    <row r="162" spans="2:2" x14ac:dyDescent="0.45">
      <c r="B162">
        <v>436</v>
      </c>
    </row>
    <row r="163" spans="2:2" x14ac:dyDescent="0.45">
      <c r="B163">
        <v>1287</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0</v>
      </c>
    </row>
    <row r="171" spans="2:2" x14ac:dyDescent="0.45">
      <c r="B171">
        <v>0</v>
      </c>
    </row>
    <row r="172" spans="2:2" x14ac:dyDescent="0.45">
      <c r="B172">
        <v>713</v>
      </c>
    </row>
    <row r="173" spans="2:2" x14ac:dyDescent="0.45">
      <c r="B173">
        <v>1564</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436</v>
      </c>
    </row>
    <row r="183" spans="2:2" x14ac:dyDescent="0.45">
      <c r="B183">
        <v>1287</v>
      </c>
    </row>
    <row r="184" spans="2:2" x14ac:dyDescent="0.45">
      <c r="B184">
        <v>0</v>
      </c>
    </row>
    <row r="185" spans="2:2" x14ac:dyDescent="0.45">
      <c r="B185">
        <v>201</v>
      </c>
    </row>
    <row r="186" spans="2:2" x14ac:dyDescent="0.45">
      <c r="B186">
        <v>0</v>
      </c>
    </row>
    <row r="187" spans="2:2" x14ac:dyDescent="0.45">
      <c r="B187">
        <v>390</v>
      </c>
    </row>
    <row r="188" spans="2:2" x14ac:dyDescent="0.45">
      <c r="B188">
        <v>0</v>
      </c>
    </row>
    <row r="189" spans="2:2" x14ac:dyDescent="0.45">
      <c r="B189">
        <v>0</v>
      </c>
    </row>
    <row r="190" spans="2:2" x14ac:dyDescent="0.45">
      <c r="B190">
        <v>41</v>
      </c>
    </row>
    <row r="191" spans="2:2" x14ac:dyDescent="0.45">
      <c r="B191">
        <v>0</v>
      </c>
    </row>
    <row r="192" spans="2:2" x14ac:dyDescent="0.45">
      <c r="B192">
        <v>81</v>
      </c>
    </row>
    <row r="193" spans="2:2" x14ac:dyDescent="0.45">
      <c r="B193">
        <v>579</v>
      </c>
    </row>
    <row r="194" spans="2:2" x14ac:dyDescent="0.45">
      <c r="B194">
        <v>777</v>
      </c>
    </row>
    <row r="195" spans="2:2" x14ac:dyDescent="0.45">
      <c r="B195">
        <v>0</v>
      </c>
    </row>
    <row r="196" spans="2:2" x14ac:dyDescent="0.45">
      <c r="B196">
        <v>208</v>
      </c>
    </row>
    <row r="197" spans="2:2" x14ac:dyDescent="0.45">
      <c r="B197">
        <v>122</v>
      </c>
    </row>
    <row r="198" spans="2:2" x14ac:dyDescent="0.45">
      <c r="B198">
        <v>0</v>
      </c>
    </row>
    <row r="199" spans="2:2" x14ac:dyDescent="0.45">
      <c r="B199">
        <v>205</v>
      </c>
    </row>
    <row r="200" spans="2:2" x14ac:dyDescent="0.45">
      <c r="B200">
        <v>0</v>
      </c>
    </row>
    <row r="201" spans="2:2" x14ac:dyDescent="0.45">
      <c r="B201">
        <v>0</v>
      </c>
    </row>
    <row r="202" spans="2:2" x14ac:dyDescent="0.45">
      <c r="B202">
        <v>109</v>
      </c>
    </row>
    <row r="203" spans="2:2" x14ac:dyDescent="0.45">
      <c r="B203">
        <v>356</v>
      </c>
    </row>
    <row r="204" spans="2:2" x14ac:dyDescent="0.45">
      <c r="B204">
        <v>0</v>
      </c>
    </row>
    <row r="205" spans="2:2" x14ac:dyDescent="0.45">
      <c r="B205">
        <v>386</v>
      </c>
    </row>
    <row r="206" spans="2:2" x14ac:dyDescent="0.45">
      <c r="B206">
        <v>404</v>
      </c>
    </row>
    <row r="207" spans="2:2" x14ac:dyDescent="0.45">
      <c r="B207">
        <v>201</v>
      </c>
    </row>
    <row r="208" spans="2:2" x14ac:dyDescent="0.45">
      <c r="B208">
        <v>429</v>
      </c>
    </row>
    <row r="209" spans="2:2" x14ac:dyDescent="0.45">
      <c r="B209">
        <v>4</v>
      </c>
    </row>
    <row r="210" spans="2:2" x14ac:dyDescent="0.45">
      <c r="B210">
        <v>197</v>
      </c>
    </row>
    <row r="211" spans="2:2" x14ac:dyDescent="0.45">
      <c r="B211">
        <v>0</v>
      </c>
    </row>
    <row r="212" spans="2:2" x14ac:dyDescent="0.45">
      <c r="B212">
        <v>23</v>
      </c>
    </row>
    <row r="213" spans="2:2" x14ac:dyDescent="0.45">
      <c r="B213">
        <v>394</v>
      </c>
    </row>
    <row r="214" spans="2:2" x14ac:dyDescent="0.45">
      <c r="B214">
        <v>111</v>
      </c>
    </row>
    <row r="215" spans="2:2" x14ac:dyDescent="0.45">
      <c r="B215">
        <v>361</v>
      </c>
    </row>
    <row r="216" spans="2:2" x14ac:dyDescent="0.45">
      <c r="B216">
        <v>492</v>
      </c>
    </row>
    <row r="217" spans="2:2" x14ac:dyDescent="0.45">
      <c r="B217">
        <v>127</v>
      </c>
    </row>
    <row r="218" spans="2:2" x14ac:dyDescent="0.45">
      <c r="B218">
        <v>323</v>
      </c>
    </row>
    <row r="219" spans="2:2" x14ac:dyDescent="0.45">
      <c r="B219">
        <v>48</v>
      </c>
    </row>
    <row r="220" spans="2:2" x14ac:dyDescent="0.45">
      <c r="B220">
        <v>118</v>
      </c>
    </row>
    <row r="221" spans="2:2" x14ac:dyDescent="0.45">
      <c r="B221">
        <v>6</v>
      </c>
    </row>
    <row r="222" spans="2:2" x14ac:dyDescent="0.45">
      <c r="B222">
        <v>20</v>
      </c>
    </row>
    <row r="223" spans="2:2" x14ac:dyDescent="0.45">
      <c r="B223">
        <v>984</v>
      </c>
    </row>
    <row r="224" spans="2:2" x14ac:dyDescent="0.45">
      <c r="B224">
        <v>383</v>
      </c>
    </row>
    <row r="225" spans="2:2" x14ac:dyDescent="0.45">
      <c r="B225">
        <v>353</v>
      </c>
    </row>
    <row r="226" spans="2:2" x14ac:dyDescent="0.45">
      <c r="B226">
        <v>181</v>
      </c>
    </row>
    <row r="227" spans="2:2" x14ac:dyDescent="0.45">
      <c r="B227">
        <v>65</v>
      </c>
    </row>
    <row r="228" spans="2:2" x14ac:dyDescent="0.45">
      <c r="B228">
        <v>20</v>
      </c>
    </row>
    <row r="229" spans="2:2" x14ac:dyDescent="0.45">
      <c r="B229">
        <v>7</v>
      </c>
    </row>
    <row r="230" spans="2:2" x14ac:dyDescent="0.45">
      <c r="B230">
        <v>1</v>
      </c>
    </row>
    <row r="231" spans="2:2" x14ac:dyDescent="0.45">
      <c r="B231">
        <v>4</v>
      </c>
    </row>
    <row r="232" spans="2:2" x14ac:dyDescent="0.45">
      <c r="B232">
        <v>2</v>
      </c>
    </row>
    <row r="233" spans="2:2" x14ac:dyDescent="0.45">
      <c r="B233">
        <v>1616</v>
      </c>
    </row>
    <row r="234" spans="2:2" x14ac:dyDescent="0.45">
      <c r="B234">
        <v>118</v>
      </c>
    </row>
    <row r="235" spans="2:2" x14ac:dyDescent="0.45">
      <c r="B235">
        <v>125</v>
      </c>
    </row>
    <row r="236" spans="2:2" x14ac:dyDescent="0.45">
      <c r="B236">
        <v>68</v>
      </c>
    </row>
    <row r="237" spans="2:2" x14ac:dyDescent="0.45">
      <c r="B237">
        <v>44</v>
      </c>
    </row>
    <row r="238" spans="2:2" x14ac:dyDescent="0.45">
      <c r="B238">
        <v>16</v>
      </c>
    </row>
    <row r="239" spans="2:2" x14ac:dyDescent="0.45">
      <c r="B239">
        <v>3</v>
      </c>
    </row>
    <row r="240" spans="2:2" x14ac:dyDescent="0.45">
      <c r="B240">
        <v>5</v>
      </c>
    </row>
    <row r="241" spans="2:2" x14ac:dyDescent="0.45">
      <c r="B241">
        <v>3</v>
      </c>
    </row>
    <row r="242" spans="2:2" x14ac:dyDescent="0.45">
      <c r="B242">
        <v>2</v>
      </c>
    </row>
    <row r="243" spans="2:2" x14ac:dyDescent="0.45">
      <c r="B243">
        <v>1668</v>
      </c>
    </row>
    <row r="244" spans="2:2" x14ac:dyDescent="0.45">
      <c r="B244">
        <v>71</v>
      </c>
    </row>
    <row r="245" spans="2:2" x14ac:dyDescent="0.45">
      <c r="B245">
        <v>118</v>
      </c>
    </row>
    <row r="246" spans="2:2" x14ac:dyDescent="0.45">
      <c r="B246">
        <v>69</v>
      </c>
    </row>
    <row r="247" spans="2:2" x14ac:dyDescent="0.45">
      <c r="B247">
        <v>32</v>
      </c>
    </row>
    <row r="248" spans="2:2" x14ac:dyDescent="0.45">
      <c r="B248">
        <v>22</v>
      </c>
    </row>
    <row r="249" spans="2:2" x14ac:dyDescent="0.45">
      <c r="B249">
        <v>12</v>
      </c>
    </row>
    <row r="250" spans="2:2" x14ac:dyDescent="0.45">
      <c r="B250">
        <v>5</v>
      </c>
    </row>
    <row r="251" spans="2:2" x14ac:dyDescent="0.45">
      <c r="B251">
        <v>2</v>
      </c>
    </row>
    <row r="252" spans="2:2" x14ac:dyDescent="0.45">
      <c r="B252">
        <v>1</v>
      </c>
    </row>
    <row r="253" spans="2:2" x14ac:dyDescent="0.45">
      <c r="B253">
        <v>1797</v>
      </c>
    </row>
    <row r="254" spans="2:2" x14ac:dyDescent="0.45">
      <c r="B254">
        <v>85</v>
      </c>
    </row>
    <row r="255" spans="2:2" x14ac:dyDescent="0.45">
      <c r="B255">
        <v>66</v>
      </c>
    </row>
    <row r="256" spans="2:2" x14ac:dyDescent="0.45">
      <c r="B256">
        <v>34</v>
      </c>
    </row>
    <row r="257" spans="2:2" x14ac:dyDescent="0.45">
      <c r="B257">
        <v>14</v>
      </c>
    </row>
    <row r="258" spans="2:2" x14ac:dyDescent="0.45">
      <c r="B258">
        <v>3</v>
      </c>
    </row>
    <row r="259" spans="2:2" x14ac:dyDescent="0.45">
      <c r="B259">
        <v>0</v>
      </c>
    </row>
    <row r="260" spans="2:2" x14ac:dyDescent="0.45">
      <c r="B260">
        <v>0</v>
      </c>
    </row>
    <row r="261" spans="2:2" x14ac:dyDescent="0.45">
      <c r="B261">
        <v>0</v>
      </c>
    </row>
    <row r="262" spans="2:2" x14ac:dyDescent="0.45">
      <c r="B262">
        <v>1</v>
      </c>
    </row>
    <row r="263" spans="2:2" x14ac:dyDescent="0.45">
      <c r="B263">
        <v>1846</v>
      </c>
    </row>
    <row r="264" spans="2:2" x14ac:dyDescent="0.45">
      <c r="B264">
        <v>69</v>
      </c>
    </row>
    <row r="265" spans="2:2" x14ac:dyDescent="0.45">
      <c r="B265">
        <v>50</v>
      </c>
    </row>
    <row r="266" spans="2:2" x14ac:dyDescent="0.45">
      <c r="B266">
        <v>21</v>
      </c>
    </row>
    <row r="267" spans="2:2" x14ac:dyDescent="0.45">
      <c r="B267">
        <v>4</v>
      </c>
    </row>
    <row r="268" spans="2:2" x14ac:dyDescent="0.45">
      <c r="B268">
        <v>7</v>
      </c>
    </row>
    <row r="269" spans="2:2" x14ac:dyDescent="0.45">
      <c r="B269">
        <v>1</v>
      </c>
    </row>
    <row r="270" spans="2:2" x14ac:dyDescent="0.45">
      <c r="B270">
        <v>0</v>
      </c>
    </row>
    <row r="271" spans="2:2" x14ac:dyDescent="0.45">
      <c r="B271">
        <v>0</v>
      </c>
    </row>
    <row r="272" spans="2:2" x14ac:dyDescent="0.45">
      <c r="B272">
        <v>2</v>
      </c>
    </row>
    <row r="273" spans="2:2" x14ac:dyDescent="0.45">
      <c r="B273">
        <v>1876</v>
      </c>
    </row>
    <row r="274" spans="2:2" x14ac:dyDescent="0.45">
      <c r="B274">
        <v>16</v>
      </c>
    </row>
    <row r="275" spans="2:2" x14ac:dyDescent="0.45">
      <c r="B275">
        <v>35</v>
      </c>
    </row>
    <row r="276" spans="2:2" x14ac:dyDescent="0.45">
      <c r="B276">
        <v>28</v>
      </c>
    </row>
    <row r="277" spans="2:2" x14ac:dyDescent="0.45">
      <c r="B277">
        <v>20</v>
      </c>
    </row>
    <row r="278" spans="2:2" x14ac:dyDescent="0.45">
      <c r="B278">
        <v>13</v>
      </c>
    </row>
    <row r="279" spans="2:2" x14ac:dyDescent="0.45">
      <c r="B279">
        <v>6</v>
      </c>
    </row>
    <row r="280" spans="2:2" x14ac:dyDescent="0.45">
      <c r="B280">
        <v>1</v>
      </c>
    </row>
    <row r="281" spans="2:2" x14ac:dyDescent="0.45">
      <c r="B281">
        <v>3</v>
      </c>
    </row>
    <row r="282" spans="2:2" x14ac:dyDescent="0.45">
      <c r="B282">
        <v>2</v>
      </c>
    </row>
    <row r="283" spans="2:2" x14ac:dyDescent="0.45">
      <c r="B283">
        <v>329</v>
      </c>
    </row>
    <row r="284" spans="2:2" x14ac:dyDescent="0.45">
      <c r="B284">
        <v>1024</v>
      </c>
    </row>
    <row r="285" spans="2:2" x14ac:dyDescent="0.45">
      <c r="B285">
        <v>207</v>
      </c>
    </row>
    <row r="286" spans="2:2" x14ac:dyDescent="0.45">
      <c r="B286">
        <v>215</v>
      </c>
    </row>
    <row r="287" spans="2:2" x14ac:dyDescent="0.45">
      <c r="B287">
        <v>133</v>
      </c>
    </row>
    <row r="288" spans="2:2" x14ac:dyDescent="0.45">
      <c r="B288">
        <v>63</v>
      </c>
    </row>
    <row r="289" spans="2:2" x14ac:dyDescent="0.45">
      <c r="B289">
        <v>20</v>
      </c>
    </row>
    <row r="290" spans="2:2" x14ac:dyDescent="0.45">
      <c r="B290">
        <v>6</v>
      </c>
    </row>
    <row r="291" spans="2:2" x14ac:dyDescent="0.45">
      <c r="B291">
        <v>2</v>
      </c>
    </row>
    <row r="292" spans="2:2" x14ac:dyDescent="0.45">
      <c r="B292">
        <v>1</v>
      </c>
    </row>
    <row r="293" spans="2:2" x14ac:dyDescent="0.45">
      <c r="B293">
        <v>674</v>
      </c>
    </row>
    <row r="294" spans="2:2" x14ac:dyDescent="0.45">
      <c r="B294">
        <v>1180</v>
      </c>
    </row>
    <row r="295" spans="2:2" x14ac:dyDescent="0.45">
      <c r="B295">
        <v>31</v>
      </c>
    </row>
    <row r="296" spans="2:2" x14ac:dyDescent="0.45">
      <c r="B296">
        <v>41</v>
      </c>
    </row>
    <row r="297" spans="2:2" x14ac:dyDescent="0.45">
      <c r="B297">
        <v>29</v>
      </c>
    </row>
    <row r="298" spans="2:2" x14ac:dyDescent="0.45">
      <c r="B298">
        <v>12</v>
      </c>
    </row>
    <row r="299" spans="2:2" x14ac:dyDescent="0.45">
      <c r="B299">
        <v>18</v>
      </c>
    </row>
    <row r="300" spans="2:2" x14ac:dyDescent="0.45">
      <c r="B300">
        <v>9</v>
      </c>
    </row>
    <row r="301" spans="2:2" x14ac:dyDescent="0.45">
      <c r="B301">
        <v>4</v>
      </c>
    </row>
    <row r="302" spans="2:2" x14ac:dyDescent="0.45">
      <c r="B302">
        <v>2</v>
      </c>
    </row>
    <row r="303" spans="2:2" x14ac:dyDescent="0.45">
      <c r="B303">
        <v>946</v>
      </c>
    </row>
    <row r="304" spans="2:2" x14ac:dyDescent="0.45">
      <c r="B304">
        <v>0</v>
      </c>
    </row>
    <row r="305" spans="2:2" x14ac:dyDescent="0.45">
      <c r="B305">
        <v>0</v>
      </c>
    </row>
    <row r="306" spans="2:2" x14ac:dyDescent="0.45">
      <c r="B306">
        <v>0</v>
      </c>
    </row>
    <row r="307" spans="2:2" x14ac:dyDescent="0.45">
      <c r="B307">
        <v>0</v>
      </c>
    </row>
    <row r="308" spans="2:2" x14ac:dyDescent="0.45">
      <c r="B308">
        <v>0</v>
      </c>
    </row>
    <row r="309" spans="2:2" x14ac:dyDescent="0.45">
      <c r="B309">
        <v>0</v>
      </c>
    </row>
    <row r="310" spans="2:2" x14ac:dyDescent="0.45">
      <c r="B310">
        <v>0</v>
      </c>
    </row>
    <row r="311" spans="2:2" x14ac:dyDescent="0.45">
      <c r="B311">
        <v>0</v>
      </c>
    </row>
    <row r="312" spans="2:2" x14ac:dyDescent="0.45">
      <c r="B312">
        <v>1054</v>
      </c>
    </row>
    <row r="313" spans="2:2" x14ac:dyDescent="0.45">
      <c r="B313">
        <v>1610</v>
      </c>
    </row>
    <row r="314" spans="2:2" x14ac:dyDescent="0.45">
      <c r="B314">
        <v>0</v>
      </c>
    </row>
    <row r="315" spans="2:2" x14ac:dyDescent="0.45">
      <c r="B315">
        <v>0</v>
      </c>
    </row>
    <row r="316" spans="2:2" x14ac:dyDescent="0.45">
      <c r="B316">
        <v>0</v>
      </c>
    </row>
    <row r="317" spans="2:2" x14ac:dyDescent="0.45">
      <c r="B317">
        <v>0</v>
      </c>
    </row>
    <row r="318" spans="2:2" x14ac:dyDescent="0.45">
      <c r="B318">
        <v>0</v>
      </c>
    </row>
    <row r="319" spans="2:2" x14ac:dyDescent="0.45">
      <c r="B319">
        <v>0</v>
      </c>
    </row>
    <row r="320" spans="2:2" x14ac:dyDescent="0.45">
      <c r="B320">
        <v>0</v>
      </c>
    </row>
    <row r="321" spans="2:2" x14ac:dyDescent="0.45">
      <c r="B321">
        <v>0</v>
      </c>
    </row>
    <row r="322" spans="2:2" x14ac:dyDescent="0.45">
      <c r="B322">
        <v>390</v>
      </c>
    </row>
    <row r="323" spans="2:2" x14ac:dyDescent="0.45">
      <c r="B323">
        <v>1660</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0</v>
      </c>
    </row>
    <row r="331" spans="2:2" x14ac:dyDescent="0.45">
      <c r="B331">
        <v>0</v>
      </c>
    </row>
    <row r="332" spans="2:2" x14ac:dyDescent="0.45">
      <c r="B332">
        <v>340</v>
      </c>
    </row>
    <row r="333" spans="2:2" x14ac:dyDescent="0.45">
      <c r="B333">
        <v>1762</v>
      </c>
    </row>
    <row r="334" spans="2:2" x14ac:dyDescent="0.45">
      <c r="B334">
        <v>0</v>
      </c>
    </row>
    <row r="335" spans="2:2" x14ac:dyDescent="0.45">
      <c r="B335">
        <v>0</v>
      </c>
    </row>
    <row r="336" spans="2:2" x14ac:dyDescent="0.45">
      <c r="B336">
        <v>0</v>
      </c>
    </row>
    <row r="337" spans="2:2" x14ac:dyDescent="0.45">
      <c r="B337">
        <v>0</v>
      </c>
    </row>
    <row r="338" spans="2:2" x14ac:dyDescent="0.45">
      <c r="B338">
        <v>0</v>
      </c>
    </row>
    <row r="339" spans="2:2" x14ac:dyDescent="0.45">
      <c r="B339">
        <v>0</v>
      </c>
    </row>
    <row r="340" spans="2:2" x14ac:dyDescent="0.45">
      <c r="B340">
        <v>0</v>
      </c>
    </row>
    <row r="341" spans="2:2" x14ac:dyDescent="0.45">
      <c r="B341">
        <v>0</v>
      </c>
    </row>
    <row r="342" spans="2:2" x14ac:dyDescent="0.45">
      <c r="B342">
        <v>238</v>
      </c>
    </row>
    <row r="343" spans="2:2" x14ac:dyDescent="0.45">
      <c r="B343">
        <v>1834</v>
      </c>
    </row>
    <row r="344" spans="2:2" x14ac:dyDescent="0.45">
      <c r="B344">
        <v>0</v>
      </c>
    </row>
    <row r="345" spans="2:2" x14ac:dyDescent="0.45">
      <c r="B345">
        <v>0</v>
      </c>
    </row>
    <row r="346" spans="2:2" x14ac:dyDescent="0.45">
      <c r="B346">
        <v>0</v>
      </c>
    </row>
    <row r="347" spans="2:2" x14ac:dyDescent="0.45">
      <c r="B347">
        <v>0</v>
      </c>
    </row>
    <row r="348" spans="2:2" x14ac:dyDescent="0.45">
      <c r="B348">
        <v>0</v>
      </c>
    </row>
    <row r="349" spans="2:2" x14ac:dyDescent="0.45">
      <c r="B349">
        <v>0</v>
      </c>
    </row>
    <row r="350" spans="2:2" x14ac:dyDescent="0.45">
      <c r="B350">
        <v>0</v>
      </c>
    </row>
    <row r="351" spans="2:2" x14ac:dyDescent="0.45">
      <c r="B351">
        <v>0</v>
      </c>
    </row>
    <row r="352" spans="2:2" x14ac:dyDescent="0.45">
      <c r="B352">
        <v>166</v>
      </c>
    </row>
    <row r="353" spans="2:2" x14ac:dyDescent="0.45">
      <c r="B353">
        <v>1875</v>
      </c>
    </row>
    <row r="354" spans="2:2" x14ac:dyDescent="0.45">
      <c r="B354">
        <v>0</v>
      </c>
    </row>
    <row r="355" spans="2:2" x14ac:dyDescent="0.45">
      <c r="B355">
        <v>0</v>
      </c>
    </row>
    <row r="356" spans="2:2" x14ac:dyDescent="0.45">
      <c r="B356">
        <v>0</v>
      </c>
    </row>
    <row r="357" spans="2:2" x14ac:dyDescent="0.45">
      <c r="B357">
        <v>0</v>
      </c>
    </row>
    <row r="358" spans="2:2" x14ac:dyDescent="0.45">
      <c r="B358">
        <v>0</v>
      </c>
    </row>
    <row r="359" spans="2:2" x14ac:dyDescent="0.45">
      <c r="B359">
        <v>0</v>
      </c>
    </row>
    <row r="360" spans="2:2" x14ac:dyDescent="0.45">
      <c r="B360">
        <v>0</v>
      </c>
    </row>
    <row r="361" spans="2:2" x14ac:dyDescent="0.45">
      <c r="B361">
        <v>0</v>
      </c>
    </row>
    <row r="362" spans="2:2" x14ac:dyDescent="0.45">
      <c r="B362">
        <v>125</v>
      </c>
    </row>
    <row r="363" spans="2:2" x14ac:dyDescent="0.45">
      <c r="B363">
        <v>1311</v>
      </c>
    </row>
    <row r="364" spans="2:2" x14ac:dyDescent="0.45">
      <c r="B364">
        <v>0</v>
      </c>
    </row>
    <row r="365" spans="2:2" x14ac:dyDescent="0.45">
      <c r="B365">
        <v>0</v>
      </c>
    </row>
    <row r="366" spans="2:2" x14ac:dyDescent="0.45">
      <c r="B366">
        <v>0</v>
      </c>
    </row>
    <row r="367" spans="2:2" x14ac:dyDescent="0.45">
      <c r="B367">
        <v>0</v>
      </c>
    </row>
    <row r="368" spans="2:2" x14ac:dyDescent="0.45">
      <c r="B368">
        <v>0</v>
      </c>
    </row>
    <row r="369" spans="2:2" x14ac:dyDescent="0.45">
      <c r="B369">
        <v>0</v>
      </c>
    </row>
    <row r="370" spans="2:2" x14ac:dyDescent="0.45">
      <c r="B370">
        <v>0</v>
      </c>
    </row>
    <row r="371" spans="2:2" x14ac:dyDescent="0.45">
      <c r="B371">
        <v>0</v>
      </c>
    </row>
    <row r="372" spans="2:2" x14ac:dyDescent="0.45">
      <c r="B372">
        <v>689</v>
      </c>
    </row>
    <row r="373" spans="2:2" x14ac:dyDescent="0.45">
      <c r="B373">
        <v>1842</v>
      </c>
    </row>
    <row r="374" spans="2:2" x14ac:dyDescent="0.45">
      <c r="B374">
        <v>0</v>
      </c>
    </row>
    <row r="375" spans="2:2" x14ac:dyDescent="0.45">
      <c r="B375">
        <v>0</v>
      </c>
    </row>
    <row r="376" spans="2:2" x14ac:dyDescent="0.45">
      <c r="B376">
        <v>0</v>
      </c>
    </row>
    <row r="377" spans="2:2" x14ac:dyDescent="0.45">
      <c r="B377">
        <v>0</v>
      </c>
    </row>
    <row r="378" spans="2:2" x14ac:dyDescent="0.45">
      <c r="B378">
        <v>0</v>
      </c>
    </row>
    <row r="379" spans="2:2" x14ac:dyDescent="0.45">
      <c r="B379">
        <v>0</v>
      </c>
    </row>
    <row r="380" spans="2:2" x14ac:dyDescent="0.45">
      <c r="B380">
        <v>0</v>
      </c>
    </row>
    <row r="381" spans="2:2" x14ac:dyDescent="0.45">
      <c r="B381">
        <v>0</v>
      </c>
    </row>
    <row r="382" spans="2:2" x14ac:dyDescent="0.45">
      <c r="B382">
        <v>158</v>
      </c>
    </row>
    <row r="383" spans="2:2" x14ac:dyDescent="0.45">
      <c r="B383">
        <v>828</v>
      </c>
    </row>
    <row r="384" spans="2:2" x14ac:dyDescent="0.45">
      <c r="B384">
        <v>0</v>
      </c>
    </row>
    <row r="385" spans="2:2" x14ac:dyDescent="0.45">
      <c r="B385">
        <v>0</v>
      </c>
    </row>
    <row r="386" spans="2:2" x14ac:dyDescent="0.45">
      <c r="B386">
        <v>0</v>
      </c>
    </row>
    <row r="387" spans="2:2" x14ac:dyDescent="0.45">
      <c r="B387">
        <v>0</v>
      </c>
    </row>
    <row r="388" spans="2:2" x14ac:dyDescent="0.45">
      <c r="B388">
        <v>0</v>
      </c>
    </row>
    <row r="389" spans="2:2" x14ac:dyDescent="0.45">
      <c r="B389">
        <v>0</v>
      </c>
    </row>
    <row r="390" spans="2:2" x14ac:dyDescent="0.45">
      <c r="B390">
        <v>0</v>
      </c>
    </row>
    <row r="391" spans="2:2" x14ac:dyDescent="0.45">
      <c r="B391">
        <v>0</v>
      </c>
    </row>
    <row r="392" spans="2:2" x14ac:dyDescent="0.45">
      <c r="B392">
        <v>1172</v>
      </c>
    </row>
    <row r="393" spans="2:2" x14ac:dyDescent="0.45">
      <c r="B393">
        <v>1287</v>
      </c>
    </row>
    <row r="394" spans="2:2" x14ac:dyDescent="0.45">
      <c r="B394">
        <v>0</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713</v>
      </c>
    </row>
    <row r="403" spans="2:2" x14ac:dyDescent="0.45">
      <c r="B403">
        <v>1321</v>
      </c>
    </row>
    <row r="404" spans="2:2" x14ac:dyDescent="0.45">
      <c r="B404">
        <v>0</v>
      </c>
    </row>
    <row r="405" spans="2:2" x14ac:dyDescent="0.45">
      <c r="B405">
        <v>0</v>
      </c>
    </row>
    <row r="406" spans="2:2" x14ac:dyDescent="0.45">
      <c r="B406">
        <v>0</v>
      </c>
    </row>
    <row r="407" spans="2:2" x14ac:dyDescent="0.45">
      <c r="B407">
        <v>0</v>
      </c>
    </row>
    <row r="408" spans="2:2" x14ac:dyDescent="0.45">
      <c r="B408">
        <v>0</v>
      </c>
    </row>
    <row r="409" spans="2:2" x14ac:dyDescent="0.45">
      <c r="B409">
        <v>0</v>
      </c>
    </row>
    <row r="410" spans="2:2" x14ac:dyDescent="0.45">
      <c r="B410">
        <v>0</v>
      </c>
    </row>
    <row r="411" spans="2:2" x14ac:dyDescent="0.45">
      <c r="B411">
        <v>0</v>
      </c>
    </row>
    <row r="412" spans="2:2" x14ac:dyDescent="0.45">
      <c r="B412">
        <v>679</v>
      </c>
    </row>
    <row r="413" spans="2:2" x14ac:dyDescent="0.45">
      <c r="B413">
        <v>702</v>
      </c>
    </row>
    <row r="414" spans="2:2" x14ac:dyDescent="0.45">
      <c r="B414">
        <v>0</v>
      </c>
    </row>
    <row r="415" spans="2:2" x14ac:dyDescent="0.45">
      <c r="B415">
        <v>846</v>
      </c>
    </row>
    <row r="416" spans="2:2" x14ac:dyDescent="0.45">
      <c r="B416">
        <v>0</v>
      </c>
    </row>
    <row r="417" spans="2:2" x14ac:dyDescent="0.45">
      <c r="B417">
        <v>0</v>
      </c>
    </row>
    <row r="418" spans="2:2" x14ac:dyDescent="0.45">
      <c r="B418">
        <v>0</v>
      </c>
    </row>
    <row r="419" spans="2:2" x14ac:dyDescent="0.45">
      <c r="B419">
        <v>0</v>
      </c>
    </row>
    <row r="420" spans="2:2" x14ac:dyDescent="0.45">
      <c r="B420">
        <v>0</v>
      </c>
    </row>
    <row r="421" spans="2:2" x14ac:dyDescent="0.45">
      <c r="B421">
        <v>0</v>
      </c>
    </row>
    <row r="422" spans="2:2" x14ac:dyDescent="0.45">
      <c r="B422">
        <v>452</v>
      </c>
    </row>
    <row r="423" spans="2:2" x14ac:dyDescent="0.45">
      <c r="B423">
        <v>708</v>
      </c>
    </row>
    <row r="424" spans="2:2" x14ac:dyDescent="0.45">
      <c r="B424">
        <v>0</v>
      </c>
    </row>
    <row r="425" spans="2:2" x14ac:dyDescent="0.45">
      <c r="B425">
        <v>957</v>
      </c>
    </row>
    <row r="426" spans="2:2" x14ac:dyDescent="0.45">
      <c r="B426">
        <v>0</v>
      </c>
    </row>
    <row r="427" spans="2:2" x14ac:dyDescent="0.45">
      <c r="B427">
        <v>0</v>
      </c>
    </row>
    <row r="428" spans="2:2" x14ac:dyDescent="0.45">
      <c r="B428">
        <v>0</v>
      </c>
    </row>
    <row r="429" spans="2:2" x14ac:dyDescent="0.45">
      <c r="B429">
        <v>0</v>
      </c>
    </row>
    <row r="430" spans="2:2" x14ac:dyDescent="0.45">
      <c r="B430">
        <v>0</v>
      </c>
    </row>
    <row r="431" spans="2:2" x14ac:dyDescent="0.45">
      <c r="B431">
        <v>0</v>
      </c>
    </row>
    <row r="432" spans="2:2" x14ac:dyDescent="0.45">
      <c r="B432">
        <v>335</v>
      </c>
    </row>
    <row r="433" spans="2:2" x14ac:dyDescent="0.45">
      <c r="B433">
        <v>1142</v>
      </c>
    </row>
    <row r="434" spans="2:2" x14ac:dyDescent="0.45">
      <c r="B434">
        <v>0</v>
      </c>
    </row>
    <row r="435" spans="2:2" x14ac:dyDescent="0.45">
      <c r="B435">
        <v>0</v>
      </c>
    </row>
    <row r="436" spans="2:2" x14ac:dyDescent="0.45">
      <c r="B436">
        <v>623</v>
      </c>
    </row>
    <row r="437" spans="2:2" x14ac:dyDescent="0.45">
      <c r="B437">
        <v>0</v>
      </c>
    </row>
    <row r="438" spans="2:2" x14ac:dyDescent="0.45">
      <c r="B438">
        <v>0</v>
      </c>
    </row>
    <row r="439" spans="2:2" x14ac:dyDescent="0.45">
      <c r="B439">
        <v>0</v>
      </c>
    </row>
    <row r="440" spans="2:2" x14ac:dyDescent="0.45">
      <c r="B440">
        <v>0</v>
      </c>
    </row>
    <row r="441" spans="2:2" x14ac:dyDescent="0.45">
      <c r="B441">
        <v>0</v>
      </c>
    </row>
    <row r="442" spans="2:2" x14ac:dyDescent="0.45">
      <c r="B442">
        <v>235</v>
      </c>
    </row>
    <row r="443" spans="2:2" x14ac:dyDescent="0.45">
      <c r="B443">
        <v>982</v>
      </c>
    </row>
    <row r="444" spans="2:2" x14ac:dyDescent="0.45">
      <c r="B444">
        <v>0</v>
      </c>
    </row>
    <row r="445" spans="2:2" x14ac:dyDescent="0.45">
      <c r="B445">
        <v>0</v>
      </c>
    </row>
    <row r="446" spans="2:2" x14ac:dyDescent="0.45">
      <c r="B446">
        <v>0</v>
      </c>
    </row>
    <row r="447" spans="2:2" x14ac:dyDescent="0.45">
      <c r="B447">
        <v>0</v>
      </c>
    </row>
    <row r="448" spans="2:2" x14ac:dyDescent="0.45">
      <c r="B448">
        <v>0</v>
      </c>
    </row>
    <row r="449" spans="2:2" x14ac:dyDescent="0.45">
      <c r="B449">
        <v>0</v>
      </c>
    </row>
    <row r="450" spans="2:2" x14ac:dyDescent="0.45">
      <c r="B450">
        <v>0</v>
      </c>
    </row>
    <row r="451" spans="2:2" x14ac:dyDescent="0.45">
      <c r="B451">
        <v>0</v>
      </c>
    </row>
    <row r="452" spans="2:2" x14ac:dyDescent="0.45">
      <c r="B452">
        <v>1018</v>
      </c>
    </row>
    <row r="453" spans="2:2" x14ac:dyDescent="0.45">
      <c r="B453">
        <v>1168</v>
      </c>
    </row>
    <row r="454" spans="2:2" x14ac:dyDescent="0.45">
      <c r="B454">
        <v>0</v>
      </c>
    </row>
    <row r="455" spans="2:2" x14ac:dyDescent="0.45">
      <c r="B455">
        <v>0</v>
      </c>
    </row>
    <row r="456" spans="2:2" x14ac:dyDescent="0.45">
      <c r="B456">
        <v>563</v>
      </c>
    </row>
    <row r="457" spans="2:2" x14ac:dyDescent="0.45">
      <c r="B457">
        <v>0</v>
      </c>
    </row>
    <row r="458" spans="2:2" x14ac:dyDescent="0.45">
      <c r="B458">
        <v>0</v>
      </c>
    </row>
    <row r="459" spans="2:2" x14ac:dyDescent="0.45">
      <c r="B459">
        <v>0</v>
      </c>
    </row>
    <row r="460" spans="2:2" x14ac:dyDescent="0.45">
      <c r="B460">
        <v>0</v>
      </c>
    </row>
    <row r="461" spans="2:2" x14ac:dyDescent="0.45">
      <c r="B461">
        <v>0</v>
      </c>
    </row>
    <row r="462" spans="2:2" x14ac:dyDescent="0.45">
      <c r="B462">
        <v>269</v>
      </c>
    </row>
    <row r="463" spans="2:2" x14ac:dyDescent="0.45">
      <c r="B463">
        <v>1926</v>
      </c>
    </row>
    <row r="464" spans="2:2" x14ac:dyDescent="0.45">
      <c r="B464">
        <v>0</v>
      </c>
    </row>
    <row r="465" spans="2:2" x14ac:dyDescent="0.45">
      <c r="B465">
        <v>0</v>
      </c>
    </row>
    <row r="466" spans="2:2" x14ac:dyDescent="0.45">
      <c r="B466">
        <v>0</v>
      </c>
    </row>
    <row r="467" spans="2:2" x14ac:dyDescent="0.45">
      <c r="B467">
        <v>0</v>
      </c>
    </row>
    <row r="468" spans="2:2" x14ac:dyDescent="0.45">
      <c r="B468">
        <v>0</v>
      </c>
    </row>
    <row r="469" spans="2:2" x14ac:dyDescent="0.45">
      <c r="B469">
        <v>0</v>
      </c>
    </row>
    <row r="470" spans="2:2" x14ac:dyDescent="0.45">
      <c r="B470">
        <v>0</v>
      </c>
    </row>
    <row r="471" spans="2:2" x14ac:dyDescent="0.45">
      <c r="B471">
        <v>0</v>
      </c>
    </row>
    <row r="472" spans="2:2" x14ac:dyDescent="0.45">
      <c r="B472">
        <v>74</v>
      </c>
    </row>
    <row r="473" spans="2:2" x14ac:dyDescent="0.45">
      <c r="B473">
        <v>1917</v>
      </c>
    </row>
    <row r="474" spans="2:2" x14ac:dyDescent="0.45">
      <c r="B474">
        <v>0</v>
      </c>
    </row>
    <row r="475" spans="2:2" x14ac:dyDescent="0.45">
      <c r="B475">
        <v>0</v>
      </c>
    </row>
    <row r="476" spans="2:2" x14ac:dyDescent="0.45">
      <c r="B476">
        <v>0</v>
      </c>
    </row>
    <row r="477" spans="2:2" x14ac:dyDescent="0.45">
      <c r="B477">
        <v>0</v>
      </c>
    </row>
    <row r="478" spans="2:2" x14ac:dyDescent="0.45">
      <c r="B478">
        <v>0</v>
      </c>
    </row>
    <row r="479" spans="2:2" x14ac:dyDescent="0.45">
      <c r="B479">
        <v>0</v>
      </c>
    </row>
    <row r="480" spans="2:2" x14ac:dyDescent="0.45">
      <c r="B480">
        <v>0</v>
      </c>
    </row>
    <row r="481" spans="2:2" x14ac:dyDescent="0.45">
      <c r="B481">
        <v>0</v>
      </c>
    </row>
    <row r="482" spans="2:2" x14ac:dyDescent="0.45">
      <c r="B482">
        <v>83</v>
      </c>
    </row>
    <row r="483" spans="2:2" x14ac:dyDescent="0.45">
      <c r="B483">
        <v>1975</v>
      </c>
    </row>
    <row r="484" spans="2:2" x14ac:dyDescent="0.45">
      <c r="B484">
        <v>0</v>
      </c>
    </row>
    <row r="485" spans="2:2" x14ac:dyDescent="0.45">
      <c r="B485">
        <v>0</v>
      </c>
    </row>
    <row r="486" spans="2:2" x14ac:dyDescent="0.45">
      <c r="B486">
        <v>0</v>
      </c>
    </row>
    <row r="487" spans="2:2" x14ac:dyDescent="0.45">
      <c r="B487">
        <v>0</v>
      </c>
    </row>
    <row r="488" spans="2:2" x14ac:dyDescent="0.45">
      <c r="B488">
        <v>0</v>
      </c>
    </row>
    <row r="489" spans="2:2" x14ac:dyDescent="0.45">
      <c r="B489">
        <v>0</v>
      </c>
    </row>
    <row r="490" spans="2:2" x14ac:dyDescent="0.45">
      <c r="B490">
        <v>0</v>
      </c>
    </row>
    <row r="491" spans="2:2" x14ac:dyDescent="0.45">
      <c r="B491">
        <v>0</v>
      </c>
    </row>
    <row r="492" spans="2:2" x14ac:dyDescent="0.45">
      <c r="B492">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8CC3F43E-698B-44CF-B557-8EC58857561D}">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140</vt:i4>
      </vt:variant>
    </vt:vector>
  </HeadingPairs>
  <TitlesOfParts>
    <vt:vector size="150" baseType="lpstr">
      <vt:lpstr>About</vt:lpstr>
      <vt:lpstr>Inputs</vt:lpstr>
      <vt:lpstr>Projects</vt:lpstr>
      <vt:lpstr>Decisions</vt:lpstr>
      <vt:lpstr>Pipeline</vt:lpstr>
      <vt:lpstr>Spend</vt:lpstr>
      <vt:lpstr>Results</vt:lpstr>
      <vt:lpstr>ModelRiskDSN</vt:lpstr>
      <vt:lpstr>ModelRiskSYS1</vt:lpstr>
      <vt:lpstr>ModelRiskCharts</vt:lpstr>
      <vt:lpstr>Both_BH</vt:lpstr>
      <vt:lpstr>Both_CD</vt:lpstr>
      <vt:lpstr>Both_EF</vt:lpstr>
      <vt:lpstr>Budget</vt:lpstr>
      <vt:lpstr>BudgetRisk</vt:lpstr>
      <vt:lpstr>BudgetYears</vt:lpstr>
      <vt:lpstr>Checks</vt:lpstr>
      <vt:lpstr>CpyPh</vt:lpstr>
      <vt:lpstr>Disc</vt:lpstr>
      <vt:lpstr>DurPh</vt:lpstr>
      <vt:lpstr>Fund_A</vt:lpstr>
      <vt:lpstr>Fund_A_Start</vt:lpstr>
      <vt:lpstr>Fund_B</vt:lpstr>
      <vt:lpstr>Fund_B_Start</vt:lpstr>
      <vt:lpstr>Fund_C</vt:lpstr>
      <vt:lpstr>Fund_C_Start</vt:lpstr>
      <vt:lpstr>Fund_D</vt:lpstr>
      <vt:lpstr>Fund_D_Start</vt:lpstr>
      <vt:lpstr>Fund_E</vt:lpstr>
      <vt:lpstr>Fund_E_Start</vt:lpstr>
      <vt:lpstr>Fund_F</vt:lpstr>
      <vt:lpstr>Fund_F_Start</vt:lpstr>
      <vt:lpstr>Fund_G</vt:lpstr>
      <vt:lpstr>Fund_G_Start</vt:lpstr>
      <vt:lpstr>Fund_H</vt:lpstr>
      <vt:lpstr>Fund_H_Start</vt:lpstr>
      <vt:lpstr>FundPlan</vt:lpstr>
      <vt:lpstr>FundStart</vt:lpstr>
      <vt:lpstr>Launched_A</vt:lpstr>
      <vt:lpstr>Launched_B</vt:lpstr>
      <vt:lpstr>Launched_C</vt:lpstr>
      <vt:lpstr>Launched_D</vt:lpstr>
      <vt:lpstr>Launched_E</vt:lpstr>
      <vt:lpstr>Launched_F</vt:lpstr>
      <vt:lpstr>Launched_G</vt:lpstr>
      <vt:lpstr>Launched_H</vt:lpstr>
      <vt:lpstr>LaunchedCol</vt:lpstr>
      <vt:lpstr>LaunchT_A</vt:lpstr>
      <vt:lpstr>LaunchT_B</vt:lpstr>
      <vt:lpstr>LaunchT_C</vt:lpstr>
      <vt:lpstr>LaunchT_D</vt:lpstr>
      <vt:lpstr>LaunchT_E</vt:lpstr>
      <vt:lpstr>LaunchT_F</vt:lpstr>
      <vt:lpstr>LaunchT_G</vt:lpstr>
      <vt:lpstr>LaunchT_H</vt:lpstr>
      <vt:lpstr>NoLaunchRisk</vt:lpstr>
      <vt:lpstr>NPV_A</vt:lpstr>
      <vt:lpstr>NPV_B</vt:lpstr>
      <vt:lpstr>NPV_C</vt:lpstr>
      <vt:lpstr>NPV_D</vt:lpstr>
      <vt:lpstr>NPV_E</vt:lpstr>
      <vt:lpstr>NPV_F</vt:lpstr>
      <vt:lpstr>NPV_G</vt:lpstr>
      <vt:lpstr>NPV_H</vt:lpstr>
      <vt:lpstr>NPVCol</vt:lpstr>
      <vt:lpstr>OCost_A</vt:lpstr>
      <vt:lpstr>OCost_B</vt:lpstr>
      <vt:lpstr>OCost_C</vt:lpstr>
      <vt:lpstr>OCost_D</vt:lpstr>
      <vt:lpstr>OCost_E</vt:lpstr>
      <vt:lpstr>OCost_F</vt:lpstr>
      <vt:lpstr>OCost_G</vt:lpstr>
      <vt:lpstr>OCost_H</vt:lpstr>
      <vt:lpstr>OLaunch_A</vt:lpstr>
      <vt:lpstr>OLaunch_B</vt:lpstr>
      <vt:lpstr>OLaunch_C</vt:lpstr>
      <vt:lpstr>OLaunch_D</vt:lpstr>
      <vt:lpstr>OLaunch_E</vt:lpstr>
      <vt:lpstr>OLaunch_F</vt:lpstr>
      <vt:lpstr>OLaunch_G</vt:lpstr>
      <vt:lpstr>OLaunch_H</vt:lpstr>
      <vt:lpstr>ONPV_A</vt:lpstr>
      <vt:lpstr>ONPV_B</vt:lpstr>
      <vt:lpstr>ONPV_C</vt:lpstr>
      <vt:lpstr>ONPV_D</vt:lpstr>
      <vt:lpstr>ONPV_E</vt:lpstr>
      <vt:lpstr>ONPV_F</vt:lpstr>
      <vt:lpstr>ONPV_G</vt:lpstr>
      <vt:lpstr>ONPV_H</vt:lpstr>
      <vt:lpstr>OptRun_Best</vt:lpstr>
      <vt:lpstr>OptRun_Date</vt:lpstr>
      <vt:lpstr>OptRun_Engine</vt:lpstr>
      <vt:lpstr>OptRun_Feasible</vt:lpstr>
      <vt:lpstr>OptRun_Samples</vt:lpstr>
      <vt:lpstr>OptRun_Seconds</vt:lpstr>
      <vt:lpstr>OptRun_Stop</vt:lpstr>
      <vt:lpstr>OptRun_Trials</vt:lpstr>
      <vt:lpstr>Out_Cost_Plan</vt:lpstr>
      <vt:lpstr>Out_Cost_Start</vt:lpstr>
      <vt:lpstr>Out_Launch_Plan</vt:lpstr>
      <vt:lpstr>Out_Launch_Start</vt:lpstr>
      <vt:lpstr>Out_None_Plan</vt:lpstr>
      <vt:lpstr>Out_None_Start</vt:lpstr>
      <vt:lpstr>Out_NPV_Plan</vt:lpstr>
      <vt:lpstr>Out_NPV_Start</vt:lpstr>
      <vt:lpstr>Out_Over_Plan</vt:lpstr>
      <vt:lpstr>Out_Over_Start</vt:lpstr>
      <vt:lpstr>Out_Peak_Plan</vt:lpstr>
      <vt:lpstr>Out_Peak_Start</vt:lpstr>
      <vt:lpstr>Out_Spend_1</vt:lpstr>
      <vt:lpstr>Out_Spend_10</vt:lpstr>
      <vt:lpstr>Out_Spend_2</vt:lpstr>
      <vt:lpstr>Out_Spend_3</vt:lpstr>
      <vt:lpstr>Out_Spend_4</vt:lpstr>
      <vt:lpstr>Out_Spend_5</vt:lpstr>
      <vt:lpstr>Out_Spend_6</vt:lpstr>
      <vt:lpstr>Out_Spend_7</vt:lpstr>
      <vt:lpstr>Out_Spend_8</vt:lpstr>
      <vt:lpstr>Out_Spend_9</vt:lpstr>
      <vt:lpstr>Results!Print_Area</vt:lpstr>
      <vt:lpstr>Decisions!Print_Titles</vt:lpstr>
      <vt:lpstr>Inputs!Print_Titles</vt:lpstr>
      <vt:lpstr>Results!Print_Titles</vt:lpstr>
      <vt:lpstr>Spend!Print_Titles</vt:lpstr>
      <vt:lpstr>PrjStage</vt:lpstr>
      <vt:lpstr>PVCost_A</vt:lpstr>
      <vt:lpstr>PVCost_B</vt:lpstr>
      <vt:lpstr>PVCost_C</vt:lpstr>
      <vt:lpstr>PVCost_D</vt:lpstr>
      <vt:lpstr>PVCost_E</vt:lpstr>
      <vt:lpstr>PVCost_F</vt:lpstr>
      <vt:lpstr>PVCost_G</vt:lpstr>
      <vt:lpstr>PVCost_H</vt:lpstr>
      <vt:lpstr>PVCostCol</vt:lpstr>
      <vt:lpstr>Rho</vt:lpstr>
      <vt:lpstr>StageIdx</vt:lpstr>
      <vt:lpstr>Stop_A</vt:lpstr>
      <vt:lpstr>Stop_B</vt:lpstr>
      <vt:lpstr>Stop_C</vt:lpstr>
      <vt:lpstr>Stop_D</vt:lpstr>
      <vt:lpstr>Stop_E</vt:lpstr>
      <vt:lpstr>Stop_F</vt:lpstr>
      <vt:lpstr>Stop_G</vt:lpstr>
      <vt:lpstr>Stop_H</vt:lpstr>
      <vt:lpstr>U_B</vt:lpstr>
      <vt:lpstr>U_C</vt:lpstr>
      <vt:lpstr>U_D</vt:lpstr>
      <vt:lpstr>U_E</vt:lpstr>
      <vt:lpstr>U_F</vt:lpstr>
      <vt:lpstr>U_H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PH-09 R&amp;D Portfolio Chosen by the Optimizer</dc:title>
  <dc:subject>ModelRisk industry example library — Pharmaceuticals and biotech</dc:subject>
  <dc:creator>Vose Software</dc:creator>
  <cp:keywords>ModelRisk; Monte Carlo; Pharmaceuticals and biotech</cp:keywords>
  <dc:description>Eight development projects, an annual R&amp;D budget and shared mechanisms: the portfolio chosen by the ModelRisk Optimizer for the most value, within limits on budget risk and on the chance of no launch.</dc:description>
  <cp:lastModifiedBy>Timour Koupeev</cp:lastModifiedBy>
  <dcterms:created xsi:type="dcterms:W3CDTF">2026-10-13T13:17:00Z</dcterms:created>
  <dcterms:modified xsi:type="dcterms:W3CDTF">2026-10-13T13:21:46Z</dcterms:modified>
</cp:coreProperties>
</file>