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Pharmaceuticals and biotech\"/>
    </mc:Choice>
  </mc:AlternateContent>
  <xr:revisionPtr revIDLastSave="0" documentId="8_{8DE0B674-FA37-4ECC-9392-FE9E0EDC5082}"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Analysis" sheetId="3" r:id="rId3"/>
    <sheet name="Results" sheetId="4" r:id="rId4"/>
    <sheet name="ModelRiskDSN" sheetId="5" state="hidden" r:id="rId5"/>
    <sheet name="ModelRiskSYS1" sheetId="6" state="hidden" r:id="rId6"/>
    <sheet name="ModelRiskCharts" sheetId="7" state="hidden" r:id="rId7"/>
  </sheets>
  <definedNames>
    <definedName name="Alpha">Inputs!$D$13</definedName>
    <definedName name="BoundX">Analysis!$B$44:$B$84</definedName>
    <definedName name="Checks">Analysis!$D$100:$D$102</definedName>
    <definedName name="Control">Inputs!$D$12</definedName>
    <definedName name="CPower">Analysis!$D$28</definedName>
    <definedName name="CrHi">Analysis!$D$25</definedName>
    <definedName name="CrLo">Analysis!$D$24</definedName>
    <definedName name="Decision">Analysis!$D$29</definedName>
    <definedName name="Efficacy">Inputs!$D$31</definedName>
    <definedName name="EffMin">Analysis!$D$89</definedName>
    <definedName name="FinalRate">Analysis!$D$96</definedName>
    <definedName name="FinalX">Analysis!$D$94</definedName>
    <definedName name="Futility">Inputs!$D$30</definedName>
    <definedName name="FutMax">Analysis!$D$88</definedName>
    <definedName name="KSucc">Analysis!$D$10</definedName>
    <definedName name="Need">Analysis!$D$12</definedName>
    <definedName name="NInt">Inputs!$D$18</definedName>
    <definedName name="NRem">Analysis!$D$11</definedName>
    <definedName name="NTot">Inputs!$D$11</definedName>
    <definedName name="PA_2">Inputs!$D$36</definedName>
    <definedName name="PA_3">Inputs!$D$38</definedName>
    <definedName name="PA_4">Inputs!$D$40</definedName>
    <definedName name="PB_2">Inputs!$D$37</definedName>
    <definedName name="PB_3">Inputs!$D$39</definedName>
    <definedName name="PB_4">Inputs!$D$41</definedName>
    <definedName name="PBeat">Analysis!$D$26</definedName>
    <definedName name="PostA">Analysis!$D$8</definedName>
    <definedName name="PostB">Analysis!$D$9</definedName>
    <definedName name="PostMean">Analysis!$D$23</definedName>
    <definedName name="PPoS">Analysis!$D$27</definedName>
    <definedName name="_xlnm.Print_Area" localSheetId="3">Results!$A$1:$R$60</definedName>
    <definedName name="_xlnm.Print_Titles" localSheetId="1">Inputs!$1:$4</definedName>
    <definedName name="_xlnm.Print_Titles" localSheetId="3">Results!$1:$4</definedName>
    <definedName name="PriorN">Inputs!$D$24</definedName>
    <definedName name="PriorTable">Analysis!$B$35:$H$38</definedName>
    <definedName name="PriorX">Inputs!$D$25</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uccess">Analysis!$D$95</definedName>
    <definedName name="TrueRate">Analysis!$D$17</definedName>
    <definedName name="XInt">Inputs!$D$19</definedName>
    <definedName name="YRem">Analysis!$D$18</definedName>
    <definedName name="Zone">Analysis!$I$44:$I$84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18" i="4" l="1"/>
  <c r="D418" i="4"/>
  <c r="E417" i="4"/>
  <c r="D417" i="4"/>
  <c r="E416" i="4"/>
  <c r="D416" i="4"/>
  <c r="E415" i="4"/>
  <c r="D415" i="4"/>
  <c r="E414" i="4"/>
  <c r="D414" i="4"/>
  <c r="E413" i="4"/>
  <c r="D413" i="4"/>
  <c r="E412" i="4"/>
  <c r="D412" i="4"/>
  <c r="E411" i="4"/>
  <c r="D411" i="4"/>
  <c r="E410" i="4"/>
  <c r="D410" i="4"/>
  <c r="E409" i="4"/>
  <c r="D409" i="4"/>
  <c r="E408" i="4"/>
  <c r="D408" i="4"/>
  <c r="E407" i="4"/>
  <c r="D407" i="4"/>
  <c r="E406" i="4"/>
  <c r="D406" i="4"/>
  <c r="E405" i="4"/>
  <c r="D405" i="4"/>
  <c r="E404" i="4"/>
  <c r="D404" i="4"/>
  <c r="E403" i="4"/>
  <c r="D403" i="4"/>
  <c r="E402" i="4"/>
  <c r="D402" i="4"/>
  <c r="E401" i="4"/>
  <c r="D401" i="4"/>
  <c r="E400" i="4"/>
  <c r="D400" i="4"/>
  <c r="E399" i="4"/>
  <c r="D399" i="4"/>
  <c r="E398" i="4"/>
  <c r="D398" i="4"/>
  <c r="E397" i="4"/>
  <c r="D397" i="4"/>
  <c r="E396" i="4"/>
  <c r="D396" i="4"/>
  <c r="E395" i="4"/>
  <c r="D395" i="4"/>
  <c r="E394" i="4"/>
  <c r="D394" i="4"/>
  <c r="E393" i="4"/>
  <c r="D393" i="4"/>
  <c r="E392" i="4"/>
  <c r="D392" i="4"/>
  <c r="E391" i="4"/>
  <c r="D391" i="4"/>
  <c r="E390" i="4"/>
  <c r="D390" i="4"/>
  <c r="E389" i="4"/>
  <c r="D389" i="4"/>
  <c r="E388" i="4"/>
  <c r="D388" i="4"/>
  <c r="E387" i="4"/>
  <c r="D387" i="4"/>
  <c r="E386" i="4"/>
  <c r="D386" i="4"/>
  <c r="E385" i="4"/>
  <c r="D385" i="4"/>
  <c r="E384" i="4"/>
  <c r="D384" i="4"/>
  <c r="E383" i="4"/>
  <c r="D383" i="4"/>
  <c r="E382" i="4"/>
  <c r="D382" i="4"/>
  <c r="E381" i="4"/>
  <c r="D381" i="4"/>
  <c r="E380" i="4"/>
  <c r="D380" i="4"/>
  <c r="E379" i="4"/>
  <c r="D379" i="4"/>
  <c r="E378" i="4"/>
  <c r="D378"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D12" i="4"/>
  <c r="D102" i="3"/>
  <c r="D100" i="3"/>
  <c r="B45" i="3"/>
  <c r="F45" i="3" s="1"/>
  <c r="G44" i="3"/>
  <c r="F44" i="3"/>
  <c r="C44" i="3"/>
  <c r="D38" i="3"/>
  <c r="G38" i="3" s="1"/>
  <c r="C38" i="3"/>
  <c r="F38" i="3" s="1"/>
  <c r="D37" i="3"/>
  <c r="G37" i="3" s="1"/>
  <c r="D45" i="4"/>
  <c r="C37" i="3"/>
  <c r="F37" i="3" s="1"/>
  <c r="D36" i="3"/>
  <c r="D44" i="4"/>
  <c r="C36" i="3"/>
  <c r="C44" i="4"/>
  <c r="D35" i="3"/>
  <c r="D43" i="4" s="1"/>
  <c r="G35" i="3"/>
  <c r="C35" i="3"/>
  <c r="F35" i="3" s="1"/>
  <c r="D11" i="3"/>
  <c r="D9" i="3"/>
  <c r="D8" i="3"/>
  <c r="D26" i="3" a="1"/>
  <c r="D26" i="3" s="1"/>
  <c r="D17" i="4" s="1"/>
  <c r="G36" i="3"/>
  <c r="F36" i="3"/>
  <c r="D46" i="4"/>
  <c r="C46" i="4"/>
  <c r="D10" i="3" a="1"/>
  <c r="D17" i="3" a="1"/>
  <c r="I35" i="3" l="1" a="1"/>
  <c r="I35" i="3" s="1"/>
  <c r="F43" i="4" s="1"/>
  <c r="C45" i="4"/>
  <c r="C43" i="4"/>
  <c r="G45" i="3"/>
  <c r="D17" i="3"/>
  <c r="D10" i="3"/>
  <c r="B25" i="4" s="1"/>
  <c r="D23" i="3"/>
  <c r="D13" i="4" s="1"/>
  <c r="H35" i="3"/>
  <c r="E43" i="4" s="1"/>
  <c r="I36" i="3" a="1"/>
  <c r="I36" i="3" s="1"/>
  <c r="F44" i="4" s="1"/>
  <c r="H36" i="3"/>
  <c r="E44" i="4" s="1"/>
  <c r="B46" i="3"/>
  <c r="C45" i="3"/>
  <c r="H37" i="3"/>
  <c r="E45" i="4" s="1"/>
  <c r="I37" i="3" a="1"/>
  <c r="I37" i="3" s="1"/>
  <c r="F45" i="4" s="1"/>
  <c r="I38" i="3" a="1"/>
  <c r="I38" i="3" s="1"/>
  <c r="F46" i="4" s="1"/>
  <c r="H38" i="3"/>
  <c r="E46" i="4" s="1"/>
  <c r="C161" i="4" a="1"/>
  <c r="C189" i="4" a="1"/>
  <c r="C172" i="4" a="1"/>
  <c r="D87" i="4" a="1"/>
  <c r="C184" i="4" a="1"/>
  <c r="D105" i="4" a="1"/>
  <c r="C175" i="4" a="1"/>
  <c r="C179" i="4" a="1"/>
  <c r="D104" i="4" a="1"/>
  <c r="D111" i="4" a="1"/>
  <c r="D74" i="4" a="1"/>
  <c r="C191" i="4" a="1"/>
  <c r="C214" i="4" a="1"/>
  <c r="D97" i="4" a="1"/>
  <c r="D66" i="4" a="1"/>
  <c r="C168" i="4" a="1"/>
  <c r="C188" i="4" a="1"/>
  <c r="D96" i="4" a="1"/>
  <c r="D88" i="4" a="1"/>
  <c r="C180" i="4" a="1"/>
  <c r="C177" i="4" a="1"/>
  <c r="D89" i="4" a="1"/>
  <c r="D14" i="4" a="1"/>
  <c r="C205" i="4" a="1"/>
  <c r="C166" i="4" a="1"/>
  <c r="D78" i="4" a="1"/>
  <c r="C218" i="4" a="1"/>
  <c r="C194" i="4" a="1"/>
  <c r="C208" i="4" a="1"/>
  <c r="C164" i="4" a="1"/>
  <c r="C163" i="4" a="1"/>
  <c r="D108" i="4" a="1"/>
  <c r="C171" i="4" a="1"/>
  <c r="C165" i="4" a="1"/>
  <c r="C181" i="4" a="1"/>
  <c r="C127" i="4" a="1"/>
  <c r="C169" i="4" a="1"/>
  <c r="C167" i="4" a="1"/>
  <c r="C120" i="4" a="1"/>
  <c r="C141" i="4" a="1"/>
  <c r="D81" i="4" a="1"/>
  <c r="C206" i="4" a="1"/>
  <c r="C178" i="4" a="1"/>
  <c r="C216" i="4" a="1"/>
  <c r="D100" i="4" a="1"/>
  <c r="C160" i="4" a="1"/>
  <c r="C154" i="4" a="1"/>
  <c r="C170" i="4" a="1"/>
  <c r="D115" i="4" a="1"/>
  <c r="C158" i="4" a="1"/>
  <c r="C151" i="4" a="1"/>
  <c r="D109" i="4" a="1"/>
  <c r="C130" i="4" a="1"/>
  <c r="C212" i="4" a="1"/>
  <c r="D92" i="4" a="1"/>
  <c r="C155" i="4" a="1"/>
  <c r="C149" i="4" a="1"/>
  <c r="C133" i="4" a="1"/>
  <c r="D107" i="4" a="1"/>
  <c r="C153" i="4" a="1"/>
  <c r="C135" i="4" a="1"/>
  <c r="D101" i="4" a="1"/>
  <c r="C125" i="4" a="1"/>
  <c r="C150" i="4" a="1"/>
  <c r="C156" i="4" a="1"/>
  <c r="D80" i="4" a="1"/>
  <c r="C215" i="4" a="1"/>
  <c r="D84" i="4" a="1"/>
  <c r="C144" i="4" a="1"/>
  <c r="C138" i="4" a="1"/>
  <c r="C122" i="4" a="1"/>
  <c r="D99" i="4" a="1"/>
  <c r="C142" i="4" a="1"/>
  <c r="C119" i="4" a="1"/>
  <c r="D93" i="4" a="1"/>
  <c r="D114" i="4" a="1"/>
  <c r="C209" i="4" a="1"/>
  <c r="C145" i="4" a="1"/>
  <c r="D76" i="4" a="1"/>
  <c r="C203" i="4" a="1"/>
  <c r="C139" i="4" a="1"/>
  <c r="D73" i="4" a="1"/>
  <c r="D110" i="4" a="1"/>
  <c r="C140" i="4" a="1"/>
  <c r="C204" i="4" a="1"/>
  <c r="C159" i="4" a="1"/>
  <c r="D91" i="4" a="1"/>
  <c r="C201" i="4" a="1"/>
  <c r="C137" i="4" a="1"/>
  <c r="D70" i="4" a="1"/>
  <c r="D103" i="4" a="1"/>
  <c r="C152" i="4" a="1"/>
  <c r="D85" i="4" a="1"/>
  <c r="C173" i="4" a="1"/>
  <c r="D106" i="4" a="1"/>
  <c r="C198" i="4" a="1"/>
  <c r="C134" i="4" a="1"/>
  <c r="D71" i="4" a="1"/>
  <c r="C192" i="4" a="1"/>
  <c r="C128" i="4" a="1"/>
  <c r="C202" i="4" a="1"/>
  <c r="D102" i="4" a="1"/>
  <c r="C124" i="4" a="1"/>
  <c r="C213" i="4" a="1"/>
  <c r="C148" i="4" a="1"/>
  <c r="D83" i="4" a="1"/>
  <c r="C190" i="4" a="1"/>
  <c r="C126" i="4" a="1"/>
  <c r="D68" i="4" a="1"/>
  <c r="C211" i="4" a="1"/>
  <c r="C147" i="4" a="1"/>
  <c r="D77" i="4" a="1"/>
  <c r="C162" i="4" a="1"/>
  <c r="D98" i="4" a="1"/>
  <c r="C193" i="4" a="1"/>
  <c r="C129" i="4" a="1"/>
  <c r="D69" i="4" a="1"/>
  <c r="C187" i="4" a="1"/>
  <c r="C123" i="4" a="1"/>
  <c r="C197" i="4" a="1"/>
  <c r="D94" i="4" a="1"/>
  <c r="D95" i="4" a="1"/>
  <c r="C207" i="4" a="1"/>
  <c r="C143" i="4" a="1"/>
  <c r="D75" i="4" a="1"/>
  <c r="C185" i="4" a="1"/>
  <c r="C121" i="4" a="1"/>
  <c r="C199" i="4" a="1"/>
  <c r="C200" i="4" a="1"/>
  <c r="C136" i="4" a="1"/>
  <c r="C217" i="4" a="1"/>
  <c r="C157" i="4" a="1"/>
  <c r="D90" i="4" a="1"/>
  <c r="C182" i="4" a="1"/>
  <c r="C118" i="4" a="1"/>
  <c r="D67" i="4" a="1"/>
  <c r="C176" i="4" a="1"/>
  <c r="D113" i="4" a="1"/>
  <c r="C186" i="4" a="1"/>
  <c r="D86" i="4" a="1"/>
  <c r="D79" i="4" a="1"/>
  <c r="C196" i="4" a="1"/>
  <c r="C132" i="4" a="1"/>
  <c r="D72" i="4" a="1"/>
  <c r="C174" i="4" a="1"/>
  <c r="D112" i="4" a="1"/>
  <c r="C183" i="4" a="1"/>
  <c r="C195" i="4" a="1"/>
  <c r="C131" i="4" a="1"/>
  <c r="C210" i="4" a="1"/>
  <c r="C146" i="4" a="1"/>
  <c r="D82" i="4" a="1"/>
  <c r="D18" i="3" a="1"/>
  <c r="D24" i="3" a="1"/>
  <c r="D25" i="3" a="1"/>
  <c r="D82" i="4" l="1"/>
  <c r="C146" i="4"/>
  <c r="C210" i="4"/>
  <c r="C131" i="4"/>
  <c r="C195" i="4"/>
  <c r="C183" i="4"/>
  <c r="D112" i="4"/>
  <c r="C174" i="4"/>
  <c r="D72" i="4"/>
  <c r="C132" i="4"/>
  <c r="C196" i="4"/>
  <c r="D79" i="4"/>
  <c r="D86" i="4"/>
  <c r="C186" i="4"/>
  <c r="D113" i="4"/>
  <c r="C176" i="4"/>
  <c r="D67" i="4"/>
  <c r="C118" i="4"/>
  <c r="C182" i="4"/>
  <c r="D90" i="4"/>
  <c r="C157" i="4"/>
  <c r="C217" i="4"/>
  <c r="C136" i="4"/>
  <c r="C200" i="4"/>
  <c r="C199" i="4"/>
  <c r="C121" i="4"/>
  <c r="C185" i="4"/>
  <c r="D75" i="4"/>
  <c r="C143" i="4"/>
  <c r="C207" i="4"/>
  <c r="D95" i="4"/>
  <c r="D94" i="4"/>
  <c r="C197" i="4"/>
  <c r="C123" i="4"/>
  <c r="C187" i="4"/>
  <c r="D69" i="4"/>
  <c r="C129" i="4"/>
  <c r="C193" i="4"/>
  <c r="D98" i="4"/>
  <c r="C162" i="4"/>
  <c r="D77" i="4"/>
  <c r="C147" i="4"/>
  <c r="C211" i="4"/>
  <c r="D68" i="4"/>
  <c r="C126" i="4"/>
  <c r="C190" i="4"/>
  <c r="D83" i="4"/>
  <c r="C148" i="4"/>
  <c r="C213" i="4"/>
  <c r="C124" i="4"/>
  <c r="D102" i="4"/>
  <c r="C202" i="4"/>
  <c r="C128" i="4"/>
  <c r="C192" i="4"/>
  <c r="D71" i="4"/>
  <c r="C134" i="4"/>
  <c r="C198" i="4"/>
  <c r="D106" i="4"/>
  <c r="C173" i="4"/>
  <c r="D85" i="4"/>
  <c r="C152" i="4"/>
  <c r="D103" i="4"/>
  <c r="D70" i="4"/>
  <c r="C137" i="4"/>
  <c r="C201" i="4"/>
  <c r="D91" i="4"/>
  <c r="C159" i="4"/>
  <c r="C204" i="4"/>
  <c r="C140" i="4"/>
  <c r="D110" i="4"/>
  <c r="D73" i="4"/>
  <c r="C139" i="4"/>
  <c r="C203" i="4"/>
  <c r="D76" i="4"/>
  <c r="C145" i="4"/>
  <c r="C209" i="4"/>
  <c r="D114" i="4"/>
  <c r="D93" i="4"/>
  <c r="C119" i="4"/>
  <c r="C142" i="4"/>
  <c r="D99" i="4"/>
  <c r="C122" i="4"/>
  <c r="C138" i="4"/>
  <c r="C144" i="4"/>
  <c r="D84" i="4"/>
  <c r="C215" i="4"/>
  <c r="D80" i="4"/>
  <c r="C156" i="4"/>
  <c r="C150" i="4"/>
  <c r="C125" i="4"/>
  <c r="D101" i="4"/>
  <c r="C135" i="4"/>
  <c r="C153" i="4"/>
  <c r="D107" i="4"/>
  <c r="C133" i="4"/>
  <c r="C149" i="4"/>
  <c r="C155" i="4"/>
  <c r="D92" i="4"/>
  <c r="C212" i="4"/>
  <c r="C130" i="4"/>
  <c r="D109" i="4"/>
  <c r="C151" i="4"/>
  <c r="C158" i="4"/>
  <c r="D115" i="4"/>
  <c r="C170" i="4"/>
  <c r="C154" i="4"/>
  <c r="C160" i="4"/>
  <c r="D100" i="4"/>
  <c r="C216" i="4"/>
  <c r="C178" i="4"/>
  <c r="C206" i="4"/>
  <c r="D81" i="4"/>
  <c r="C141" i="4"/>
  <c r="C120" i="4"/>
  <c r="C167" i="4"/>
  <c r="C169" i="4"/>
  <c r="C127" i="4"/>
  <c r="C181" i="4"/>
  <c r="C165" i="4"/>
  <c r="C171" i="4"/>
  <c r="D108" i="4"/>
  <c r="C163" i="4"/>
  <c r="C164" i="4"/>
  <c r="C208" i="4"/>
  <c r="C194" i="4"/>
  <c r="C218" i="4"/>
  <c r="D78" i="4"/>
  <c r="C166" i="4"/>
  <c r="C205" i="4"/>
  <c r="D14" i="4"/>
  <c r="D89" i="4"/>
  <c r="C177" i="4"/>
  <c r="C180" i="4"/>
  <c r="D88" i="4"/>
  <c r="D96" i="4"/>
  <c r="C188" i="4"/>
  <c r="C168" i="4"/>
  <c r="D66" i="4"/>
  <c r="D97" i="4"/>
  <c r="C214" i="4"/>
  <c r="C191" i="4"/>
  <c r="D74" i="4"/>
  <c r="D111" i="4"/>
  <c r="D104" i="4"/>
  <c r="C179" i="4"/>
  <c r="C175" i="4"/>
  <c r="D105" i="4"/>
  <c r="C184" i="4"/>
  <c r="D87" i="4"/>
  <c r="C172" i="4"/>
  <c r="C189" i="4"/>
  <c r="C161" i="4"/>
  <c r="D25" i="3"/>
  <c r="D16" i="4" s="1"/>
  <c r="D24" i="3"/>
  <c r="D15" i="4" s="1"/>
  <c r="D18" i="3"/>
  <c r="D94" i="3" s="1" a="1"/>
  <c r="D94" i="3" s="1"/>
  <c r="D12" i="3"/>
  <c r="D45" i="3"/>
  <c r="H45" i="3" s="1" a="1"/>
  <c r="H45" i="3" s="1"/>
  <c r="D44" i="3"/>
  <c r="H44" i="3" s="1" a="1"/>
  <c r="H44" i="3" s="1"/>
  <c r="D46" i="3"/>
  <c r="H46" i="3" s="1" a="1"/>
  <c r="H46" i="3" s="1"/>
  <c r="B47" i="3"/>
  <c r="C46" i="3"/>
  <c r="G46" i="3"/>
  <c r="F46" i="3"/>
  <c r="E91" i="4" a="1"/>
  <c r="C346" i="4" a="1"/>
  <c r="E106" i="4" a="1"/>
  <c r="C249" i="4" a="1"/>
  <c r="E80" i="4" a="1"/>
  <c r="C280" i="4" a="1"/>
  <c r="E107" i="4" a="1"/>
  <c r="C254" i="4" a="1"/>
  <c r="E95" i="4" a="1"/>
  <c r="E76" i="4" a="1"/>
  <c r="C255" i="4" a="1"/>
  <c r="C304" i="4" a="1"/>
  <c r="C285" i="4" a="1"/>
  <c r="E115" i="4" a="1"/>
  <c r="C341" i="4" a="1"/>
  <c r="E66" i="4" a="1"/>
  <c r="E109" i="4" a="1"/>
  <c r="C298" i="4" a="1"/>
  <c r="C344" i="4" a="1"/>
  <c r="C289" i="4" a="1"/>
  <c r="C300" i="4" a="1"/>
  <c r="C278" i="4" a="1"/>
  <c r="C334" i="4" a="1"/>
  <c r="C307" i="4" a="1"/>
  <c r="C329" i="4" a="1"/>
  <c r="C277" i="4" a="1"/>
  <c r="C301" i="4" a="1"/>
  <c r="C305" i="4" a="1"/>
  <c r="C270" i="4" a="1"/>
  <c r="C335" i="4" a="1"/>
  <c r="E72" i="4" a="1"/>
  <c r="E87" i="4" a="1"/>
  <c r="C336" i="4" a="1"/>
  <c r="C272" i="4" a="1"/>
  <c r="C251" i="4" a="1"/>
  <c r="C263" i="4" a="1"/>
  <c r="C322" i="4" a="1"/>
  <c r="C345" i="4" a="1"/>
  <c r="C331" i="4" a="1"/>
  <c r="C290" i="4" a="1"/>
  <c r="E90" i="4" a="1"/>
  <c r="E79" i="4" a="1"/>
  <c r="C340" i="4" a="1"/>
  <c r="E68" i="4" a="1"/>
  <c r="E98" i="4" a="1"/>
  <c r="C332" i="4" a="1"/>
  <c r="C268" i="4" a="1"/>
  <c r="E113" i="4" a="1"/>
  <c r="C257" i="4" a="1"/>
  <c r="C297" i="4" a="1"/>
  <c r="C338" i="4" a="1"/>
  <c r="C325" i="4" a="1"/>
  <c r="C265" i="4" a="1"/>
  <c r="E82" i="4" a="1"/>
  <c r="E71" i="4" a="1"/>
  <c r="C312" i="4" a="1"/>
  <c r="C248" i="4" a="1"/>
  <c r="E73" i="4" a="1"/>
  <c r="E86" i="4" a="1"/>
  <c r="C333" i="4" a="1"/>
  <c r="C281" i="4" a="1"/>
  <c r="C267" i="4" a="1"/>
  <c r="C330" i="4" a="1"/>
  <c r="C310" i="4" a="1"/>
  <c r="C276" i="4" a="1"/>
  <c r="C282" i="4" a="1"/>
  <c r="C303" i="4" a="1"/>
  <c r="C308" i="4" a="1"/>
  <c r="C347" i="4" a="1"/>
  <c r="E100" i="4" a="1"/>
  <c r="E78" i="4" a="1"/>
  <c r="C326" i="4" a="1"/>
  <c r="C274" i="4" a="1"/>
  <c r="C261" i="4" a="1"/>
  <c r="C311" i="4" a="1"/>
  <c r="C291" i="4" a="1"/>
  <c r="C328" i="4" a="1"/>
  <c r="C296" i="4" a="1"/>
  <c r="C264" i="4" a="1"/>
  <c r="C315" i="4" a="1"/>
  <c r="E105" i="4" a="1"/>
  <c r="C327" i="4" a="1"/>
  <c r="C250" i="4" a="1"/>
  <c r="E99" i="4" a="1"/>
  <c r="C271" i="4" a="1"/>
  <c r="C294" i="4" a="1"/>
  <c r="C319" i="4" a="1"/>
  <c r="E112" i="4" a="1"/>
  <c r="C318" i="4" a="1"/>
  <c r="E101" i="4" a="1"/>
  <c r="E92" i="4" a="1"/>
  <c r="C279" i="4" a="1"/>
  <c r="E74" i="4" a="1"/>
  <c r="C259" i="4" a="1"/>
  <c r="E69" i="4" a="1"/>
  <c r="C324" i="4" a="1"/>
  <c r="C292" i="4" a="1"/>
  <c r="C260" i="4" a="1"/>
  <c r="C309" i="4" a="1"/>
  <c r="E97" i="4" a="1"/>
  <c r="C321" i="4" a="1"/>
  <c r="E110" i="4" a="1"/>
  <c r="E83" i="4" a="1"/>
  <c r="C258" i="4" a="1"/>
  <c r="C275" i="4" a="1"/>
  <c r="C313" i="4" a="1"/>
  <c r="E104" i="4" a="1"/>
  <c r="C299" i="4" a="1"/>
  <c r="E93" i="4" a="1"/>
  <c r="E84" i="4" a="1"/>
  <c r="C273" i="4" a="1"/>
  <c r="C342" i="4" a="1"/>
  <c r="C253" i="4" a="1"/>
  <c r="E67" i="4" a="1"/>
  <c r="C320" i="4" a="1"/>
  <c r="C288" i="4" a="1"/>
  <c r="C256" i="4" a="1"/>
  <c r="C302" i="4" a="1"/>
  <c r="E89" i="4" a="1"/>
  <c r="C314" i="4" a="1"/>
  <c r="E102" i="4" a="1"/>
  <c r="E75" i="4" a="1"/>
  <c r="E108" i="4" a="1"/>
  <c r="C269" i="4" a="1"/>
  <c r="C306" i="4" a="1"/>
  <c r="E96" i="4" a="1"/>
  <c r="C293" i="4" a="1"/>
  <c r="E85" i="4" a="1"/>
  <c r="C343" i="4" a="1"/>
  <c r="C266" i="4" a="1"/>
  <c r="C323" i="4" a="1"/>
  <c r="E111" i="4" a="1"/>
  <c r="C348" i="4" a="1"/>
  <c r="C316" i="4" a="1"/>
  <c r="C284" i="4" a="1"/>
  <c r="C252" i="4" a="1"/>
  <c r="C283" i="4" a="1"/>
  <c r="E81" i="4" a="1"/>
  <c r="C295" i="4" a="1"/>
  <c r="E94" i="4" a="1"/>
  <c r="E70" i="4" a="1"/>
  <c r="C339" i="4" a="1"/>
  <c r="C262" i="4" a="1"/>
  <c r="C287" i="4" a="1"/>
  <c r="E88" i="4" a="1"/>
  <c r="C286" i="4" a="1"/>
  <c r="E77" i="4" a="1"/>
  <c r="C337" i="4" a="1"/>
  <c r="E114" i="4" a="1"/>
  <c r="C317" i="4" a="1"/>
  <c r="E103" i="4" a="1"/>
  <c r="I46" i="3" l="1"/>
  <c r="C380" i="4"/>
  <c r="I44" i="3"/>
  <c r="C378" i="4"/>
  <c r="I45" i="3"/>
  <c r="C379" i="4"/>
  <c r="E103" i="4"/>
  <c r="C317" i="4"/>
  <c r="E114" i="4"/>
  <c r="C337" i="4"/>
  <c r="E77" i="4"/>
  <c r="C286" i="4"/>
  <c r="E88" i="4"/>
  <c r="C287" i="4"/>
  <c r="C262" i="4"/>
  <c r="C339" i="4"/>
  <c r="E70" i="4"/>
  <c r="E94" i="4"/>
  <c r="C295" i="4"/>
  <c r="E81" i="4"/>
  <c r="C283" i="4"/>
  <c r="C252" i="4"/>
  <c r="C284" i="4"/>
  <c r="C316" i="4"/>
  <c r="C348" i="4"/>
  <c r="E111" i="4"/>
  <c r="C323" i="4"/>
  <c r="C266" i="4"/>
  <c r="C343" i="4"/>
  <c r="E85" i="4"/>
  <c r="C293" i="4"/>
  <c r="E96" i="4"/>
  <c r="C306" i="4"/>
  <c r="C269" i="4"/>
  <c r="E108" i="4"/>
  <c r="E75" i="4"/>
  <c r="E102" i="4"/>
  <c r="C314" i="4"/>
  <c r="E89" i="4"/>
  <c r="C302" i="4"/>
  <c r="C256" i="4"/>
  <c r="C288" i="4"/>
  <c r="C320" i="4"/>
  <c r="E67" i="4"/>
  <c r="C253" i="4"/>
  <c r="C342" i="4"/>
  <c r="C273" i="4"/>
  <c r="E84" i="4"/>
  <c r="E93" i="4"/>
  <c r="C299" i="4"/>
  <c r="E104" i="4"/>
  <c r="C313" i="4"/>
  <c r="C275" i="4"/>
  <c r="C258" i="4"/>
  <c r="E83" i="4"/>
  <c r="E110" i="4"/>
  <c r="C321" i="4"/>
  <c r="E97" i="4"/>
  <c r="C309" i="4"/>
  <c r="C260" i="4"/>
  <c r="C292" i="4"/>
  <c r="C324" i="4"/>
  <c r="E69" i="4"/>
  <c r="C259" i="4"/>
  <c r="E74" i="4"/>
  <c r="C279" i="4"/>
  <c r="E92" i="4"/>
  <c r="E101" i="4"/>
  <c r="C318" i="4"/>
  <c r="E112" i="4"/>
  <c r="C319" i="4"/>
  <c r="C294" i="4"/>
  <c r="C271" i="4"/>
  <c r="E99" i="4"/>
  <c r="C250" i="4"/>
  <c r="C327" i="4"/>
  <c r="E105" i="4"/>
  <c r="C315" i="4"/>
  <c r="C264" i="4"/>
  <c r="C296" i="4"/>
  <c r="C328" i="4"/>
  <c r="C291" i="4"/>
  <c r="C311" i="4"/>
  <c r="C261" i="4"/>
  <c r="C274" i="4"/>
  <c r="C326" i="4"/>
  <c r="E78" i="4"/>
  <c r="E100" i="4"/>
  <c r="C347" i="4"/>
  <c r="C308" i="4"/>
  <c r="C303" i="4"/>
  <c r="C282" i="4"/>
  <c r="C276" i="4"/>
  <c r="C310" i="4"/>
  <c r="C330" i="4"/>
  <c r="C267" i="4"/>
  <c r="C281" i="4"/>
  <c r="C333" i="4"/>
  <c r="E86" i="4"/>
  <c r="E73" i="4"/>
  <c r="C248" i="4"/>
  <c r="C312" i="4"/>
  <c r="E71" i="4"/>
  <c r="E82" i="4"/>
  <c r="C265" i="4"/>
  <c r="C325" i="4"/>
  <c r="C338" i="4"/>
  <c r="C297" i="4"/>
  <c r="C257" i="4"/>
  <c r="E113" i="4"/>
  <c r="C268" i="4"/>
  <c r="C332" i="4"/>
  <c r="E98" i="4"/>
  <c r="E68" i="4"/>
  <c r="C340" i="4"/>
  <c r="E79" i="4"/>
  <c r="E90" i="4"/>
  <c r="C290" i="4"/>
  <c r="C331" i="4"/>
  <c r="C345" i="4"/>
  <c r="C322" i="4"/>
  <c r="C263" i="4"/>
  <c r="C251" i="4"/>
  <c r="C272" i="4"/>
  <c r="C336" i="4"/>
  <c r="E87" i="4"/>
  <c r="E72" i="4"/>
  <c r="C335" i="4"/>
  <c r="C270" i="4"/>
  <c r="C305" i="4"/>
  <c r="C301" i="4"/>
  <c r="C277" i="4"/>
  <c r="C329" i="4"/>
  <c r="C307" i="4"/>
  <c r="C334" i="4"/>
  <c r="C278" i="4"/>
  <c r="C300" i="4"/>
  <c r="C289" i="4"/>
  <c r="C344" i="4"/>
  <c r="C298" i="4"/>
  <c r="E109" i="4"/>
  <c r="E66" i="4"/>
  <c r="C341" i="4"/>
  <c r="E115" i="4"/>
  <c r="C285" i="4"/>
  <c r="C304" i="4"/>
  <c r="C255" i="4"/>
  <c r="E76" i="4"/>
  <c r="E95" i="4"/>
  <c r="C254" i="4"/>
  <c r="E107" i="4"/>
  <c r="C280" i="4"/>
  <c r="E80" i="4"/>
  <c r="C249" i="4"/>
  <c r="E106" i="4"/>
  <c r="C346" i="4"/>
  <c r="E91" i="4"/>
  <c r="C241" i="4"/>
  <c r="C232" i="4"/>
  <c r="C221" i="4"/>
  <c r="C230" i="4"/>
  <c r="C240" i="4"/>
  <c r="C244" i="4"/>
  <c r="C239" i="4"/>
  <c r="C243" i="4"/>
  <c r="C234" i="4"/>
  <c r="C238" i="4"/>
  <c r="C224" i="4"/>
  <c r="C236" i="4"/>
  <c r="C233" i="4"/>
  <c r="C223" i="4"/>
  <c r="C228" i="4"/>
  <c r="C245" i="4"/>
  <c r="D245" i="4" s="1"/>
  <c r="G245" i="4" s="1" a="1"/>
  <c r="G245" i="4" s="1"/>
  <c r="C237" i="4"/>
  <c r="C231" i="4"/>
  <c r="C222" i="4"/>
  <c r="C227" i="4"/>
  <c r="C229" i="4"/>
  <c r="C242" i="4"/>
  <c r="C226" i="4"/>
  <c r="C235" i="4"/>
  <c r="C225" i="4"/>
  <c r="B48" i="3"/>
  <c r="G47" i="3"/>
  <c r="F47" i="3"/>
  <c r="C47" i="3"/>
  <c r="D47" i="3"/>
  <c r="D95" i="3" a="1"/>
  <c r="D95" i="3" s="1"/>
  <c r="D96" i="3" a="1"/>
  <c r="D96" i="3" s="1"/>
  <c r="J36" i="3" a="1"/>
  <c r="J36" i="3" s="1"/>
  <c r="G44" i="4" s="1"/>
  <c r="J35" i="3" a="1"/>
  <c r="J35" i="3" s="1"/>
  <c r="G43" i="4" s="1"/>
  <c r="D28" i="3" a="1"/>
  <c r="D28" i="3" s="1"/>
  <c r="D29" i="4" s="1"/>
  <c r="J37" i="3" a="1"/>
  <c r="J37" i="3" s="1"/>
  <c r="G45" i="4" s="1"/>
  <c r="D27" i="3" a="1"/>
  <c r="D27" i="3" s="1"/>
  <c r="J38" i="3" a="1"/>
  <c r="J38" i="3" s="1"/>
  <c r="G46" i="4" s="1"/>
  <c r="D30" i="4" a="1"/>
  <c r="D31" i="4" a="1"/>
  <c r="B6" i="4" a="1"/>
  <c r="D27" i="4" a="1"/>
  <c r="H47" i="3" l="1" a="1"/>
  <c r="H47" i="3" s="1"/>
  <c r="D29" i="3"/>
  <c r="D32" i="4" s="1"/>
  <c r="D28" i="4"/>
  <c r="D27" i="4"/>
  <c r="B6" i="4"/>
  <c r="D31" i="4"/>
  <c r="D30" i="4"/>
  <c r="E244" i="4"/>
  <c r="D244" i="4"/>
  <c r="G244" i="4" s="1" a="1"/>
  <c r="G244" i="4" s="1"/>
  <c r="E229" i="4"/>
  <c r="D229" i="4"/>
  <c r="G229" i="4" s="1" a="1"/>
  <c r="G229" i="4" s="1"/>
  <c r="D233" i="4"/>
  <c r="G233" i="4" s="1" a="1"/>
  <c r="G233" i="4" s="1"/>
  <c r="E233" i="4"/>
  <c r="E240" i="4"/>
  <c r="D240" i="4"/>
  <c r="G240" i="4" s="1" a="1"/>
  <c r="G240" i="4" s="1"/>
  <c r="D243" i="4"/>
  <c r="G243" i="4" s="1" a="1"/>
  <c r="G243" i="4" s="1"/>
  <c r="E243" i="4"/>
  <c r="E239" i="4"/>
  <c r="D239" i="4"/>
  <c r="G239" i="4" s="1" a="1"/>
  <c r="G239" i="4" s="1"/>
  <c r="E242" i="4"/>
  <c r="D242" i="4"/>
  <c r="G242" i="4" s="1" a="1"/>
  <c r="G242" i="4" s="1"/>
  <c r="E227" i="4"/>
  <c r="D227" i="4"/>
  <c r="G227" i="4" s="1" a="1"/>
  <c r="G227" i="4" s="1"/>
  <c r="D236" i="4"/>
  <c r="G236" i="4" s="1" a="1"/>
  <c r="G236" i="4" s="1"/>
  <c r="E236" i="4"/>
  <c r="D230" i="4"/>
  <c r="G230" i="4" s="1" a="1"/>
  <c r="G230" i="4" s="1"/>
  <c r="E230" i="4"/>
  <c r="D225" i="4"/>
  <c r="G225" i="4" s="1" a="1"/>
  <c r="G225" i="4" s="1"/>
  <c r="E225" i="4"/>
  <c r="D237" i="4"/>
  <c r="G237" i="4" s="1" a="1"/>
  <c r="G237" i="4" s="1"/>
  <c r="E237" i="4"/>
  <c r="D234" i="4"/>
  <c r="G234" i="4" s="1" a="1"/>
  <c r="G234" i="4" s="1"/>
  <c r="E234" i="4"/>
  <c r="E241" i="4"/>
  <c r="D241" i="4"/>
  <c r="G241" i="4" s="1" a="1"/>
  <c r="G241" i="4" s="1"/>
  <c r="E235" i="4"/>
  <c r="D235" i="4"/>
  <c r="G235" i="4" s="1" a="1"/>
  <c r="G235" i="4" s="1"/>
  <c r="C355" i="4"/>
  <c r="C353" i="4"/>
  <c r="C358" i="4"/>
  <c r="C372" i="4"/>
  <c r="C373" i="4"/>
  <c r="C351" i="4"/>
  <c r="C374" i="4"/>
  <c r="C363" i="4"/>
  <c r="C375" i="4"/>
  <c r="D375" i="4" s="1"/>
  <c r="G375" i="4" s="1" a="1"/>
  <c r="G375" i="4" s="1"/>
  <c r="C360" i="4"/>
  <c r="C356" i="4"/>
  <c r="C364" i="4"/>
  <c r="C357" i="4"/>
  <c r="C368" i="4"/>
  <c r="C352" i="4"/>
  <c r="C365" i="4"/>
  <c r="C361" i="4"/>
  <c r="C371" i="4"/>
  <c r="C354" i="4"/>
  <c r="C370" i="4"/>
  <c r="C362" i="4"/>
  <c r="C369" i="4"/>
  <c r="C366" i="4"/>
  <c r="C367" i="4"/>
  <c r="C359" i="4"/>
  <c r="E226" i="4"/>
  <c r="D226" i="4"/>
  <c r="G226" i="4" s="1" a="1"/>
  <c r="G226" i="4" s="1"/>
  <c r="F225" i="4" s="1"/>
  <c r="D222" i="4"/>
  <c r="G222" i="4" s="1" a="1"/>
  <c r="G222" i="4" s="1"/>
  <c r="E222" i="4"/>
  <c r="E224" i="4"/>
  <c r="D224" i="4"/>
  <c r="G224" i="4" s="1" a="1"/>
  <c r="G224" i="4" s="1"/>
  <c r="E221" i="4"/>
  <c r="D221" i="4"/>
  <c r="G221" i="4" s="1" a="1"/>
  <c r="G221" i="4" s="1"/>
  <c r="D228" i="4"/>
  <c r="G228" i="4" s="1" a="1"/>
  <c r="G228" i="4" s="1"/>
  <c r="E228" i="4"/>
  <c r="D223" i="4"/>
  <c r="G223" i="4" s="1" a="1"/>
  <c r="G223" i="4" s="1"/>
  <c r="F222" i="4" s="1"/>
  <c r="E223" i="4"/>
  <c r="E231" i="4"/>
  <c r="D231" i="4"/>
  <c r="G231" i="4" s="1" a="1"/>
  <c r="G231" i="4" s="1"/>
  <c r="D238" i="4"/>
  <c r="G238" i="4" s="1" a="1"/>
  <c r="G238" i="4" s="1"/>
  <c r="E238" i="4"/>
  <c r="E232" i="4"/>
  <c r="D232" i="4"/>
  <c r="G232" i="4" s="1" a="1"/>
  <c r="G232" i="4" s="1"/>
  <c r="F231" i="4" s="1"/>
  <c r="F48" i="3"/>
  <c r="C48" i="3"/>
  <c r="G48" i="3"/>
  <c r="B49" i="3"/>
  <c r="D48" i="3"/>
  <c r="F227" i="4" l="1"/>
  <c r="F242" i="4"/>
  <c r="F233" i="4"/>
  <c r="F237" i="4"/>
  <c r="H48" i="3" a="1"/>
  <c r="H48" i="3" s="1"/>
  <c r="F240" i="4"/>
  <c r="F238" i="4"/>
  <c r="F228" i="4"/>
  <c r="F243" i="4"/>
  <c r="I47" i="3"/>
  <c r="C381" i="4"/>
  <c r="F236" i="4"/>
  <c r="E369" i="4"/>
  <c r="D369" i="4"/>
  <c r="G369" i="4" s="1" a="1"/>
  <c r="G369" i="4" s="1"/>
  <c r="E368" i="4"/>
  <c r="D368" i="4"/>
  <c r="G368" i="4" s="1" a="1"/>
  <c r="G368" i="4" s="1"/>
  <c r="E351" i="4"/>
  <c r="D351" i="4"/>
  <c r="G351" i="4" s="1" a="1"/>
  <c r="G351" i="4" s="1"/>
  <c r="E362" i="4"/>
  <c r="D362" i="4"/>
  <c r="G362" i="4" s="1" a="1"/>
  <c r="G362" i="4" s="1"/>
  <c r="E357" i="4"/>
  <c r="D357" i="4"/>
  <c r="G357" i="4" s="1" a="1"/>
  <c r="G357" i="4" s="1"/>
  <c r="E373" i="4"/>
  <c r="D373" i="4"/>
  <c r="G373" i="4" s="1" a="1"/>
  <c r="G373" i="4" s="1"/>
  <c r="D370" i="4"/>
  <c r="G370" i="4" s="1" a="1"/>
  <c r="G370" i="4" s="1"/>
  <c r="E370" i="4"/>
  <c r="E372" i="4"/>
  <c r="D372" i="4"/>
  <c r="G372" i="4" s="1" a="1"/>
  <c r="G372" i="4" s="1"/>
  <c r="D354" i="4"/>
  <c r="G354" i="4" s="1" a="1"/>
  <c r="G354" i="4" s="1"/>
  <c r="E354" i="4"/>
  <c r="D356" i="4"/>
  <c r="G356" i="4" s="1" a="1"/>
  <c r="G356" i="4" s="1"/>
  <c r="E356" i="4"/>
  <c r="E358" i="4"/>
  <c r="D358" i="4"/>
  <c r="G358" i="4" s="1" a="1"/>
  <c r="G358" i="4" s="1"/>
  <c r="F235" i="4"/>
  <c r="F229" i="4"/>
  <c r="F221" i="4"/>
  <c r="E364" i="4"/>
  <c r="D364" i="4"/>
  <c r="G364" i="4" s="1" a="1"/>
  <c r="G364" i="4" s="1"/>
  <c r="F244" i="4"/>
  <c r="D371" i="4"/>
  <c r="G371" i="4" s="1" a="1"/>
  <c r="G371" i="4" s="1"/>
  <c r="F370" i="4" s="1"/>
  <c r="E371" i="4"/>
  <c r="E360" i="4"/>
  <c r="D360" i="4"/>
  <c r="G360" i="4" s="1" a="1"/>
  <c r="G360" i="4" s="1"/>
  <c r="D353" i="4"/>
  <c r="G353" i="4" s="1" a="1"/>
  <c r="G353" i="4" s="1"/>
  <c r="E353" i="4"/>
  <c r="F226" i="4"/>
  <c r="F239" i="4"/>
  <c r="D355" i="4"/>
  <c r="G355" i="4" s="1" a="1"/>
  <c r="G355" i="4" s="1"/>
  <c r="E355" i="4"/>
  <c r="F230" i="4"/>
  <c r="E367" i="4"/>
  <c r="D367" i="4"/>
  <c r="G367" i="4" s="1" a="1"/>
  <c r="G367" i="4" s="1"/>
  <c r="D365" i="4"/>
  <c r="G365" i="4" s="1" a="1"/>
  <c r="G365" i="4" s="1"/>
  <c r="E365" i="4"/>
  <c r="E363" i="4"/>
  <c r="D363" i="4"/>
  <c r="G363" i="4" s="1" a="1"/>
  <c r="G363" i="4" s="1"/>
  <c r="F234" i="4"/>
  <c r="F241" i="4"/>
  <c r="E359" i="4"/>
  <c r="D359" i="4"/>
  <c r="G359" i="4" s="1" a="1"/>
  <c r="G359" i="4" s="1"/>
  <c r="E361" i="4"/>
  <c r="D361" i="4"/>
  <c r="G361" i="4" s="1" a="1"/>
  <c r="G361" i="4" s="1"/>
  <c r="F223" i="4"/>
  <c r="E366" i="4"/>
  <c r="D366" i="4"/>
  <c r="G366" i="4" s="1" a="1"/>
  <c r="G366" i="4" s="1"/>
  <c r="D352" i="4"/>
  <c r="G352" i="4" s="1" a="1"/>
  <c r="G352" i="4" s="1"/>
  <c r="E352" i="4"/>
  <c r="D374" i="4"/>
  <c r="G374" i="4" s="1" a="1"/>
  <c r="G374" i="4" s="1"/>
  <c r="F374" i="4" s="1"/>
  <c r="E374" i="4"/>
  <c r="F224" i="4"/>
  <c r="F232" i="4"/>
  <c r="F49" i="3"/>
  <c r="B50" i="3"/>
  <c r="G49" i="3"/>
  <c r="C49" i="3"/>
  <c r="D49" i="3"/>
  <c r="F365" i="4" l="1"/>
  <c r="F369" i="4"/>
  <c r="F354" i="4"/>
  <c r="F357" i="4"/>
  <c r="F364" i="4"/>
  <c r="H49" i="3" a="1"/>
  <c r="H49" i="3" s="1"/>
  <c r="I48" i="3"/>
  <c r="C382" i="4"/>
  <c r="F373" i="4"/>
  <c r="F368" i="4"/>
  <c r="F351" i="4"/>
  <c r="F359" i="4"/>
  <c r="F371" i="4"/>
  <c r="F361" i="4"/>
  <c r="F360" i="4"/>
  <c r="F372" i="4"/>
  <c r="F367" i="4"/>
  <c r="F362" i="4"/>
  <c r="F363" i="4"/>
  <c r="F355" i="4"/>
  <c r="F366" i="4"/>
  <c r="F356" i="4"/>
  <c r="F358" i="4"/>
  <c r="F352" i="4"/>
  <c r="F353" i="4"/>
  <c r="C50" i="3"/>
  <c r="F50" i="3"/>
  <c r="G50" i="3"/>
  <c r="B51" i="3"/>
  <c r="H50" i="3" a="1"/>
  <c r="H50" i="3" s="1"/>
  <c r="D50" i="3"/>
  <c r="I50" i="3" l="1"/>
  <c r="C384" i="4"/>
  <c r="I49" i="3"/>
  <c r="C383" i="4"/>
  <c r="G51" i="3"/>
  <c r="F51" i="3"/>
  <c r="B52" i="3"/>
  <c r="C51" i="3"/>
  <c r="D51" i="3"/>
  <c r="H51" i="3" s="1" a="1"/>
  <c r="H51" i="3" s="1"/>
  <c r="I51" i="3" l="1"/>
  <c r="C385" i="4"/>
  <c r="G52" i="3"/>
  <c r="B53" i="3"/>
  <c r="C52" i="3"/>
  <c r="F52" i="3"/>
  <c r="H52" i="3" a="1"/>
  <c r="H52" i="3" s="1"/>
  <c r="D52" i="3"/>
  <c r="I52" i="3" l="1"/>
  <c r="C386" i="4"/>
  <c r="G53" i="3"/>
  <c r="C53" i="3"/>
  <c r="B54" i="3"/>
  <c r="F53" i="3"/>
  <c r="D53" i="3"/>
  <c r="H53" i="3" s="1" a="1"/>
  <c r="H53" i="3" s="1"/>
  <c r="I53" i="3" l="1"/>
  <c r="C387" i="4"/>
  <c r="G54" i="3"/>
  <c r="B55" i="3"/>
  <c r="C54" i="3"/>
  <c r="F54" i="3"/>
  <c r="D54" i="3"/>
  <c r="H54" i="3" s="1" a="1"/>
  <c r="H54" i="3" s="1"/>
  <c r="I54" i="3" l="1"/>
  <c r="C388" i="4"/>
  <c r="B56" i="3"/>
  <c r="F55" i="3"/>
  <c r="C55" i="3"/>
  <c r="G55" i="3"/>
  <c r="D55" i="3"/>
  <c r="H55" i="3" s="1" a="1"/>
  <c r="H55" i="3" s="1"/>
  <c r="I55" i="3" l="1"/>
  <c r="C389" i="4"/>
  <c r="G56" i="3"/>
  <c r="B57" i="3"/>
  <c r="C56" i="3"/>
  <c r="F56" i="3"/>
  <c r="D56" i="3"/>
  <c r="H56" i="3" s="1" a="1"/>
  <c r="H56" i="3" s="1"/>
  <c r="I56" i="3" l="1"/>
  <c r="C390" i="4"/>
  <c r="B58" i="3"/>
  <c r="F57" i="3"/>
  <c r="C57" i="3"/>
  <c r="G57" i="3"/>
  <c r="D57" i="3"/>
  <c r="H57" i="3" s="1" a="1"/>
  <c r="H57" i="3" s="1"/>
  <c r="I57" i="3" l="1"/>
  <c r="C391" i="4"/>
  <c r="G58" i="3"/>
  <c r="B59" i="3"/>
  <c r="C58" i="3"/>
  <c r="F58" i="3"/>
  <c r="D58" i="3"/>
  <c r="H58" i="3" s="1" a="1"/>
  <c r="H58" i="3" s="1"/>
  <c r="I58" i="3" l="1"/>
  <c r="C392" i="4"/>
  <c r="F59" i="3"/>
  <c r="C59" i="3"/>
  <c r="B60" i="3"/>
  <c r="G59" i="3"/>
  <c r="D59" i="3"/>
  <c r="H59" i="3" s="1" a="1"/>
  <c r="H59" i="3" s="1"/>
  <c r="I59" i="3" l="1"/>
  <c r="C393" i="4"/>
  <c r="G60" i="3"/>
  <c r="C60" i="3"/>
  <c r="B61" i="3"/>
  <c r="F60" i="3"/>
  <c r="D60" i="3"/>
  <c r="H60" i="3" s="1" a="1"/>
  <c r="H60" i="3" s="1"/>
  <c r="I60" i="3" l="1"/>
  <c r="C394" i="4"/>
  <c r="F61" i="3"/>
  <c r="G61" i="3"/>
  <c r="C61" i="3"/>
  <c r="B62" i="3"/>
  <c r="D61" i="3"/>
  <c r="H61" i="3" s="1" a="1"/>
  <c r="H61" i="3" s="1"/>
  <c r="I61" i="3" l="1"/>
  <c r="C395" i="4"/>
  <c r="G62" i="3"/>
  <c r="B63" i="3"/>
  <c r="C62" i="3"/>
  <c r="F62" i="3"/>
  <c r="D62" i="3"/>
  <c r="H62" i="3" s="1" a="1"/>
  <c r="H62" i="3" s="1"/>
  <c r="I62" i="3" l="1"/>
  <c r="C396" i="4"/>
  <c r="B64" i="3"/>
  <c r="G63" i="3"/>
  <c r="C63" i="3"/>
  <c r="F63" i="3"/>
  <c r="D63" i="3"/>
  <c r="H63" i="3" s="1" a="1"/>
  <c r="H63" i="3" s="1"/>
  <c r="I63" i="3" l="1"/>
  <c r="C397" i="4"/>
  <c r="B65" i="3"/>
  <c r="F64" i="3"/>
  <c r="C64" i="3"/>
  <c r="G64" i="3"/>
  <c r="D64" i="3"/>
  <c r="H64" i="3" s="1" a="1"/>
  <c r="H64" i="3" s="1"/>
  <c r="I64" i="3" l="1"/>
  <c r="C398" i="4"/>
  <c r="F65" i="3"/>
  <c r="C65" i="3"/>
  <c r="G65" i="3"/>
  <c r="B66" i="3"/>
  <c r="D65" i="3"/>
  <c r="H65" i="3" s="1" a="1"/>
  <c r="H65" i="3" s="1"/>
  <c r="I65" i="3" l="1"/>
  <c r="C399" i="4"/>
  <c r="G66" i="3"/>
  <c r="C66" i="3"/>
  <c r="B67" i="3"/>
  <c r="F66" i="3"/>
  <c r="D66" i="3"/>
  <c r="H66" i="3" s="1" a="1"/>
  <c r="H66" i="3" s="1"/>
  <c r="I66" i="3" l="1"/>
  <c r="C400" i="4"/>
  <c r="G67" i="3"/>
  <c r="C67" i="3"/>
  <c r="F67" i="3"/>
  <c r="B68" i="3"/>
  <c r="D67" i="3"/>
  <c r="H67" i="3" s="1" a="1"/>
  <c r="H67" i="3" s="1"/>
  <c r="I67" i="3" l="1"/>
  <c r="C401" i="4"/>
  <c r="G68" i="3"/>
  <c r="F68" i="3"/>
  <c r="C68" i="3"/>
  <c r="B69" i="3"/>
  <c r="D68" i="3"/>
  <c r="H68" i="3" s="1" a="1"/>
  <c r="H68" i="3" s="1"/>
  <c r="I68" i="3" l="1"/>
  <c r="C402" i="4"/>
  <c r="G69" i="3"/>
  <c r="F69" i="3"/>
  <c r="B70" i="3"/>
  <c r="C69" i="3"/>
  <c r="D69" i="3"/>
  <c r="H69" i="3" s="1" a="1"/>
  <c r="H69" i="3" s="1"/>
  <c r="I69" i="3" l="1"/>
  <c r="C403" i="4"/>
  <c r="B71" i="3"/>
  <c r="C70" i="3"/>
  <c r="G70" i="3"/>
  <c r="F70" i="3"/>
  <c r="D70" i="3"/>
  <c r="H70" i="3" s="1" a="1"/>
  <c r="H70" i="3" s="1"/>
  <c r="I70" i="3" l="1"/>
  <c r="C404" i="4"/>
  <c r="F71" i="3"/>
  <c r="G71" i="3"/>
  <c r="B72" i="3"/>
  <c r="C71" i="3"/>
  <c r="D71" i="3"/>
  <c r="H71" i="3" s="1" a="1"/>
  <c r="H71" i="3" s="1"/>
  <c r="I71" i="3" l="1"/>
  <c r="C405" i="4"/>
  <c r="F72" i="3"/>
  <c r="G72" i="3"/>
  <c r="B73" i="3"/>
  <c r="C72" i="3"/>
  <c r="D72" i="3"/>
  <c r="H72" i="3" s="1" a="1"/>
  <c r="H72" i="3" s="1"/>
  <c r="I72" i="3" l="1"/>
  <c r="C406" i="4"/>
  <c r="F73" i="3"/>
  <c r="G73" i="3"/>
  <c r="C73" i="3"/>
  <c r="B74" i="3"/>
  <c r="D73" i="3"/>
  <c r="H73" i="3" s="1" a="1"/>
  <c r="H73" i="3" s="1"/>
  <c r="I73" i="3" l="1"/>
  <c r="C407" i="4"/>
  <c r="G74" i="3"/>
  <c r="B75" i="3"/>
  <c r="C74" i="3"/>
  <c r="F74" i="3"/>
  <c r="D74" i="3"/>
  <c r="H74" i="3" s="1" a="1"/>
  <c r="H74" i="3" s="1"/>
  <c r="I74" i="3" l="1"/>
  <c r="C408" i="4"/>
  <c r="C75" i="3"/>
  <c r="B76" i="3"/>
  <c r="F75" i="3"/>
  <c r="G75" i="3"/>
  <c r="D75" i="3"/>
  <c r="H75" i="3" s="1" a="1"/>
  <c r="H75" i="3" s="1"/>
  <c r="I75" i="3" l="1"/>
  <c r="C409" i="4"/>
  <c r="C76" i="3"/>
  <c r="G76" i="3"/>
  <c r="F76" i="3"/>
  <c r="B77" i="3"/>
  <c r="D76" i="3"/>
  <c r="H76" i="3" s="1" a="1"/>
  <c r="H76" i="3" s="1"/>
  <c r="I76" i="3" l="1"/>
  <c r="C410" i="4"/>
  <c r="F77" i="3"/>
  <c r="B78" i="3"/>
  <c r="G77" i="3"/>
  <c r="C77" i="3"/>
  <c r="D77" i="3"/>
  <c r="H77" i="3" s="1" a="1"/>
  <c r="H77" i="3" s="1"/>
  <c r="I77" i="3" l="1"/>
  <c r="C411" i="4"/>
  <c r="C78" i="3"/>
  <c r="B79" i="3"/>
  <c r="G78" i="3"/>
  <c r="F78" i="3"/>
  <c r="D78" i="3"/>
  <c r="H78" i="3" s="1" a="1"/>
  <c r="H78" i="3" s="1"/>
  <c r="I78" i="3" l="1"/>
  <c r="C412" i="4"/>
  <c r="C79" i="3"/>
  <c r="F79" i="3"/>
  <c r="B80" i="3"/>
  <c r="G79" i="3"/>
  <c r="D79" i="3"/>
  <c r="H79" i="3" s="1" a="1"/>
  <c r="H79" i="3" s="1"/>
  <c r="I79" i="3" l="1"/>
  <c r="C413" i="4"/>
  <c r="B81" i="3"/>
  <c r="F80" i="3"/>
  <c r="C80" i="3"/>
  <c r="G80" i="3"/>
  <c r="D80" i="3"/>
  <c r="H80" i="3" s="1" a="1"/>
  <c r="H80" i="3" s="1"/>
  <c r="I80" i="3" l="1"/>
  <c r="C414" i="4"/>
  <c r="G81" i="3"/>
  <c r="F81" i="3"/>
  <c r="C81" i="3"/>
  <c r="B82" i="3"/>
  <c r="D81" i="3"/>
  <c r="H81" i="3" s="1" a="1"/>
  <c r="H81" i="3" s="1"/>
  <c r="I81" i="3" l="1"/>
  <c r="C415" i="4"/>
  <c r="C82" i="3"/>
  <c r="B83" i="3"/>
  <c r="G82" i="3"/>
  <c r="F82" i="3"/>
  <c r="D82" i="3"/>
  <c r="H82" i="3" s="1" a="1"/>
  <c r="H82" i="3" s="1"/>
  <c r="I82" i="3" l="1"/>
  <c r="C416" i="4"/>
  <c r="C83" i="3"/>
  <c r="F83" i="3"/>
  <c r="B84" i="3"/>
  <c r="G83" i="3"/>
  <c r="D83" i="3"/>
  <c r="H83" i="3" s="1" a="1"/>
  <c r="H83" i="3" s="1"/>
  <c r="I83" i="3" l="1"/>
  <c r="C417" i="4"/>
  <c r="G84" i="3"/>
  <c r="C84" i="3"/>
  <c r="F84" i="3"/>
  <c r="D84" i="3"/>
  <c r="H84" i="3" s="1" a="1"/>
  <c r="H84" i="3" s="1"/>
  <c r="D101" i="3"/>
  <c r="B7" i="4" s="1"/>
  <c r="I84" i="3" l="1"/>
  <c r="C418" i="4"/>
  <c r="D89" i="3"/>
  <c r="D50" i="4" s="1"/>
  <c r="D88" i="3"/>
  <c r="D49" i="4" l="1"/>
  <c r="B60"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<sst xmlns="http://schemas.openxmlformats.org/spreadsheetml/2006/main" count="432" uniqueCount="292">
  <si>
    <t>Bayesian Estimate of a Trial's Success Probability</t>
  </si>
  <si>
    <t>ModelRisk example  ·  Pharmaceuticals and biotech  ·  PH-08</t>
  </si>
  <si>
    <t>Halfway through a Phase II trial: how likely is it to succeed — and should it stop, or carry on?</t>
  </si>
  <si>
    <t>Next:  Inputs  ▸</t>
  </si>
  <si>
    <t>Model card</t>
  </si>
  <si>
    <t>Industry</t>
  </si>
  <si>
    <t>Pharmaceuticals and biotech</t>
  </si>
  <si>
    <t>Difficulty</t>
  </si>
  <si>
    <t>★★★☆☆   A Beta prior from an earlier study, updated with the interim data; the predictive chance that the final analysis succeeds, simulated and exact (Beta-Binomial); prior sensitivity and stopping boundaries.</t>
  </si>
  <si>
    <t>Business question</t>
  </si>
  <si>
    <t>A single-arm Phase II trial of 100 patients succeeds if at least 29 respond — enough to beat the historical 20% response rate. At the interim analysis 14 of the first 40 patients have responded. What does that say about the drug's true response rate, how likely is the trial to succeed, and should it stop for futility, stop for efficacy, or continue?</t>
  </si>
  <si>
    <t>Who it is for</t>
  </si>
  <si>
    <t>Biostatisticians, clinical development teams and data monitoring committees; portfolio teams estimating the chance of success.</t>
  </si>
  <si>
    <t>Main outputs</t>
  </si>
  <si>
    <t>The response rate after the interim: estimate, 95% credible interval, chance of beating the control rate · the predictive probability of success, simulated and exact, against the plug-in conditional power · the decision · how the prior changes the answer · the interim results at which to stop.</t>
  </si>
  <si>
    <t>ModelRisk techniques</t>
  </si>
  <si>
    <t>Bayesian updating of a Beta prior with Binomial data (Beta posterior, VoseBeta) · the predictive distribution of the remaining patients' responses (VoseBinomial with an uncertain rate = Beta-Binomial) · the exact predictive probability (VoseBetaBinomialProb) · credible intervals (BETAINV) · prior sensitivity · futility and efficacy boundaries.</t>
  </si>
  <si>
    <t>File</t>
  </si>
  <si>
    <t>PH-08 Bayesian estimate of a trials success probability  ·  Version 1.0  ·  October 2026  ·  built with ModelRisk 10</t>
  </si>
  <si>
    <t>The business question</t>
  </si>
  <si>
    <t>A biotech company is running a single-arm Phase II trial of a new oncology drug in 100 patients. The trial succeeds if at least 29 patients respond: with the historical response rate of 20%, so many responses would happen by chance only 2% of the time. An earlier Phase Ib study saw 5 responses in 20 patients. At the planned interim analysis, after 40 patients, 14 have responded — 35%. The data monitoring committee asks the usual questions: how good does the drug look, how likely is the trial to reach its goal, and should it stop early — for futility if success is unlikely, for efficacy if it is all but certain? The plug-in answer, assuming the remaining patients respond at 35%, says the trial is 96% sure to succeed. Is it?</t>
  </si>
  <si>
    <t>How the model works</t>
  </si>
  <si>
    <t>Three sheets after this one, read from left to right. Each one feeds the next.</t>
  </si>
  <si>
    <t>1  Inputs</t>
  </si>
  <si>
    <t>Patients in the trial, the control rate and the significance level that set the success threshold; patients and responders at the interim; the earlier study that gives the prior; the futility and efficacy thresholds; three alternative priors.</t>
  </si>
  <si>
    <t>2  Analysis</t>
  </si>
  <si>
    <t>The prior Beta(1 + responders, 1 + non-responders) from the earlier study, updated with the interim data, gives the posterior Beta. Each iteration draws a response rate from it (VoseBeta) and the remaining patients' responders (VoseBinomial), and checks whether the trial reaches its threshold. The exact predictive probability comes from the Beta-Binomial distribution (VoseBetaBinomialProb).</t>
  </si>
  <si>
    <t>3  Results</t>
  </si>
  <si>
    <t>The posterior response rate and its credible interval; the predictive probability of success, simulated and exact, against the plug-in conditional power; the decision; four priors compared; the predictive probability for every possible interim result, with the stopping zones.</t>
  </si>
  <si>
    <t>How to use it</t>
  </si>
  <si>
    <t>Step 1</t>
  </si>
  <si>
    <t>Enter your trial's size, control rate and significance level, and the interim data.</t>
  </si>
  <si>
    <t>Step 2</t>
  </si>
  <si>
    <t>Enter the evidence for the prior — an earlier study's responders and patients — and the stopping rules.</t>
  </si>
  <si>
    <t>Step 3</t>
  </si>
  <si>
    <t>Run a simulation from the ModelRisk ribbon (10,000 samples with a fixed seed are set).</t>
  </si>
  <si>
    <t>Step 4</t>
  </si>
  <si>
    <t>Read the decision; check how much it depends on the prior before acting on it.</t>
  </si>
  <si>
    <t>Workbook map</t>
  </si>
  <si>
    <t>Inputs</t>
  </si>
  <si>
    <t>Trial, interim data, prior, stopping rules, alternative priors.</t>
  </si>
  <si>
    <t>Analysis</t>
  </si>
  <si>
    <t>Posterior, simulated completion, exact values, priors, boundaries; outputs and checks.</t>
  </si>
  <si>
    <t>Results</t>
  </si>
  <si>
    <t>Response rate, chance of success, decision, priors, boundaries.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</si>
  <si>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</si>
  <si>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</si>
  <si>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</si>
  <si>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</si>
  <si>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</si>
  <si>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</si>
  <si>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</si>
  <si>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</si>
  <si>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</si>
  <si>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</si>
  <si>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</si>
  <si>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</si>
  <si>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Response rate</t>
  </si>
  <si>
    <t>The drug's true chance that a patient responds — unknown, described by a Beta distribution.</t>
  </si>
  <si>
    <t>Success</t>
  </si>
  <si>
    <t>At least the threshold number of responders among all patients at the final analysis.</t>
  </si>
  <si>
    <t>Predictive probability</t>
  </si>
  <si>
    <t>The chance of success given the data so far, averaging over what the true rate might be.</t>
  </si>
  <si>
    <t>Conditional power</t>
  </si>
  <si>
    <t>The chance of success if the remaining patients respond exactly at the interim rate.</t>
  </si>
  <si>
    <t>Key assumptions and limitations</t>
  </si>
  <si>
    <t>Patients</t>
  </si>
  <si>
    <t>Independent; every patient's response has the same chance.</t>
  </si>
  <si>
    <t>Prior</t>
  </si>
  <si>
    <t>The earlier study's patients are like this trial's: its result enters with full weight on a uniform prior.</t>
  </si>
  <si>
    <t>Threshold</t>
  </si>
  <si>
    <t>Set in advance from the control rate and the significance level (one-sided).</t>
  </si>
  <si>
    <t>Data</t>
  </si>
  <si>
    <t>The drug, the trial and all figures are invented for this example.</t>
  </si>
  <si>
    <t>ModelRisk functions used</t>
  </si>
  <si>
    <t>VoseBeta</t>
  </si>
  <si>
    <t>The response rate, drawn from its posterior distribution.</t>
  </si>
  <si>
    <t>VoseBinomial</t>
  </si>
  <si>
    <t>The responders among the remaining patients, given the drawn rate.</t>
  </si>
  <si>
    <t>VoseBetaBinomialProb</t>
  </si>
  <si>
    <t>The exact predictive probability: the Beta-Binomial cumulative probability.</t>
  </si>
  <si>
    <t>VoseInput, VoseOutput, VoseSimMean, VoseSimPercentile</t>
  </si>
  <si>
    <t>The simulated rate and outcomes, and their statistics.</t>
  </si>
  <si>
    <t>Further reading</t>
  </si>
  <si>
    <t>Lee, J. J. &amp; Liu, D. D. (2008). A predictive probability design for phase II cancer clinical trials. Clinical Trials 5(2), 93–106.</t>
  </si>
  <si>
    <t>Bayesian trials</t>
  </si>
  <si>
    <t>Berry, S. M., Carlin, B. P., Lee, J. J. &amp; Müller, P. (2010). Bayesian Adaptive Methods for Clinical Trials. CRC Press.</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</si>
  <si>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</si>
  <si>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</si>
  <si>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</si>
  <si>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Analysis  ▸</t>
  </si>
  <si>
    <t>How to read this sheet:  yellow cells are inputs.</t>
  </si>
  <si>
    <t>1   The trial</t>
  </si>
  <si>
    <t>A single-arm trial against a historical control rate.</t>
  </si>
  <si>
    <t>Assumption</t>
  </si>
  <si>
    <t>Unit</t>
  </si>
  <si>
    <t>Value in model</t>
  </si>
  <si>
    <t>Uncertainty</t>
  </si>
  <si>
    <t>Basis / source (illustrative)</t>
  </si>
  <si>
    <t>Patients in the trial</t>
  </si>
  <si>
    <t>patients</t>
  </si>
  <si>
    <t>Fixed</t>
  </si>
  <si>
    <t>Control response rate</t>
  </si>
  <si>
    <t>probability</t>
  </si>
  <si>
    <t>Response to standard treatment, from published studies.</t>
  </si>
  <si>
    <t>Significance level, one-sided</t>
  </si>
  <si>
    <t>Sets the success threshold.</t>
  </si>
  <si>
    <t>2   Interim data</t>
  </si>
  <si>
    <t>At the planned interim analysis.</t>
  </si>
  <si>
    <t>Patients evaluated</t>
  </si>
  <si>
    <t>Responders</t>
  </si>
  <si>
    <t>3   Prior</t>
  </si>
  <si>
    <t>The earlier study, on a uniform prior: Beta(1 + responders, 1 + non-responders).</t>
  </si>
  <si>
    <t>Earlier study: patients</t>
  </si>
  <si>
    <t>The Phase Ib dose-expansion cohort.</t>
  </si>
  <si>
    <t>Earlier study: responders</t>
  </si>
  <si>
    <t>4   Stopping rules</t>
  </si>
  <si>
    <t>Applied to the predictive probability of success.</t>
  </si>
  <si>
    <t>Stop for futility below</t>
  </si>
  <si>
    <t>Stop for efficacy above</t>
  </si>
  <si>
    <t>5   Alternative priors</t>
  </si>
  <si>
    <t>For the sensitivity table on the Results sheet.</t>
  </si>
  <si>
    <t>Flat prior: α</t>
  </si>
  <si>
    <t>Flat prior: β</t>
  </si>
  <si>
    <t>Beta(1, 1): every rate equally likely.</t>
  </si>
  <si>
    <t>Sceptical prior: α</t>
  </si>
  <si>
    <t>Sceptical prior: β</t>
  </si>
  <si>
    <t>Centred on the control rate, 20%.</t>
  </si>
  <si>
    <t>Enthusiastic prior: α</t>
  </si>
  <si>
    <t>Enthusiastic prior: β</t>
  </si>
  <si>
    <t>Centred on 40%.</t>
  </si>
  <si>
    <t>ANALYSIS   ·   Prior and posterior, one simulated completion of the trial, and the exact values.</t>
  </si>
  <si>
    <t>◂  Inputs</t>
  </si>
  <si>
    <t>Next:  Results  ▸</t>
  </si>
  <si>
    <t>1   Prior, posterior and threshold</t>
  </si>
  <si>
    <t>Quantity</t>
  </si>
  <si>
    <t>Value</t>
  </si>
  <si>
    <t>How it is calculated</t>
  </si>
  <si>
    <t>Posterior α</t>
  </si>
  <si>
    <t>1 + earlier responders + interim responders</t>
  </si>
  <si>
    <t>Posterior β</t>
  </si>
  <si>
    <t>1 + earlier and interim non-responders</t>
  </si>
  <si>
    <t>Success threshold</t>
  </si>
  <si>
    <t>responders</t>
  </si>
  <si>
    <t>One more than the (1 − α) percentile of the responders at the control rate: more would happen by chance less often than the significance level</t>
  </si>
  <si>
    <t>Patients still to come</t>
  </si>
  <si>
    <t>Responders still needed</t>
  </si>
  <si>
    <t>2   One simulated completion of the trial</t>
  </si>
  <si>
    <t>VoseBeta draws a response rate from the posterior; VoseBinomial the responders among the remaining patients.</t>
  </si>
  <si>
    <t>True response rate  (posterior draw)</t>
  </si>
  <si>
    <t>VoseBeta(posterior α, posterior β)</t>
  </si>
  <si>
    <t>Responders among the remaining patients</t>
  </si>
  <si>
    <t>VoseBinomial(patients still to come, rate)</t>
  </si>
  <si>
    <t>3   Exact values</t>
  </si>
  <si>
    <t>From the Beta posterior and the Beta-Binomial predictive distribution — no simulation needed.</t>
  </si>
  <si>
    <t>Posterior mean of the response rate</t>
  </si>
  <si>
    <t>α ÷ (α + β)</t>
  </si>
  <si>
    <t>95% credible interval: from</t>
  </si>
  <si>
    <t>2.5th percentile of the posterior Beta</t>
  </si>
  <si>
    <t>…to</t>
  </si>
  <si>
    <t>97.5th percentile</t>
  </si>
  <si>
    <t>Chance the true rate beats the control rate</t>
  </si>
  <si>
    <t>Posterior probability above the control rate</t>
  </si>
  <si>
    <t>Predictive probability of success</t>
  </si>
  <si>
    <t>Chance of at least the responders still needed: 1 − the Beta-Binomial's probability of one fewer or less</t>
  </si>
  <si>
    <t>Conditional power at the interim rate</t>
  </si>
  <si>
    <t>The same chance if the rate were exactly the interim rate: Binomial</t>
  </si>
  <si>
    <t>Decision</t>
  </si>
  <si>
    <t>From the predictive probability and the rules</t>
  </si>
  <si>
    <t>4   How much the prior matters</t>
  </si>
  <si>
    <t>The same interim data on four priors.</t>
  </si>
  <si>
    <t>Posterior</t>
  </si>
  <si>
    <t>Beats</t>
  </si>
  <si>
    <t>Predictive</t>
  </si>
  <si>
    <t>α</t>
  </si>
  <si>
    <t>β</t>
  </si>
  <si>
    <t>mean</t>
  </si>
  <si>
    <t>control</t>
  </si>
  <si>
    <t>Phase Ib result  (the analysis above)</t>
  </si>
  <si>
    <t>Flat</t>
  </si>
  <si>
    <t>Sceptical</t>
  </si>
  <si>
    <t>Enthusiastic</t>
  </si>
  <si>
    <t>5   Stopping boundaries</t>
  </si>
  <si>
    <t>The predictive probability for every possible number of responders at the interim, on the Phase Ib prior.</t>
  </si>
  <si>
    <t>Responders at the interim</t>
  </si>
  <si>
    <t>Rate</t>
  </si>
  <si>
    <t>Still</t>
  </si>
  <si>
    <t>Zone</t>
  </si>
  <si>
    <t>needed</t>
  </si>
  <si>
    <t>Shaded: this trial's interim result. Rows beyond the patients evaluated show #N/A. Predictive: the same formula as the exact value above.</t>
  </si>
  <si>
    <t>Stop for futility with at most</t>
  </si>
  <si>
    <t>The futility rows start at 0: one fewer than their count</t>
  </si>
  <si>
    <t>Stop for efficacy with at least</t>
  </si>
  <si>
    <t>The efficacy rows end at the patients evaluated</t>
  </si>
  <si>
    <t>6   Value in this iteration</t>
  </si>
  <si>
    <t>Key outputs, recorded by ModelRisk at every sample (VoseOutput). Their statistics appear on the Results sheet.</t>
  </si>
  <si>
    <t>Output</t>
  </si>
  <si>
    <t>Meaning</t>
  </si>
  <si>
    <t>Responders at the final analysis</t>
  </si>
  <si>
    <t>Interim responders + the remaining ones.</t>
  </si>
  <si>
    <t>Trial succeeds?  (1 = yes)</t>
  </si>
  <si>
    <t>1 / 0</t>
  </si>
  <si>
    <t>Its mean is the predictive probability.</t>
  </si>
  <si>
    <t>Observed response rate at the final analysis</t>
  </si>
  <si>
    <t>7   Model checks</t>
  </si>
  <si>
    <t>Should all read OK. A CHECK means an input has been set outside the range the model is built for.</t>
  </si>
  <si>
    <t>Responders do not exceed patients</t>
  </si>
  <si>
    <t>The interim has at most the patients the boundary table covers</t>
  </si>
  <si>
    <t>The stopping thresholds are in order</t>
  </si>
  <si>
    <t>RESULTS   ·   Filled in automatically from the last simulation. Run a simulation after changing any input.</t>
  </si>
  <si>
    <t>◂  Analysis</t>
  </si>
  <si>
    <t>1   What the interim says</t>
  </si>
  <si>
    <t>True response rate — posterior distribution</t>
  </si>
  <si>
    <t>The drug's true response rate, after the earlier study and the interim data.</t>
  </si>
  <si>
    <t>Measure</t>
  </si>
  <si>
    <t>Response rate at the interim</t>
  </si>
  <si>
    <t>Posterior mean of the true rate</t>
  </si>
  <si>
    <t>…simulated mean</t>
  </si>
  <si>
    <t>2   Will the trial succeed?</t>
  </si>
  <si>
    <t>Responders at the final analysis — predictive distribution</t>
  </si>
  <si>
    <t>Predictive probability of success, simulated</t>
  </si>
  <si>
    <t>…exact  (Beta-Binomial)</t>
  </si>
  <si>
    <t>Final response rate, 10th percentile</t>
  </si>
  <si>
    <t>Final response rate, 90th percentile</t>
  </si>
  <si>
    <t>3   How much the prior matters</t>
  </si>
  <si>
    <t>Predictive probability of success, by responders at the interim</t>
  </si>
  <si>
    <t>Phase Ib result</t>
  </si>
  <si>
    <t>4   How to read these results</t>
  </si>
  <si>
    <t>•  Fourteen responders in 40 patients is 35%, but the drug's true response rate is still uncertain. Combined with the earlier study's 5 of 20, the best estimate is about 32%, with a 95% credible interval from 21% to 44%; the chance that it beats the control rate of 20% is about 99%.</t>
  </si>
  <si>
    <t>•  The trial needs at least 29 responders of 100, so 15 more among the remaining 60. The predictive probability of success is about 83% — the simulated value agrees with the exact Beta-Binomial one within sampling error — so the trial should continue: neither stopping rule applies.</t>
  </si>
  <si>
    <t>•  The conditional power, 96%, assumes the remaining patients respond at exactly the interim rate. It ignores that the rate itself is uncertain and overstates the chance of success — a common mistake in interim reports.</t>
  </si>
  <si>
    <t>•  The prior matters, but not decisively here: a flat prior gives 89%, a sceptical prior centred on the control rate 75%, an enthusiastic one 93% — all leading to the same decision. Where priors would disagree, the prior must be agreed before the interim, not after.</t>
  </si>
  <si>
    <t>Chart data</t>
  </si>
  <si>
    <t>Statistics of the last simulation behind the charts and the ranking above. Grouped: click + in the left margin to show them.</t>
  </si>
  <si>
    <t>Cumulative probability</t>
  </si>
  <si>
    <t>Exceedance</t>
  </si>
  <si>
    <t>TrueRate</t>
  </si>
  <si>
    <t>FinalX</t>
  </si>
  <si>
    <t>Percentiles: TrueRate</t>
  </si>
  <si>
    <t>Histogram: TrueRate</t>
  </si>
  <si>
    <t>Edge</t>
  </si>
  <si>
    <t>Index</t>
  </si>
  <si>
    <t>Mid-point</t>
  </si>
  <si>
    <t>Probability</t>
  </si>
  <si>
    <t>Below edge</t>
  </si>
  <si>
    <t>Percentiles: FinalX</t>
  </si>
  <si>
    <t>Histogram: FinalX</t>
  </si>
  <si>
    <t>Period</t>
  </si>
  <si>
    <t>Futility threshold</t>
  </si>
  <si>
    <t>Efficacy threshold</t>
  </si>
  <si>
    <t>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</si>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</sst>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_);\(#,##0.0\);&quot;–&quot;_)"/>
    <numFmt numFmtId="166" formatCode="0.0%;\-0.0%;0.0%;&quot;–&quot;"/>
    <numFmt numFmtId="167" formatCode="0%;\-0%;0%;&quot;–&quot;"/>
    <numFmt numFmtId="168" formatCode="#,##0.0000"/>
  </numFmts>
  <fonts count="25"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sz val="10"/>
      <color rgb="FF3F5876"/>
      <name val="Calibri"/>
    </font>
    <font>
      <b/>
      <sz val="13"/>
      <color rgb="FF0E4F92"/>
      <name val="Calibri"/>
    </font>
    <font>
      <sz val="9"/>
      <color rgb="FF8AA0BA"/>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6">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9" fontId="1" fillId="2" borderId="7" xfId="1" applyNumberFormat="1" applyBorder="1">
      <alignment horizontal="right" vertical="center"/>
    </xf>
    <xf numFmtId="164" fontId="1" fillId="2" borderId="7" xfId="1" applyNumberFormat="1" applyBorder="1">
      <alignment horizontal="right" vertical="center"/>
    </xf>
    <xf numFmtId="165" fontId="1" fillId="2" borderId="7" xfId="1"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65" fontId="3" fillId="0" borderId="8" xfId="3" applyNumberFormat="1" applyBorder="1">
      <alignment horizontal="right" vertical="center"/>
    </xf>
    <xf numFmtId="1" fontId="3" fillId="0" borderId="8" xfId="3" applyNumberFormat="1" applyBorder="1">
      <alignment horizontal="right" vertical="center"/>
    </xf>
    <xf numFmtId="164" fontId="2" fillId="3" borderId="7" xfId="2" applyNumberFormat="1" applyBorder="1">
      <alignment horizontal="right" vertical="center"/>
    </xf>
    <xf numFmtId="1" fontId="2" fillId="3" borderId="7" xfId="2" applyNumberFormat="1" applyBorder="1">
      <alignment horizontal="right" vertical="center"/>
    </xf>
    <xf numFmtId="164" fontId="3" fillId="0" borderId="8" xfId="3" applyNumberFormat="1" applyBorder="1">
      <alignment horizontal="right" vertical="center"/>
    </xf>
    <xf numFmtId="0" fontId="3" fillId="0" borderId="8" xfId="3" applyBorder="1">
      <alignment horizontal="right" vertical="center"/>
    </xf>
    <xf numFmtId="0" fontId="17" fillId="7" borderId="2" xfId="0" applyFont="1" applyFill="1" applyBorder="1" applyAlignment="1">
      <alignment horizontal="left" vertical="center" indent="1"/>
    </xf>
    <xf numFmtId="0" fontId="17" fillId="7" borderId="2" xfId="0" applyFont="1" applyFill="1" applyBorder="1" applyAlignment="1">
      <alignment horizontal="right" vertical="center"/>
    </xf>
    <xf numFmtId="0" fontId="0" fillId="7" borderId="2" xfId="0" applyFill="1" applyBorder="1"/>
    <xf numFmtId="0" fontId="19" fillId="7" borderId="4" xfId="0" applyFont="1" applyFill="1" applyBorder="1" applyAlignment="1">
      <alignment horizontal="right" vertical="center"/>
    </xf>
    <xf numFmtId="9" fontId="3" fillId="0" borderId="8" xfId="3" applyNumberFormat="1" applyBorder="1">
      <alignment horizontal="right" vertical="center"/>
    </xf>
    <xf numFmtId="0" fontId="18" fillId="0" borderId="6" xfId="0" applyFont="1" applyBorder="1"/>
    <xf numFmtId="0" fontId="13" fillId="0" borderId="0" xfId="0" applyFont="1" applyAlignment="1">
      <alignment horizontal="left" vertical="center" indent="1"/>
    </xf>
    <xf numFmtId="1" fontId="4" fillId="4" borderId="9" xfId="4" applyNumberFormat="1" applyBorder="1">
      <alignment horizontal="right" vertical="center"/>
    </xf>
    <xf numFmtId="164" fontId="4" fillId="4" borderId="9" xfId="4" applyNumberFormat="1" applyBorder="1">
      <alignment horizontal="right" vertical="center"/>
    </xf>
    <xf numFmtId="0" fontId="20"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4" fillId="0" borderId="5" xfId="0" applyFont="1" applyBorder="1"/>
    <xf numFmtId="0" fontId="21" fillId="0" borderId="6" xfId="0" applyFont="1" applyBorder="1" applyAlignment="1">
      <alignment horizontal="left" vertical="center" indent="1"/>
    </xf>
    <xf numFmtId="0" fontId="11" fillId="0" borderId="6" xfId="0" applyFont="1" applyBorder="1" applyAlignment="1">
      <alignment horizontal="left" vertical="center" indent="1"/>
    </xf>
    <xf numFmtId="166" fontId="1" fillId="5" borderId="7" xfId="5" applyNumberFormat="1" applyBorder="1">
      <alignment horizontal="right" vertical="center"/>
    </xf>
    <xf numFmtId="0" fontId="12" fillId="0" borderId="6" xfId="0" applyFont="1" applyBorder="1" applyAlignment="1">
      <alignment horizontal="left" vertical="center" indent="1"/>
    </xf>
    <xf numFmtId="166" fontId="22" fillId="5" borderId="7" xfId="5" applyNumberFormat="1" applyFont="1" applyBorder="1">
      <alignment horizontal="right" vertical="center"/>
    </xf>
    <xf numFmtId="167" fontId="1" fillId="5" borderId="7" xfId="5" applyNumberFormat="1" applyBorder="1">
      <alignment horizontal="right" vertical="center"/>
    </xf>
    <xf numFmtId="0" fontId="15" fillId="0" borderId="6" xfId="0" applyFont="1" applyBorder="1" applyAlignment="1">
      <alignment horizontal="right" vertical="center"/>
    </xf>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9" fontId="3" fillId="0" borderId="2" xfId="3" applyNumberFormat="1">
      <alignment horizontal="right" vertical="center"/>
    </xf>
    <xf numFmtId="4" fontId="3" fillId="0" borderId="2" xfId="3" applyNumberFormat="1">
      <alignment horizontal="right" vertical="center"/>
    </xf>
    <xf numFmtId="164" fontId="3" fillId="0" borderId="2" xfId="3" applyNumberFormat="1">
      <alignment horizontal="right" vertical="center"/>
    </xf>
    <xf numFmtId="0" fontId="23" fillId="0" borderId="0" xfId="0" applyFont="1"/>
    <xf numFmtId="1" fontId="3" fillId="0" borderId="2" xfId="3" applyNumberFormat="1">
      <alignment horizontal="right" vertical="center"/>
    </xf>
    <xf numFmtId="0" fontId="21" fillId="0" borderId="0" xfId="0" applyFont="1" applyAlignment="1">
      <alignment horizontal="left" vertical="center" indent="1"/>
    </xf>
    <xf numFmtId="168"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8">
    <dxf>
      <font>
        <color rgb="FF8AA0BA"/>
      </font>
    </dxf>
    <dxf>
      <font>
        <color rgb="FF8AA0BA"/>
      </font>
    </dxf>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font>
      <fill>
        <patternFill patternType="solid">
          <fgColor rgb="FFFEF3C7"/>
          <bgColor rgb="FFFEF3C7"/>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True response rate</c:v>
          </c:tx>
          <c:spPr>
            <a:solidFill>
              <a:srgbClr val="0E4F92"/>
            </a:solidFill>
            <a:ln>
              <a:noFill/>
              <a:prstDash val="solid"/>
            </a:ln>
          </c:spPr>
          <c:invertIfNegative val="1"/>
          <c:cat>
            <c:numRef>
              <c:f>Results!$E$221:$E$244</c:f>
              <c:numCache>
                <c:formatCode>#,##0.00</c:formatCode>
                <c:ptCount val="24"/>
                <c:pt idx="0">
                  <c:v>0.18862709372493763</c:v>
                </c:pt>
                <c:pt idx="1">
                  <c:v>0.20102819457379872</c:v>
                </c:pt>
                <c:pt idx="2">
                  <c:v>0.21342929542265976</c:v>
                </c:pt>
                <c:pt idx="3">
                  <c:v>0.22583039627152085</c:v>
                </c:pt>
                <c:pt idx="4">
                  <c:v>0.23823149712038189</c:v>
                </c:pt>
                <c:pt idx="5">
                  <c:v>0.25063259796924298</c:v>
                </c:pt>
                <c:pt idx="6">
                  <c:v>0.26303369881810401</c:v>
                </c:pt>
                <c:pt idx="7">
                  <c:v>0.27543479966696505</c:v>
                </c:pt>
                <c:pt idx="8">
                  <c:v>0.28783590051582619</c:v>
                </c:pt>
                <c:pt idx="9">
                  <c:v>0.30023700136468723</c:v>
                </c:pt>
                <c:pt idx="10">
                  <c:v>0.31263810221354826</c:v>
                </c:pt>
                <c:pt idx="11">
                  <c:v>0.32503920306240935</c:v>
                </c:pt>
                <c:pt idx="12">
                  <c:v>0.33744030391127039</c:v>
                </c:pt>
                <c:pt idx="13">
                  <c:v>0.34984140476013142</c:v>
                </c:pt>
                <c:pt idx="14">
                  <c:v>0.36224250560899252</c:v>
                </c:pt>
                <c:pt idx="15">
                  <c:v>0.37464360645785361</c:v>
                </c:pt>
                <c:pt idx="16">
                  <c:v>0.38704470730671464</c:v>
                </c:pt>
                <c:pt idx="17">
                  <c:v>0.39944580815557573</c:v>
                </c:pt>
                <c:pt idx="18">
                  <c:v>0.41184690900443682</c:v>
                </c:pt>
                <c:pt idx="19">
                  <c:v>0.42424800985329786</c:v>
                </c:pt>
                <c:pt idx="20">
                  <c:v>0.43664911070215895</c:v>
                </c:pt>
                <c:pt idx="21">
                  <c:v>0.44905021155101998</c:v>
                </c:pt>
                <c:pt idx="22">
                  <c:v>0.46145131239988102</c:v>
                </c:pt>
                <c:pt idx="23">
                  <c:v>0.47385241324874205</c:v>
                </c:pt>
              </c:numCache>
            </c:numRef>
          </c:cat>
          <c:val>
            <c:numRef>
              <c:f>Results!$F$221:$F$244</c:f>
              <c:numCache>
                <c:formatCode>0.0%</c:formatCode>
                <c:ptCount val="24"/>
                <c:pt idx="0">
                  <c:v>5.6224509646159567E-3</c:v>
                </c:pt>
                <c:pt idx="1">
                  <c:v>9.4923317596516798E-3</c:v>
                </c:pt>
                <c:pt idx="2">
                  <c:v>1.6147316626688772E-2</c:v>
                </c:pt>
                <c:pt idx="3">
                  <c:v>2.3852766402522006E-2</c:v>
                </c:pt>
                <c:pt idx="4">
                  <c:v>3.1960496004225618E-2</c:v>
                </c:pt>
                <c:pt idx="5">
                  <c:v>4.5907547652008912E-2</c:v>
                </c:pt>
                <c:pt idx="6">
                  <c:v>5.2331728683435663E-2</c:v>
                </c:pt>
                <c:pt idx="7">
                  <c:v>6.7619809977024575E-2</c:v>
                </c:pt>
                <c:pt idx="8">
                  <c:v>7.5871768238815973E-2</c:v>
                </c:pt>
                <c:pt idx="9">
                  <c:v>8.4145769882014554E-2</c:v>
                </c:pt>
                <c:pt idx="10">
                  <c:v>8.1395699937628518E-2</c:v>
                </c:pt>
                <c:pt idx="11">
                  <c:v>7.8548751256848792E-2</c:v>
                </c:pt>
                <c:pt idx="12">
                  <c:v>7.5045463900813791E-2</c:v>
                </c:pt>
                <c:pt idx="13">
                  <c:v>7.0355636962690538E-2</c:v>
                </c:pt>
                <c:pt idx="14">
                  <c:v>6.3356652589928175E-2</c:v>
                </c:pt>
                <c:pt idx="15">
                  <c:v>5.0626089081374559E-2</c:v>
                </c:pt>
                <c:pt idx="16">
                  <c:v>4.4092466984107515E-2</c:v>
                </c:pt>
                <c:pt idx="17">
                  <c:v>3.2676942511182694E-2</c:v>
                </c:pt>
                <c:pt idx="18">
                  <c:v>2.7428313322381936E-2</c:v>
                </c:pt>
                <c:pt idx="19">
                  <c:v>1.9988304992011097E-2</c:v>
                </c:pt>
                <c:pt idx="20">
                  <c:v>1.326449017669229E-2</c:v>
                </c:pt>
                <c:pt idx="21">
                  <c:v>9.1925534475203463E-3</c:v>
                </c:pt>
                <c:pt idx="22">
                  <c:v>6.7148768796903013E-3</c:v>
                </c:pt>
                <c:pt idx="23">
                  <c:v>4.3617717661257327E-3</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7A0B-4C19-AB1C-E02533BD3624}"/>
            </c:ext>
          </c:extLst>
        </c:ser>
        <c:dLbls>
          <c:showLegendKey val="0"/>
          <c:showVal val="0"/>
          <c:showCatName val="0"/>
          <c:showSerName val="0"/>
          <c:showPercent val="0"/>
          <c:showBubbleSize val="0"/>
        </c:dLbls>
        <c:gapWidth val="8"/>
        <c:axId val="10"/>
        <c:axId val="100"/>
      </c:barChart>
      <c:catAx>
        <c:axId val="10"/>
        <c:scaling>
          <c:orientation val="minMax"/>
        </c:scaling>
        <c:delete val="0"/>
        <c:axPos val="b"/>
        <c:title>
          <c:tx>
            <c:rich>
              <a:bodyPr/>
              <a:lstStyle/>
              <a:p>
                <a:pPr>
                  <a:defRPr/>
                </a:pPr>
                <a:r>
                  <a:rPr lang="en-US"/>
                  <a:t>Response rate</a:t>
                </a:r>
              </a:p>
            </c:rich>
          </c:tx>
          <c:overlay val="0"/>
        </c:title>
        <c:numFmt formatCode="0%" sourceLinked="0"/>
        <c:majorTickMark val="none"/>
        <c:minorTickMark val="none"/>
        <c:tickLblPos val="nextTo"/>
        <c:crossAx val="100"/>
        <c:crosses val="autoZero"/>
        <c:auto val="1"/>
        <c:lblAlgn val="ctr"/>
        <c:lblOffset val="100"/>
        <c:tickLblSkip val="4"/>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Probability</a:t>
                </a:r>
              </a:p>
            </c:rich>
          </c:tx>
          <c:overlay val="0"/>
        </c:title>
        <c:numFmt formatCode="0%" sourceLinked="0"/>
        <c:majorTickMark val="none"/>
        <c:minorTickMark val="none"/>
        <c:tickLblPos val="nextTo"/>
        <c:crossAx val="10"/>
        <c:crosses val="min"/>
        <c:crossBetween val="between"/>
      </c:valAx>
    </c:plotArea>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Responders at the final analysis</c:v>
          </c:tx>
          <c:spPr>
            <a:solidFill>
              <a:srgbClr val="0E4F92"/>
            </a:solidFill>
            <a:ln>
              <a:noFill/>
              <a:prstDash val="solid"/>
            </a:ln>
          </c:spPr>
          <c:invertIfNegative val="1"/>
          <c:cat>
            <c:numRef>
              <c:f>Results!$E$351:$E$374</c:f>
              <c:numCache>
                <c:formatCode>#,##0.00</c:formatCode>
                <c:ptCount val="24"/>
                <c:pt idx="0">
                  <c:v>22.520833333333336</c:v>
                </c:pt>
                <c:pt idx="1">
                  <c:v>23.5625</c:v>
                </c:pt>
                <c:pt idx="2">
                  <c:v>24.604166666666664</c:v>
                </c:pt>
                <c:pt idx="3">
                  <c:v>25.645833333333336</c:v>
                </c:pt>
                <c:pt idx="4">
                  <c:v>26.6875</c:v>
                </c:pt>
                <c:pt idx="5">
                  <c:v>27.729166666666664</c:v>
                </c:pt>
                <c:pt idx="6">
                  <c:v>28.770833333333336</c:v>
                </c:pt>
                <c:pt idx="7">
                  <c:v>29.8125</c:v>
                </c:pt>
                <c:pt idx="8">
                  <c:v>30.854166666666668</c:v>
                </c:pt>
                <c:pt idx="9">
                  <c:v>31.895833333333332</c:v>
                </c:pt>
                <c:pt idx="10">
                  <c:v>32.9375</c:v>
                </c:pt>
                <c:pt idx="11">
                  <c:v>33.979166666666671</c:v>
                </c:pt>
                <c:pt idx="12">
                  <c:v>35.020833333333329</c:v>
                </c:pt>
                <c:pt idx="13">
                  <c:v>36.0625</c:v>
                </c:pt>
                <c:pt idx="14">
                  <c:v>37.104166666666671</c:v>
                </c:pt>
                <c:pt idx="15">
                  <c:v>38.145833333333336</c:v>
                </c:pt>
                <c:pt idx="16">
                  <c:v>39.1875</c:v>
                </c:pt>
                <c:pt idx="17">
                  <c:v>40.229166666666664</c:v>
                </c:pt>
                <c:pt idx="18">
                  <c:v>41.270833333333336</c:v>
                </c:pt>
                <c:pt idx="19">
                  <c:v>42.3125</c:v>
                </c:pt>
                <c:pt idx="20">
                  <c:v>43.354166666666664</c:v>
                </c:pt>
                <c:pt idx="21">
                  <c:v>44.395833333333336</c:v>
                </c:pt>
                <c:pt idx="22">
                  <c:v>45.4375</c:v>
                </c:pt>
                <c:pt idx="23">
                  <c:v>46.479166666666664</c:v>
                </c:pt>
              </c:numCache>
            </c:numRef>
          </c:cat>
          <c:val>
            <c:numRef>
              <c:f>Results!$F$351:$F$374</c:f>
              <c:numCache>
                <c:formatCode>0.0%</c:formatCode>
                <c:ptCount val="24"/>
                <c:pt idx="0">
                  <c:v>5.4166666666666781E-3</c:v>
                </c:pt>
                <c:pt idx="1">
                  <c:v>2.0416666666666642E-2</c:v>
                </c:pt>
                <c:pt idx="2">
                  <c:v>2.0416666666666684E-2</c:v>
                </c:pt>
                <c:pt idx="3">
                  <c:v>3.0416666666666675E-2</c:v>
                </c:pt>
                <c:pt idx="4">
                  <c:v>3.0416666666666647E-2</c:v>
                </c:pt>
                <c:pt idx="5">
                  <c:v>6.0416666666666688E-2</c:v>
                </c:pt>
                <c:pt idx="6">
                  <c:v>6.0416666666666674E-2</c:v>
                </c:pt>
                <c:pt idx="7">
                  <c:v>6.0416666666666646E-2</c:v>
                </c:pt>
                <c:pt idx="8">
                  <c:v>7.0416666666666683E-2</c:v>
                </c:pt>
                <c:pt idx="9">
                  <c:v>8.0416666666666636E-2</c:v>
                </c:pt>
                <c:pt idx="10">
                  <c:v>8.0416666666666747E-2</c:v>
                </c:pt>
                <c:pt idx="11">
                  <c:v>8.0416666666666581E-2</c:v>
                </c:pt>
                <c:pt idx="12">
                  <c:v>7.0416666666666683E-2</c:v>
                </c:pt>
                <c:pt idx="13">
                  <c:v>7.0416666666666683E-2</c:v>
                </c:pt>
                <c:pt idx="14">
                  <c:v>6.0416666666666674E-2</c:v>
                </c:pt>
                <c:pt idx="15">
                  <c:v>4.0416666666666656E-2</c:v>
                </c:pt>
                <c:pt idx="16">
                  <c:v>4.0416666666666656E-2</c:v>
                </c:pt>
                <c:pt idx="17">
                  <c:v>3.0416666666666647E-2</c:v>
                </c:pt>
                <c:pt idx="18">
                  <c:v>3.0416666666666647E-2</c:v>
                </c:pt>
                <c:pt idx="19">
                  <c:v>2.0416666666666639E-2</c:v>
                </c:pt>
                <c:pt idx="20">
                  <c:v>1.0416666666666741E-2</c:v>
                </c:pt>
                <c:pt idx="21">
                  <c:v>1.0416666666666741E-2</c:v>
                </c:pt>
                <c:pt idx="22">
                  <c:v>3.2291666666666163E-3</c:v>
                </c:pt>
                <c:pt idx="23">
                  <c:v>2.6041666666666297E-3</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4CFE-41B7-9B73-C384EF2E11CF}"/>
            </c:ext>
          </c:extLst>
        </c:ser>
        <c:dLbls>
          <c:showLegendKey val="0"/>
          <c:showVal val="0"/>
          <c:showCatName val="0"/>
          <c:showSerName val="0"/>
          <c:showPercent val="0"/>
          <c:showBubbleSize val="0"/>
        </c:dLbls>
        <c:gapWidth val="8"/>
        <c:axId val="10"/>
        <c:axId val="100"/>
      </c:barChart>
      <c:catAx>
        <c:axId val="10"/>
        <c:scaling>
          <c:orientation val="minMax"/>
        </c:scaling>
        <c:delete val="0"/>
        <c:axPos val="b"/>
        <c:title>
          <c:tx>
            <c:rich>
              <a:bodyPr/>
              <a:lstStyle/>
              <a:p>
                <a:pPr>
                  <a:defRPr/>
                </a:pPr>
                <a:r>
                  <a:rPr lang="en-US"/>
                  <a:t>Responders</a:t>
                </a:r>
              </a:p>
            </c:rich>
          </c:tx>
          <c:overlay val="0"/>
        </c:title>
        <c:numFmt formatCode="0" sourceLinked="0"/>
        <c:majorTickMark val="none"/>
        <c:minorTickMark val="none"/>
        <c:tickLblPos val="nextTo"/>
        <c:crossAx val="100"/>
        <c:crosses val="autoZero"/>
        <c:auto val="1"/>
        <c:lblAlgn val="ctr"/>
        <c:lblOffset val="100"/>
        <c:tickLblSkip val="4"/>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Probability</a:t>
                </a:r>
              </a:p>
            </c:rich>
          </c:tx>
          <c:overlay val="0"/>
        </c:title>
        <c:numFmt formatCode="0%" sourceLinked="0"/>
        <c:majorTickMark val="none"/>
        <c:minorTickMark val="none"/>
        <c:tickLblPos val="nextTo"/>
        <c:crossAx val="10"/>
        <c:crosses val="min"/>
        <c:crossBetween val="between"/>
      </c:valAx>
    </c:plotArea>
    <c:plotVisOnly val="0"/>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Predictive probability</c:v>
          </c:tx>
          <c:spPr>
            <a:ln w="25400">
              <a:solidFill>
                <a:srgbClr val="0E4F92"/>
              </a:solidFill>
              <a:prstDash val="solid"/>
            </a:ln>
          </c:spPr>
          <c:marker>
            <c:symbol val="circle"/>
            <c:size val="5"/>
            <c:spPr>
              <a:solidFill>
                <a:srgbClr val="0E4F92"/>
              </a:solidFill>
              <a:ln>
                <a:solidFill>
                  <a:srgbClr val="0E4F92"/>
                </a:solidFill>
                <a:prstDash val="solid"/>
              </a:ln>
            </c:spPr>
          </c:marker>
          <c:cat>
            <c:strRef>
              <c:f>Results!$B$378:$B$418</c:f>
              <c:strCache>
                <c:ptCount val="4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strCache>
            </c:strRef>
          </c:cat>
          <c:val>
            <c:numRef>
              <c:f>Results!$C$378:$C$418</c:f>
              <c:numCache>
                <c:formatCode>#,##0.0000</c:formatCode>
                <c:ptCount val="41"/>
                <c:pt idx="0">
                  <c:v>5.7421363663934244E-7</c:v>
                </c:pt>
                <c:pt idx="1">
                  <c:v>5.0017256857382009E-6</c:v>
                </c:pt>
                <c:pt idx="2">
                  <c:v>3.4518472163291847E-5</c:v>
                </c:pt>
                <c:pt idx="3">
                  <c:v>1.9273691508248092E-4</c:v>
                </c:pt>
                <c:pt idx="4">
                  <c:v>8.8487981736284915E-4</c:v>
                </c:pt>
                <c:pt idx="5">
                  <c:v>3.3842847426489575E-3</c:v>
                </c:pt>
                <c:pt idx="6">
                  <c:v>1.0900922650699862E-2</c:v>
                </c:pt>
                <c:pt idx="7">
                  <c:v>2.985735597144823E-2</c:v>
                </c:pt>
                <c:pt idx="8">
                  <c:v>7.0163145162254636E-2</c:v>
                </c:pt>
                <c:pt idx="9">
                  <c:v>0.14271356570556115</c:v>
                </c:pt>
                <c:pt idx="10">
                  <c:v>0.25360363938170805</c:v>
                </c:pt>
                <c:pt idx="11">
                  <c:v>0.39782674115680339</c:v>
                </c:pt>
                <c:pt idx="12">
                  <c:v>0.55763619729612213</c:v>
                </c:pt>
                <c:pt idx="13">
                  <c:v>0.70856735031661433</c:v>
                </c:pt>
                <c:pt idx="14">
                  <c:v>0.83001838339041956</c:v>
                </c:pt>
                <c:pt idx="15">
                  <c:v>0.91318593864747322</c:v>
                </c:pt>
                <c:pt idx="16">
                  <c:v>0.9615528856763994</c:v>
                </c:pt>
                <c:pt idx="17">
                  <c:v>0.98536994292549285</c:v>
                </c:pt>
                <c:pt idx="18">
                  <c:v>0.99526025596238332</c:v>
                </c:pt>
                <c:pt idx="19">
                  <c:v>0.99870538167023371</c:v>
                </c:pt>
                <c:pt idx="20">
                  <c:v>0.99970514364035479</c:v>
                </c:pt>
                <c:pt idx="21">
                  <c:v>0.9999447315681057</c:v>
                </c:pt>
                <c:pt idx="22">
                  <c:v>0.99999161110672929</c:v>
                </c:pt>
                <c:pt idx="23">
                  <c:v>0.99999899029336448</c:v>
                </c:pt>
                <c:pt idx="24">
                  <c:v>0.99999990633032609</c:v>
                </c:pt>
                <c:pt idx="25">
                  <c:v>0.99999999357194147</c:v>
                </c:pt>
                <c:pt idx="26">
                  <c:v>0.99999999969416009</c:v>
                </c:pt>
                <c:pt idx="27">
                  <c:v>0.99999999999103484</c:v>
                </c:pt>
                <c:pt idx="28">
                  <c:v>0.99999999999987865</c:v>
                </c:pt>
                <c:pt idx="29">
                  <c:v>1</c:v>
                </c:pt>
                <c:pt idx="30">
                  <c:v>1</c:v>
                </c:pt>
                <c:pt idx="31">
                  <c:v>1</c:v>
                </c:pt>
                <c:pt idx="32">
                  <c:v>1</c:v>
                </c:pt>
                <c:pt idx="33">
                  <c:v>1</c:v>
                </c:pt>
                <c:pt idx="34">
                  <c:v>1</c:v>
                </c:pt>
                <c:pt idx="35">
                  <c:v>1</c:v>
                </c:pt>
                <c:pt idx="36">
                  <c:v>1</c:v>
                </c:pt>
                <c:pt idx="37">
                  <c:v>1</c:v>
                </c:pt>
                <c:pt idx="38">
                  <c:v>1</c:v>
                </c:pt>
                <c:pt idx="39">
                  <c:v>1</c:v>
                </c:pt>
                <c:pt idx="40">
                  <c:v>1</c:v>
                </c:pt>
              </c:numCache>
            </c:numRef>
          </c:val>
          <c:smooth val="0"/>
          <c:extLst>
            <c:ext xmlns:c16="http://schemas.microsoft.com/office/drawing/2014/chart" uri="{C3380CC4-5D6E-409C-BE32-E72D297353CC}">
              <c16:uniqueId val="{00000000-AA67-4CA4-BF2E-EF23D981C289}"/>
            </c:ext>
          </c:extLst>
        </c:ser>
        <c:ser>
          <c:idx val="1"/>
          <c:order val="1"/>
          <c:tx>
            <c:v>Futility threshold</c:v>
          </c:tx>
          <c:spPr>
            <a:ln w="25400">
              <a:solidFill>
                <a:srgbClr val="B45309"/>
              </a:solidFill>
              <a:prstDash val="dash"/>
            </a:ln>
          </c:spPr>
          <c:marker>
            <c:symbol val="none"/>
          </c:marker>
          <c:cat>
            <c:strRef>
              <c:f>Results!$B$378:$B$418</c:f>
              <c:strCache>
                <c:ptCount val="4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strCache>
            </c:strRef>
          </c:cat>
          <c:val>
            <c:numRef>
              <c:f>Results!$D$378:$D$418</c:f>
              <c:numCache>
                <c:formatCode>#,##0.0000</c:formatCode>
                <c:ptCount val="41"/>
                <c:pt idx="0">
                  <c:v>0.1</c:v>
                </c:pt>
                <c:pt idx="1">
                  <c:v>0.1</c:v>
                </c:pt>
                <c:pt idx="2">
                  <c:v>0.1</c:v>
                </c:pt>
                <c:pt idx="3">
                  <c:v>0.1</c:v>
                </c:pt>
                <c:pt idx="4">
                  <c:v>0.1</c:v>
                </c:pt>
                <c:pt idx="5">
                  <c:v>0.1</c:v>
                </c:pt>
                <c:pt idx="6">
                  <c:v>0.1</c:v>
                </c:pt>
                <c:pt idx="7">
                  <c:v>0.1</c:v>
                </c:pt>
                <c:pt idx="8">
                  <c:v>0.1</c:v>
                </c:pt>
                <c:pt idx="9">
                  <c:v>0.1</c:v>
                </c:pt>
                <c:pt idx="10">
                  <c:v>0.1</c:v>
                </c:pt>
                <c:pt idx="11">
                  <c:v>0.1</c:v>
                </c:pt>
                <c:pt idx="12">
                  <c:v>0.1</c:v>
                </c:pt>
                <c:pt idx="13">
                  <c:v>0.1</c:v>
                </c:pt>
                <c:pt idx="14">
                  <c:v>0.1</c:v>
                </c:pt>
                <c:pt idx="15">
                  <c:v>0.1</c:v>
                </c:pt>
                <c:pt idx="16">
                  <c:v>0.1</c:v>
                </c:pt>
                <c:pt idx="17">
                  <c:v>0.1</c:v>
                </c:pt>
                <c:pt idx="18">
                  <c:v>0.1</c:v>
                </c:pt>
                <c:pt idx="19">
                  <c:v>0.1</c:v>
                </c:pt>
                <c:pt idx="20">
                  <c:v>0.1</c:v>
                </c:pt>
                <c:pt idx="21">
                  <c:v>0.1</c:v>
                </c:pt>
                <c:pt idx="22">
                  <c:v>0.1</c:v>
                </c:pt>
                <c:pt idx="23">
                  <c:v>0.1</c:v>
                </c:pt>
                <c:pt idx="24">
                  <c:v>0.1</c:v>
                </c:pt>
                <c:pt idx="25">
                  <c:v>0.1</c:v>
                </c:pt>
                <c:pt idx="26">
                  <c:v>0.1</c:v>
                </c:pt>
                <c:pt idx="27">
                  <c:v>0.1</c:v>
                </c:pt>
                <c:pt idx="28">
                  <c:v>0.1</c:v>
                </c:pt>
                <c:pt idx="29">
                  <c:v>0.1</c:v>
                </c:pt>
                <c:pt idx="30">
                  <c:v>0.1</c:v>
                </c:pt>
                <c:pt idx="31">
                  <c:v>0.1</c:v>
                </c:pt>
                <c:pt idx="32">
                  <c:v>0.1</c:v>
                </c:pt>
                <c:pt idx="33">
                  <c:v>0.1</c:v>
                </c:pt>
                <c:pt idx="34">
                  <c:v>0.1</c:v>
                </c:pt>
                <c:pt idx="35">
                  <c:v>0.1</c:v>
                </c:pt>
                <c:pt idx="36">
                  <c:v>0.1</c:v>
                </c:pt>
                <c:pt idx="37">
                  <c:v>0.1</c:v>
                </c:pt>
                <c:pt idx="38">
                  <c:v>0.1</c:v>
                </c:pt>
                <c:pt idx="39">
                  <c:v>0.1</c:v>
                </c:pt>
                <c:pt idx="40">
                  <c:v>0.1</c:v>
                </c:pt>
              </c:numCache>
            </c:numRef>
          </c:val>
          <c:smooth val="0"/>
          <c:extLst>
            <c:ext xmlns:c16="http://schemas.microsoft.com/office/drawing/2014/chart" uri="{C3380CC4-5D6E-409C-BE32-E72D297353CC}">
              <c16:uniqueId val="{00000001-AA67-4CA4-BF2E-EF23D981C289}"/>
            </c:ext>
          </c:extLst>
        </c:ser>
        <c:ser>
          <c:idx val="2"/>
          <c:order val="2"/>
          <c:tx>
            <c:v>Efficacy threshold</c:v>
          </c:tx>
          <c:spPr>
            <a:ln w="25400">
              <a:solidFill>
                <a:srgbClr val="15803D"/>
              </a:solidFill>
              <a:prstDash val="solid"/>
            </a:ln>
          </c:spPr>
          <c:marker>
            <c:symbol val="none"/>
          </c:marker>
          <c:cat>
            <c:strRef>
              <c:f>Results!$B$378:$B$418</c:f>
              <c:strCache>
                <c:ptCount val="4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strCache>
            </c:strRef>
          </c:cat>
          <c:val>
            <c:numRef>
              <c:f>Results!$E$378:$E$418</c:f>
              <c:numCache>
                <c:formatCode>#,##0.0000</c:formatCode>
                <c:ptCount val="41"/>
                <c:pt idx="0">
                  <c:v>0.95</c:v>
                </c:pt>
                <c:pt idx="1">
                  <c:v>0.95</c:v>
                </c:pt>
                <c:pt idx="2">
                  <c:v>0.95</c:v>
                </c:pt>
                <c:pt idx="3">
                  <c:v>0.95</c:v>
                </c:pt>
                <c:pt idx="4">
                  <c:v>0.95</c:v>
                </c:pt>
                <c:pt idx="5">
                  <c:v>0.95</c:v>
                </c:pt>
                <c:pt idx="6">
                  <c:v>0.95</c:v>
                </c:pt>
                <c:pt idx="7">
                  <c:v>0.95</c:v>
                </c:pt>
                <c:pt idx="8">
                  <c:v>0.95</c:v>
                </c:pt>
                <c:pt idx="9">
                  <c:v>0.95</c:v>
                </c:pt>
                <c:pt idx="10">
                  <c:v>0.95</c:v>
                </c:pt>
                <c:pt idx="11">
                  <c:v>0.95</c:v>
                </c:pt>
                <c:pt idx="12">
                  <c:v>0.95</c:v>
                </c:pt>
                <c:pt idx="13">
                  <c:v>0.95</c:v>
                </c:pt>
                <c:pt idx="14">
                  <c:v>0.95</c:v>
                </c:pt>
                <c:pt idx="15">
                  <c:v>0.95</c:v>
                </c:pt>
                <c:pt idx="16">
                  <c:v>0.95</c:v>
                </c:pt>
                <c:pt idx="17">
                  <c:v>0.95</c:v>
                </c:pt>
                <c:pt idx="18">
                  <c:v>0.95</c:v>
                </c:pt>
                <c:pt idx="19">
                  <c:v>0.95</c:v>
                </c:pt>
                <c:pt idx="20">
                  <c:v>0.95</c:v>
                </c:pt>
                <c:pt idx="21">
                  <c:v>0.95</c:v>
                </c:pt>
                <c:pt idx="22">
                  <c:v>0.95</c:v>
                </c:pt>
                <c:pt idx="23">
                  <c:v>0.95</c:v>
                </c:pt>
                <c:pt idx="24">
                  <c:v>0.95</c:v>
                </c:pt>
                <c:pt idx="25">
                  <c:v>0.95</c:v>
                </c:pt>
                <c:pt idx="26">
                  <c:v>0.95</c:v>
                </c:pt>
                <c:pt idx="27">
                  <c:v>0.95</c:v>
                </c:pt>
                <c:pt idx="28">
                  <c:v>0.95</c:v>
                </c:pt>
                <c:pt idx="29">
                  <c:v>0.95</c:v>
                </c:pt>
                <c:pt idx="30">
                  <c:v>0.95</c:v>
                </c:pt>
                <c:pt idx="31">
                  <c:v>0.95</c:v>
                </c:pt>
                <c:pt idx="32">
                  <c:v>0.95</c:v>
                </c:pt>
                <c:pt idx="33">
                  <c:v>0.95</c:v>
                </c:pt>
                <c:pt idx="34">
                  <c:v>0.95</c:v>
                </c:pt>
                <c:pt idx="35">
                  <c:v>0.95</c:v>
                </c:pt>
                <c:pt idx="36">
                  <c:v>0.95</c:v>
                </c:pt>
                <c:pt idx="37">
                  <c:v>0.95</c:v>
                </c:pt>
                <c:pt idx="38">
                  <c:v>0.95</c:v>
                </c:pt>
                <c:pt idx="39">
                  <c:v>0.95</c:v>
                </c:pt>
                <c:pt idx="40">
                  <c:v>0.95</c:v>
                </c:pt>
              </c:numCache>
            </c:numRef>
          </c:val>
          <c:smooth val="0"/>
          <c:extLst>
            <c:ext xmlns:c16="http://schemas.microsoft.com/office/drawing/2014/chart" uri="{C3380CC4-5D6E-409C-BE32-E72D297353CC}">
              <c16:uniqueId val="{00000002-AA67-4CA4-BF2E-EF23D981C289}"/>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tickLblSkip val="5"/>
        <c:tickMarkSkip val="5"/>
        <c:noMultiLvlLbl val="1"/>
      </c:catAx>
      <c:valAx>
        <c:axId val="100"/>
        <c:scaling>
          <c:orientation val="minMax"/>
          <c:max val="1"/>
          <c:min val="0"/>
        </c:scaling>
        <c:delete val="0"/>
        <c:axPos val="l"/>
        <c:majorGridlines>
          <c:spPr>
            <a:ln>
              <a:solidFill>
                <a:srgbClr val="E4E9F0"/>
              </a:solidFill>
              <a:prstDash val="solid"/>
            </a:ln>
          </c:spPr>
        </c:majorGridlines>
        <c:title>
          <c:tx>
            <c:rich>
              <a:bodyPr/>
              <a:lstStyle/>
              <a:p>
                <a:pPr>
                  <a:defRPr/>
                </a:pPr>
                <a:r>
                  <a:rPr lang="en-US"/>
                  <a:t>Probability</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376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24</xdr:row>
      <xdr:rowOff>0</xdr:rowOff>
    </xdr:from>
    <xdr:ext cx="6263999" cy="2376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0</xdr:colOff>
      <xdr:row>39</xdr:row>
      <xdr:rowOff>0</xdr:rowOff>
    </xdr:from>
    <xdr:ext cx="6263999" cy="2520000"/>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2"/>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ht="26.25"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57" customHeight="1" x14ac:dyDescent="0.45">
      <c r="B16" s="73" t="s">
        <v>20</v>
      </c>
      <c r="C16" s="72"/>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66</v>
      </c>
      <c r="C57" s="10" t="s">
        <v>67</v>
      </c>
    </row>
    <row r="58" spans="2:3" x14ac:dyDescent="0.45">
      <c r="B58" s="9" t="s">
        <v>68</v>
      </c>
      <c r="C58" s="10" t="s">
        <v>69</v>
      </c>
    </row>
    <row r="59" spans="2:3" x14ac:dyDescent="0.45">
      <c r="B59" s="9" t="s">
        <v>70</v>
      </c>
      <c r="C59" s="10" t="s">
        <v>71</v>
      </c>
    </row>
    <row r="60" spans="2:3" x14ac:dyDescent="0.45">
      <c r="B60" s="9" t="s">
        <v>72</v>
      </c>
      <c r="C60" s="10" t="s">
        <v>73</v>
      </c>
    </row>
    <row r="61" spans="2:3" ht="12" customHeight="1" x14ac:dyDescent="0.45"/>
    <row r="62" spans="2:3" ht="22.05" customHeight="1" x14ac:dyDescent="0.5">
      <c r="B62" s="7" t="s">
        <v>74</v>
      </c>
      <c r="C62" s="8"/>
    </row>
    <row r="63" spans="2:3" x14ac:dyDescent="0.45">
      <c r="B63" s="20" t="s">
        <v>75</v>
      </c>
      <c r="C63" s="10" t="s">
        <v>76</v>
      </c>
    </row>
    <row r="64" spans="2:3" x14ac:dyDescent="0.45">
      <c r="B64" s="20" t="s">
        <v>77</v>
      </c>
      <c r="C64" s="10" t="s">
        <v>78</v>
      </c>
    </row>
    <row r="65" spans="2:3" x14ac:dyDescent="0.45">
      <c r="B65" s="20" t="s">
        <v>79</v>
      </c>
      <c r="C65" s="10" t="s">
        <v>80</v>
      </c>
    </row>
    <row r="66" spans="2:3" ht="39.4" x14ac:dyDescent="0.45">
      <c r="B66" s="20" t="s">
        <v>81</v>
      </c>
      <c r="C66" s="10" t="s">
        <v>82</v>
      </c>
    </row>
    <row r="67" spans="2:3" ht="12" customHeight="1" x14ac:dyDescent="0.45"/>
    <row r="68" spans="2:3" ht="22.05" customHeight="1" x14ac:dyDescent="0.5">
      <c r="B68" s="7" t="s">
        <v>83</v>
      </c>
      <c r="C68" s="8"/>
    </row>
    <row r="69" spans="2:3" x14ac:dyDescent="0.45">
      <c r="B69" s="9" t="s">
        <v>61</v>
      </c>
      <c r="C69" s="10" t="s">
        <v>84</v>
      </c>
    </row>
    <row r="70" spans="2:3" x14ac:dyDescent="0.45">
      <c r="B70" s="9" t="s">
        <v>85</v>
      </c>
      <c r="C70" s="10" t="s">
        <v>86</v>
      </c>
    </row>
    <row r="71" spans="2:3" ht="16.05" customHeight="1" x14ac:dyDescent="0.45"/>
    <row r="72" spans="2:3" x14ac:dyDescent="0.45">
      <c r="B72" s="71" t="s">
        <v>87</v>
      </c>
      <c r="C72" s="72"/>
    </row>
  </sheetData>
  <mergeCells count="2">
    <mergeCell ref="B72:C72"/>
    <mergeCell ref="B16:C16"/>
  </mergeCells>
  <hyperlinks>
    <hyperlink ref="D4" location="'Inputs'!A1" display="Next:  Inputs  ▸" xr:uid="{00000000-0004-0000-0000-000000000000}"/>
    <hyperlink ref="B39" location="'Inputs'!A1" display="Inputs" xr:uid="{00000000-0004-0000-0000-000001000000}"/>
    <hyperlink ref="B40" location="'Analysis'!A1" display="Analysis"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42"/>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88</v>
      </c>
      <c r="C3" s="1"/>
      <c r="D3" s="1"/>
      <c r="E3" s="1"/>
      <c r="F3" s="1"/>
      <c r="G3" s="1"/>
      <c r="H3" s="1"/>
      <c r="I3" s="1"/>
      <c r="J3" s="1"/>
    </row>
    <row r="4" spans="1:10" ht="20" customHeight="1" x14ac:dyDescent="0.45">
      <c r="A4" s="5"/>
      <c r="B4" s="22" t="s">
        <v>89</v>
      </c>
      <c r="C4" s="5"/>
      <c r="D4" s="5"/>
      <c r="E4" s="5"/>
      <c r="F4" s="5"/>
      <c r="G4" s="5"/>
      <c r="H4" s="5"/>
      <c r="I4" s="5"/>
      <c r="J4" s="6" t="s">
        <v>90</v>
      </c>
    </row>
    <row r="5" spans="1:10" ht="8" customHeight="1" x14ac:dyDescent="0.45"/>
    <row r="6" spans="1:10" ht="20" customHeight="1" x14ac:dyDescent="0.45">
      <c r="B6" s="74" t="s">
        <v>91</v>
      </c>
      <c r="C6" s="72"/>
      <c r="D6" s="72"/>
      <c r="E6" s="72"/>
      <c r="F6" s="72"/>
      <c r="G6" s="72"/>
      <c r="H6" s="72"/>
      <c r="I6" s="72"/>
      <c r="J6" s="72"/>
    </row>
    <row r="7" spans="1:10" ht="6" customHeight="1" x14ac:dyDescent="0.45"/>
    <row r="8" spans="1:10" ht="22.05" customHeight="1" x14ac:dyDescent="0.5">
      <c r="B8" s="7" t="s">
        <v>92</v>
      </c>
      <c r="C8" s="8"/>
      <c r="D8" s="8"/>
      <c r="E8" s="8"/>
      <c r="F8" s="8"/>
      <c r="G8" s="8"/>
      <c r="H8" s="8"/>
      <c r="I8" s="8"/>
      <c r="J8" s="8"/>
    </row>
    <row r="9" spans="1:10" ht="18" customHeight="1" x14ac:dyDescent="0.45">
      <c r="B9" s="13" t="s">
        <v>93</v>
      </c>
    </row>
    <row r="10" spans="1:10" ht="18" customHeight="1" x14ac:dyDescent="0.45">
      <c r="B10" s="23" t="s">
        <v>94</v>
      </c>
      <c r="C10" s="23" t="s">
        <v>95</v>
      </c>
      <c r="D10" s="24" t="s">
        <v>96</v>
      </c>
      <c r="E10" s="23" t="s">
        <v>97</v>
      </c>
      <c r="F10" s="5"/>
      <c r="G10" s="5"/>
      <c r="H10" s="5"/>
      <c r="I10" s="5"/>
      <c r="J10" s="23" t="s">
        <v>98</v>
      </c>
    </row>
    <row r="11" spans="1:10" x14ac:dyDescent="0.45">
      <c r="B11" s="25" t="s">
        <v>99</v>
      </c>
      <c r="C11" s="26" t="s">
        <v>100</v>
      </c>
      <c r="D11" s="27">
        <v>100</v>
      </c>
      <c r="E11" s="26" t="s">
        <v>101</v>
      </c>
      <c r="F11" s="28"/>
      <c r="G11" s="28"/>
      <c r="H11" s="28"/>
      <c r="I11" s="28"/>
      <c r="J11" s="29"/>
    </row>
    <row r="12" spans="1:10" x14ac:dyDescent="0.45">
      <c r="B12" s="25" t="s">
        <v>102</v>
      </c>
      <c r="C12" s="26" t="s">
        <v>103</v>
      </c>
      <c r="D12" s="30">
        <v>0.2</v>
      </c>
      <c r="E12" s="26" t="s">
        <v>101</v>
      </c>
      <c r="F12" s="28"/>
      <c r="G12" s="28"/>
      <c r="H12" s="28"/>
      <c r="I12" s="28"/>
      <c r="J12" s="29" t="s">
        <v>104</v>
      </c>
    </row>
    <row r="13" spans="1:10" x14ac:dyDescent="0.45">
      <c r="B13" s="25" t="s">
        <v>105</v>
      </c>
      <c r="C13" s="26" t="s">
        <v>103</v>
      </c>
      <c r="D13" s="31">
        <v>2.5000000000000001E-2</v>
      </c>
      <c r="E13" s="26" t="s">
        <v>101</v>
      </c>
      <c r="F13" s="28"/>
      <c r="G13" s="28"/>
      <c r="H13" s="28"/>
      <c r="I13" s="28"/>
      <c r="J13" s="29" t="s">
        <v>106</v>
      </c>
    </row>
    <row r="14" spans="1:10" ht="8" customHeight="1" x14ac:dyDescent="0.45"/>
    <row r="15" spans="1:10" ht="22.05" customHeight="1" x14ac:dyDescent="0.5">
      <c r="B15" s="7" t="s">
        <v>107</v>
      </c>
      <c r="C15" s="8"/>
      <c r="D15" s="8"/>
      <c r="E15" s="8"/>
      <c r="F15" s="8"/>
      <c r="G15" s="8"/>
      <c r="H15" s="8"/>
      <c r="I15" s="8"/>
      <c r="J15" s="8"/>
    </row>
    <row r="16" spans="1:10" ht="18" customHeight="1" x14ac:dyDescent="0.45">
      <c r="B16" s="13" t="s">
        <v>108</v>
      </c>
    </row>
    <row r="17" spans="2:10" ht="18" customHeight="1" x14ac:dyDescent="0.45">
      <c r="B17" s="23" t="s">
        <v>94</v>
      </c>
      <c r="C17" s="23" t="s">
        <v>95</v>
      </c>
      <c r="D17" s="24" t="s">
        <v>96</v>
      </c>
      <c r="E17" s="23" t="s">
        <v>97</v>
      </c>
      <c r="F17" s="5"/>
      <c r="G17" s="5"/>
      <c r="H17" s="5"/>
      <c r="I17" s="5"/>
      <c r="J17" s="23" t="s">
        <v>98</v>
      </c>
    </row>
    <row r="18" spans="2:10" x14ac:dyDescent="0.45">
      <c r="B18" s="25" t="s">
        <v>109</v>
      </c>
      <c r="C18" s="26" t="s">
        <v>100</v>
      </c>
      <c r="D18" s="27">
        <v>40</v>
      </c>
      <c r="E18" s="26" t="s">
        <v>101</v>
      </c>
      <c r="F18" s="28"/>
      <c r="G18" s="28"/>
      <c r="H18" s="28"/>
      <c r="I18" s="28"/>
      <c r="J18" s="29"/>
    </row>
    <row r="19" spans="2:10" x14ac:dyDescent="0.45">
      <c r="B19" s="25" t="s">
        <v>110</v>
      </c>
      <c r="C19" s="26" t="s">
        <v>100</v>
      </c>
      <c r="D19" s="27">
        <v>14</v>
      </c>
      <c r="E19" s="26" t="s">
        <v>101</v>
      </c>
      <c r="F19" s="28"/>
      <c r="G19" s="28"/>
      <c r="H19" s="28"/>
      <c r="I19" s="28"/>
      <c r="J19" s="29"/>
    </row>
    <row r="20" spans="2:10" ht="8" customHeight="1" x14ac:dyDescent="0.45"/>
    <row r="21" spans="2:10" ht="22.05" customHeight="1" x14ac:dyDescent="0.5">
      <c r="B21" s="7" t="s">
        <v>111</v>
      </c>
      <c r="C21" s="8"/>
      <c r="D21" s="8"/>
      <c r="E21" s="8"/>
      <c r="F21" s="8"/>
      <c r="G21" s="8"/>
      <c r="H21" s="8"/>
      <c r="I21" s="8"/>
      <c r="J21" s="8"/>
    </row>
    <row r="22" spans="2:10" ht="18" customHeight="1" x14ac:dyDescent="0.45">
      <c r="B22" s="13" t="s">
        <v>112</v>
      </c>
    </row>
    <row r="23" spans="2:10" ht="18" customHeight="1" x14ac:dyDescent="0.45">
      <c r="B23" s="23" t="s">
        <v>94</v>
      </c>
      <c r="C23" s="23" t="s">
        <v>95</v>
      </c>
      <c r="D23" s="24" t="s">
        <v>96</v>
      </c>
      <c r="E23" s="23" t="s">
        <v>97</v>
      </c>
      <c r="F23" s="5"/>
      <c r="G23" s="5"/>
      <c r="H23" s="5"/>
      <c r="I23" s="5"/>
      <c r="J23" s="23" t="s">
        <v>98</v>
      </c>
    </row>
    <row r="24" spans="2:10" x14ac:dyDescent="0.45">
      <c r="B24" s="25" t="s">
        <v>113</v>
      </c>
      <c r="C24" s="26" t="s">
        <v>100</v>
      </c>
      <c r="D24" s="27">
        <v>20</v>
      </c>
      <c r="E24" s="26" t="s">
        <v>101</v>
      </c>
      <c r="F24" s="28"/>
      <c r="G24" s="28"/>
      <c r="H24" s="28"/>
      <c r="I24" s="28"/>
      <c r="J24" s="29" t="s">
        <v>114</v>
      </c>
    </row>
    <row r="25" spans="2:10" x14ac:dyDescent="0.45">
      <c r="B25" s="25" t="s">
        <v>115</v>
      </c>
      <c r="C25" s="26" t="s">
        <v>100</v>
      </c>
      <c r="D25" s="27">
        <v>5</v>
      </c>
      <c r="E25" s="26" t="s">
        <v>101</v>
      </c>
      <c r="F25" s="28"/>
      <c r="G25" s="28"/>
      <c r="H25" s="28"/>
      <c r="I25" s="28"/>
      <c r="J25" s="29"/>
    </row>
    <row r="26" spans="2:10" ht="8" customHeight="1" x14ac:dyDescent="0.45"/>
    <row r="27" spans="2:10" ht="22.05" customHeight="1" x14ac:dyDescent="0.5">
      <c r="B27" s="7" t="s">
        <v>116</v>
      </c>
      <c r="C27" s="8"/>
      <c r="D27" s="8"/>
      <c r="E27" s="8"/>
      <c r="F27" s="8"/>
      <c r="G27" s="8"/>
      <c r="H27" s="8"/>
      <c r="I27" s="8"/>
      <c r="J27" s="8"/>
    </row>
    <row r="28" spans="2:10" ht="18" customHeight="1" x14ac:dyDescent="0.45">
      <c r="B28" s="13" t="s">
        <v>117</v>
      </c>
    </row>
    <row r="29" spans="2:10" ht="18" customHeight="1" x14ac:dyDescent="0.45">
      <c r="B29" s="23" t="s">
        <v>94</v>
      </c>
      <c r="C29" s="23" t="s">
        <v>95</v>
      </c>
      <c r="D29" s="24" t="s">
        <v>96</v>
      </c>
      <c r="E29" s="23" t="s">
        <v>97</v>
      </c>
      <c r="F29" s="5"/>
      <c r="G29" s="5"/>
      <c r="H29" s="5"/>
      <c r="I29" s="5"/>
      <c r="J29" s="23" t="s">
        <v>98</v>
      </c>
    </row>
    <row r="30" spans="2:10" x14ac:dyDescent="0.45">
      <c r="B30" s="25" t="s">
        <v>118</v>
      </c>
      <c r="C30" s="26" t="s">
        <v>103</v>
      </c>
      <c r="D30" s="30">
        <v>0.1</v>
      </c>
      <c r="E30" s="26" t="s">
        <v>101</v>
      </c>
      <c r="F30" s="28"/>
      <c r="G30" s="28"/>
      <c r="H30" s="28"/>
      <c r="I30" s="28"/>
      <c r="J30" s="29"/>
    </row>
    <row r="31" spans="2:10" x14ac:dyDescent="0.45">
      <c r="B31" s="25" t="s">
        <v>119</v>
      </c>
      <c r="C31" s="26" t="s">
        <v>103</v>
      </c>
      <c r="D31" s="30">
        <v>0.95</v>
      </c>
      <c r="E31" s="26" t="s">
        <v>101</v>
      </c>
      <c r="F31" s="28"/>
      <c r="G31" s="28"/>
      <c r="H31" s="28"/>
      <c r="I31" s="28"/>
      <c r="J31" s="29"/>
    </row>
    <row r="32" spans="2:10" ht="8" customHeight="1" x14ac:dyDescent="0.45"/>
    <row r="33" spans="2:10" ht="22.05" customHeight="1" x14ac:dyDescent="0.5">
      <c r="B33" s="7" t="s">
        <v>120</v>
      </c>
      <c r="C33" s="8"/>
      <c r="D33" s="8"/>
      <c r="E33" s="8"/>
      <c r="F33" s="8"/>
      <c r="G33" s="8"/>
      <c r="H33" s="8"/>
      <c r="I33" s="8"/>
      <c r="J33" s="8"/>
    </row>
    <row r="34" spans="2:10" ht="18" customHeight="1" x14ac:dyDescent="0.45">
      <c r="B34" s="13" t="s">
        <v>121</v>
      </c>
    </row>
    <row r="35" spans="2:10" ht="18" customHeight="1" x14ac:dyDescent="0.45">
      <c r="B35" s="23" t="s">
        <v>94</v>
      </c>
      <c r="C35" s="23" t="s">
        <v>95</v>
      </c>
      <c r="D35" s="24" t="s">
        <v>96</v>
      </c>
      <c r="E35" s="23" t="s">
        <v>97</v>
      </c>
      <c r="F35" s="5"/>
      <c r="G35" s="5"/>
      <c r="H35" s="5"/>
      <c r="I35" s="5"/>
      <c r="J35" s="23" t="s">
        <v>98</v>
      </c>
    </row>
    <row r="36" spans="2:10" x14ac:dyDescent="0.45">
      <c r="B36" s="25" t="s">
        <v>122</v>
      </c>
      <c r="C36" s="26"/>
      <c r="D36" s="32">
        <v>1</v>
      </c>
      <c r="E36" s="26" t="s">
        <v>101</v>
      </c>
      <c r="F36" s="28"/>
      <c r="G36" s="28"/>
      <c r="H36" s="28"/>
      <c r="I36" s="28"/>
      <c r="J36" s="29"/>
    </row>
    <row r="37" spans="2:10" x14ac:dyDescent="0.45">
      <c r="B37" s="25" t="s">
        <v>123</v>
      </c>
      <c r="C37" s="26"/>
      <c r="D37" s="32">
        <v>1</v>
      </c>
      <c r="E37" s="26" t="s">
        <v>101</v>
      </c>
      <c r="F37" s="28"/>
      <c r="G37" s="28"/>
      <c r="H37" s="28"/>
      <c r="I37" s="28"/>
      <c r="J37" s="29" t="s">
        <v>124</v>
      </c>
    </row>
    <row r="38" spans="2:10" x14ac:dyDescent="0.45">
      <c r="B38" s="25" t="s">
        <v>125</v>
      </c>
      <c r="C38" s="26"/>
      <c r="D38" s="32">
        <v>4</v>
      </c>
      <c r="E38" s="26" t="s">
        <v>101</v>
      </c>
      <c r="F38" s="28"/>
      <c r="G38" s="28"/>
      <c r="H38" s="28"/>
      <c r="I38" s="28"/>
      <c r="J38" s="29"/>
    </row>
    <row r="39" spans="2:10" x14ac:dyDescent="0.45">
      <c r="B39" s="25" t="s">
        <v>126</v>
      </c>
      <c r="C39" s="26"/>
      <c r="D39" s="32">
        <v>16</v>
      </c>
      <c r="E39" s="26" t="s">
        <v>101</v>
      </c>
      <c r="F39" s="28"/>
      <c r="G39" s="28"/>
      <c r="H39" s="28"/>
      <c r="I39" s="28"/>
      <c r="J39" s="29" t="s">
        <v>127</v>
      </c>
    </row>
    <row r="40" spans="2:10" x14ac:dyDescent="0.45">
      <c r="B40" s="25" t="s">
        <v>128</v>
      </c>
      <c r="C40" s="26"/>
      <c r="D40" s="32">
        <v>8</v>
      </c>
      <c r="E40" s="26" t="s">
        <v>101</v>
      </c>
      <c r="F40" s="28"/>
      <c r="G40" s="28"/>
      <c r="H40" s="28"/>
      <c r="I40" s="28"/>
      <c r="J40" s="29"/>
    </row>
    <row r="41" spans="2:10" x14ac:dyDescent="0.45">
      <c r="B41" s="25" t="s">
        <v>129</v>
      </c>
      <c r="C41" s="26"/>
      <c r="D41" s="32">
        <v>12</v>
      </c>
      <c r="E41" s="26" t="s">
        <v>101</v>
      </c>
      <c r="F41" s="28"/>
      <c r="G41" s="28"/>
      <c r="H41" s="28"/>
      <c r="I41" s="28"/>
      <c r="J41" s="29" t="s">
        <v>130</v>
      </c>
    </row>
    <row r="42" spans="2:10" ht="8" customHeight="1" x14ac:dyDescent="0.45"/>
  </sheetData>
  <mergeCells count="1">
    <mergeCell ref="B6:J6"/>
  </mergeCells>
  <dataValidations count="4">
    <dataValidation type="whole" showErrorMessage="1" errorTitle="Whole number" error="Enter a whole number." sqref="D11 D24:D25 D19" xr:uid="{00000000-0002-0000-0100-000000000000}">
      <formula1>0</formula1>
      <formula2>1000000</formula2>
    </dataValidation>
    <dataValidation type="decimal" showErrorMessage="1" errorTitle="Probability" error="Enter a value between 0% and 100%." sqref="D30:D31 D12:D13" xr:uid="{00000000-0002-0000-0100-000001000000}">
      <formula1>0</formula1>
      <formula2>1</formula2>
    </dataValidation>
    <dataValidation type="whole" showErrorMessage="1" errorTitle="Whole number" error="Enter a whole number from 1 to 40." sqref="D18" xr:uid="{00000000-0002-0000-0100-000003000000}">
      <formula1>1</formula1>
      <formula2>40</formula2>
    </dataValidation>
    <dataValidation type="decimal" operator="greaterThan" showErrorMessage="1" errorTitle="Positive value" error="Enter a value greater than zero." sqref="D36:D41" xr:uid="{00000000-0002-0000-0100-000009000000}">
      <formula1>0</formula1>
    </dataValidation>
  </dataValidations>
  <hyperlinks>
    <hyperlink ref="B4" location="'About'!A1" display="◂  About" xr:uid="{00000000-0004-0000-0100-000000000000}"/>
    <hyperlink ref="J4" location="'Analysis'!A1" display="Next:  Analysi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J103"/>
  <sheetViews>
    <sheetView showGridLines="0" workbookViewId="0"/>
  </sheetViews>
  <sheetFormatPr defaultRowHeight="14.25" x14ac:dyDescent="0.45"/>
  <cols>
    <col min="1" max="1" width="2" customWidth="1"/>
    <col min="2" max="2" width="50" customWidth="1"/>
    <col min="3" max="4" width="12" customWidth="1"/>
    <col min="5" max="5" width="3" customWidth="1"/>
    <col min="6" max="10" width="12"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131</v>
      </c>
      <c r="C3" s="1"/>
      <c r="D3" s="1"/>
      <c r="E3" s="1"/>
      <c r="F3" s="1"/>
      <c r="G3" s="1"/>
      <c r="H3" s="1"/>
      <c r="I3" s="1"/>
      <c r="J3" s="1"/>
    </row>
    <row r="4" spans="1:10" ht="20" customHeight="1" x14ac:dyDescent="0.45">
      <c r="A4" s="5"/>
      <c r="B4" s="22" t="s">
        <v>132</v>
      </c>
      <c r="C4" s="5"/>
      <c r="D4" s="5"/>
      <c r="E4" s="5"/>
      <c r="F4" s="5"/>
      <c r="G4" s="5"/>
      <c r="H4" s="5"/>
      <c r="I4" s="5"/>
      <c r="J4" s="6" t="s">
        <v>133</v>
      </c>
    </row>
    <row r="5" spans="1:10" ht="8" customHeight="1" x14ac:dyDescent="0.45"/>
    <row r="6" spans="1:10" ht="22.05" customHeight="1" x14ac:dyDescent="0.5">
      <c r="B6" s="7" t="s">
        <v>134</v>
      </c>
      <c r="C6" s="8"/>
      <c r="D6" s="8"/>
      <c r="E6" s="8"/>
      <c r="F6" s="8"/>
      <c r="G6" s="8"/>
      <c r="H6" s="8"/>
      <c r="I6" s="8"/>
      <c r="J6" s="8"/>
    </row>
    <row r="7" spans="1:10" ht="18" customHeight="1" x14ac:dyDescent="0.45">
      <c r="B7" s="33" t="s">
        <v>135</v>
      </c>
      <c r="C7" s="33" t="s">
        <v>95</v>
      </c>
      <c r="D7" s="34" t="s">
        <v>136</v>
      </c>
      <c r="E7" s="5"/>
      <c r="F7" s="33" t="s">
        <v>137</v>
      </c>
      <c r="G7" s="5"/>
      <c r="H7" s="5"/>
      <c r="I7" s="5"/>
      <c r="J7" s="5"/>
    </row>
    <row r="8" spans="1:10" x14ac:dyDescent="0.45">
      <c r="B8" s="25" t="s">
        <v>138</v>
      </c>
      <c r="C8" s="26"/>
      <c r="D8" s="35">
        <f>1+PriorX+XInt</f>
        <v>20</v>
      </c>
      <c r="E8" s="28"/>
      <c r="F8" s="26" t="s">
        <v>139</v>
      </c>
      <c r="G8" s="28"/>
      <c r="H8" s="28"/>
      <c r="I8" s="28"/>
      <c r="J8" s="28"/>
    </row>
    <row r="9" spans="1:10" x14ac:dyDescent="0.45">
      <c r="B9" s="25" t="s">
        <v>140</v>
      </c>
      <c r="C9" s="26"/>
      <c r="D9" s="35">
        <f>1+(PriorN-PriorX)+(NInt-XInt)</f>
        <v>42</v>
      </c>
      <c r="E9" s="28"/>
      <c r="F9" s="26" t="s">
        <v>141</v>
      </c>
      <c r="G9" s="28"/>
      <c r="H9" s="28"/>
      <c r="I9" s="28"/>
      <c r="J9" s="28"/>
    </row>
    <row r="10" spans="1:10" x14ac:dyDescent="0.45">
      <c r="B10" s="25" t="s">
        <v>142</v>
      </c>
      <c r="C10" s="26" t="s">
        <v>143</v>
      </c>
      <c r="D10" s="36" cm="1">
        <f t="array" ref="D10">_xll.VosePercentile(_xll.VoseBinomialObject(NTot,Control),1-Alpha)+1</f>
        <v>29</v>
      </c>
      <c r="E10" s="28"/>
      <c r="F10" s="26" t="s">
        <v>144</v>
      </c>
      <c r="G10" s="28"/>
      <c r="H10" s="28"/>
      <c r="I10" s="28"/>
      <c r="J10" s="28"/>
    </row>
    <row r="11" spans="1:10" x14ac:dyDescent="0.45">
      <c r="B11" s="25" t="s">
        <v>145</v>
      </c>
      <c r="C11" s="26" t="s">
        <v>100</v>
      </c>
      <c r="D11" s="36">
        <f>NTot-NInt</f>
        <v>60</v>
      </c>
      <c r="E11" s="28"/>
      <c r="F11" s="28"/>
      <c r="G11" s="28"/>
      <c r="H11" s="28"/>
      <c r="I11" s="28"/>
      <c r="J11" s="28"/>
    </row>
    <row r="12" spans="1:10" x14ac:dyDescent="0.45">
      <c r="B12" s="25" t="s">
        <v>146</v>
      </c>
      <c r="C12" s="26" t="s">
        <v>100</v>
      </c>
      <c r="D12" s="36">
        <f>MAX(0,KSucc-XInt)</f>
        <v>15</v>
      </c>
      <c r="E12" s="28"/>
      <c r="F12" s="28"/>
      <c r="G12" s="28"/>
      <c r="H12" s="28"/>
      <c r="I12" s="28"/>
      <c r="J12" s="28"/>
    </row>
    <row r="13" spans="1:10" ht="8" customHeight="1" x14ac:dyDescent="0.45"/>
    <row r="14" spans="1:10" ht="22.05" customHeight="1" x14ac:dyDescent="0.5">
      <c r="B14" s="7" t="s">
        <v>147</v>
      </c>
      <c r="C14" s="8"/>
      <c r="D14" s="8"/>
      <c r="E14" s="8"/>
      <c r="F14" s="8"/>
      <c r="G14" s="8"/>
      <c r="H14" s="8"/>
      <c r="I14" s="8"/>
      <c r="J14" s="8"/>
    </row>
    <row r="15" spans="1:10" ht="18" customHeight="1" x14ac:dyDescent="0.45">
      <c r="B15" s="13" t="s">
        <v>148</v>
      </c>
    </row>
    <row r="16" spans="1:10" ht="18" customHeight="1" x14ac:dyDescent="0.45">
      <c r="B16" s="33" t="s">
        <v>135</v>
      </c>
      <c r="C16" s="33" t="s">
        <v>95</v>
      </c>
      <c r="D16" s="34" t="s">
        <v>136</v>
      </c>
      <c r="E16" s="5"/>
      <c r="F16" s="33" t="s">
        <v>137</v>
      </c>
      <c r="G16" s="5"/>
      <c r="H16" s="5"/>
      <c r="I16" s="5"/>
      <c r="J16" s="5"/>
    </row>
    <row r="17" spans="2:10" x14ac:dyDescent="0.45">
      <c r="B17" s="25" t="s">
        <v>149</v>
      </c>
      <c r="C17" s="26" t="s">
        <v>103</v>
      </c>
      <c r="D17" s="37" cm="1">
        <f t="array" aca="1" ref="D17" ca="1">_xll.VoseInput("Response rate","probability")+_xll.VoseBeta(PostA,PostB)</f>
        <v>0.33141609082607359</v>
      </c>
      <c r="E17" s="28"/>
      <c r="F17" s="26" t="s">
        <v>150</v>
      </c>
      <c r="G17" s="28"/>
      <c r="H17" s="28"/>
      <c r="I17" s="28"/>
      <c r="J17" s="28"/>
    </row>
    <row r="18" spans="2:10" x14ac:dyDescent="0.45">
      <c r="B18" s="25" t="s">
        <v>151</v>
      </c>
      <c r="C18" s="26" t="s">
        <v>100</v>
      </c>
      <c r="D18" s="38" cm="1">
        <f t="array" aca="1" ref="D18" ca="1">_xll.VoseBinomial(NRem,TrueRate)</f>
        <v>16</v>
      </c>
      <c r="E18" s="28"/>
      <c r="F18" s="26" t="s">
        <v>152</v>
      </c>
      <c r="G18" s="28"/>
      <c r="H18" s="28"/>
      <c r="I18" s="28"/>
      <c r="J18" s="28"/>
    </row>
    <row r="19" spans="2:10" ht="8" customHeight="1" x14ac:dyDescent="0.45"/>
    <row r="20" spans="2:10" ht="22.05" customHeight="1" x14ac:dyDescent="0.5">
      <c r="B20" s="7" t="s">
        <v>153</v>
      </c>
      <c r="C20" s="8"/>
      <c r="D20" s="8"/>
      <c r="E20" s="8"/>
      <c r="F20" s="8"/>
      <c r="G20" s="8"/>
      <c r="H20" s="8"/>
      <c r="I20" s="8"/>
      <c r="J20" s="8"/>
    </row>
    <row r="21" spans="2:10" ht="18" customHeight="1" x14ac:dyDescent="0.45">
      <c r="B21" s="13" t="s">
        <v>154</v>
      </c>
    </row>
    <row r="22" spans="2:10" ht="18" customHeight="1" x14ac:dyDescent="0.45">
      <c r="B22" s="33" t="s">
        <v>135</v>
      </c>
      <c r="C22" s="33" t="s">
        <v>95</v>
      </c>
      <c r="D22" s="34" t="s">
        <v>136</v>
      </c>
      <c r="E22" s="5"/>
      <c r="F22" s="33" t="s">
        <v>137</v>
      </c>
      <c r="G22" s="5"/>
      <c r="H22" s="5"/>
      <c r="I22" s="5"/>
      <c r="J22" s="5"/>
    </row>
    <row r="23" spans="2:10" x14ac:dyDescent="0.45">
      <c r="B23" s="25" t="s">
        <v>155</v>
      </c>
      <c r="C23" s="26" t="s">
        <v>103</v>
      </c>
      <c r="D23" s="39">
        <f>PostA/(PostA+PostB)</f>
        <v>0.32258064516129031</v>
      </c>
      <c r="E23" s="28"/>
      <c r="F23" s="26" t="s">
        <v>156</v>
      </c>
      <c r="G23" s="28"/>
      <c r="H23" s="28"/>
      <c r="I23" s="28"/>
      <c r="J23" s="28"/>
    </row>
    <row r="24" spans="2:10" x14ac:dyDescent="0.45">
      <c r="B24" s="25" t="s">
        <v>157</v>
      </c>
      <c r="C24" s="26" t="s">
        <v>103</v>
      </c>
      <c r="D24" s="39" cm="1">
        <f t="array" ref="D24">_xll.VosePercentile(_xll.VoseBetaObject(PostA,PostB),0.025)</f>
        <v>0.21306633581137002</v>
      </c>
      <c r="E24" s="28"/>
      <c r="F24" s="26" t="s">
        <v>158</v>
      </c>
      <c r="G24" s="28"/>
      <c r="H24" s="28"/>
      <c r="I24" s="28"/>
      <c r="J24" s="28"/>
    </row>
    <row r="25" spans="2:10" x14ac:dyDescent="0.45">
      <c r="B25" s="25" t="s">
        <v>159</v>
      </c>
      <c r="C25" s="26" t="s">
        <v>103</v>
      </c>
      <c r="D25" s="39" cm="1">
        <f t="array" ref="D25">_xll.VosePercentile(_xll.VoseBetaObject(PostA,PostB),0.975)</f>
        <v>0.44293662771106745</v>
      </c>
      <c r="E25" s="28"/>
      <c r="F25" s="26" t="s">
        <v>160</v>
      </c>
      <c r="G25" s="28"/>
      <c r="H25" s="28"/>
      <c r="I25" s="28"/>
      <c r="J25" s="28"/>
    </row>
    <row r="26" spans="2:10" x14ac:dyDescent="0.45">
      <c r="B26" s="25" t="s">
        <v>161</v>
      </c>
      <c r="C26" s="26" t="s">
        <v>103</v>
      </c>
      <c r="D26" s="39" cm="1">
        <f t="array" ref="D26">1-_xll.VoseBetaProb(Control,PostA,PostB,TRUE)</f>
        <v>0.98705167178905751</v>
      </c>
      <c r="E26" s="28"/>
      <c r="F26" s="26" t="s">
        <v>162</v>
      </c>
      <c r="G26" s="28"/>
      <c r="H26" s="28"/>
      <c r="I26" s="28"/>
      <c r="J26" s="28"/>
    </row>
    <row r="27" spans="2:10" x14ac:dyDescent="0.45">
      <c r="B27" s="25" t="s">
        <v>163</v>
      </c>
      <c r="C27" s="26" t="s">
        <v>103</v>
      </c>
      <c r="D27" s="39" cm="1">
        <f t="array" ref="D27">1-_xll.VoseBetaBinomialProb(Need-1,NRem,PostA,PostB,TRUE)</f>
        <v>0.83001838339041956</v>
      </c>
      <c r="E27" s="28"/>
      <c r="F27" s="26" t="s">
        <v>164</v>
      </c>
      <c r="G27" s="28"/>
      <c r="H27" s="28"/>
      <c r="I27" s="28"/>
      <c r="J27" s="28"/>
    </row>
    <row r="28" spans="2:10" x14ac:dyDescent="0.45">
      <c r="B28" s="25" t="s">
        <v>165</v>
      </c>
      <c r="C28" s="26" t="s">
        <v>103</v>
      </c>
      <c r="D28" s="39" cm="1">
        <f t="array" ref="D28">1-_xll.VoseBinomialProb(Need-1,NRem,XInt/NInt,TRUE)</f>
        <v>0.96376691781390611</v>
      </c>
      <c r="E28" s="28"/>
      <c r="F28" s="26" t="s">
        <v>166</v>
      </c>
      <c r="G28" s="28"/>
      <c r="H28" s="28"/>
      <c r="I28" s="28"/>
      <c r="J28" s="28"/>
    </row>
    <row r="29" spans="2:10" x14ac:dyDescent="0.45">
      <c r="B29" s="25" t="s">
        <v>167</v>
      </c>
      <c r="C29" s="26"/>
      <c r="D29" s="40" t="str">
        <f>IF(PPoS&lt;Futility,"Stop for futility",IF(PPoS&gt;Efficacy,"Stop for efficacy","Continue the trial"))</f>
        <v>Continue the trial</v>
      </c>
      <c r="E29" s="28"/>
      <c r="F29" s="26" t="s">
        <v>168</v>
      </c>
      <c r="G29" s="28"/>
      <c r="H29" s="28"/>
      <c r="I29" s="28"/>
      <c r="J29" s="28"/>
    </row>
    <row r="30" spans="2:10" ht="8" customHeight="1" x14ac:dyDescent="0.45"/>
    <row r="31" spans="2:10" ht="22.05" customHeight="1" x14ac:dyDescent="0.5">
      <c r="B31" s="7" t="s">
        <v>169</v>
      </c>
      <c r="C31" s="8"/>
      <c r="D31" s="8"/>
      <c r="E31" s="8"/>
      <c r="F31" s="8"/>
      <c r="G31" s="8"/>
      <c r="H31" s="8"/>
      <c r="I31" s="8"/>
      <c r="J31" s="8"/>
    </row>
    <row r="32" spans="2:10" ht="18" customHeight="1" x14ac:dyDescent="0.45">
      <c r="B32" s="13" t="s">
        <v>170</v>
      </c>
    </row>
    <row r="33" spans="2:10" ht="18" customHeight="1" x14ac:dyDescent="0.45">
      <c r="B33" s="41" t="s">
        <v>68</v>
      </c>
      <c r="C33" s="42" t="s">
        <v>68</v>
      </c>
      <c r="D33" s="42" t="s">
        <v>68</v>
      </c>
      <c r="E33" s="43"/>
      <c r="F33" s="42" t="s">
        <v>171</v>
      </c>
      <c r="G33" s="42" t="s">
        <v>171</v>
      </c>
      <c r="H33" s="42" t="s">
        <v>171</v>
      </c>
      <c r="I33" s="42" t="s">
        <v>172</v>
      </c>
      <c r="J33" s="42" t="s">
        <v>173</v>
      </c>
    </row>
    <row r="34" spans="2:10" x14ac:dyDescent="0.45">
      <c r="B34" s="44"/>
      <c r="C34" s="44" t="s">
        <v>174</v>
      </c>
      <c r="D34" s="44" t="s">
        <v>175</v>
      </c>
      <c r="E34" s="44"/>
      <c r="F34" s="44" t="s">
        <v>174</v>
      </c>
      <c r="G34" s="44" t="s">
        <v>175</v>
      </c>
      <c r="H34" s="44" t="s">
        <v>176</v>
      </c>
      <c r="I34" s="44" t="s">
        <v>177</v>
      </c>
      <c r="J34" s="44" t="s">
        <v>103</v>
      </c>
    </row>
    <row r="35" spans="2:10" x14ac:dyDescent="0.45">
      <c r="B35" s="25" t="s">
        <v>178</v>
      </c>
      <c r="C35" s="35">
        <f>1+PriorX</f>
        <v>6</v>
      </c>
      <c r="D35" s="35">
        <f>1+PriorN-PriorX</f>
        <v>16</v>
      </c>
      <c r="E35" s="28"/>
      <c r="F35" s="35">
        <f>C35+XInt</f>
        <v>20</v>
      </c>
      <c r="G35" s="35">
        <f>D35+NInt-XInt</f>
        <v>42</v>
      </c>
      <c r="H35" s="39">
        <f>F35/(F35+G35)</f>
        <v>0.32258064516129031</v>
      </c>
      <c r="I35" s="39" cm="1">
        <f t="array" ref="I35">1-_xll.VoseBetaProb(Control,F35,G35,TRUE)</f>
        <v>0.98705167178905751</v>
      </c>
      <c r="J35" s="39" cm="1">
        <f t="array" ref="J35">1-_xll.VoseBetaBinomialProb(Need-1,NRem,F35,G35,TRUE)</f>
        <v>0.83001838339041956</v>
      </c>
    </row>
    <row r="36" spans="2:10" x14ac:dyDescent="0.45">
      <c r="B36" s="25" t="s">
        <v>179</v>
      </c>
      <c r="C36" s="35">
        <f>PA_2</f>
        <v>1</v>
      </c>
      <c r="D36" s="35">
        <f>PB_2</f>
        <v>1</v>
      </c>
      <c r="E36" s="28"/>
      <c r="F36" s="35">
        <f>C36+XInt</f>
        <v>15</v>
      </c>
      <c r="G36" s="35">
        <f>D36+NInt-XInt</f>
        <v>27</v>
      </c>
      <c r="H36" s="39">
        <f>F36/(F36+G36)</f>
        <v>0.35714285714285715</v>
      </c>
      <c r="I36" s="39" cm="1">
        <f t="array" ref="I36">1-_xll.VoseBetaProb(Control,F36,G36,TRUE)</f>
        <v>0.9897858431154547</v>
      </c>
      <c r="J36" s="39" cm="1">
        <f t="array" ref="J36">1-_xll.VoseBetaBinomialProb(Need-1,NRem,F36,G36,TRUE)</f>
        <v>0.88871232366775954</v>
      </c>
    </row>
    <row r="37" spans="2:10" x14ac:dyDescent="0.45">
      <c r="B37" s="25" t="s">
        <v>180</v>
      </c>
      <c r="C37" s="35">
        <f>PA_3</f>
        <v>4</v>
      </c>
      <c r="D37" s="35">
        <f>PB_3</f>
        <v>16</v>
      </c>
      <c r="E37" s="28"/>
      <c r="F37" s="35">
        <f>C37+XInt</f>
        <v>18</v>
      </c>
      <c r="G37" s="35">
        <f>D37+NInt-XInt</f>
        <v>42</v>
      </c>
      <c r="H37" s="39">
        <f>F37/(F37+G37)</f>
        <v>0.3</v>
      </c>
      <c r="I37" s="39" cm="1">
        <f t="array" ref="I37">1-_xll.VoseBetaProb(Control,F37,G37,TRUE)</f>
        <v>0.96349135517677542</v>
      </c>
      <c r="J37" s="39" cm="1">
        <f t="array" ref="J37">1-_xll.VoseBetaBinomialProb(Need-1,NRem,F37,G37,TRUE)</f>
        <v>0.75029052344350655</v>
      </c>
    </row>
    <row r="38" spans="2:10" x14ac:dyDescent="0.45">
      <c r="B38" s="25" t="s">
        <v>181</v>
      </c>
      <c r="C38" s="35">
        <f>PA_4</f>
        <v>8</v>
      </c>
      <c r="D38" s="35">
        <f>PB_4</f>
        <v>12</v>
      </c>
      <c r="E38" s="28"/>
      <c r="F38" s="35">
        <f>C38+XInt</f>
        <v>22</v>
      </c>
      <c r="G38" s="35">
        <f>D38+NInt-XInt</f>
        <v>38</v>
      </c>
      <c r="H38" s="39">
        <f>F38/(F38+G38)</f>
        <v>0.36666666666666664</v>
      </c>
      <c r="I38" s="39" cm="1">
        <f t="array" ref="I38">1-_xll.VoseBetaProb(Control,F38,G38,TRUE)</f>
        <v>0.9984085654786401</v>
      </c>
      <c r="J38" s="39" cm="1">
        <f t="array" ref="J38">1-_xll.VoseBetaBinomialProb(Need-1,NRem,F38,G38,TRUE)</f>
        <v>0.92772183474602776</v>
      </c>
    </row>
    <row r="39" spans="2:10" ht="8" customHeight="1" x14ac:dyDescent="0.45"/>
    <row r="40" spans="2:10" ht="22.05" customHeight="1" x14ac:dyDescent="0.5">
      <c r="B40" s="7" t="s">
        <v>182</v>
      </c>
      <c r="C40" s="8"/>
      <c r="D40" s="8"/>
      <c r="E40" s="8"/>
      <c r="F40" s="8"/>
      <c r="G40" s="8"/>
      <c r="H40" s="8"/>
      <c r="I40" s="8"/>
      <c r="J40" s="8"/>
    </row>
    <row r="41" spans="2:10" ht="18" customHeight="1" x14ac:dyDescent="0.45">
      <c r="B41" s="13" t="s">
        <v>183</v>
      </c>
    </row>
    <row r="42" spans="2:10" ht="18" customHeight="1" x14ac:dyDescent="0.45">
      <c r="B42" s="41" t="s">
        <v>184</v>
      </c>
      <c r="C42" s="42" t="s">
        <v>185</v>
      </c>
      <c r="D42" s="42" t="s">
        <v>186</v>
      </c>
      <c r="E42" s="43"/>
      <c r="F42" s="42" t="s">
        <v>171</v>
      </c>
      <c r="G42" s="42" t="s">
        <v>171</v>
      </c>
      <c r="H42" s="42" t="s">
        <v>173</v>
      </c>
      <c r="I42" s="41" t="s">
        <v>187</v>
      </c>
      <c r="J42" s="5"/>
    </row>
    <row r="43" spans="2:10" x14ac:dyDescent="0.45">
      <c r="B43" s="44"/>
      <c r="C43" s="44"/>
      <c r="D43" s="44" t="s">
        <v>188</v>
      </c>
      <c r="E43" s="44"/>
      <c r="F43" s="44" t="s">
        <v>174</v>
      </c>
      <c r="G43" s="44" t="s">
        <v>175</v>
      </c>
      <c r="H43" s="44" t="s">
        <v>103</v>
      </c>
      <c r="I43" s="44"/>
    </row>
    <row r="44" spans="2:10" x14ac:dyDescent="0.45">
      <c r="B44" s="25">
        <v>0</v>
      </c>
      <c r="C44" s="45">
        <f t="shared" ref="C44:C84" si="0">IF(B44&lt;=NInt,B44/NInt,NA())</f>
        <v>0</v>
      </c>
      <c r="D44" s="36">
        <f t="shared" ref="D44:D84" si="1">MAX(0,KSucc-B44)</f>
        <v>29</v>
      </c>
      <c r="E44" s="28"/>
      <c r="F44" s="35">
        <f t="shared" ref="F44:F84" si="2">1+PriorX+B44</f>
        <v>6</v>
      </c>
      <c r="G44" s="35">
        <f t="shared" ref="G44:G84" si="3">1+PriorN-PriorX+NInt-B44</f>
        <v>56</v>
      </c>
      <c r="H44" s="39" cm="1">
        <f t="array" ref="H44">IF(B44&gt;NInt,NA(),1-_xll.VoseBetaBinomialProb(D44-1,NRem,F44,G44,TRUE))</f>
        <v>5.7421363663934244E-7</v>
      </c>
      <c r="I44" s="46" t="str">
        <f t="shared" ref="I44:I84" si="4">IF(B44&gt;NInt,"",IF(H44&lt;Futility,"futility",IF(H44&gt;Efficacy,"efficacy","continue")))</f>
        <v>futility</v>
      </c>
      <c r="J44" s="28"/>
    </row>
    <row r="45" spans="2:10" x14ac:dyDescent="0.45">
      <c r="B45" s="25">
        <f t="shared" ref="B45:B84" si="5">B44+1</f>
        <v>1</v>
      </c>
      <c r="C45" s="45">
        <f t="shared" si="0"/>
        <v>2.5000000000000001E-2</v>
      </c>
      <c r="D45" s="36">
        <f t="shared" si="1"/>
        <v>28</v>
      </c>
      <c r="E45" s="28"/>
      <c r="F45" s="35">
        <f t="shared" si="2"/>
        <v>7</v>
      </c>
      <c r="G45" s="35">
        <f t="shared" si="3"/>
        <v>55</v>
      </c>
      <c r="H45" s="39" cm="1">
        <f t="array" ref="H45">IF(B45&gt;NInt,NA(),1-_xll.VoseBetaBinomialProb(D45-1,NRem,F45,G45,TRUE))</f>
        <v>5.0017256857382009E-6</v>
      </c>
      <c r="I45" s="46" t="str">
        <f t="shared" si="4"/>
        <v>futility</v>
      </c>
      <c r="J45" s="28"/>
    </row>
    <row r="46" spans="2:10" x14ac:dyDescent="0.45">
      <c r="B46" s="25">
        <f t="shared" si="5"/>
        <v>2</v>
      </c>
      <c r="C46" s="45">
        <f t="shared" si="0"/>
        <v>0.05</v>
      </c>
      <c r="D46" s="36">
        <f t="shared" si="1"/>
        <v>27</v>
      </c>
      <c r="E46" s="28"/>
      <c r="F46" s="35">
        <f t="shared" si="2"/>
        <v>8</v>
      </c>
      <c r="G46" s="35">
        <f t="shared" si="3"/>
        <v>54</v>
      </c>
      <c r="H46" s="39" cm="1">
        <f t="array" ref="H46">IF(B46&gt;NInt,NA(),1-_xll.VoseBetaBinomialProb(D46-1,NRem,F46,G46,TRUE))</f>
        <v>3.4518472163291847E-5</v>
      </c>
      <c r="I46" s="46" t="str">
        <f t="shared" si="4"/>
        <v>futility</v>
      </c>
      <c r="J46" s="28"/>
    </row>
    <row r="47" spans="2:10" x14ac:dyDescent="0.45">
      <c r="B47" s="25">
        <f t="shared" si="5"/>
        <v>3</v>
      </c>
      <c r="C47" s="45">
        <f t="shared" si="0"/>
        <v>7.4999999999999997E-2</v>
      </c>
      <c r="D47" s="36">
        <f t="shared" si="1"/>
        <v>26</v>
      </c>
      <c r="E47" s="28"/>
      <c r="F47" s="35">
        <f t="shared" si="2"/>
        <v>9</v>
      </c>
      <c r="G47" s="35">
        <f t="shared" si="3"/>
        <v>53</v>
      </c>
      <c r="H47" s="39" cm="1">
        <f t="array" ref="H47">IF(B47&gt;NInt,NA(),1-_xll.VoseBetaBinomialProb(D47-1,NRem,F47,G47,TRUE))</f>
        <v>1.9273691508248092E-4</v>
      </c>
      <c r="I47" s="46" t="str">
        <f t="shared" si="4"/>
        <v>futility</v>
      </c>
      <c r="J47" s="28"/>
    </row>
    <row r="48" spans="2:10" x14ac:dyDescent="0.45">
      <c r="B48" s="25">
        <f t="shared" si="5"/>
        <v>4</v>
      </c>
      <c r="C48" s="45">
        <f t="shared" si="0"/>
        <v>0.1</v>
      </c>
      <c r="D48" s="36">
        <f t="shared" si="1"/>
        <v>25</v>
      </c>
      <c r="E48" s="28"/>
      <c r="F48" s="35">
        <f t="shared" si="2"/>
        <v>10</v>
      </c>
      <c r="G48" s="35">
        <f t="shared" si="3"/>
        <v>52</v>
      </c>
      <c r="H48" s="39" cm="1">
        <f t="array" ref="H48">IF(B48&gt;NInt,NA(),1-_xll.VoseBetaBinomialProb(D48-1,NRem,F48,G48,TRUE))</f>
        <v>8.8487981736284915E-4</v>
      </c>
      <c r="I48" s="46" t="str">
        <f t="shared" si="4"/>
        <v>futility</v>
      </c>
      <c r="J48" s="28"/>
    </row>
    <row r="49" spans="2:10" x14ac:dyDescent="0.45">
      <c r="B49" s="25">
        <f t="shared" si="5"/>
        <v>5</v>
      </c>
      <c r="C49" s="45">
        <f t="shared" si="0"/>
        <v>0.125</v>
      </c>
      <c r="D49" s="36">
        <f t="shared" si="1"/>
        <v>24</v>
      </c>
      <c r="E49" s="28"/>
      <c r="F49" s="35">
        <f t="shared" si="2"/>
        <v>11</v>
      </c>
      <c r="G49" s="35">
        <f t="shared" si="3"/>
        <v>51</v>
      </c>
      <c r="H49" s="39" cm="1">
        <f t="array" ref="H49">IF(B49&gt;NInt,NA(),1-_xll.VoseBetaBinomialProb(D49-1,NRem,F49,G49,TRUE))</f>
        <v>3.3842847426489575E-3</v>
      </c>
      <c r="I49" s="46" t="str">
        <f t="shared" si="4"/>
        <v>futility</v>
      </c>
      <c r="J49" s="28"/>
    </row>
    <row r="50" spans="2:10" x14ac:dyDescent="0.45">
      <c r="B50" s="25">
        <f t="shared" si="5"/>
        <v>6</v>
      </c>
      <c r="C50" s="45">
        <f t="shared" si="0"/>
        <v>0.15</v>
      </c>
      <c r="D50" s="36">
        <f t="shared" si="1"/>
        <v>23</v>
      </c>
      <c r="E50" s="28"/>
      <c r="F50" s="35">
        <f t="shared" si="2"/>
        <v>12</v>
      </c>
      <c r="G50" s="35">
        <f t="shared" si="3"/>
        <v>50</v>
      </c>
      <c r="H50" s="39" cm="1">
        <f t="array" ref="H50">IF(B50&gt;NInt,NA(),1-_xll.VoseBetaBinomialProb(D50-1,NRem,F50,G50,TRUE))</f>
        <v>1.0900922650699862E-2</v>
      </c>
      <c r="I50" s="46" t="str">
        <f t="shared" si="4"/>
        <v>futility</v>
      </c>
      <c r="J50" s="28"/>
    </row>
    <row r="51" spans="2:10" x14ac:dyDescent="0.45">
      <c r="B51" s="25">
        <f t="shared" si="5"/>
        <v>7</v>
      </c>
      <c r="C51" s="45">
        <f t="shared" si="0"/>
        <v>0.17499999999999999</v>
      </c>
      <c r="D51" s="36">
        <f t="shared" si="1"/>
        <v>22</v>
      </c>
      <c r="E51" s="28"/>
      <c r="F51" s="35">
        <f t="shared" si="2"/>
        <v>13</v>
      </c>
      <c r="G51" s="35">
        <f t="shared" si="3"/>
        <v>49</v>
      </c>
      <c r="H51" s="39" cm="1">
        <f t="array" ref="H51">IF(B51&gt;NInt,NA(),1-_xll.VoseBetaBinomialProb(D51-1,NRem,F51,G51,TRUE))</f>
        <v>2.985735597144823E-2</v>
      </c>
      <c r="I51" s="46" t="str">
        <f t="shared" si="4"/>
        <v>futility</v>
      </c>
      <c r="J51" s="28"/>
    </row>
    <row r="52" spans="2:10" x14ac:dyDescent="0.45">
      <c r="B52" s="25">
        <f t="shared" si="5"/>
        <v>8</v>
      </c>
      <c r="C52" s="45">
        <f t="shared" si="0"/>
        <v>0.2</v>
      </c>
      <c r="D52" s="36">
        <f t="shared" si="1"/>
        <v>21</v>
      </c>
      <c r="E52" s="28"/>
      <c r="F52" s="35">
        <f t="shared" si="2"/>
        <v>14</v>
      </c>
      <c r="G52" s="35">
        <f t="shared" si="3"/>
        <v>48</v>
      </c>
      <c r="H52" s="39" cm="1">
        <f t="array" ref="H52">IF(B52&gt;NInt,NA(),1-_xll.VoseBetaBinomialProb(D52-1,NRem,F52,G52,TRUE))</f>
        <v>7.0163145162254636E-2</v>
      </c>
      <c r="I52" s="46" t="str">
        <f t="shared" si="4"/>
        <v>futility</v>
      </c>
      <c r="J52" s="28"/>
    </row>
    <row r="53" spans="2:10" x14ac:dyDescent="0.45">
      <c r="B53" s="25">
        <f t="shared" si="5"/>
        <v>9</v>
      </c>
      <c r="C53" s="45">
        <f t="shared" si="0"/>
        <v>0.22500000000000001</v>
      </c>
      <c r="D53" s="36">
        <f t="shared" si="1"/>
        <v>20</v>
      </c>
      <c r="E53" s="28"/>
      <c r="F53" s="35">
        <f t="shared" si="2"/>
        <v>15</v>
      </c>
      <c r="G53" s="35">
        <f t="shared" si="3"/>
        <v>47</v>
      </c>
      <c r="H53" s="39" cm="1">
        <f t="array" ref="H53">IF(B53&gt;NInt,NA(),1-_xll.VoseBetaBinomialProb(D53-1,NRem,F53,G53,TRUE))</f>
        <v>0.14271356570556115</v>
      </c>
      <c r="I53" s="46" t="str">
        <f t="shared" si="4"/>
        <v>continue</v>
      </c>
      <c r="J53" s="28"/>
    </row>
    <row r="54" spans="2:10" x14ac:dyDescent="0.45">
      <c r="B54" s="25">
        <f t="shared" si="5"/>
        <v>10</v>
      </c>
      <c r="C54" s="45">
        <f t="shared" si="0"/>
        <v>0.25</v>
      </c>
      <c r="D54" s="36">
        <f t="shared" si="1"/>
        <v>19</v>
      </c>
      <c r="E54" s="28"/>
      <c r="F54" s="35">
        <f t="shared" si="2"/>
        <v>16</v>
      </c>
      <c r="G54" s="35">
        <f t="shared" si="3"/>
        <v>46</v>
      </c>
      <c r="H54" s="39" cm="1">
        <f t="array" ref="H54">IF(B54&gt;NInt,NA(),1-_xll.VoseBetaBinomialProb(D54-1,NRem,F54,G54,TRUE))</f>
        <v>0.25360363938170805</v>
      </c>
      <c r="I54" s="46" t="str">
        <f t="shared" si="4"/>
        <v>continue</v>
      </c>
      <c r="J54" s="28"/>
    </row>
    <row r="55" spans="2:10" x14ac:dyDescent="0.45">
      <c r="B55" s="25">
        <f t="shared" si="5"/>
        <v>11</v>
      </c>
      <c r="C55" s="45">
        <f t="shared" si="0"/>
        <v>0.27500000000000002</v>
      </c>
      <c r="D55" s="36">
        <f t="shared" si="1"/>
        <v>18</v>
      </c>
      <c r="E55" s="28"/>
      <c r="F55" s="35">
        <f t="shared" si="2"/>
        <v>17</v>
      </c>
      <c r="G55" s="35">
        <f t="shared" si="3"/>
        <v>45</v>
      </c>
      <c r="H55" s="39" cm="1">
        <f t="array" ref="H55">IF(B55&gt;NInt,NA(),1-_xll.VoseBetaBinomialProb(D55-1,NRem,F55,G55,TRUE))</f>
        <v>0.39782674115680339</v>
      </c>
      <c r="I55" s="46" t="str">
        <f t="shared" si="4"/>
        <v>continue</v>
      </c>
      <c r="J55" s="28"/>
    </row>
    <row r="56" spans="2:10" x14ac:dyDescent="0.45">
      <c r="B56" s="25">
        <f t="shared" si="5"/>
        <v>12</v>
      </c>
      <c r="C56" s="45">
        <f t="shared" si="0"/>
        <v>0.3</v>
      </c>
      <c r="D56" s="36">
        <f t="shared" si="1"/>
        <v>17</v>
      </c>
      <c r="E56" s="28"/>
      <c r="F56" s="35">
        <f t="shared" si="2"/>
        <v>18</v>
      </c>
      <c r="G56" s="35">
        <f t="shared" si="3"/>
        <v>44</v>
      </c>
      <c r="H56" s="39" cm="1">
        <f t="array" ref="H56">IF(B56&gt;NInt,NA(),1-_xll.VoseBetaBinomialProb(D56-1,NRem,F56,G56,TRUE))</f>
        <v>0.55763619729612213</v>
      </c>
      <c r="I56" s="46" t="str">
        <f t="shared" si="4"/>
        <v>continue</v>
      </c>
      <c r="J56" s="28"/>
    </row>
    <row r="57" spans="2:10" x14ac:dyDescent="0.45">
      <c r="B57" s="25">
        <f t="shared" si="5"/>
        <v>13</v>
      </c>
      <c r="C57" s="45">
        <f t="shared" si="0"/>
        <v>0.32500000000000001</v>
      </c>
      <c r="D57" s="36">
        <f t="shared" si="1"/>
        <v>16</v>
      </c>
      <c r="E57" s="28"/>
      <c r="F57" s="35">
        <f t="shared" si="2"/>
        <v>19</v>
      </c>
      <c r="G57" s="35">
        <f t="shared" si="3"/>
        <v>43</v>
      </c>
      <c r="H57" s="39" cm="1">
        <f t="array" ref="H57">IF(B57&gt;NInt,NA(),1-_xll.VoseBetaBinomialProb(D57-1,NRem,F57,G57,TRUE))</f>
        <v>0.70856735031661433</v>
      </c>
      <c r="I57" s="46" t="str">
        <f t="shared" si="4"/>
        <v>continue</v>
      </c>
      <c r="J57" s="28"/>
    </row>
    <row r="58" spans="2:10" x14ac:dyDescent="0.45">
      <c r="B58" s="25">
        <f t="shared" si="5"/>
        <v>14</v>
      </c>
      <c r="C58" s="45">
        <f t="shared" si="0"/>
        <v>0.35</v>
      </c>
      <c r="D58" s="36">
        <f t="shared" si="1"/>
        <v>15</v>
      </c>
      <c r="E58" s="28"/>
      <c r="F58" s="35">
        <f t="shared" si="2"/>
        <v>20</v>
      </c>
      <c r="G58" s="35">
        <f t="shared" si="3"/>
        <v>42</v>
      </c>
      <c r="H58" s="39" cm="1">
        <f t="array" ref="H58">IF(B58&gt;NInt,NA(),1-_xll.VoseBetaBinomialProb(D58-1,NRem,F58,G58,TRUE))</f>
        <v>0.83001838339041956</v>
      </c>
      <c r="I58" s="46" t="str">
        <f t="shared" si="4"/>
        <v>continue</v>
      </c>
      <c r="J58" s="28"/>
    </row>
    <row r="59" spans="2:10" x14ac:dyDescent="0.45">
      <c r="B59" s="25">
        <f t="shared" si="5"/>
        <v>15</v>
      </c>
      <c r="C59" s="45">
        <f t="shared" si="0"/>
        <v>0.375</v>
      </c>
      <c r="D59" s="36">
        <f t="shared" si="1"/>
        <v>14</v>
      </c>
      <c r="E59" s="28"/>
      <c r="F59" s="35">
        <f t="shared" si="2"/>
        <v>21</v>
      </c>
      <c r="G59" s="35">
        <f t="shared" si="3"/>
        <v>41</v>
      </c>
      <c r="H59" s="39" cm="1">
        <f t="array" ref="H59">IF(B59&gt;NInt,NA(),1-_xll.VoseBetaBinomialProb(D59-1,NRem,F59,G59,TRUE))</f>
        <v>0.91318593864747322</v>
      </c>
      <c r="I59" s="46" t="str">
        <f t="shared" si="4"/>
        <v>continue</v>
      </c>
      <c r="J59" s="28"/>
    </row>
    <row r="60" spans="2:10" x14ac:dyDescent="0.45">
      <c r="B60" s="25">
        <f t="shared" si="5"/>
        <v>16</v>
      </c>
      <c r="C60" s="45">
        <f t="shared" si="0"/>
        <v>0.4</v>
      </c>
      <c r="D60" s="36">
        <f t="shared" si="1"/>
        <v>13</v>
      </c>
      <c r="E60" s="28"/>
      <c r="F60" s="35">
        <f t="shared" si="2"/>
        <v>22</v>
      </c>
      <c r="G60" s="35">
        <f t="shared" si="3"/>
        <v>40</v>
      </c>
      <c r="H60" s="39" cm="1">
        <f t="array" ref="H60">IF(B60&gt;NInt,NA(),1-_xll.VoseBetaBinomialProb(D60-1,NRem,F60,G60,TRUE))</f>
        <v>0.9615528856763994</v>
      </c>
      <c r="I60" s="46" t="str">
        <f t="shared" si="4"/>
        <v>efficacy</v>
      </c>
      <c r="J60" s="28"/>
    </row>
    <row r="61" spans="2:10" x14ac:dyDescent="0.45">
      <c r="B61" s="25">
        <f t="shared" si="5"/>
        <v>17</v>
      </c>
      <c r="C61" s="45">
        <f t="shared" si="0"/>
        <v>0.42499999999999999</v>
      </c>
      <c r="D61" s="36">
        <f t="shared" si="1"/>
        <v>12</v>
      </c>
      <c r="E61" s="28"/>
      <c r="F61" s="35">
        <f t="shared" si="2"/>
        <v>23</v>
      </c>
      <c r="G61" s="35">
        <f t="shared" si="3"/>
        <v>39</v>
      </c>
      <c r="H61" s="39" cm="1">
        <f t="array" ref="H61">IF(B61&gt;NInt,NA(),1-_xll.VoseBetaBinomialProb(D61-1,NRem,F61,G61,TRUE))</f>
        <v>0.98536994292549285</v>
      </c>
      <c r="I61" s="46" t="str">
        <f t="shared" si="4"/>
        <v>efficacy</v>
      </c>
      <c r="J61" s="28"/>
    </row>
    <row r="62" spans="2:10" x14ac:dyDescent="0.45">
      <c r="B62" s="25">
        <f t="shared" si="5"/>
        <v>18</v>
      </c>
      <c r="C62" s="45">
        <f t="shared" si="0"/>
        <v>0.45</v>
      </c>
      <c r="D62" s="36">
        <f t="shared" si="1"/>
        <v>11</v>
      </c>
      <c r="E62" s="28"/>
      <c r="F62" s="35">
        <f t="shared" si="2"/>
        <v>24</v>
      </c>
      <c r="G62" s="35">
        <f t="shared" si="3"/>
        <v>38</v>
      </c>
      <c r="H62" s="39" cm="1">
        <f t="array" ref="H62">IF(B62&gt;NInt,NA(),1-_xll.VoseBetaBinomialProb(D62-1,NRem,F62,G62,TRUE))</f>
        <v>0.99526025596238332</v>
      </c>
      <c r="I62" s="46" t="str">
        <f t="shared" si="4"/>
        <v>efficacy</v>
      </c>
      <c r="J62" s="28"/>
    </row>
    <row r="63" spans="2:10" x14ac:dyDescent="0.45">
      <c r="B63" s="25">
        <f t="shared" si="5"/>
        <v>19</v>
      </c>
      <c r="C63" s="45">
        <f t="shared" si="0"/>
        <v>0.47499999999999998</v>
      </c>
      <c r="D63" s="36">
        <f t="shared" si="1"/>
        <v>10</v>
      </c>
      <c r="E63" s="28"/>
      <c r="F63" s="35">
        <f t="shared" si="2"/>
        <v>25</v>
      </c>
      <c r="G63" s="35">
        <f t="shared" si="3"/>
        <v>37</v>
      </c>
      <c r="H63" s="39" cm="1">
        <f t="array" ref="H63">IF(B63&gt;NInt,NA(),1-_xll.VoseBetaBinomialProb(D63-1,NRem,F63,G63,TRUE))</f>
        <v>0.99870538167023371</v>
      </c>
      <c r="I63" s="46" t="str">
        <f t="shared" si="4"/>
        <v>efficacy</v>
      </c>
      <c r="J63" s="28"/>
    </row>
    <row r="64" spans="2:10" x14ac:dyDescent="0.45">
      <c r="B64" s="25">
        <f t="shared" si="5"/>
        <v>20</v>
      </c>
      <c r="C64" s="45">
        <f t="shared" si="0"/>
        <v>0.5</v>
      </c>
      <c r="D64" s="36">
        <f t="shared" si="1"/>
        <v>9</v>
      </c>
      <c r="E64" s="28"/>
      <c r="F64" s="35">
        <f t="shared" si="2"/>
        <v>26</v>
      </c>
      <c r="G64" s="35">
        <f t="shared" si="3"/>
        <v>36</v>
      </c>
      <c r="H64" s="39" cm="1">
        <f t="array" ref="H64">IF(B64&gt;NInt,NA(),1-_xll.VoseBetaBinomialProb(D64-1,NRem,F64,G64,TRUE))</f>
        <v>0.99970514364035479</v>
      </c>
      <c r="I64" s="46" t="str">
        <f t="shared" si="4"/>
        <v>efficacy</v>
      </c>
      <c r="J64" s="28"/>
    </row>
    <row r="65" spans="2:10" x14ac:dyDescent="0.45">
      <c r="B65" s="25">
        <f t="shared" si="5"/>
        <v>21</v>
      </c>
      <c r="C65" s="45">
        <f t="shared" si="0"/>
        <v>0.52500000000000002</v>
      </c>
      <c r="D65" s="36">
        <f t="shared" si="1"/>
        <v>8</v>
      </c>
      <c r="E65" s="28"/>
      <c r="F65" s="35">
        <f t="shared" si="2"/>
        <v>27</v>
      </c>
      <c r="G65" s="35">
        <f t="shared" si="3"/>
        <v>35</v>
      </c>
      <c r="H65" s="39" cm="1">
        <f t="array" ref="H65">IF(B65&gt;NInt,NA(),1-_xll.VoseBetaBinomialProb(D65-1,NRem,F65,G65,TRUE))</f>
        <v>0.9999447315681057</v>
      </c>
      <c r="I65" s="46" t="str">
        <f t="shared" si="4"/>
        <v>efficacy</v>
      </c>
      <c r="J65" s="28"/>
    </row>
    <row r="66" spans="2:10" x14ac:dyDescent="0.45">
      <c r="B66" s="25">
        <f t="shared" si="5"/>
        <v>22</v>
      </c>
      <c r="C66" s="45">
        <f t="shared" si="0"/>
        <v>0.55000000000000004</v>
      </c>
      <c r="D66" s="36">
        <f t="shared" si="1"/>
        <v>7</v>
      </c>
      <c r="E66" s="28"/>
      <c r="F66" s="35">
        <f t="shared" si="2"/>
        <v>28</v>
      </c>
      <c r="G66" s="35">
        <f t="shared" si="3"/>
        <v>34</v>
      </c>
      <c r="H66" s="39" cm="1">
        <f t="array" ref="H66">IF(B66&gt;NInt,NA(),1-_xll.VoseBetaBinomialProb(D66-1,NRem,F66,G66,TRUE))</f>
        <v>0.99999161110672929</v>
      </c>
      <c r="I66" s="46" t="str">
        <f t="shared" si="4"/>
        <v>efficacy</v>
      </c>
      <c r="J66" s="28"/>
    </row>
    <row r="67" spans="2:10" x14ac:dyDescent="0.45">
      <c r="B67" s="25">
        <f t="shared" si="5"/>
        <v>23</v>
      </c>
      <c r="C67" s="45">
        <f t="shared" si="0"/>
        <v>0.57499999999999996</v>
      </c>
      <c r="D67" s="36">
        <f t="shared" si="1"/>
        <v>6</v>
      </c>
      <c r="E67" s="28"/>
      <c r="F67" s="35">
        <f t="shared" si="2"/>
        <v>29</v>
      </c>
      <c r="G67" s="35">
        <f t="shared" si="3"/>
        <v>33</v>
      </c>
      <c r="H67" s="39" cm="1">
        <f t="array" ref="H67">IF(B67&gt;NInt,NA(),1-_xll.VoseBetaBinomialProb(D67-1,NRem,F67,G67,TRUE))</f>
        <v>0.99999899029336448</v>
      </c>
      <c r="I67" s="46" t="str">
        <f t="shared" si="4"/>
        <v>efficacy</v>
      </c>
      <c r="J67" s="28"/>
    </row>
    <row r="68" spans="2:10" x14ac:dyDescent="0.45">
      <c r="B68" s="25">
        <f t="shared" si="5"/>
        <v>24</v>
      </c>
      <c r="C68" s="45">
        <f t="shared" si="0"/>
        <v>0.6</v>
      </c>
      <c r="D68" s="36">
        <f t="shared" si="1"/>
        <v>5</v>
      </c>
      <c r="E68" s="28"/>
      <c r="F68" s="35">
        <f t="shared" si="2"/>
        <v>30</v>
      </c>
      <c r="G68" s="35">
        <f t="shared" si="3"/>
        <v>32</v>
      </c>
      <c r="H68" s="39" cm="1">
        <f t="array" ref="H68">IF(B68&gt;NInt,NA(),1-_xll.VoseBetaBinomialProb(D68-1,NRem,F68,G68,TRUE))</f>
        <v>0.99999990633032609</v>
      </c>
      <c r="I68" s="46" t="str">
        <f t="shared" si="4"/>
        <v>efficacy</v>
      </c>
      <c r="J68" s="28"/>
    </row>
    <row r="69" spans="2:10" x14ac:dyDescent="0.45">
      <c r="B69" s="25">
        <f t="shared" si="5"/>
        <v>25</v>
      </c>
      <c r="C69" s="45">
        <f t="shared" si="0"/>
        <v>0.625</v>
      </c>
      <c r="D69" s="36">
        <f t="shared" si="1"/>
        <v>4</v>
      </c>
      <c r="E69" s="28"/>
      <c r="F69" s="35">
        <f t="shared" si="2"/>
        <v>31</v>
      </c>
      <c r="G69" s="35">
        <f t="shared" si="3"/>
        <v>31</v>
      </c>
      <c r="H69" s="39" cm="1">
        <f t="array" ref="H69">IF(B69&gt;NInt,NA(),1-_xll.VoseBetaBinomialProb(D69-1,NRem,F69,G69,TRUE))</f>
        <v>0.99999999357194147</v>
      </c>
      <c r="I69" s="46" t="str">
        <f t="shared" si="4"/>
        <v>efficacy</v>
      </c>
      <c r="J69" s="28"/>
    </row>
    <row r="70" spans="2:10" x14ac:dyDescent="0.45">
      <c r="B70" s="25">
        <f t="shared" si="5"/>
        <v>26</v>
      </c>
      <c r="C70" s="45">
        <f t="shared" si="0"/>
        <v>0.65</v>
      </c>
      <c r="D70" s="36">
        <f t="shared" si="1"/>
        <v>3</v>
      </c>
      <c r="E70" s="28"/>
      <c r="F70" s="35">
        <f t="shared" si="2"/>
        <v>32</v>
      </c>
      <c r="G70" s="35">
        <f t="shared" si="3"/>
        <v>30</v>
      </c>
      <c r="H70" s="39" cm="1">
        <f t="array" ref="H70">IF(B70&gt;NInt,NA(),1-_xll.VoseBetaBinomialProb(D70-1,NRem,F70,G70,TRUE))</f>
        <v>0.99999999969416009</v>
      </c>
      <c r="I70" s="46" t="str">
        <f t="shared" si="4"/>
        <v>efficacy</v>
      </c>
      <c r="J70" s="28"/>
    </row>
    <row r="71" spans="2:10" x14ac:dyDescent="0.45">
      <c r="B71" s="25">
        <f t="shared" si="5"/>
        <v>27</v>
      </c>
      <c r="C71" s="45">
        <f t="shared" si="0"/>
        <v>0.67500000000000004</v>
      </c>
      <c r="D71" s="36">
        <f t="shared" si="1"/>
        <v>2</v>
      </c>
      <c r="E71" s="28"/>
      <c r="F71" s="35">
        <f t="shared" si="2"/>
        <v>33</v>
      </c>
      <c r="G71" s="35">
        <f t="shared" si="3"/>
        <v>29</v>
      </c>
      <c r="H71" s="39" cm="1">
        <f t="array" ref="H71">IF(B71&gt;NInt,NA(),1-_xll.VoseBetaBinomialProb(D71-1,NRem,F71,G71,TRUE))</f>
        <v>0.99999999999103484</v>
      </c>
      <c r="I71" s="46" t="str">
        <f t="shared" si="4"/>
        <v>efficacy</v>
      </c>
      <c r="J71" s="28"/>
    </row>
    <row r="72" spans="2:10" x14ac:dyDescent="0.45">
      <c r="B72" s="25">
        <f t="shared" si="5"/>
        <v>28</v>
      </c>
      <c r="C72" s="45">
        <f t="shared" si="0"/>
        <v>0.7</v>
      </c>
      <c r="D72" s="36">
        <f t="shared" si="1"/>
        <v>1</v>
      </c>
      <c r="E72" s="28"/>
      <c r="F72" s="35">
        <f t="shared" si="2"/>
        <v>34</v>
      </c>
      <c r="G72" s="35">
        <f t="shared" si="3"/>
        <v>28</v>
      </c>
      <c r="H72" s="39" cm="1">
        <f t="array" ref="H72">IF(B72&gt;NInt,NA(),1-_xll.VoseBetaBinomialProb(D72-1,NRem,F72,G72,TRUE))</f>
        <v>0.99999999999987865</v>
      </c>
      <c r="I72" s="46" t="str">
        <f t="shared" si="4"/>
        <v>efficacy</v>
      </c>
      <c r="J72" s="28"/>
    </row>
    <row r="73" spans="2:10" x14ac:dyDescent="0.45">
      <c r="B73" s="25">
        <f t="shared" si="5"/>
        <v>29</v>
      </c>
      <c r="C73" s="45">
        <f t="shared" si="0"/>
        <v>0.72499999999999998</v>
      </c>
      <c r="D73" s="36">
        <f t="shared" si="1"/>
        <v>0</v>
      </c>
      <c r="E73" s="28"/>
      <c r="F73" s="35">
        <f t="shared" si="2"/>
        <v>35</v>
      </c>
      <c r="G73" s="35">
        <f t="shared" si="3"/>
        <v>27</v>
      </c>
      <c r="H73" s="39" cm="1">
        <f t="array" ref="H73">IF(B73&gt;NInt,NA(),1-_xll.VoseBetaBinomialProb(D73-1,NRem,F73,G73,TRUE))</f>
        <v>1</v>
      </c>
      <c r="I73" s="46" t="str">
        <f t="shared" si="4"/>
        <v>efficacy</v>
      </c>
      <c r="J73" s="28"/>
    </row>
    <row r="74" spans="2:10" x14ac:dyDescent="0.45">
      <c r="B74" s="25">
        <f t="shared" si="5"/>
        <v>30</v>
      </c>
      <c r="C74" s="45">
        <f t="shared" si="0"/>
        <v>0.75</v>
      </c>
      <c r="D74" s="36">
        <f t="shared" si="1"/>
        <v>0</v>
      </c>
      <c r="E74" s="28"/>
      <c r="F74" s="35">
        <f t="shared" si="2"/>
        <v>36</v>
      </c>
      <c r="G74" s="35">
        <f t="shared" si="3"/>
        <v>26</v>
      </c>
      <c r="H74" s="39" cm="1">
        <f t="array" ref="H74">IF(B74&gt;NInt,NA(),1-_xll.VoseBetaBinomialProb(D74-1,NRem,F74,G74,TRUE))</f>
        <v>1</v>
      </c>
      <c r="I74" s="46" t="str">
        <f t="shared" si="4"/>
        <v>efficacy</v>
      </c>
      <c r="J74" s="28"/>
    </row>
    <row r="75" spans="2:10" x14ac:dyDescent="0.45">
      <c r="B75" s="25">
        <f t="shared" si="5"/>
        <v>31</v>
      </c>
      <c r="C75" s="45">
        <f t="shared" si="0"/>
        <v>0.77500000000000002</v>
      </c>
      <c r="D75" s="36">
        <f t="shared" si="1"/>
        <v>0</v>
      </c>
      <c r="E75" s="28"/>
      <c r="F75" s="35">
        <f t="shared" si="2"/>
        <v>37</v>
      </c>
      <c r="G75" s="35">
        <f t="shared" si="3"/>
        <v>25</v>
      </c>
      <c r="H75" s="39" cm="1">
        <f t="array" ref="H75">IF(B75&gt;NInt,NA(),1-_xll.VoseBetaBinomialProb(D75-1,NRem,F75,G75,TRUE))</f>
        <v>1</v>
      </c>
      <c r="I75" s="46" t="str">
        <f t="shared" si="4"/>
        <v>efficacy</v>
      </c>
      <c r="J75" s="28"/>
    </row>
    <row r="76" spans="2:10" x14ac:dyDescent="0.45">
      <c r="B76" s="25">
        <f t="shared" si="5"/>
        <v>32</v>
      </c>
      <c r="C76" s="45">
        <f t="shared" si="0"/>
        <v>0.8</v>
      </c>
      <c r="D76" s="36">
        <f t="shared" si="1"/>
        <v>0</v>
      </c>
      <c r="E76" s="28"/>
      <c r="F76" s="35">
        <f t="shared" si="2"/>
        <v>38</v>
      </c>
      <c r="G76" s="35">
        <f t="shared" si="3"/>
        <v>24</v>
      </c>
      <c r="H76" s="39" cm="1">
        <f t="array" ref="H76">IF(B76&gt;NInt,NA(),1-_xll.VoseBetaBinomialProb(D76-1,NRem,F76,G76,TRUE))</f>
        <v>1</v>
      </c>
      <c r="I76" s="46" t="str">
        <f t="shared" si="4"/>
        <v>efficacy</v>
      </c>
      <c r="J76" s="28"/>
    </row>
    <row r="77" spans="2:10" x14ac:dyDescent="0.45">
      <c r="B77" s="25">
        <f t="shared" si="5"/>
        <v>33</v>
      </c>
      <c r="C77" s="45">
        <f t="shared" si="0"/>
        <v>0.82499999999999996</v>
      </c>
      <c r="D77" s="36">
        <f t="shared" si="1"/>
        <v>0</v>
      </c>
      <c r="E77" s="28"/>
      <c r="F77" s="35">
        <f t="shared" si="2"/>
        <v>39</v>
      </c>
      <c r="G77" s="35">
        <f t="shared" si="3"/>
        <v>23</v>
      </c>
      <c r="H77" s="39" cm="1">
        <f t="array" ref="H77">IF(B77&gt;NInt,NA(),1-_xll.VoseBetaBinomialProb(D77-1,NRem,F77,G77,TRUE))</f>
        <v>1</v>
      </c>
      <c r="I77" s="46" t="str">
        <f t="shared" si="4"/>
        <v>efficacy</v>
      </c>
      <c r="J77" s="28"/>
    </row>
    <row r="78" spans="2:10" x14ac:dyDescent="0.45">
      <c r="B78" s="25">
        <f t="shared" si="5"/>
        <v>34</v>
      </c>
      <c r="C78" s="45">
        <f t="shared" si="0"/>
        <v>0.85</v>
      </c>
      <c r="D78" s="36">
        <f t="shared" si="1"/>
        <v>0</v>
      </c>
      <c r="E78" s="28"/>
      <c r="F78" s="35">
        <f t="shared" si="2"/>
        <v>40</v>
      </c>
      <c r="G78" s="35">
        <f t="shared" si="3"/>
        <v>22</v>
      </c>
      <c r="H78" s="39" cm="1">
        <f t="array" ref="H78">IF(B78&gt;NInt,NA(),1-_xll.VoseBetaBinomialProb(D78-1,NRem,F78,G78,TRUE))</f>
        <v>1</v>
      </c>
      <c r="I78" s="46" t="str">
        <f t="shared" si="4"/>
        <v>efficacy</v>
      </c>
      <c r="J78" s="28"/>
    </row>
    <row r="79" spans="2:10" x14ac:dyDescent="0.45">
      <c r="B79" s="25">
        <f t="shared" si="5"/>
        <v>35</v>
      </c>
      <c r="C79" s="45">
        <f t="shared" si="0"/>
        <v>0.875</v>
      </c>
      <c r="D79" s="36">
        <f t="shared" si="1"/>
        <v>0</v>
      </c>
      <c r="E79" s="28"/>
      <c r="F79" s="35">
        <f t="shared" si="2"/>
        <v>41</v>
      </c>
      <c r="G79" s="35">
        <f t="shared" si="3"/>
        <v>21</v>
      </c>
      <c r="H79" s="39" cm="1">
        <f t="array" ref="H79">IF(B79&gt;NInt,NA(),1-_xll.VoseBetaBinomialProb(D79-1,NRem,F79,G79,TRUE))</f>
        <v>1</v>
      </c>
      <c r="I79" s="46" t="str">
        <f t="shared" si="4"/>
        <v>efficacy</v>
      </c>
      <c r="J79" s="28"/>
    </row>
    <row r="80" spans="2:10" x14ac:dyDescent="0.45">
      <c r="B80" s="25">
        <f t="shared" si="5"/>
        <v>36</v>
      </c>
      <c r="C80" s="45">
        <f t="shared" si="0"/>
        <v>0.9</v>
      </c>
      <c r="D80" s="36">
        <f t="shared" si="1"/>
        <v>0</v>
      </c>
      <c r="E80" s="28"/>
      <c r="F80" s="35">
        <f t="shared" si="2"/>
        <v>42</v>
      </c>
      <c r="G80" s="35">
        <f t="shared" si="3"/>
        <v>20</v>
      </c>
      <c r="H80" s="39" cm="1">
        <f t="array" ref="H80">IF(B80&gt;NInt,NA(),1-_xll.VoseBetaBinomialProb(D80-1,NRem,F80,G80,TRUE))</f>
        <v>1</v>
      </c>
      <c r="I80" s="46" t="str">
        <f t="shared" si="4"/>
        <v>efficacy</v>
      </c>
      <c r="J80" s="28"/>
    </row>
    <row r="81" spans="2:10" x14ac:dyDescent="0.45">
      <c r="B81" s="25">
        <f t="shared" si="5"/>
        <v>37</v>
      </c>
      <c r="C81" s="45">
        <f t="shared" si="0"/>
        <v>0.92500000000000004</v>
      </c>
      <c r="D81" s="36">
        <f t="shared" si="1"/>
        <v>0</v>
      </c>
      <c r="E81" s="28"/>
      <c r="F81" s="35">
        <f t="shared" si="2"/>
        <v>43</v>
      </c>
      <c r="G81" s="35">
        <f t="shared" si="3"/>
        <v>19</v>
      </c>
      <c r="H81" s="39" cm="1">
        <f t="array" ref="H81">IF(B81&gt;NInt,NA(),1-_xll.VoseBetaBinomialProb(D81-1,NRem,F81,G81,TRUE))</f>
        <v>1</v>
      </c>
      <c r="I81" s="46" t="str">
        <f t="shared" si="4"/>
        <v>efficacy</v>
      </c>
      <c r="J81" s="28"/>
    </row>
    <row r="82" spans="2:10" x14ac:dyDescent="0.45">
      <c r="B82" s="25">
        <f t="shared" si="5"/>
        <v>38</v>
      </c>
      <c r="C82" s="45">
        <f t="shared" si="0"/>
        <v>0.95</v>
      </c>
      <c r="D82" s="36">
        <f t="shared" si="1"/>
        <v>0</v>
      </c>
      <c r="E82" s="28"/>
      <c r="F82" s="35">
        <f t="shared" si="2"/>
        <v>44</v>
      </c>
      <c r="G82" s="35">
        <f t="shared" si="3"/>
        <v>18</v>
      </c>
      <c r="H82" s="39" cm="1">
        <f t="array" ref="H82">IF(B82&gt;NInt,NA(),1-_xll.VoseBetaBinomialProb(D82-1,NRem,F82,G82,TRUE))</f>
        <v>1</v>
      </c>
      <c r="I82" s="46" t="str">
        <f t="shared" si="4"/>
        <v>efficacy</v>
      </c>
      <c r="J82" s="28"/>
    </row>
    <row r="83" spans="2:10" x14ac:dyDescent="0.45">
      <c r="B83" s="25">
        <f t="shared" si="5"/>
        <v>39</v>
      </c>
      <c r="C83" s="45">
        <f t="shared" si="0"/>
        <v>0.97499999999999998</v>
      </c>
      <c r="D83" s="36">
        <f t="shared" si="1"/>
        <v>0</v>
      </c>
      <c r="E83" s="28"/>
      <c r="F83" s="35">
        <f t="shared" si="2"/>
        <v>45</v>
      </c>
      <c r="G83" s="35">
        <f t="shared" si="3"/>
        <v>17</v>
      </c>
      <c r="H83" s="39" cm="1">
        <f t="array" ref="H83">IF(B83&gt;NInt,NA(),1-_xll.VoseBetaBinomialProb(D83-1,NRem,F83,G83,TRUE))</f>
        <v>1</v>
      </c>
      <c r="I83" s="46" t="str">
        <f t="shared" si="4"/>
        <v>efficacy</v>
      </c>
      <c r="J83" s="28"/>
    </row>
    <row r="84" spans="2:10" x14ac:dyDescent="0.45">
      <c r="B84" s="25">
        <f t="shared" si="5"/>
        <v>40</v>
      </c>
      <c r="C84" s="45">
        <f t="shared" si="0"/>
        <v>1</v>
      </c>
      <c r="D84" s="36">
        <f t="shared" si="1"/>
        <v>0</v>
      </c>
      <c r="E84" s="28"/>
      <c r="F84" s="35">
        <f t="shared" si="2"/>
        <v>46</v>
      </c>
      <c r="G84" s="35">
        <f t="shared" si="3"/>
        <v>16</v>
      </c>
      <c r="H84" s="39" cm="1">
        <f t="array" ref="H84">IF(B84&gt;NInt,NA(),1-_xll.VoseBetaBinomialProb(D84-1,NRem,F84,G84,TRUE))</f>
        <v>1</v>
      </c>
      <c r="I84" s="46" t="str">
        <f t="shared" si="4"/>
        <v>efficacy</v>
      </c>
      <c r="J84" s="28"/>
    </row>
    <row r="85" spans="2:10" x14ac:dyDescent="0.45">
      <c r="B85" s="47" t="s">
        <v>189</v>
      </c>
    </row>
    <row r="86" spans="2:10" ht="6" customHeight="1" x14ac:dyDescent="0.45"/>
    <row r="87" spans="2:10" ht="18" customHeight="1" x14ac:dyDescent="0.45">
      <c r="B87" s="33" t="s">
        <v>135</v>
      </c>
      <c r="C87" s="33" t="s">
        <v>95</v>
      </c>
      <c r="D87" s="34" t="s">
        <v>136</v>
      </c>
      <c r="E87" s="5"/>
      <c r="F87" s="33" t="s">
        <v>137</v>
      </c>
      <c r="G87" s="5"/>
      <c r="H87" s="5"/>
      <c r="I87" s="5"/>
      <c r="J87" s="5"/>
    </row>
    <row r="88" spans="2:10" x14ac:dyDescent="0.45">
      <c r="B88" s="25" t="s">
        <v>190</v>
      </c>
      <c r="C88" s="26" t="s">
        <v>143</v>
      </c>
      <c r="D88" s="36">
        <f>IF(COUNTIF(Zone,"futility")=0,"none",COUNTIF(Zone,"futility")-1)</f>
        <v>8</v>
      </c>
      <c r="E88" s="28"/>
      <c r="F88" s="26" t="s">
        <v>191</v>
      </c>
      <c r="G88" s="28"/>
      <c r="H88" s="28"/>
      <c r="I88" s="28"/>
      <c r="J88" s="28"/>
    </row>
    <row r="89" spans="2:10" x14ac:dyDescent="0.45">
      <c r="B89" s="25" t="s">
        <v>192</v>
      </c>
      <c r="C89" s="26" t="s">
        <v>143</v>
      </c>
      <c r="D89" s="36">
        <f>IF(COUNTIF(Zone,"efficacy")=0,"none",NInt+1-COUNTIF(Zone,"efficacy"))</f>
        <v>16</v>
      </c>
      <c r="E89" s="28"/>
      <c r="F89" s="26" t="s">
        <v>193</v>
      </c>
      <c r="G89" s="28"/>
      <c r="H89" s="28"/>
      <c r="I89" s="28"/>
      <c r="J89" s="28"/>
    </row>
    <row r="90" spans="2:10" ht="8" customHeight="1" x14ac:dyDescent="0.45"/>
    <row r="91" spans="2:10" ht="22.05" customHeight="1" x14ac:dyDescent="0.5">
      <c r="B91" s="7" t="s">
        <v>194</v>
      </c>
      <c r="C91" s="8"/>
      <c r="D91" s="8"/>
      <c r="E91" s="8"/>
      <c r="F91" s="8"/>
      <c r="G91" s="8"/>
      <c r="H91" s="8"/>
      <c r="I91" s="8"/>
      <c r="J91" s="8"/>
    </row>
    <row r="92" spans="2:10" ht="18" customHeight="1" x14ac:dyDescent="0.45">
      <c r="B92" s="13" t="s">
        <v>195</v>
      </c>
    </row>
    <row r="93" spans="2:10" ht="18" customHeight="1" x14ac:dyDescent="0.45">
      <c r="B93" s="33" t="s">
        <v>196</v>
      </c>
      <c r="C93" s="33" t="s">
        <v>95</v>
      </c>
      <c r="D93" s="34" t="s">
        <v>136</v>
      </c>
      <c r="E93" s="5"/>
      <c r="F93" s="33" t="s">
        <v>197</v>
      </c>
      <c r="G93" s="5"/>
      <c r="H93" s="5"/>
      <c r="I93" s="5"/>
      <c r="J93" s="5"/>
    </row>
    <row r="94" spans="2:10" x14ac:dyDescent="0.45">
      <c r="B94" s="25" t="s">
        <v>198</v>
      </c>
      <c r="C94" s="26" t="s">
        <v>100</v>
      </c>
      <c r="D94" s="48" cm="1">
        <f t="array" aca="1" ref="D94" ca="1">_xll.VoseOutput("Final responders","patients")+XInt+YRem</f>
        <v>30</v>
      </c>
      <c r="E94" s="28"/>
      <c r="F94" s="26" t="s">
        <v>199</v>
      </c>
      <c r="G94" s="28"/>
      <c r="H94" s="28"/>
      <c r="I94" s="28"/>
      <c r="J94" s="28"/>
    </row>
    <row r="95" spans="2:10" x14ac:dyDescent="0.45">
      <c r="B95" s="25" t="s">
        <v>200</v>
      </c>
      <c r="C95" s="26" t="s">
        <v>201</v>
      </c>
      <c r="D95" s="48" cm="1">
        <f t="array" aca="1" ref="D95" ca="1">_xll.VoseOutput("Trial succeeds","1 = yes")+IF(FinalX&gt;=KSucc,1,0)</f>
        <v>1</v>
      </c>
      <c r="E95" s="28"/>
      <c r="F95" s="26" t="s">
        <v>202</v>
      </c>
      <c r="G95" s="28"/>
      <c r="H95" s="28"/>
      <c r="I95" s="28"/>
      <c r="J95" s="28"/>
    </row>
    <row r="96" spans="2:10" x14ac:dyDescent="0.45">
      <c r="B96" s="25" t="s">
        <v>203</v>
      </c>
      <c r="C96" s="26" t="s">
        <v>103</v>
      </c>
      <c r="D96" s="49" cm="1">
        <f t="array" aca="1" ref="D96" ca="1">_xll.VoseOutput("Final response rate","probability")+FinalX/NTot</f>
        <v>0.3</v>
      </c>
      <c r="E96" s="28"/>
      <c r="F96" s="26"/>
      <c r="G96" s="28"/>
      <c r="H96" s="28"/>
      <c r="I96" s="28"/>
      <c r="J96" s="28"/>
    </row>
    <row r="97" spans="2:10" ht="8" customHeight="1" x14ac:dyDescent="0.45"/>
    <row r="98" spans="2:10" ht="22.05" customHeight="1" x14ac:dyDescent="0.5">
      <c r="B98" s="7" t="s">
        <v>204</v>
      </c>
      <c r="C98" s="8"/>
      <c r="D98" s="8"/>
      <c r="E98" s="8"/>
      <c r="F98" s="8"/>
      <c r="G98" s="8"/>
      <c r="H98" s="8"/>
      <c r="I98" s="8"/>
      <c r="J98" s="8"/>
    </row>
    <row r="99" spans="2:10" ht="18" customHeight="1" x14ac:dyDescent="0.45">
      <c r="B99" s="13" t="s">
        <v>205</v>
      </c>
    </row>
    <row r="100" spans="2:10" x14ac:dyDescent="0.45">
      <c r="B100" s="25" t="s">
        <v>206</v>
      </c>
      <c r="C100" s="28"/>
      <c r="D100" s="50" t="str">
        <f>IF(AND(XInt&lt;=NInt,PriorX&lt;=PriorN,NInt&lt;NTot),"OK","CHECK")</f>
        <v>OK</v>
      </c>
      <c r="E100" s="28"/>
      <c r="F100" s="28"/>
      <c r="G100" s="28"/>
      <c r="H100" s="28"/>
      <c r="I100" s="28"/>
      <c r="J100" s="28"/>
    </row>
    <row r="101" spans="2:10" x14ac:dyDescent="0.45">
      <c r="B101" s="25" t="s">
        <v>207</v>
      </c>
      <c r="C101" s="28"/>
      <c r="D101" s="50" t="str">
        <f>IF(NInt&lt;=MAX(BoundX),"OK","CHECK")</f>
        <v>OK</v>
      </c>
      <c r="E101" s="28"/>
      <c r="F101" s="28"/>
      <c r="G101" s="28"/>
      <c r="H101" s="28"/>
      <c r="I101" s="28"/>
      <c r="J101" s="28"/>
    </row>
    <row r="102" spans="2:10" x14ac:dyDescent="0.45">
      <c r="B102" s="25" t="s">
        <v>208</v>
      </c>
      <c r="C102" s="28"/>
      <c r="D102" s="50" t="str">
        <f>IF(Futility&lt;Efficacy,"OK","CHECK")</f>
        <v>OK</v>
      </c>
      <c r="E102" s="28"/>
      <c r="F102" s="28"/>
      <c r="G102" s="28"/>
      <c r="H102" s="28"/>
      <c r="I102" s="28"/>
      <c r="J102" s="28"/>
    </row>
    <row r="103" spans="2:10" ht="14" customHeight="1" x14ac:dyDescent="0.45"/>
  </sheetData>
  <conditionalFormatting sqref="B44:I84">
    <cfRule type="expression" dxfId="7" priority="1">
      <formula>$B44=XInt</formula>
    </cfRule>
  </conditionalFormatting>
  <conditionalFormatting sqref="D100:D102">
    <cfRule type="expression" dxfId="6" priority="2">
      <formula>D100="CHECK"</formula>
    </cfRule>
  </conditionalFormatting>
  <hyperlinks>
    <hyperlink ref="B4" location="'Inputs'!A1" display="◂  Inputs" xr:uid="{00000000-0004-0000-0200-000000000000}"/>
    <hyperlink ref="J4" location="'Results'!A1" display="Next:  Results  ▸" xr:uid="{00000000-0004-0000-0200-000001000000}"/>
  </hyperlinks>
  <printOptions horizontalCentered="1"/>
  <pageMargins left="0.4" right="0.4" top="0.5" bottom="0.6" header="0.25" footer="0.25"/>
  <pageSetup paperSize="9" scale="79" fitToHeight="0" orientation="landscape" r:id="rId1"/>
  <headerFooter>
    <oddFooter>&amp;L&amp;K3F5876&amp;8&amp;F · &amp;A&amp;R&amp;K3F5876&amp;8Page &amp;P of &amp;N</oddFooter>
  </headerFooter>
  <rowBreaks count="1" manualBreakCount="1">
    <brk id="3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418"/>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209</v>
      </c>
      <c r="C3" s="1"/>
      <c r="D3" s="1"/>
      <c r="E3" s="1"/>
      <c r="F3" s="1"/>
      <c r="G3" s="1"/>
      <c r="H3" s="1"/>
      <c r="I3" s="1"/>
      <c r="J3" s="1"/>
      <c r="K3" s="1"/>
      <c r="L3" s="1"/>
      <c r="M3" s="1"/>
      <c r="N3" s="1"/>
      <c r="O3" s="1"/>
      <c r="P3" s="1"/>
      <c r="Q3" s="1"/>
      <c r="R3" s="1"/>
    </row>
    <row r="4" spans="1:18" ht="20" customHeight="1" x14ac:dyDescent="0.45">
      <c r="A4" s="5"/>
      <c r="B4" s="22" t="s">
        <v>210</v>
      </c>
      <c r="C4" s="5"/>
      <c r="D4" s="5"/>
      <c r="E4" s="5"/>
      <c r="F4" s="5"/>
      <c r="G4" s="5"/>
      <c r="H4" s="5"/>
      <c r="I4" s="5"/>
      <c r="J4" s="5"/>
      <c r="K4" s="5"/>
      <c r="L4" s="5"/>
      <c r="M4" s="5"/>
      <c r="N4" s="5"/>
      <c r="O4" s="5"/>
      <c r="P4" s="5"/>
      <c r="Q4" s="5"/>
      <c r="R4" s="5"/>
    </row>
    <row r="5" spans="1:18" ht="8" customHeight="1" x14ac:dyDescent="0.45"/>
    <row r="6" spans="1:18" ht="26" customHeight="1" x14ac:dyDescent="0.45">
      <c r="B6" s="51" t="str" cm="1">
        <f t="array" aca="1" ref="B6" ca="1">IF(ISNUMBER(_xll.VoseSimMean(Success)),"✔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2"/>
      <c r="D6" s="52"/>
      <c r="E6" s="52"/>
      <c r="F6" s="52"/>
      <c r="G6" s="52"/>
    </row>
    <row r="7" spans="1:18" x14ac:dyDescent="0.45">
      <c r="B7" s="53"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211</v>
      </c>
      <c r="C9" s="8"/>
      <c r="D9" s="8"/>
      <c r="E9" s="8"/>
      <c r="F9" s="8"/>
      <c r="G9" s="8"/>
      <c r="I9" s="54" t="s">
        <v>212</v>
      </c>
      <c r="J9" s="8"/>
      <c r="K9" s="8"/>
      <c r="L9" s="8"/>
      <c r="M9" s="8"/>
      <c r="N9" s="8"/>
      <c r="O9" s="8"/>
      <c r="P9" s="8"/>
      <c r="Q9" s="8"/>
      <c r="R9" s="8"/>
    </row>
    <row r="10" spans="1:18" ht="18" customHeight="1" x14ac:dyDescent="0.45">
      <c r="B10" s="13" t="s">
        <v>213</v>
      </c>
    </row>
    <row r="11" spans="1:18" ht="18" customHeight="1" x14ac:dyDescent="0.45">
      <c r="B11" s="23" t="s">
        <v>214</v>
      </c>
      <c r="C11" s="23" t="s">
        <v>95</v>
      </c>
      <c r="D11" s="24" t="s">
        <v>136</v>
      </c>
      <c r="E11" s="5"/>
      <c r="F11" s="5"/>
      <c r="G11" s="5"/>
    </row>
    <row r="12" spans="1:18" x14ac:dyDescent="0.45">
      <c r="B12" s="55" t="s">
        <v>215</v>
      </c>
      <c r="C12" s="26" t="s">
        <v>103</v>
      </c>
      <c r="D12" s="39">
        <f>XInt/NInt</f>
        <v>0.35</v>
      </c>
      <c r="E12" s="28"/>
      <c r="F12" s="28"/>
      <c r="G12" s="28"/>
    </row>
    <row r="13" spans="1:18" x14ac:dyDescent="0.45">
      <c r="B13" s="56" t="s">
        <v>216</v>
      </c>
      <c r="C13" s="26" t="s">
        <v>103</v>
      </c>
      <c r="D13" s="39">
        <f>PostMean</f>
        <v>0.32258064516129031</v>
      </c>
      <c r="E13" s="28"/>
      <c r="F13" s="28"/>
      <c r="G13" s="28"/>
    </row>
    <row r="14" spans="1:18" x14ac:dyDescent="0.45">
      <c r="B14" s="25" t="s">
        <v>217</v>
      </c>
      <c r="C14" s="26" t="s">
        <v>103</v>
      </c>
      <c r="D14" s="57" cm="1">
        <f t="array" aca="1" ref="D14" ca="1">_xll.VoseSimMean(TrueRate)</f>
        <v>0.32158561914972911</v>
      </c>
      <c r="E14" s="28"/>
      <c r="F14" s="28"/>
      <c r="G14" s="28"/>
    </row>
    <row r="15" spans="1:18" x14ac:dyDescent="0.45">
      <c r="B15" s="55" t="s">
        <v>157</v>
      </c>
      <c r="C15" s="26" t="s">
        <v>103</v>
      </c>
      <c r="D15" s="39">
        <f>CrLo</f>
        <v>0.21306633581137002</v>
      </c>
      <c r="E15" s="28"/>
      <c r="F15" s="28"/>
      <c r="G15" s="28"/>
    </row>
    <row r="16" spans="1:18" x14ac:dyDescent="0.45">
      <c r="B16" s="55" t="s">
        <v>159</v>
      </c>
      <c r="C16" s="26" t="s">
        <v>103</v>
      </c>
      <c r="D16" s="39">
        <f>CrHi</f>
        <v>0.44293662771106745</v>
      </c>
      <c r="E16" s="28"/>
      <c r="F16" s="28"/>
      <c r="G16" s="28"/>
    </row>
    <row r="17" spans="2:18" x14ac:dyDescent="0.45">
      <c r="B17" s="55" t="s">
        <v>161</v>
      </c>
      <c r="C17" s="26" t="s">
        <v>103</v>
      </c>
      <c r="D17" s="39">
        <f>PBeat</f>
        <v>0.98705167178905751</v>
      </c>
      <c r="E17" s="28"/>
      <c r="F17" s="28"/>
      <c r="G17" s="28"/>
    </row>
    <row r="18" spans="2:18" ht="8" customHeight="1" x14ac:dyDescent="0.45"/>
    <row r="24" spans="2:18" ht="22.05" customHeight="1" x14ac:dyDescent="0.5">
      <c r="B24" s="7" t="s">
        <v>218</v>
      </c>
      <c r="C24" s="8"/>
      <c r="D24" s="8"/>
      <c r="E24" s="8"/>
      <c r="F24" s="8"/>
      <c r="G24" s="8"/>
      <c r="I24" s="54" t="s">
        <v>219</v>
      </c>
      <c r="J24" s="8"/>
      <c r="K24" s="8"/>
      <c r="L24" s="8"/>
      <c r="M24" s="8"/>
      <c r="N24" s="8"/>
      <c r="O24" s="8"/>
      <c r="P24" s="8"/>
      <c r="Q24" s="8"/>
      <c r="R24" s="8"/>
    </row>
    <row r="25" spans="2:18" ht="18" customHeight="1" x14ac:dyDescent="0.45">
      <c r="B25" s="13" t="str">
        <f>"Success: at least "&amp;KSucc&amp;" responders of "&amp;NTot&amp;" patients."</f>
        <v>Success: at least 29 responders of 100 patients.</v>
      </c>
    </row>
    <row r="26" spans="2:18" ht="18" customHeight="1" x14ac:dyDescent="0.45">
      <c r="B26" s="23" t="s">
        <v>214</v>
      </c>
      <c r="C26" s="23" t="s">
        <v>95</v>
      </c>
      <c r="D26" s="24" t="s">
        <v>136</v>
      </c>
      <c r="E26" s="5"/>
      <c r="F26" s="5"/>
      <c r="G26" s="5"/>
    </row>
    <row r="27" spans="2:18" ht="22.05" customHeight="1" x14ac:dyDescent="0.45">
      <c r="B27" s="58" t="s">
        <v>220</v>
      </c>
      <c r="C27" s="26" t="s">
        <v>103</v>
      </c>
      <c r="D27" s="59" cm="1">
        <f t="array" aca="1" ref="D27" ca="1">_xll.VoseSimMean(Success)</f>
        <v>0.82809999999999995</v>
      </c>
      <c r="E27" s="28"/>
      <c r="F27" s="28"/>
      <c r="G27" s="28"/>
    </row>
    <row r="28" spans="2:18" x14ac:dyDescent="0.45">
      <c r="B28" s="55" t="s">
        <v>221</v>
      </c>
      <c r="C28" s="26" t="s">
        <v>103</v>
      </c>
      <c r="D28" s="39">
        <f>PPoS</f>
        <v>0.83001838339041956</v>
      </c>
      <c r="E28" s="28"/>
      <c r="F28" s="28"/>
      <c r="G28" s="28"/>
    </row>
    <row r="29" spans="2:18" x14ac:dyDescent="0.45">
      <c r="B29" s="55" t="s">
        <v>165</v>
      </c>
      <c r="C29" s="26" t="s">
        <v>103</v>
      </c>
      <c r="D29" s="39">
        <f>CPower</f>
        <v>0.96376691781390611</v>
      </c>
      <c r="E29" s="28"/>
      <c r="F29" s="28"/>
      <c r="G29" s="28"/>
    </row>
    <row r="30" spans="2:18" x14ac:dyDescent="0.45">
      <c r="B30" s="25" t="s">
        <v>222</v>
      </c>
      <c r="C30" s="26" t="s">
        <v>103</v>
      </c>
      <c r="D30" s="60" cm="1">
        <f t="array" aca="1" ref="D30" ca="1">_xll.VoseSimPercentile(FinalRate,0.1)</f>
        <v>0.27</v>
      </c>
      <c r="E30" s="28"/>
      <c r="F30" s="28"/>
      <c r="G30" s="28"/>
    </row>
    <row r="31" spans="2:18" x14ac:dyDescent="0.45">
      <c r="B31" s="25" t="s">
        <v>223</v>
      </c>
      <c r="C31" s="26" t="s">
        <v>103</v>
      </c>
      <c r="D31" s="60" cm="1">
        <f t="array" aca="1" ref="D31" ca="1">_xll.VoseSimPercentile(FinalRate,0.9)</f>
        <v>0.4</v>
      </c>
      <c r="E31" s="28"/>
      <c r="F31" s="28"/>
      <c r="G31" s="28"/>
    </row>
    <row r="32" spans="2:18" x14ac:dyDescent="0.45">
      <c r="B32" s="58" t="s">
        <v>167</v>
      </c>
      <c r="C32" s="28"/>
      <c r="D32" s="61" t="str">
        <f>Decision</f>
        <v>Continue the trial</v>
      </c>
      <c r="E32" s="28"/>
      <c r="F32" s="28"/>
      <c r="G32" s="28"/>
    </row>
    <row r="33" spans="2:18" ht="8" customHeight="1" x14ac:dyDescent="0.45"/>
    <row r="39" spans="2:18" ht="22.05" customHeight="1" x14ac:dyDescent="0.5">
      <c r="B39" s="7" t="s">
        <v>224</v>
      </c>
      <c r="C39" s="8"/>
      <c r="D39" s="8"/>
      <c r="E39" s="8"/>
      <c r="F39" s="8"/>
      <c r="G39" s="8"/>
      <c r="I39" s="54" t="s">
        <v>225</v>
      </c>
      <c r="J39" s="8"/>
      <c r="K39" s="8"/>
      <c r="L39" s="8"/>
      <c r="M39" s="8"/>
      <c r="N39" s="8"/>
      <c r="O39" s="8"/>
      <c r="P39" s="8"/>
      <c r="Q39" s="8"/>
      <c r="R39" s="8"/>
    </row>
    <row r="40" spans="2:18" ht="18" customHeight="1" x14ac:dyDescent="0.45">
      <c r="B40" s="13" t="s">
        <v>170</v>
      </c>
    </row>
    <row r="41" spans="2:18" ht="18" customHeight="1" x14ac:dyDescent="0.45">
      <c r="B41" s="62" t="s">
        <v>68</v>
      </c>
      <c r="C41" s="63" t="s">
        <v>174</v>
      </c>
      <c r="D41" s="63" t="s">
        <v>175</v>
      </c>
      <c r="E41" s="63" t="s">
        <v>171</v>
      </c>
      <c r="F41" s="63" t="s">
        <v>172</v>
      </c>
      <c r="G41" s="63" t="s">
        <v>173</v>
      </c>
    </row>
    <row r="42" spans="2:18" x14ac:dyDescent="0.45">
      <c r="B42" s="44"/>
      <c r="C42" s="44"/>
      <c r="D42" s="44"/>
      <c r="E42" s="44" t="s">
        <v>176</v>
      </c>
      <c r="F42" s="44" t="s">
        <v>177</v>
      </c>
      <c r="G42" s="44" t="s">
        <v>103</v>
      </c>
    </row>
    <row r="43" spans="2:18" x14ac:dyDescent="0.45">
      <c r="B43" s="58" t="s">
        <v>226</v>
      </c>
      <c r="C43" s="35">
        <f>Analysis!C35</f>
        <v>6</v>
      </c>
      <c r="D43" s="35">
        <f>Analysis!D35</f>
        <v>16</v>
      </c>
      <c r="E43" s="39">
        <f>Analysis!H35</f>
        <v>0.32258064516129031</v>
      </c>
      <c r="F43" s="39">
        <f>Analysis!I35</f>
        <v>0.98705167178905751</v>
      </c>
      <c r="G43" s="39">
        <f>Analysis!J35</f>
        <v>0.83001838339041956</v>
      </c>
    </row>
    <row r="44" spans="2:18" x14ac:dyDescent="0.45">
      <c r="B44" s="25" t="s">
        <v>179</v>
      </c>
      <c r="C44" s="35">
        <f>Analysis!C36</f>
        <v>1</v>
      </c>
      <c r="D44" s="35">
        <f>Analysis!D36</f>
        <v>1</v>
      </c>
      <c r="E44" s="39">
        <f>Analysis!H36</f>
        <v>0.35714285714285715</v>
      </c>
      <c r="F44" s="39">
        <f>Analysis!I36</f>
        <v>0.9897858431154547</v>
      </c>
      <c r="G44" s="39">
        <f>Analysis!J36</f>
        <v>0.88871232366775954</v>
      </c>
    </row>
    <row r="45" spans="2:18" x14ac:dyDescent="0.45">
      <c r="B45" s="25" t="s">
        <v>180</v>
      </c>
      <c r="C45" s="35">
        <f>Analysis!C37</f>
        <v>4</v>
      </c>
      <c r="D45" s="35">
        <f>Analysis!D37</f>
        <v>16</v>
      </c>
      <c r="E45" s="39">
        <f>Analysis!H37</f>
        <v>0.3</v>
      </c>
      <c r="F45" s="39">
        <f>Analysis!I37</f>
        <v>0.96349135517677542</v>
      </c>
      <c r="G45" s="39">
        <f>Analysis!J37</f>
        <v>0.75029052344350655</v>
      </c>
    </row>
    <row r="46" spans="2:18" x14ac:dyDescent="0.45">
      <c r="B46" s="25" t="s">
        <v>181</v>
      </c>
      <c r="C46" s="35">
        <f>Analysis!C38</f>
        <v>8</v>
      </c>
      <c r="D46" s="35">
        <f>Analysis!D38</f>
        <v>12</v>
      </c>
      <c r="E46" s="39">
        <f>Analysis!H38</f>
        <v>0.36666666666666664</v>
      </c>
      <c r="F46" s="39">
        <f>Analysis!I38</f>
        <v>0.9984085654786401</v>
      </c>
      <c r="G46" s="39">
        <f>Analysis!J38</f>
        <v>0.92772183474602776</v>
      </c>
    </row>
    <row r="47" spans="2:18" ht="8" customHeight="1" x14ac:dyDescent="0.45"/>
    <row r="48" spans="2:18" ht="18" customHeight="1" x14ac:dyDescent="0.45">
      <c r="B48" s="23" t="s">
        <v>214</v>
      </c>
      <c r="C48" s="23" t="s">
        <v>95</v>
      </c>
      <c r="D48" s="24" t="s">
        <v>136</v>
      </c>
      <c r="E48" s="5"/>
      <c r="F48" s="5"/>
      <c r="G48" s="5"/>
    </row>
    <row r="49" spans="2:7" x14ac:dyDescent="0.45">
      <c r="B49" s="55" t="s">
        <v>190</v>
      </c>
      <c r="C49" s="26" t="s">
        <v>143</v>
      </c>
      <c r="D49" s="36">
        <f>FutMax</f>
        <v>8</v>
      </c>
      <c r="E49" s="28"/>
      <c r="F49" s="28"/>
      <c r="G49" s="28"/>
    </row>
    <row r="50" spans="2:7" x14ac:dyDescent="0.45">
      <c r="B50" s="55" t="s">
        <v>192</v>
      </c>
      <c r="C50" s="26" t="s">
        <v>143</v>
      </c>
      <c r="D50" s="36">
        <f>EffMin</f>
        <v>16</v>
      </c>
      <c r="E50" s="28"/>
      <c r="F50" s="28"/>
      <c r="G50" s="28"/>
    </row>
    <row r="51" spans="2:7" ht="8" customHeight="1" x14ac:dyDescent="0.45"/>
    <row r="55" spans="2:7" ht="22.05" customHeight="1" x14ac:dyDescent="0.5">
      <c r="B55" s="7" t="s">
        <v>227</v>
      </c>
      <c r="C55" s="8"/>
      <c r="D55" s="8"/>
      <c r="E55" s="8"/>
      <c r="F55" s="8"/>
      <c r="G55" s="8"/>
    </row>
    <row r="56" spans="2:7" ht="45" customHeight="1" x14ac:dyDescent="0.45">
      <c r="B56" s="73" t="s">
        <v>228</v>
      </c>
      <c r="C56" s="72"/>
      <c r="D56" s="72"/>
      <c r="E56" s="72"/>
      <c r="F56" s="72"/>
      <c r="G56" s="72"/>
    </row>
    <row r="57" spans="2:7" ht="45" customHeight="1" x14ac:dyDescent="0.45">
      <c r="B57" s="73" t="s">
        <v>229</v>
      </c>
      <c r="C57" s="72"/>
      <c r="D57" s="72"/>
      <c r="E57" s="72"/>
      <c r="F57" s="72"/>
      <c r="G57" s="72"/>
    </row>
    <row r="58" spans="2:7" ht="32" customHeight="1" x14ac:dyDescent="0.45">
      <c r="B58" s="73" t="s">
        <v>230</v>
      </c>
      <c r="C58" s="72"/>
      <c r="D58" s="72"/>
      <c r="E58" s="72"/>
      <c r="F58" s="72"/>
      <c r="G58" s="72"/>
    </row>
    <row r="59" spans="2:7" ht="32" customHeight="1" x14ac:dyDescent="0.45">
      <c r="B59" s="73" t="s">
        <v>231</v>
      </c>
      <c r="C59" s="72"/>
      <c r="D59" s="72"/>
      <c r="E59" s="72"/>
      <c r="F59" s="72"/>
      <c r="G59" s="72"/>
    </row>
    <row r="60" spans="2:7" ht="32" customHeight="1" x14ac:dyDescent="0.45">
      <c r="B60" s="73" t="str">
        <f>"•  "&amp;("The boundaries tell the committee in advance what to do: "&amp;FutMax&amp;" responders or fewer at the interim would mean stopping for futility (a predictive probability below "&amp;TEXT(Futility,"0%")&amp;"), "&amp;EffMin&amp;" or more stopping for efficacy (above "&amp;TEXT(Efficacy,"0%")&amp;").")</f>
        <v>•  The boundaries tell the committee in advance what to do: 8 responders or fewer at the interim would mean stopping for futility (a predictive probability below 10%), 16 or more stopping for efficacy (above 95%).</v>
      </c>
      <c r="C60" s="72"/>
      <c r="D60" s="72"/>
      <c r="E60" s="72"/>
      <c r="F60" s="72"/>
      <c r="G60" s="72"/>
    </row>
    <row r="61" spans="2:7" ht="14" customHeight="1" x14ac:dyDescent="0.45"/>
    <row r="62" spans="2:7" ht="14" customHeight="1" x14ac:dyDescent="0.45"/>
    <row r="63" spans="2:7" ht="22.05" customHeight="1" x14ac:dyDescent="0.5">
      <c r="B63" s="7" t="s">
        <v>232</v>
      </c>
      <c r="C63" s="8"/>
      <c r="D63" s="8"/>
      <c r="E63" s="8"/>
      <c r="F63" s="8"/>
      <c r="G63" s="8"/>
    </row>
    <row r="64" spans="2:7" ht="18" customHeight="1" x14ac:dyDescent="0.45">
      <c r="B64" s="13" t="s">
        <v>233</v>
      </c>
    </row>
    <row r="65" spans="2:7" ht="28.05" hidden="1" customHeight="1" outlineLevel="1" x14ac:dyDescent="0.45">
      <c r="B65" s="24" t="s">
        <v>234</v>
      </c>
      <c r="C65" s="24" t="s">
        <v>235</v>
      </c>
      <c r="D65" s="24" t="s">
        <v>236</v>
      </c>
      <c r="E65" s="24" t="s">
        <v>237</v>
      </c>
      <c r="F65" s="5"/>
      <c r="G65" s="5"/>
    </row>
    <row r="66" spans="2:7" hidden="1" outlineLevel="1" x14ac:dyDescent="0.45">
      <c r="B66" s="64">
        <v>0.01</v>
      </c>
      <c r="C66" s="64">
        <f t="shared" ref="C66:C97" si="0">1-B66</f>
        <v>0.99</v>
      </c>
      <c r="D66" s="65" cm="1">
        <f t="array" aca="1" ref="D66" ca="1">IF(ISNUMBER(_xll.VoseSimPercentile(TrueRate,$B66)),_xll.VoseSimPercentile(TrueRate,$B66),NA())</f>
        <v>0.19401113718131779</v>
      </c>
      <c r="E66" s="65" cm="1">
        <f t="array" aca="1" ref="E66" ca="1">IF(ISNUMBER(_xll.VoseSimPercentile(FinalX,$B66)),_xll.VoseSimPercentile(FinalX,$B66),NA())</f>
        <v>23</v>
      </c>
    </row>
    <row r="67" spans="2:7" hidden="1" outlineLevel="1" x14ac:dyDescent="0.45">
      <c r="B67" s="64">
        <v>0.03</v>
      </c>
      <c r="C67" s="64">
        <f t="shared" si="0"/>
        <v>0.97</v>
      </c>
      <c r="D67" s="65" cm="1">
        <f t="array" aca="1" ref="D67" ca="1">IF(ISNUMBER(_xll.VoseSimPercentile(TrueRate,$B67)),_xll.VoseSimPercentile(TrueRate,$B67),NA())</f>
        <v>0.21584057499225792</v>
      </c>
      <c r="E67" s="65" cm="1">
        <f t="array" aca="1" ref="E67" ca="1">IF(ISNUMBER(_xll.VoseSimPercentile(FinalX,$B67)),_xll.VoseSimPercentile(FinalX,$B67),NA())</f>
        <v>24</v>
      </c>
    </row>
    <row r="68" spans="2:7" hidden="1" outlineLevel="1" x14ac:dyDescent="0.45">
      <c r="B68" s="64">
        <v>0.05</v>
      </c>
      <c r="C68" s="64">
        <f t="shared" si="0"/>
        <v>0.95</v>
      </c>
      <c r="D68" s="65" cm="1">
        <f t="array" aca="1" ref="D68" ca="1">IF(ISNUMBER(_xll.VoseSimPercentile(TrueRate,$B68)),_xll.VoseSimPercentile(TrueRate,$B68),NA())</f>
        <v>0.22737347915770306</v>
      </c>
      <c r="E68" s="65" cm="1">
        <f t="array" aca="1" ref="E68" ca="1">IF(ISNUMBER(_xll.VoseSimPercentile(FinalX,$B68)),_xll.VoseSimPercentile(FinalX,$B68),NA())</f>
        <v>25</v>
      </c>
    </row>
    <row r="69" spans="2:7" hidden="1" outlineLevel="1" x14ac:dyDescent="0.45">
      <c r="B69" s="64">
        <v>7.0000000000000007E-2</v>
      </c>
      <c r="C69" s="64">
        <f t="shared" si="0"/>
        <v>0.92999999999999994</v>
      </c>
      <c r="D69" s="65" cm="1">
        <f t="array" aca="1" ref="D69" ca="1">IF(ISNUMBER(_xll.VoseSimPercentile(TrueRate,$B69)),_xll.VoseSimPercentile(TrueRate,$B69),NA())</f>
        <v>0.23628338076974187</v>
      </c>
      <c r="E69" s="65" cm="1">
        <f t="array" aca="1" ref="E69" ca="1">IF(ISNUMBER(_xll.VoseSimPercentile(FinalX,$B69)),_xll.VoseSimPercentile(FinalX,$B69),NA())</f>
        <v>26</v>
      </c>
    </row>
    <row r="70" spans="2:7" hidden="1" outlineLevel="1" x14ac:dyDescent="0.45">
      <c r="B70" s="64">
        <v>0.09</v>
      </c>
      <c r="C70" s="64">
        <f t="shared" si="0"/>
        <v>0.91</v>
      </c>
      <c r="D70" s="65" cm="1">
        <f t="array" aca="1" ref="D70" ca="1">IF(ISNUMBER(_xll.VoseSimPercentile(TrueRate,$B70)),_xll.VoseSimPercentile(TrueRate,$B70),NA())</f>
        <v>0.24384590750990651</v>
      </c>
      <c r="E70" s="65" cm="1">
        <f t="array" aca="1" ref="E70" ca="1">IF(ISNUMBER(_xll.VoseSimPercentile(FinalX,$B70)),_xll.VoseSimPercentile(FinalX,$B70),NA())</f>
        <v>27</v>
      </c>
    </row>
    <row r="71" spans="2:7" hidden="1" outlineLevel="1" x14ac:dyDescent="0.45">
      <c r="B71" s="64">
        <v>0.11</v>
      </c>
      <c r="C71" s="64">
        <f t="shared" si="0"/>
        <v>0.89</v>
      </c>
      <c r="D71" s="65" cm="1">
        <f t="array" aca="1" ref="D71" ca="1">IF(ISNUMBER(_xll.VoseSimPercentile(TrueRate,$B71)),_xll.VoseSimPercentile(TrueRate,$B71),NA())</f>
        <v>0.24961086354742487</v>
      </c>
      <c r="E71" s="65" cm="1">
        <f t="array" aca="1" ref="E71" ca="1">IF(ISNUMBER(_xll.VoseSimPercentile(FinalX,$B71)),_xll.VoseSimPercentile(FinalX,$B71),NA())</f>
        <v>27</v>
      </c>
    </row>
    <row r="72" spans="2:7" hidden="1" outlineLevel="1" x14ac:dyDescent="0.45">
      <c r="B72" s="64">
        <v>0.13</v>
      </c>
      <c r="C72" s="64">
        <f t="shared" si="0"/>
        <v>0.87</v>
      </c>
      <c r="D72" s="65" cm="1">
        <f t="array" aca="1" ref="D72" ca="1">IF(ISNUMBER(_xll.VoseSimPercentile(TrueRate,$B72)),_xll.VoseSimPercentile(TrueRate,$B72),NA())</f>
        <v>0.25493398134298978</v>
      </c>
      <c r="E72" s="65" cm="1">
        <f t="array" aca="1" ref="E72" ca="1">IF(ISNUMBER(_xll.VoseSimPercentile(FinalX,$B72)),_xll.VoseSimPercentile(FinalX,$B72),NA())</f>
        <v>28</v>
      </c>
    </row>
    <row r="73" spans="2:7" hidden="1" outlineLevel="1" x14ac:dyDescent="0.45">
      <c r="B73" s="64">
        <v>0.15</v>
      </c>
      <c r="C73" s="64">
        <f t="shared" si="0"/>
        <v>0.85</v>
      </c>
      <c r="D73" s="65" cm="1">
        <f t="array" aca="1" ref="D73" ca="1">IF(ISNUMBER(_xll.VoseSimPercentile(TrueRate,$B73)),_xll.VoseSimPercentile(TrueRate,$B73),NA())</f>
        <v>0.25988095196225153</v>
      </c>
      <c r="E73" s="65" cm="1">
        <f t="array" aca="1" ref="E73" ca="1">IF(ISNUMBER(_xll.VoseSimPercentile(FinalX,$B73)),_xll.VoseSimPercentile(FinalX,$B73),NA())</f>
        <v>28</v>
      </c>
    </row>
    <row r="74" spans="2:7" hidden="1" outlineLevel="1" x14ac:dyDescent="0.45">
      <c r="B74" s="64">
        <v>0.17</v>
      </c>
      <c r="C74" s="64">
        <f t="shared" si="0"/>
        <v>0.83</v>
      </c>
      <c r="D74" s="65" cm="1">
        <f t="array" aca="1" ref="D74" ca="1">IF(ISNUMBER(_xll.VoseSimPercentile(TrueRate,$B74)),_xll.VoseSimPercentile(TrueRate,$B74),NA())</f>
        <v>0.26505070706036826</v>
      </c>
      <c r="E74" s="65" cm="1">
        <f t="array" aca="1" ref="E74" ca="1">IF(ISNUMBER(_xll.VoseSimPercentile(FinalX,$B74)),_xll.VoseSimPercentile(FinalX,$B74),NA())</f>
        <v>28</v>
      </c>
    </row>
    <row r="75" spans="2:7" hidden="1" outlineLevel="1" x14ac:dyDescent="0.45">
      <c r="B75" s="64">
        <v>0.19</v>
      </c>
      <c r="C75" s="64">
        <f t="shared" si="0"/>
        <v>0.81</v>
      </c>
      <c r="D75" s="65" cm="1">
        <f t="array" aca="1" ref="D75" ca="1">IF(ISNUMBER(_xll.VoseSimPercentile(TrueRate,$B75)),_xll.VoseSimPercentile(TrueRate,$B75),NA())</f>
        <v>0.26917051546780857</v>
      </c>
      <c r="E75" s="65" cm="1">
        <f t="array" aca="1" ref="E75" ca="1">IF(ISNUMBER(_xll.VoseSimPercentile(FinalX,$B75)),_xll.VoseSimPercentile(FinalX,$B75),NA())</f>
        <v>29</v>
      </c>
    </row>
    <row r="76" spans="2:7" hidden="1" outlineLevel="1" x14ac:dyDescent="0.45">
      <c r="B76" s="64">
        <v>0.21</v>
      </c>
      <c r="C76" s="64">
        <f t="shared" si="0"/>
        <v>0.79</v>
      </c>
      <c r="D76" s="65" cm="1">
        <f t="array" aca="1" ref="D76" ca="1">IF(ISNUMBER(_xll.VoseSimPercentile(TrueRate,$B76)),_xll.VoseSimPercentile(TrueRate,$B76),NA())</f>
        <v>0.27299524228057687</v>
      </c>
      <c r="E76" s="65" cm="1">
        <f t="array" aca="1" ref="E76" ca="1">IF(ISNUMBER(_xll.VoseSimPercentile(FinalX,$B76)),_xll.VoseSimPercentile(FinalX,$B76),NA())</f>
        <v>29</v>
      </c>
    </row>
    <row r="77" spans="2:7" hidden="1" outlineLevel="1" x14ac:dyDescent="0.45">
      <c r="B77" s="64">
        <v>0.23</v>
      </c>
      <c r="C77" s="64">
        <f t="shared" si="0"/>
        <v>0.77</v>
      </c>
      <c r="D77" s="65" cm="1">
        <f t="array" aca="1" ref="D77" ca="1">IF(ISNUMBER(_xll.VoseSimPercentile(TrueRate,$B77)),_xll.VoseSimPercentile(TrueRate,$B77),NA())</f>
        <v>0.27661508784153033</v>
      </c>
      <c r="E77" s="65" cm="1">
        <f t="array" aca="1" ref="E77" ca="1">IF(ISNUMBER(_xll.VoseSimPercentile(FinalX,$B77)),_xll.VoseSimPercentile(FinalX,$B77),NA())</f>
        <v>29</v>
      </c>
    </row>
    <row r="78" spans="2:7" hidden="1" outlineLevel="1" x14ac:dyDescent="0.45">
      <c r="B78" s="64">
        <v>0.25</v>
      </c>
      <c r="C78" s="64">
        <f t="shared" si="0"/>
        <v>0.75</v>
      </c>
      <c r="D78" s="65" cm="1">
        <f t="array" aca="1" ref="D78" ca="1">IF(ISNUMBER(_xll.VoseSimPercentile(TrueRate,$B78)),_xll.VoseSimPercentile(TrueRate,$B78),NA())</f>
        <v>0.28022223295402698</v>
      </c>
      <c r="E78" s="65" cm="1">
        <f t="array" aca="1" ref="E78" ca="1">IF(ISNUMBER(_xll.VoseSimPercentile(FinalX,$B78)),_xll.VoseSimPercentile(FinalX,$B78),NA())</f>
        <v>30</v>
      </c>
    </row>
    <row r="79" spans="2:7" hidden="1" outlineLevel="1" x14ac:dyDescent="0.45">
      <c r="B79" s="64">
        <v>0.27</v>
      </c>
      <c r="C79" s="64">
        <f t="shared" si="0"/>
        <v>0.73</v>
      </c>
      <c r="D79" s="65" cm="1">
        <f t="array" aca="1" ref="D79" ca="1">IF(ISNUMBER(_xll.VoseSimPercentile(TrueRate,$B79)),_xll.VoseSimPercentile(TrueRate,$B79),NA())</f>
        <v>0.2837082475720713</v>
      </c>
      <c r="E79" s="65" cm="1">
        <f t="array" aca="1" ref="E79" ca="1">IF(ISNUMBER(_xll.VoseSimPercentile(FinalX,$B79)),_xll.VoseSimPercentile(FinalX,$B79),NA())</f>
        <v>30</v>
      </c>
    </row>
    <row r="80" spans="2:7" hidden="1" outlineLevel="1" x14ac:dyDescent="0.45">
      <c r="B80" s="64">
        <v>0.28999999999999998</v>
      </c>
      <c r="C80" s="64">
        <f t="shared" si="0"/>
        <v>0.71</v>
      </c>
      <c r="D80" s="65" cm="1">
        <f t="array" aca="1" ref="D80" ca="1">IF(ISNUMBER(_xll.VoseSimPercentile(TrueRate,$B80)),_xll.VoseSimPercentile(TrueRate,$B80),NA())</f>
        <v>0.28686760130435229</v>
      </c>
      <c r="E80" s="65" cm="1">
        <f t="array" aca="1" ref="E80" ca="1">IF(ISNUMBER(_xll.VoseSimPercentile(FinalX,$B80)),_xll.VoseSimPercentile(FinalX,$B80),NA())</f>
        <v>30</v>
      </c>
    </row>
    <row r="81" spans="2:5" hidden="1" outlineLevel="1" x14ac:dyDescent="0.45">
      <c r="B81" s="64">
        <v>0.31</v>
      </c>
      <c r="C81" s="64">
        <f t="shared" si="0"/>
        <v>0.69</v>
      </c>
      <c r="D81" s="65" cm="1">
        <f t="array" aca="1" ref="D81" ca="1">IF(ISNUMBER(_xll.VoseSimPercentile(TrueRate,$B81)),_xll.VoseSimPercentile(TrueRate,$B81),NA())</f>
        <v>0.29028245597387353</v>
      </c>
      <c r="E81" s="65" cm="1">
        <f t="array" aca="1" ref="E81" ca="1">IF(ISNUMBER(_xll.VoseSimPercentile(FinalX,$B81)),_xll.VoseSimPercentile(FinalX,$B81),NA())</f>
        <v>31</v>
      </c>
    </row>
    <row r="82" spans="2:5" hidden="1" outlineLevel="1" x14ac:dyDescent="0.45">
      <c r="B82" s="64">
        <v>0.33</v>
      </c>
      <c r="C82" s="64">
        <f t="shared" si="0"/>
        <v>0.66999999999999993</v>
      </c>
      <c r="D82" s="65" cm="1">
        <f t="array" aca="1" ref="D82" ca="1">IF(ISNUMBER(_xll.VoseSimPercentile(TrueRate,$B82)),_xll.VoseSimPercentile(TrueRate,$B82),NA())</f>
        <v>0.29347872487408594</v>
      </c>
      <c r="E82" s="65" cm="1">
        <f t="array" aca="1" ref="E82" ca="1">IF(ISNUMBER(_xll.VoseSimPercentile(FinalX,$B82)),_xll.VoseSimPercentile(FinalX,$B82),NA())</f>
        <v>31</v>
      </c>
    </row>
    <row r="83" spans="2:5" hidden="1" outlineLevel="1" x14ac:dyDescent="0.45">
      <c r="B83" s="64">
        <v>0.35</v>
      </c>
      <c r="C83" s="64">
        <f t="shared" si="0"/>
        <v>0.65</v>
      </c>
      <c r="D83" s="65" cm="1">
        <f t="array" aca="1" ref="D83" ca="1">IF(ISNUMBER(_xll.VoseSimPercentile(TrueRate,$B83)),_xll.VoseSimPercentile(TrueRate,$B83),NA())</f>
        <v>0.29672213923172347</v>
      </c>
      <c r="E83" s="65" cm="1">
        <f t="array" aca="1" ref="E83" ca="1">IF(ISNUMBER(_xll.VoseSimPercentile(FinalX,$B83)),_xll.VoseSimPercentile(FinalX,$B83),NA())</f>
        <v>31</v>
      </c>
    </row>
    <row r="84" spans="2:5" hidden="1" outlineLevel="1" x14ac:dyDescent="0.45">
      <c r="B84" s="64">
        <v>0.37</v>
      </c>
      <c r="C84" s="64">
        <f t="shared" si="0"/>
        <v>0.63</v>
      </c>
      <c r="D84" s="65" cm="1">
        <f t="array" aca="1" ref="D84" ca="1">IF(ISNUMBER(_xll.VoseSimPercentile(TrueRate,$B84)),_xll.VoseSimPercentile(TrueRate,$B84),NA())</f>
        <v>0.29981562004551093</v>
      </c>
      <c r="E84" s="65" cm="1">
        <f t="array" aca="1" ref="E84" ca="1">IF(ISNUMBER(_xll.VoseSimPercentile(FinalX,$B84)),_xll.VoseSimPercentile(FinalX,$B84),NA())</f>
        <v>32</v>
      </c>
    </row>
    <row r="85" spans="2:5" hidden="1" outlineLevel="1" x14ac:dyDescent="0.45">
      <c r="B85" s="64">
        <v>0.39</v>
      </c>
      <c r="C85" s="64">
        <f t="shared" si="0"/>
        <v>0.61</v>
      </c>
      <c r="D85" s="65" cm="1">
        <f t="array" aca="1" ref="D85" ca="1">IF(ISNUMBER(_xll.VoseSimPercentile(TrueRate,$B85)),_xll.VoseSimPercentile(TrueRate,$B85),NA())</f>
        <v>0.30264274322150747</v>
      </c>
      <c r="E85" s="65" cm="1">
        <f t="array" aca="1" ref="E85" ca="1">IF(ISNUMBER(_xll.VoseSimPercentile(FinalX,$B85)),_xll.VoseSimPercentile(FinalX,$B85),NA())</f>
        <v>32</v>
      </c>
    </row>
    <row r="86" spans="2:5" hidden="1" outlineLevel="1" x14ac:dyDescent="0.45">
      <c r="B86" s="64">
        <v>0.41</v>
      </c>
      <c r="C86" s="64">
        <f t="shared" si="0"/>
        <v>0.59000000000000008</v>
      </c>
      <c r="D86" s="65" cm="1">
        <f t="array" aca="1" ref="D86" ca="1">IF(ISNUMBER(_xll.VoseSimPercentile(TrueRate,$B86)),_xll.VoseSimPercentile(TrueRate,$B86),NA())</f>
        <v>0.30524708890538665</v>
      </c>
      <c r="E86" s="65" cm="1">
        <f t="array" aca="1" ref="E86" ca="1">IF(ISNUMBER(_xll.VoseSimPercentile(FinalX,$B86)),_xll.VoseSimPercentile(FinalX,$B86),NA())</f>
        <v>32</v>
      </c>
    </row>
    <row r="87" spans="2:5" hidden="1" outlineLevel="1" x14ac:dyDescent="0.45">
      <c r="B87" s="64">
        <v>0.43</v>
      </c>
      <c r="C87" s="64">
        <f t="shared" si="0"/>
        <v>0.57000000000000006</v>
      </c>
      <c r="D87" s="65" cm="1">
        <f t="array" aca="1" ref="D87" ca="1">IF(ISNUMBER(_xll.VoseSimPercentile(TrueRate,$B87)),_xll.VoseSimPercentile(TrueRate,$B87),NA())</f>
        <v>0.30842378249856023</v>
      </c>
      <c r="E87" s="65" cm="1">
        <f t="array" aca="1" ref="E87" ca="1">IF(ISNUMBER(_xll.VoseSimPercentile(FinalX,$B87)),_xll.VoseSimPercentile(FinalX,$B87),NA())</f>
        <v>32</v>
      </c>
    </row>
    <row r="88" spans="2:5" hidden="1" outlineLevel="1" x14ac:dyDescent="0.45">
      <c r="B88" s="64">
        <v>0.45</v>
      </c>
      <c r="C88" s="64">
        <f t="shared" si="0"/>
        <v>0.55000000000000004</v>
      </c>
      <c r="D88" s="65" cm="1">
        <f t="array" aca="1" ref="D88" ca="1">IF(ISNUMBER(_xll.VoseSimPercentile(TrueRate,$B88)),_xll.VoseSimPercentile(TrueRate,$B88),NA())</f>
        <v>0.3114283444236865</v>
      </c>
      <c r="E88" s="65" cm="1">
        <f t="array" aca="1" ref="E88" ca="1">IF(ISNUMBER(_xll.VoseSimPercentile(FinalX,$B88)),_xll.VoseSimPercentile(FinalX,$B88),NA())</f>
        <v>33</v>
      </c>
    </row>
    <row r="89" spans="2:5" hidden="1" outlineLevel="1" x14ac:dyDescent="0.45">
      <c r="B89" s="64">
        <v>0.47</v>
      </c>
      <c r="C89" s="64">
        <f t="shared" si="0"/>
        <v>0.53</v>
      </c>
      <c r="D89" s="65" cm="1">
        <f t="array" aca="1" ref="D89" ca="1">IF(ISNUMBER(_xll.VoseSimPercentile(TrueRate,$B89)),_xll.VoseSimPercentile(TrueRate,$B89),NA())</f>
        <v>0.31425393558354187</v>
      </c>
      <c r="E89" s="65" cm="1">
        <f t="array" aca="1" ref="E89" ca="1">IF(ISNUMBER(_xll.VoseSimPercentile(FinalX,$B89)),_xll.VoseSimPercentile(FinalX,$B89),NA())</f>
        <v>33</v>
      </c>
    </row>
    <row r="90" spans="2:5" hidden="1" outlineLevel="1" x14ac:dyDescent="0.45">
      <c r="B90" s="64">
        <v>0.49</v>
      </c>
      <c r="C90" s="64">
        <f t="shared" si="0"/>
        <v>0.51</v>
      </c>
      <c r="D90" s="65" cm="1">
        <f t="array" aca="1" ref="D90" ca="1">IF(ISNUMBER(_xll.VoseSimPercentile(TrueRate,$B90)),_xll.VoseSimPercentile(TrueRate,$B90),NA())</f>
        <v>0.3173556298725615</v>
      </c>
      <c r="E90" s="65" cm="1">
        <f t="array" aca="1" ref="E90" ca="1">IF(ISNUMBER(_xll.VoseSimPercentile(FinalX,$B90)),_xll.VoseSimPercentile(FinalX,$B90),NA())</f>
        <v>33</v>
      </c>
    </row>
    <row r="91" spans="2:5" hidden="1" outlineLevel="1" x14ac:dyDescent="0.45">
      <c r="B91" s="64">
        <v>0.51</v>
      </c>
      <c r="C91" s="64">
        <f t="shared" si="0"/>
        <v>0.49</v>
      </c>
      <c r="D91" s="65" cm="1">
        <f t="array" aca="1" ref="D91" ca="1">IF(ISNUMBER(_xll.VoseSimPercentile(TrueRate,$B91)),_xll.VoseSimPercentile(TrueRate,$B91),NA())</f>
        <v>0.32052558535364645</v>
      </c>
      <c r="E91" s="65" cm="1">
        <f t="array" aca="1" ref="E91" ca="1">IF(ISNUMBER(_xll.VoseSimPercentile(FinalX,$B91)),_xll.VoseSimPercentile(FinalX,$B91),NA())</f>
        <v>33</v>
      </c>
    </row>
    <row r="92" spans="2:5" hidden="1" outlineLevel="1" x14ac:dyDescent="0.45">
      <c r="B92" s="64">
        <v>0.53</v>
      </c>
      <c r="C92" s="64">
        <f t="shared" si="0"/>
        <v>0.47</v>
      </c>
      <c r="D92" s="65" cm="1">
        <f t="array" aca="1" ref="D92" ca="1">IF(ISNUMBER(_xll.VoseSimPercentile(TrueRate,$B92)),_xll.VoseSimPercentile(TrueRate,$B92),NA())</f>
        <v>0.32380145923963466</v>
      </c>
      <c r="E92" s="65" cm="1">
        <f t="array" aca="1" ref="E92" ca="1">IF(ISNUMBER(_xll.VoseSimPercentile(FinalX,$B92)),_xll.VoseSimPercentile(FinalX,$B92),NA())</f>
        <v>34</v>
      </c>
    </row>
    <row r="93" spans="2:5" hidden="1" outlineLevel="1" x14ac:dyDescent="0.45">
      <c r="B93" s="64">
        <v>0.55000000000000004</v>
      </c>
      <c r="C93" s="64">
        <f t="shared" si="0"/>
        <v>0.44999999999999996</v>
      </c>
      <c r="D93" s="65" cm="1">
        <f t="array" aca="1" ref="D93" ca="1">IF(ISNUMBER(_xll.VoseSimPercentile(TrueRate,$B93)),_xll.VoseSimPercentile(TrueRate,$B93),NA())</f>
        <v>0.32668571572598104</v>
      </c>
      <c r="E93" s="65" cm="1">
        <f t="array" aca="1" ref="E93" ca="1">IF(ISNUMBER(_xll.VoseSimPercentile(FinalX,$B93)),_xll.VoseSimPercentile(FinalX,$B93),NA())</f>
        <v>34</v>
      </c>
    </row>
    <row r="94" spans="2:5" hidden="1" outlineLevel="1" x14ac:dyDescent="0.45">
      <c r="B94" s="64">
        <v>0.56999999999999995</v>
      </c>
      <c r="C94" s="64">
        <f t="shared" si="0"/>
        <v>0.43000000000000005</v>
      </c>
      <c r="D94" s="65" cm="1">
        <f t="array" aca="1" ref="D94" ca="1">IF(ISNUMBER(_xll.VoseSimPercentile(TrueRate,$B94)),_xll.VoseSimPercentile(TrueRate,$B94),NA())</f>
        <v>0.33004508310929037</v>
      </c>
      <c r="E94" s="65" cm="1">
        <f t="array" aca="1" ref="E94" ca="1">IF(ISNUMBER(_xll.VoseSimPercentile(FinalX,$B94)),_xll.VoseSimPercentile(FinalX,$B94),NA())</f>
        <v>34</v>
      </c>
    </row>
    <row r="95" spans="2:5" hidden="1" outlineLevel="1" x14ac:dyDescent="0.45">
      <c r="B95" s="64">
        <v>0.59</v>
      </c>
      <c r="C95" s="64">
        <f t="shared" si="0"/>
        <v>0.41000000000000003</v>
      </c>
      <c r="D95" s="65" cm="1">
        <f t="array" aca="1" ref="D95" ca="1">IF(ISNUMBER(_xll.VoseSimPercentile(TrueRate,$B95)),_xll.VoseSimPercentile(TrueRate,$B95),NA())</f>
        <v>0.33293855707055853</v>
      </c>
      <c r="E95" s="65" cm="1">
        <f t="array" aca="1" ref="E95" ca="1">IF(ISNUMBER(_xll.VoseSimPercentile(FinalX,$B95)),_xll.VoseSimPercentile(FinalX,$B95),NA())</f>
        <v>34</v>
      </c>
    </row>
    <row r="96" spans="2:5" hidden="1" outlineLevel="1" x14ac:dyDescent="0.45">
      <c r="B96" s="64">
        <v>0.61</v>
      </c>
      <c r="C96" s="64">
        <f t="shared" si="0"/>
        <v>0.39</v>
      </c>
      <c r="D96" s="65" cm="1">
        <f t="array" aca="1" ref="D96" ca="1">IF(ISNUMBER(_xll.VoseSimPercentile(TrueRate,$B96)),_xll.VoseSimPercentile(TrueRate,$B96),NA())</f>
        <v>0.3362553132021403</v>
      </c>
      <c r="E96" s="65" cm="1">
        <f t="array" aca="1" ref="E96" ca="1">IF(ISNUMBER(_xll.VoseSimPercentile(FinalX,$B96)),_xll.VoseSimPercentile(FinalX,$B96),NA())</f>
        <v>35</v>
      </c>
    </row>
    <row r="97" spans="2:5" hidden="1" outlineLevel="1" x14ac:dyDescent="0.45">
      <c r="B97" s="64">
        <v>0.63</v>
      </c>
      <c r="C97" s="64">
        <f t="shared" si="0"/>
        <v>0.37</v>
      </c>
      <c r="D97" s="65" cm="1">
        <f t="array" aca="1" ref="D97" ca="1">IF(ISNUMBER(_xll.VoseSimPercentile(TrueRate,$B97)),_xll.VoseSimPercentile(TrueRate,$B97),NA())</f>
        <v>0.34002869187523099</v>
      </c>
      <c r="E97" s="65" cm="1">
        <f t="array" aca="1" ref="E97" ca="1">IF(ISNUMBER(_xll.VoseSimPercentile(FinalX,$B97)),_xll.VoseSimPercentile(FinalX,$B97),NA())</f>
        <v>35</v>
      </c>
    </row>
    <row r="98" spans="2:5" hidden="1" outlineLevel="1" x14ac:dyDescent="0.45">
      <c r="B98" s="64">
        <v>0.65</v>
      </c>
      <c r="C98" s="64">
        <f t="shared" ref="C98:C129" si="1">1-B98</f>
        <v>0.35</v>
      </c>
      <c r="D98" s="65" cm="1">
        <f t="array" aca="1" ref="D98" ca="1">IF(ISNUMBER(_xll.VoseSimPercentile(TrueRate,$B98)),_xll.VoseSimPercentile(TrueRate,$B98),NA())</f>
        <v>0.34317947435810237</v>
      </c>
      <c r="E98" s="65" cm="1">
        <f t="array" aca="1" ref="E98" ca="1">IF(ISNUMBER(_xll.VoseSimPercentile(FinalX,$B98)),_xll.VoseSimPercentile(FinalX,$B98),NA())</f>
        <v>35</v>
      </c>
    </row>
    <row r="99" spans="2:5" hidden="1" outlineLevel="1" x14ac:dyDescent="0.45">
      <c r="B99" s="64">
        <v>0.67</v>
      </c>
      <c r="C99" s="64">
        <f t="shared" si="1"/>
        <v>0.32999999999999996</v>
      </c>
      <c r="D99" s="65" cm="1">
        <f t="array" aca="1" ref="D99" ca="1">IF(ISNUMBER(_xll.VoseSimPercentile(TrueRate,$B99)),_xll.VoseSimPercentile(TrueRate,$B99),NA())</f>
        <v>0.3463094553614664</v>
      </c>
      <c r="E99" s="65" cm="1">
        <f t="array" aca="1" ref="E99" ca="1">IF(ISNUMBER(_xll.VoseSimPercentile(FinalX,$B99)),_xll.VoseSimPercentile(FinalX,$B99),NA())</f>
        <v>35</v>
      </c>
    </row>
    <row r="100" spans="2:5" hidden="1" outlineLevel="1" x14ac:dyDescent="0.45">
      <c r="B100" s="64">
        <v>0.69</v>
      </c>
      <c r="C100" s="64">
        <f t="shared" si="1"/>
        <v>0.31000000000000005</v>
      </c>
      <c r="D100" s="65" cm="1">
        <f t="array" aca="1" ref="D100" ca="1">IF(ISNUMBER(_xll.VoseSimPercentile(TrueRate,$B100)),_xll.VoseSimPercentile(TrueRate,$B100),NA())</f>
        <v>0.35005558639843315</v>
      </c>
      <c r="E100" s="65" cm="1">
        <f t="array" aca="1" ref="E100" ca="1">IF(ISNUMBER(_xll.VoseSimPercentile(FinalX,$B100)),_xll.VoseSimPercentile(FinalX,$B100),NA())</f>
        <v>36</v>
      </c>
    </row>
    <row r="101" spans="2:5" hidden="1" outlineLevel="1" x14ac:dyDescent="0.45">
      <c r="B101" s="64">
        <v>0.71</v>
      </c>
      <c r="C101" s="64">
        <f t="shared" si="1"/>
        <v>0.29000000000000004</v>
      </c>
      <c r="D101" s="65" cm="1">
        <f t="array" aca="1" ref="D101" ca="1">IF(ISNUMBER(_xll.VoseSimPercentile(TrueRate,$B101)),_xll.VoseSimPercentile(TrueRate,$B101),NA())</f>
        <v>0.3535104364789492</v>
      </c>
      <c r="E101" s="65" cm="1">
        <f t="array" aca="1" ref="E101" ca="1">IF(ISNUMBER(_xll.VoseSimPercentile(FinalX,$B101)),_xll.VoseSimPercentile(FinalX,$B101),NA())</f>
        <v>36</v>
      </c>
    </row>
    <row r="102" spans="2:5" hidden="1" outlineLevel="1" x14ac:dyDescent="0.45">
      <c r="B102" s="64">
        <v>0.73</v>
      </c>
      <c r="C102" s="64">
        <f t="shared" si="1"/>
        <v>0.27</v>
      </c>
      <c r="D102" s="65" cm="1">
        <f t="array" aca="1" ref="D102" ca="1">IF(ISNUMBER(_xll.VoseSimPercentile(TrueRate,$B102)),_xll.VoseSimPercentile(TrueRate,$B102),NA())</f>
        <v>0.35741827326670672</v>
      </c>
      <c r="E102" s="65" cm="1">
        <f t="array" aca="1" ref="E102" ca="1">IF(ISNUMBER(_xll.VoseSimPercentile(FinalX,$B102)),_xll.VoseSimPercentile(FinalX,$B102),NA())</f>
        <v>36</v>
      </c>
    </row>
    <row r="103" spans="2:5" hidden="1" outlineLevel="1" x14ac:dyDescent="0.45">
      <c r="B103" s="64">
        <v>0.75</v>
      </c>
      <c r="C103" s="64">
        <f t="shared" si="1"/>
        <v>0.25</v>
      </c>
      <c r="D103" s="65" cm="1">
        <f t="array" aca="1" ref="D103" ca="1">IF(ISNUMBER(_xll.VoseSimPercentile(TrueRate,$B103)),_xll.VoseSimPercentile(TrueRate,$B103),NA())</f>
        <v>0.36102966252550939</v>
      </c>
      <c r="E103" s="65" cm="1">
        <f t="array" aca="1" ref="E103" ca="1">IF(ISNUMBER(_xll.VoseSimPercentile(FinalX,$B103)),_xll.VoseSimPercentile(FinalX,$B103),NA())</f>
        <v>37</v>
      </c>
    </row>
    <row r="104" spans="2:5" hidden="1" outlineLevel="1" x14ac:dyDescent="0.45">
      <c r="B104" s="64">
        <v>0.77</v>
      </c>
      <c r="C104" s="64">
        <f t="shared" si="1"/>
        <v>0.22999999999999998</v>
      </c>
      <c r="D104" s="65" cm="1">
        <f t="array" aca="1" ref="D104" ca="1">IF(ISNUMBER(_xll.VoseSimPercentile(TrueRate,$B104)),_xll.VoseSimPercentile(TrueRate,$B104),NA())</f>
        <v>0.36503058108491515</v>
      </c>
      <c r="E104" s="65" cm="1">
        <f t="array" aca="1" ref="E104" ca="1">IF(ISNUMBER(_xll.VoseSimPercentile(FinalX,$B104)),_xll.VoseSimPercentile(FinalX,$B104),NA())</f>
        <v>37</v>
      </c>
    </row>
    <row r="105" spans="2:5" hidden="1" outlineLevel="1" x14ac:dyDescent="0.45">
      <c r="B105" s="64">
        <v>0.79</v>
      </c>
      <c r="C105" s="64">
        <f t="shared" si="1"/>
        <v>0.20999999999999996</v>
      </c>
      <c r="D105" s="65" cm="1">
        <f t="array" aca="1" ref="D105" ca="1">IF(ISNUMBER(_xll.VoseSimPercentile(TrueRate,$B105)),_xll.VoseSimPercentile(TrueRate,$B105),NA())</f>
        <v>0.36919055514104215</v>
      </c>
      <c r="E105" s="65" cm="1">
        <f t="array" aca="1" ref="E105" ca="1">IF(ISNUMBER(_xll.VoseSimPercentile(FinalX,$B105)),_xll.VoseSimPercentile(FinalX,$B105),NA())</f>
        <v>37</v>
      </c>
    </row>
    <row r="106" spans="2:5" hidden="1" outlineLevel="1" x14ac:dyDescent="0.45">
      <c r="B106" s="64">
        <v>0.81</v>
      </c>
      <c r="C106" s="64">
        <f t="shared" si="1"/>
        <v>0.18999999999999995</v>
      </c>
      <c r="D106" s="65" cm="1">
        <f t="array" aca="1" ref="D106" ca="1">IF(ISNUMBER(_xll.VoseSimPercentile(TrueRate,$B106)),_xll.VoseSimPercentile(TrueRate,$B106),NA())</f>
        <v>0.37407427965251228</v>
      </c>
      <c r="E106" s="65" cm="1">
        <f t="array" aca="1" ref="E106" ca="1">IF(ISNUMBER(_xll.VoseSimPercentile(FinalX,$B106)),_xll.VoseSimPercentile(FinalX,$B106),NA())</f>
        <v>38</v>
      </c>
    </row>
    <row r="107" spans="2:5" hidden="1" outlineLevel="1" x14ac:dyDescent="0.45">
      <c r="B107" s="64">
        <v>0.83</v>
      </c>
      <c r="C107" s="64">
        <f t="shared" si="1"/>
        <v>0.17000000000000004</v>
      </c>
      <c r="D107" s="65" cm="1">
        <f t="array" aca="1" ref="D107" ca="1">IF(ISNUMBER(_xll.VoseSimPercentile(TrueRate,$B107)),_xll.VoseSimPercentile(TrueRate,$B107),NA())</f>
        <v>0.37895977018004934</v>
      </c>
      <c r="E107" s="65" cm="1">
        <f t="array" aca="1" ref="E107" ca="1">IF(ISNUMBER(_xll.VoseSimPercentile(FinalX,$B107)),_xll.VoseSimPercentile(FinalX,$B107),NA())</f>
        <v>38</v>
      </c>
    </row>
    <row r="108" spans="2:5" hidden="1" outlineLevel="1" x14ac:dyDescent="0.45">
      <c r="B108" s="64">
        <v>0.85</v>
      </c>
      <c r="C108" s="64">
        <f t="shared" si="1"/>
        <v>0.15000000000000002</v>
      </c>
      <c r="D108" s="65" cm="1">
        <f t="array" aca="1" ref="D108" ca="1">IF(ISNUMBER(_xll.VoseSimPercentile(TrueRate,$B108)),_xll.VoseSimPercentile(TrueRate,$B108),NA())</f>
        <v>0.38421610515470506</v>
      </c>
      <c r="E108" s="65" cm="1">
        <f t="array" aca="1" ref="E108" ca="1">IF(ISNUMBER(_xll.VoseSimPercentile(FinalX,$B108)),_xll.VoseSimPercentile(FinalX,$B108),NA())</f>
        <v>39</v>
      </c>
    </row>
    <row r="109" spans="2:5" hidden="1" outlineLevel="1" x14ac:dyDescent="0.45">
      <c r="B109" s="64">
        <v>0.87</v>
      </c>
      <c r="C109" s="64">
        <f t="shared" si="1"/>
        <v>0.13</v>
      </c>
      <c r="D109" s="65" cm="1">
        <f t="array" aca="1" ref="D109" ca="1">IF(ISNUMBER(_xll.VoseSimPercentile(TrueRate,$B109)),_xll.VoseSimPercentile(TrueRate,$B109),NA())</f>
        <v>0.3900556513453497</v>
      </c>
      <c r="E109" s="65" cm="1">
        <f t="array" aca="1" ref="E109" ca="1">IF(ISNUMBER(_xll.VoseSimPercentile(FinalX,$B109)),_xll.VoseSimPercentile(FinalX,$B109),NA())</f>
        <v>39</v>
      </c>
    </row>
    <row r="110" spans="2:5" hidden="1" outlineLevel="1" x14ac:dyDescent="0.45">
      <c r="B110" s="64">
        <v>0.89</v>
      </c>
      <c r="C110" s="64">
        <f t="shared" si="1"/>
        <v>0.10999999999999999</v>
      </c>
      <c r="D110" s="65" cm="1">
        <f t="array" aca="1" ref="D110" ca="1">IF(ISNUMBER(_xll.VoseSimPercentile(TrueRate,$B110)),_xll.VoseSimPercentile(TrueRate,$B110),NA())</f>
        <v>0.39603304219837165</v>
      </c>
      <c r="E110" s="65" cm="1">
        <f t="array" aca="1" ref="E110" ca="1">IF(ISNUMBER(_xll.VoseSimPercentile(FinalX,$B110)),_xll.VoseSimPercentile(FinalX,$B110),NA())</f>
        <v>40</v>
      </c>
    </row>
    <row r="111" spans="2:5" hidden="1" outlineLevel="1" x14ac:dyDescent="0.45">
      <c r="B111" s="64">
        <v>0.91</v>
      </c>
      <c r="C111" s="64">
        <f t="shared" si="1"/>
        <v>8.9999999999999969E-2</v>
      </c>
      <c r="D111" s="65" cm="1">
        <f t="array" aca="1" ref="D111" ca="1">IF(ISNUMBER(_xll.VoseSimPercentile(TrueRate,$B111)),_xll.VoseSimPercentile(TrueRate,$B111),NA())</f>
        <v>0.40377331922425941</v>
      </c>
      <c r="E111" s="65" cm="1">
        <f t="array" aca="1" ref="E111" ca="1">IF(ISNUMBER(_xll.VoseSimPercentile(FinalX,$B111)),_xll.VoseSimPercentile(FinalX,$B111),NA())</f>
        <v>40</v>
      </c>
    </row>
    <row r="112" spans="2:5" hidden="1" outlineLevel="1" x14ac:dyDescent="0.45">
      <c r="B112" s="64">
        <v>0.93</v>
      </c>
      <c r="C112" s="64">
        <f t="shared" si="1"/>
        <v>6.9999999999999951E-2</v>
      </c>
      <c r="D112" s="65" cm="1">
        <f t="array" aca="1" ref="D112" ca="1">IF(ISNUMBER(_xll.VoseSimPercentile(TrueRate,$B112)),_xll.VoseSimPercentile(TrueRate,$B112),NA())</f>
        <v>0.41249643553108972</v>
      </c>
      <c r="E112" s="65" cm="1">
        <f t="array" aca="1" ref="E112" ca="1">IF(ISNUMBER(_xll.VoseSimPercentile(FinalX,$B112)),_xll.VoseSimPercentile(FinalX,$B112),NA())</f>
        <v>41</v>
      </c>
    </row>
    <row r="113" spans="2:7" hidden="1" outlineLevel="1" x14ac:dyDescent="0.45">
      <c r="B113" s="64">
        <v>0.95</v>
      </c>
      <c r="C113" s="64">
        <f t="shared" si="1"/>
        <v>5.0000000000000044E-2</v>
      </c>
      <c r="D113" s="65" cm="1">
        <f t="array" aca="1" ref="D113" ca="1">IF(ISNUMBER(_xll.VoseSimPercentile(TrueRate,$B113)),_xll.VoseSimPercentile(TrueRate,$B113),NA())</f>
        <v>0.42315817649377951</v>
      </c>
      <c r="E113" s="65" cm="1">
        <f t="array" aca="1" ref="E113" ca="1">IF(ISNUMBER(_xll.VoseSimPercentile(FinalX,$B113)),_xll.VoseSimPercentile(FinalX,$B113),NA())</f>
        <v>42</v>
      </c>
    </row>
    <row r="114" spans="2:7" hidden="1" outlineLevel="1" x14ac:dyDescent="0.45">
      <c r="B114" s="64">
        <v>0.97</v>
      </c>
      <c r="C114" s="64">
        <f t="shared" si="1"/>
        <v>3.0000000000000027E-2</v>
      </c>
      <c r="D114" s="65" cm="1">
        <f t="array" aca="1" ref="D114" ca="1">IF(ISNUMBER(_xll.VoseSimPercentile(TrueRate,$B114)),_xll.VoseSimPercentile(TrueRate,$B114),NA())</f>
        <v>0.43785241864028834</v>
      </c>
      <c r="E114" s="65" cm="1">
        <f t="array" aca="1" ref="E114" ca="1">IF(ISNUMBER(_xll.VoseSimPercentile(FinalX,$B114)),_xll.VoseSimPercentile(FinalX,$B114),NA())</f>
        <v>43</v>
      </c>
    </row>
    <row r="115" spans="2:7" hidden="1" outlineLevel="1" x14ac:dyDescent="0.45">
      <c r="B115" s="64">
        <v>0.99</v>
      </c>
      <c r="C115" s="64">
        <f t="shared" si="1"/>
        <v>1.0000000000000009E-2</v>
      </c>
      <c r="D115" s="65" cm="1">
        <f t="array" aca="1" ref="D115" ca="1">IF(ISNUMBER(_xll.VoseSimPercentile(TrueRate,$B115)),_xll.VoseSimPercentile(TrueRate,$B115),NA())</f>
        <v>0.46583729454397826</v>
      </c>
      <c r="E115" s="65" cm="1">
        <f t="array" aca="1" ref="E115" ca="1">IF(ISNUMBER(_xll.VoseSimPercentile(FinalX,$B115)),_xll.VoseSimPercentile(FinalX,$B115),NA())</f>
        <v>45</v>
      </c>
    </row>
    <row r="116" spans="2:7" hidden="1" outlineLevel="1" x14ac:dyDescent="0.45"/>
    <row r="117" spans="2:7" ht="18" hidden="1" customHeight="1" outlineLevel="1" x14ac:dyDescent="0.45">
      <c r="B117" s="23" t="s">
        <v>238</v>
      </c>
      <c r="C117" s="24" t="s">
        <v>136</v>
      </c>
      <c r="D117" s="5"/>
      <c r="E117" s="5"/>
      <c r="F117" s="5"/>
      <c r="G117" s="5"/>
    </row>
    <row r="118" spans="2:7" hidden="1" outlineLevel="1" x14ac:dyDescent="0.45">
      <c r="B118" s="66">
        <v>5.0000000000000001E-3</v>
      </c>
      <c r="C118" s="65" cm="1">
        <f t="array" aca="1" ref="C118" ca="1">IF(ISNUMBER(_xll.VoseSimPercentile(TrueRate,0.005)),_xll.VoseSimPercentile(TrueRate,0.005),NA())</f>
        <v>0.18242654330050712</v>
      </c>
    </row>
    <row r="119" spans="2:7" hidden="1" outlineLevel="1" x14ac:dyDescent="0.45">
      <c r="B119" s="66">
        <v>0.01</v>
      </c>
      <c r="C119" s="65" cm="1">
        <f t="array" aca="1" ref="C119" ca="1">IF(ISNUMBER(_xll.VoseSimPercentile(TrueRate,0.01)),_xll.VoseSimPercentile(TrueRate,0.01),NA())</f>
        <v>0.19401113718131779</v>
      </c>
    </row>
    <row r="120" spans="2:7" hidden="1" outlineLevel="1" x14ac:dyDescent="0.45">
      <c r="B120" s="66">
        <v>0.02</v>
      </c>
      <c r="C120" s="65" cm="1">
        <f t="array" aca="1" ref="C120" ca="1">IF(ISNUMBER(_xll.VoseSimPercentile(TrueRate,0.02)),_xll.VoseSimPercentile(TrueRate,0.02),NA())</f>
        <v>0.2071287482778667</v>
      </c>
    </row>
    <row r="121" spans="2:7" hidden="1" outlineLevel="1" x14ac:dyDescent="0.45">
      <c r="B121" s="66">
        <v>0.03</v>
      </c>
      <c r="C121" s="65" cm="1">
        <f t="array" aca="1" ref="C121" ca="1">IF(ISNUMBER(_xll.VoseSimPercentile(TrueRate,0.03)),_xll.VoseSimPercentile(TrueRate,0.03),NA())</f>
        <v>0.21584057499225792</v>
      </c>
    </row>
    <row r="122" spans="2:7" hidden="1" outlineLevel="1" x14ac:dyDescent="0.45">
      <c r="B122" s="66">
        <v>0.04</v>
      </c>
      <c r="C122" s="65" cm="1">
        <f t="array" aca="1" ref="C122" ca="1">IF(ISNUMBER(_xll.VoseSimPercentile(TrueRate,0.04)),_xll.VoseSimPercentile(TrueRate,0.04),NA())</f>
        <v>0.22189169402193867</v>
      </c>
    </row>
    <row r="123" spans="2:7" hidden="1" outlineLevel="1" x14ac:dyDescent="0.45">
      <c r="B123" s="66">
        <v>0.05</v>
      </c>
      <c r="C123" s="65" cm="1">
        <f t="array" aca="1" ref="C123" ca="1">IF(ISNUMBER(_xll.VoseSimPercentile(TrueRate,0.05)),_xll.VoseSimPercentile(TrueRate,0.05),NA())</f>
        <v>0.22737347915770306</v>
      </c>
    </row>
    <row r="124" spans="2:7" hidden="1" outlineLevel="1" x14ac:dyDescent="0.45">
      <c r="B124" s="66">
        <v>0.06</v>
      </c>
      <c r="C124" s="65" cm="1">
        <f t="array" aca="1" ref="C124" ca="1">IF(ISNUMBER(_xll.VoseSimPercentile(TrueRate,0.06)),_xll.VoseSimPercentile(TrueRate,0.06),NA())</f>
        <v>0.23198153319970319</v>
      </c>
    </row>
    <row r="125" spans="2:7" hidden="1" outlineLevel="1" x14ac:dyDescent="0.45">
      <c r="B125" s="66">
        <v>7.0000000000000007E-2</v>
      </c>
      <c r="C125" s="65" cm="1">
        <f t="array" aca="1" ref="C125" ca="1">IF(ISNUMBER(_xll.VoseSimPercentile(TrueRate,0.07)),_xll.VoseSimPercentile(TrueRate,0.07),NA())</f>
        <v>0.23628338076974187</v>
      </c>
    </row>
    <row r="126" spans="2:7" hidden="1" outlineLevel="1" x14ac:dyDescent="0.45">
      <c r="B126" s="66">
        <v>0.08</v>
      </c>
      <c r="C126" s="65" cm="1">
        <f t="array" aca="1" ref="C126" ca="1">IF(ISNUMBER(_xll.VoseSimPercentile(TrueRate,0.08)),_xll.VoseSimPercentile(TrueRate,0.08),NA())</f>
        <v>0.23991723783655455</v>
      </c>
    </row>
    <row r="127" spans="2:7" hidden="1" outlineLevel="1" x14ac:dyDescent="0.45">
      <c r="B127" s="66">
        <v>0.09</v>
      </c>
      <c r="C127" s="65" cm="1">
        <f t="array" aca="1" ref="C127" ca="1">IF(ISNUMBER(_xll.VoseSimPercentile(TrueRate,0.09)),_xll.VoseSimPercentile(TrueRate,0.09),NA())</f>
        <v>0.24384590750990651</v>
      </c>
    </row>
    <row r="128" spans="2:7" hidden="1" outlineLevel="1" x14ac:dyDescent="0.45">
      <c r="B128" s="66">
        <v>0.1</v>
      </c>
      <c r="C128" s="65" cm="1">
        <f t="array" aca="1" ref="C128" ca="1">IF(ISNUMBER(_xll.VoseSimPercentile(TrueRate,0.1)),_xll.VoseSimPercentile(TrueRate,0.1),NA())</f>
        <v>0.24667018637468799</v>
      </c>
    </row>
    <row r="129" spans="2:3" hidden="1" outlineLevel="1" x14ac:dyDescent="0.45">
      <c r="B129" s="66">
        <v>0.11</v>
      </c>
      <c r="C129" s="65" cm="1">
        <f t="array" aca="1" ref="C129" ca="1">IF(ISNUMBER(_xll.VoseSimPercentile(TrueRate,0.11)),_xll.VoseSimPercentile(TrueRate,0.11),NA())</f>
        <v>0.24961086354742487</v>
      </c>
    </row>
    <row r="130" spans="2:3" hidden="1" outlineLevel="1" x14ac:dyDescent="0.45">
      <c r="B130" s="66">
        <v>0.12</v>
      </c>
      <c r="C130" s="65" cm="1">
        <f t="array" aca="1" ref="C130" ca="1">IF(ISNUMBER(_xll.VoseSimPercentile(TrueRate,0.12)),_xll.VoseSimPercentile(TrueRate,0.12),NA())</f>
        <v>0.25212502353335126</v>
      </c>
    </row>
    <row r="131" spans="2:3" hidden="1" outlineLevel="1" x14ac:dyDescent="0.45">
      <c r="B131" s="66">
        <v>0.13</v>
      </c>
      <c r="C131" s="65" cm="1">
        <f t="array" aca="1" ref="C131" ca="1">IF(ISNUMBER(_xll.VoseSimPercentile(TrueRate,0.13)),_xll.VoseSimPercentile(TrueRate,0.13),NA())</f>
        <v>0.25493398134298978</v>
      </c>
    </row>
    <row r="132" spans="2:3" hidden="1" outlineLevel="1" x14ac:dyDescent="0.45">
      <c r="B132" s="66">
        <v>0.14000000000000001</v>
      </c>
      <c r="C132" s="65" cm="1">
        <f t="array" aca="1" ref="C132" ca="1">IF(ISNUMBER(_xll.VoseSimPercentile(TrueRate,0.14)),_xll.VoseSimPercentile(TrueRate,0.14),NA())</f>
        <v>0.2573130225586811</v>
      </c>
    </row>
    <row r="133" spans="2:3" hidden="1" outlineLevel="1" x14ac:dyDescent="0.45">
      <c r="B133" s="66">
        <v>0.15</v>
      </c>
      <c r="C133" s="65" cm="1">
        <f t="array" aca="1" ref="C133" ca="1">IF(ISNUMBER(_xll.VoseSimPercentile(TrueRate,0.15)),_xll.VoseSimPercentile(TrueRate,0.15),NA())</f>
        <v>0.25988095196225153</v>
      </c>
    </row>
    <row r="134" spans="2:3" hidden="1" outlineLevel="1" x14ac:dyDescent="0.45">
      <c r="B134" s="66">
        <v>0.16</v>
      </c>
      <c r="C134" s="65" cm="1">
        <f t="array" aca="1" ref="C134" ca="1">IF(ISNUMBER(_xll.VoseSimPercentile(TrueRate,0.16)),_xll.VoseSimPercentile(TrueRate,0.16),NA())</f>
        <v>0.26249542424971478</v>
      </c>
    </row>
    <row r="135" spans="2:3" hidden="1" outlineLevel="1" x14ac:dyDescent="0.45">
      <c r="B135" s="66">
        <v>0.17</v>
      </c>
      <c r="C135" s="65" cm="1">
        <f t="array" aca="1" ref="C135" ca="1">IF(ISNUMBER(_xll.VoseSimPercentile(TrueRate,0.17)),_xll.VoseSimPercentile(TrueRate,0.17),NA())</f>
        <v>0.26505070706036826</v>
      </c>
    </row>
    <row r="136" spans="2:3" hidden="1" outlineLevel="1" x14ac:dyDescent="0.45">
      <c r="B136" s="66">
        <v>0.18</v>
      </c>
      <c r="C136" s="65" cm="1">
        <f t="array" aca="1" ref="C136" ca="1">IF(ISNUMBER(_xll.VoseSimPercentile(TrueRate,0.18)),_xll.VoseSimPercentile(TrueRate,0.18),NA())</f>
        <v>0.26713135592067067</v>
      </c>
    </row>
    <row r="137" spans="2:3" hidden="1" outlineLevel="1" x14ac:dyDescent="0.45">
      <c r="B137" s="66">
        <v>0.19</v>
      </c>
      <c r="C137" s="65" cm="1">
        <f t="array" aca="1" ref="C137" ca="1">IF(ISNUMBER(_xll.VoseSimPercentile(TrueRate,0.19)),_xll.VoseSimPercentile(TrueRate,0.19),NA())</f>
        <v>0.26917051546780857</v>
      </c>
    </row>
    <row r="138" spans="2:3" hidden="1" outlineLevel="1" x14ac:dyDescent="0.45">
      <c r="B138" s="66">
        <v>0.2</v>
      </c>
      <c r="C138" s="65" cm="1">
        <f t="array" aca="1" ref="C138" ca="1">IF(ISNUMBER(_xll.VoseSimPercentile(TrueRate,0.2)),_xll.VoseSimPercentile(TrueRate,0.2),NA())</f>
        <v>0.27119613716186897</v>
      </c>
    </row>
    <row r="139" spans="2:3" hidden="1" outlineLevel="1" x14ac:dyDescent="0.45">
      <c r="B139" s="66">
        <v>0.21</v>
      </c>
      <c r="C139" s="65" cm="1">
        <f t="array" aca="1" ref="C139" ca="1">IF(ISNUMBER(_xll.VoseSimPercentile(TrueRate,0.21)),_xll.VoseSimPercentile(TrueRate,0.21),NA())</f>
        <v>0.27299524228057687</v>
      </c>
    </row>
    <row r="140" spans="2:3" hidden="1" outlineLevel="1" x14ac:dyDescent="0.45">
      <c r="B140" s="66">
        <v>0.22</v>
      </c>
      <c r="C140" s="65" cm="1">
        <f t="array" aca="1" ref="C140" ca="1">IF(ISNUMBER(_xll.VoseSimPercentile(TrueRate,0.22)),_xll.VoseSimPercentile(TrueRate,0.22),NA())</f>
        <v>0.27482312330813707</v>
      </c>
    </row>
    <row r="141" spans="2:3" hidden="1" outlineLevel="1" x14ac:dyDescent="0.45">
      <c r="B141" s="66">
        <v>0.23</v>
      </c>
      <c r="C141" s="65" cm="1">
        <f t="array" aca="1" ref="C141" ca="1">IF(ISNUMBER(_xll.VoseSimPercentile(TrueRate,0.23)),_xll.VoseSimPercentile(TrueRate,0.23),NA())</f>
        <v>0.27661508784153033</v>
      </c>
    </row>
    <row r="142" spans="2:3" hidden="1" outlineLevel="1" x14ac:dyDescent="0.45">
      <c r="B142" s="66">
        <v>0.24</v>
      </c>
      <c r="C142" s="65" cm="1">
        <f t="array" aca="1" ref="C142" ca="1">IF(ISNUMBER(_xll.VoseSimPercentile(TrueRate,0.24)),_xll.VoseSimPercentile(TrueRate,0.24),NA())</f>
        <v>0.27832195669643406</v>
      </c>
    </row>
    <row r="143" spans="2:3" hidden="1" outlineLevel="1" x14ac:dyDescent="0.45">
      <c r="B143" s="66">
        <v>0.25</v>
      </c>
      <c r="C143" s="65" cm="1">
        <f t="array" aca="1" ref="C143" ca="1">IF(ISNUMBER(_xll.VoseSimPercentile(TrueRate,0.25)),_xll.VoseSimPercentile(TrueRate,0.25),NA())</f>
        <v>0.28022223295402698</v>
      </c>
    </row>
    <row r="144" spans="2:3" hidden="1" outlineLevel="1" x14ac:dyDescent="0.45">
      <c r="B144" s="66">
        <v>0.26</v>
      </c>
      <c r="C144" s="65" cm="1">
        <f t="array" aca="1" ref="C144" ca="1">IF(ISNUMBER(_xll.VoseSimPercentile(TrueRate,0.26)),_xll.VoseSimPercentile(TrueRate,0.26),NA())</f>
        <v>0.28200322279083839</v>
      </c>
    </row>
    <row r="145" spans="2:3" hidden="1" outlineLevel="1" x14ac:dyDescent="0.45">
      <c r="B145" s="66">
        <v>0.27</v>
      </c>
      <c r="C145" s="65" cm="1">
        <f t="array" aca="1" ref="C145" ca="1">IF(ISNUMBER(_xll.VoseSimPercentile(TrueRate,0.27)),_xll.VoseSimPercentile(TrueRate,0.27),NA())</f>
        <v>0.2837082475720713</v>
      </c>
    </row>
    <row r="146" spans="2:3" hidden="1" outlineLevel="1" x14ac:dyDescent="0.45">
      <c r="B146" s="66">
        <v>0.28000000000000003</v>
      </c>
      <c r="C146" s="65" cm="1">
        <f t="array" aca="1" ref="C146" ca="1">IF(ISNUMBER(_xll.VoseSimPercentile(TrueRate,0.28)),_xll.VoseSimPercentile(TrueRate,0.28),NA())</f>
        <v>0.28536265138356881</v>
      </c>
    </row>
    <row r="147" spans="2:3" hidden="1" outlineLevel="1" x14ac:dyDescent="0.45">
      <c r="B147" s="66">
        <v>0.28999999999999998</v>
      </c>
      <c r="C147" s="65" cm="1">
        <f t="array" aca="1" ref="C147" ca="1">IF(ISNUMBER(_xll.VoseSimPercentile(TrueRate,0.29)),_xll.VoseSimPercentile(TrueRate,0.29),NA())</f>
        <v>0.28686760130435229</v>
      </c>
    </row>
    <row r="148" spans="2:3" hidden="1" outlineLevel="1" x14ac:dyDescent="0.45">
      <c r="B148" s="66">
        <v>0.3</v>
      </c>
      <c r="C148" s="65" cm="1">
        <f t="array" aca="1" ref="C148" ca="1">IF(ISNUMBER(_xll.VoseSimPercentile(TrueRate,0.3)),_xll.VoseSimPercentile(TrueRate,0.3),NA())</f>
        <v>0.28859326706478117</v>
      </c>
    </row>
    <row r="149" spans="2:3" hidden="1" outlineLevel="1" x14ac:dyDescent="0.45">
      <c r="B149" s="66">
        <v>0.31</v>
      </c>
      <c r="C149" s="65" cm="1">
        <f t="array" aca="1" ref="C149" ca="1">IF(ISNUMBER(_xll.VoseSimPercentile(TrueRate,0.31)),_xll.VoseSimPercentile(TrueRate,0.31),NA())</f>
        <v>0.29028245597387353</v>
      </c>
    </row>
    <row r="150" spans="2:3" hidden="1" outlineLevel="1" x14ac:dyDescent="0.45">
      <c r="B150" s="66">
        <v>0.32</v>
      </c>
      <c r="C150" s="65" cm="1">
        <f t="array" aca="1" ref="C150" ca="1">IF(ISNUMBER(_xll.VoseSimPercentile(TrueRate,0.32)),_xll.VoseSimPercentile(TrueRate,0.32),NA())</f>
        <v>0.29183319620755038</v>
      </c>
    </row>
    <row r="151" spans="2:3" hidden="1" outlineLevel="1" x14ac:dyDescent="0.45">
      <c r="B151" s="66">
        <v>0.33</v>
      </c>
      <c r="C151" s="65" cm="1">
        <f t="array" aca="1" ref="C151" ca="1">IF(ISNUMBER(_xll.VoseSimPercentile(TrueRate,0.33)),_xll.VoseSimPercentile(TrueRate,0.33),NA())</f>
        <v>0.29347872487408594</v>
      </c>
    </row>
    <row r="152" spans="2:3" hidden="1" outlineLevel="1" x14ac:dyDescent="0.45">
      <c r="B152" s="66">
        <v>0.34</v>
      </c>
      <c r="C152" s="65" cm="1">
        <f t="array" aca="1" ref="C152" ca="1">IF(ISNUMBER(_xll.VoseSimPercentile(TrueRate,0.34)),_xll.VoseSimPercentile(TrueRate,0.34),NA())</f>
        <v>0.29494402800163966</v>
      </c>
    </row>
    <row r="153" spans="2:3" hidden="1" outlineLevel="1" x14ac:dyDescent="0.45">
      <c r="B153" s="66">
        <v>0.35</v>
      </c>
      <c r="C153" s="65" cm="1">
        <f t="array" aca="1" ref="C153" ca="1">IF(ISNUMBER(_xll.VoseSimPercentile(TrueRate,0.35)),_xll.VoseSimPercentile(TrueRate,0.35),NA())</f>
        <v>0.29672213923172347</v>
      </c>
    </row>
    <row r="154" spans="2:3" hidden="1" outlineLevel="1" x14ac:dyDescent="0.45">
      <c r="B154" s="66">
        <v>0.36</v>
      </c>
      <c r="C154" s="65" cm="1">
        <f t="array" aca="1" ref="C154" ca="1">IF(ISNUMBER(_xll.VoseSimPercentile(TrueRate,0.36)),_xll.VoseSimPercentile(TrueRate,0.36),NA())</f>
        <v>0.29837448539223355</v>
      </c>
    </row>
    <row r="155" spans="2:3" hidden="1" outlineLevel="1" x14ac:dyDescent="0.45">
      <c r="B155" s="66">
        <v>0.37</v>
      </c>
      <c r="C155" s="65" cm="1">
        <f t="array" aca="1" ref="C155" ca="1">IF(ISNUMBER(_xll.VoseSimPercentile(TrueRate,0.37)),_xll.VoseSimPercentile(TrueRate,0.37),NA())</f>
        <v>0.29981562004551093</v>
      </c>
    </row>
    <row r="156" spans="2:3" hidden="1" outlineLevel="1" x14ac:dyDescent="0.45">
      <c r="B156" s="66">
        <v>0.38</v>
      </c>
      <c r="C156" s="65" cm="1">
        <f t="array" aca="1" ref="C156" ca="1">IF(ISNUMBER(_xll.VoseSimPercentile(TrueRate,0.38)),_xll.VoseSimPercentile(TrueRate,0.38),NA())</f>
        <v>0.30142723704222651</v>
      </c>
    </row>
    <row r="157" spans="2:3" hidden="1" outlineLevel="1" x14ac:dyDescent="0.45">
      <c r="B157" s="66">
        <v>0.39</v>
      </c>
      <c r="C157" s="65" cm="1">
        <f t="array" aca="1" ref="C157" ca="1">IF(ISNUMBER(_xll.VoseSimPercentile(TrueRate,0.39)),_xll.VoseSimPercentile(TrueRate,0.39),NA())</f>
        <v>0.30264274322150747</v>
      </c>
    </row>
    <row r="158" spans="2:3" hidden="1" outlineLevel="1" x14ac:dyDescent="0.45">
      <c r="B158" s="66">
        <v>0.4</v>
      </c>
      <c r="C158" s="65" cm="1">
        <f t="array" aca="1" ref="C158" ca="1">IF(ISNUMBER(_xll.VoseSimPercentile(TrueRate,0.4)),_xll.VoseSimPercentile(TrueRate,0.4),NA())</f>
        <v>0.30394372235698836</v>
      </c>
    </row>
    <row r="159" spans="2:3" hidden="1" outlineLevel="1" x14ac:dyDescent="0.45">
      <c r="B159" s="66">
        <v>0.41</v>
      </c>
      <c r="C159" s="65" cm="1">
        <f t="array" aca="1" ref="C159" ca="1">IF(ISNUMBER(_xll.VoseSimPercentile(TrueRate,0.41)),_xll.VoseSimPercentile(TrueRate,0.41),NA())</f>
        <v>0.30524708890538665</v>
      </c>
    </row>
    <row r="160" spans="2:3" hidden="1" outlineLevel="1" x14ac:dyDescent="0.45">
      <c r="B160" s="66">
        <v>0.42</v>
      </c>
      <c r="C160" s="65" cm="1">
        <f t="array" aca="1" ref="C160" ca="1">IF(ISNUMBER(_xll.VoseSimPercentile(TrueRate,0.42)),_xll.VoseSimPercentile(TrueRate,0.42),NA())</f>
        <v>0.30674415247558989</v>
      </c>
    </row>
    <row r="161" spans="2:3" hidden="1" outlineLevel="1" x14ac:dyDescent="0.45">
      <c r="B161" s="66">
        <v>0.43</v>
      </c>
      <c r="C161" s="65" cm="1">
        <f t="array" aca="1" ref="C161" ca="1">IF(ISNUMBER(_xll.VoseSimPercentile(TrueRate,0.43)),_xll.VoseSimPercentile(TrueRate,0.43),NA())</f>
        <v>0.30842378249856023</v>
      </c>
    </row>
    <row r="162" spans="2:3" hidden="1" outlineLevel="1" x14ac:dyDescent="0.45">
      <c r="B162" s="66">
        <v>0.44</v>
      </c>
      <c r="C162" s="65" cm="1">
        <f t="array" aca="1" ref="C162" ca="1">IF(ISNUMBER(_xll.VoseSimPercentile(TrueRate,0.44)),_xll.VoseSimPercentile(TrueRate,0.44),NA())</f>
        <v>0.3101714065547676</v>
      </c>
    </row>
    <row r="163" spans="2:3" hidden="1" outlineLevel="1" x14ac:dyDescent="0.45">
      <c r="B163" s="66">
        <v>0.45</v>
      </c>
      <c r="C163" s="65" cm="1">
        <f t="array" aca="1" ref="C163" ca="1">IF(ISNUMBER(_xll.VoseSimPercentile(TrueRate,0.45)),_xll.VoseSimPercentile(TrueRate,0.45),NA())</f>
        <v>0.3114283444236865</v>
      </c>
    </row>
    <row r="164" spans="2:3" hidden="1" outlineLevel="1" x14ac:dyDescent="0.45">
      <c r="B164" s="66">
        <v>0.46</v>
      </c>
      <c r="C164" s="65" cm="1">
        <f t="array" aca="1" ref="C164" ca="1">IF(ISNUMBER(_xll.VoseSimPercentile(TrueRate,0.46)),_xll.VoseSimPercentile(TrueRate,0.46),NA())</f>
        <v>0.312775641941337</v>
      </c>
    </row>
    <row r="165" spans="2:3" hidden="1" outlineLevel="1" x14ac:dyDescent="0.45">
      <c r="B165" s="66">
        <v>0.47</v>
      </c>
      <c r="C165" s="65" cm="1">
        <f t="array" aca="1" ref="C165" ca="1">IF(ISNUMBER(_xll.VoseSimPercentile(TrueRate,0.47)),_xll.VoseSimPercentile(TrueRate,0.47),NA())</f>
        <v>0.31425393558354187</v>
      </c>
    </row>
    <row r="166" spans="2:3" hidden="1" outlineLevel="1" x14ac:dyDescent="0.45">
      <c r="B166" s="66">
        <v>0.48</v>
      </c>
      <c r="C166" s="65" cm="1">
        <f t="array" aca="1" ref="C166" ca="1">IF(ISNUMBER(_xll.VoseSimPercentile(TrueRate,0.48)),_xll.VoseSimPercentile(TrueRate,0.48),NA())</f>
        <v>0.31579812386645123</v>
      </c>
    </row>
    <row r="167" spans="2:3" hidden="1" outlineLevel="1" x14ac:dyDescent="0.45">
      <c r="B167" s="66">
        <v>0.49</v>
      </c>
      <c r="C167" s="65" cm="1">
        <f t="array" aca="1" ref="C167" ca="1">IF(ISNUMBER(_xll.VoseSimPercentile(TrueRate,0.49)),_xll.VoseSimPercentile(TrueRate,0.49),NA())</f>
        <v>0.3173556298725615</v>
      </c>
    </row>
    <row r="168" spans="2:3" hidden="1" outlineLevel="1" x14ac:dyDescent="0.45">
      <c r="B168" s="66">
        <v>0.5</v>
      </c>
      <c r="C168" s="65" cm="1">
        <f t="array" aca="1" ref="C168" ca="1">IF(ISNUMBER(_xll.VoseSimPercentile(TrueRate,0.5)),_xll.VoseSimPercentile(TrueRate,0.5),NA())</f>
        <v>0.31894214309627233</v>
      </c>
    </row>
    <row r="169" spans="2:3" hidden="1" outlineLevel="1" x14ac:dyDescent="0.45">
      <c r="B169" s="66">
        <v>0.51</v>
      </c>
      <c r="C169" s="65" cm="1">
        <f t="array" aca="1" ref="C169" ca="1">IF(ISNUMBER(_xll.VoseSimPercentile(TrueRate,0.51)),_xll.VoseSimPercentile(TrueRate,0.51),NA())</f>
        <v>0.32052558535364645</v>
      </c>
    </row>
    <row r="170" spans="2:3" hidden="1" outlineLevel="1" x14ac:dyDescent="0.45">
      <c r="B170" s="66">
        <v>0.52</v>
      </c>
      <c r="C170" s="65" cm="1">
        <f t="array" aca="1" ref="C170" ca="1">IF(ISNUMBER(_xll.VoseSimPercentile(TrueRate,0.52)),_xll.VoseSimPercentile(TrueRate,0.52),NA())</f>
        <v>0.32193830794958023</v>
      </c>
    </row>
    <row r="171" spans="2:3" hidden="1" outlineLevel="1" x14ac:dyDescent="0.45">
      <c r="B171" s="66">
        <v>0.53</v>
      </c>
      <c r="C171" s="65" cm="1">
        <f t="array" aca="1" ref="C171" ca="1">IF(ISNUMBER(_xll.VoseSimPercentile(TrueRate,0.53)),_xll.VoseSimPercentile(TrueRate,0.53),NA())</f>
        <v>0.32380145923963466</v>
      </c>
    </row>
    <row r="172" spans="2:3" hidden="1" outlineLevel="1" x14ac:dyDescent="0.45">
      <c r="B172" s="66">
        <v>0.54</v>
      </c>
      <c r="C172" s="65" cm="1">
        <f t="array" aca="1" ref="C172" ca="1">IF(ISNUMBER(_xll.VoseSimPercentile(TrueRate,0.54)),_xll.VoseSimPercentile(TrueRate,0.54),NA())</f>
        <v>0.32511523515169882</v>
      </c>
    </row>
    <row r="173" spans="2:3" hidden="1" outlineLevel="1" x14ac:dyDescent="0.45">
      <c r="B173" s="66">
        <v>0.55000000000000004</v>
      </c>
      <c r="C173" s="65" cm="1">
        <f t="array" aca="1" ref="C173" ca="1">IF(ISNUMBER(_xll.VoseSimPercentile(TrueRate,0.55)),_xll.VoseSimPercentile(TrueRate,0.55),NA())</f>
        <v>0.32668571572598104</v>
      </c>
    </row>
    <row r="174" spans="2:3" hidden="1" outlineLevel="1" x14ac:dyDescent="0.45">
      <c r="B174" s="66">
        <v>0.56000000000000005</v>
      </c>
      <c r="C174" s="65" cm="1">
        <f t="array" aca="1" ref="C174" ca="1">IF(ISNUMBER(_xll.VoseSimPercentile(TrueRate,0.56)),_xll.VoseSimPercentile(TrueRate,0.56),NA())</f>
        <v>0.32848691899575444</v>
      </c>
    </row>
    <row r="175" spans="2:3" hidden="1" outlineLevel="1" x14ac:dyDescent="0.45">
      <c r="B175" s="66">
        <v>0.56999999999999995</v>
      </c>
      <c r="C175" s="65" cm="1">
        <f t="array" aca="1" ref="C175" ca="1">IF(ISNUMBER(_xll.VoseSimPercentile(TrueRate,0.57)),_xll.VoseSimPercentile(TrueRate,0.57),NA())</f>
        <v>0.33004508310929037</v>
      </c>
    </row>
    <row r="176" spans="2:3" hidden="1" outlineLevel="1" x14ac:dyDescent="0.45">
      <c r="B176" s="66">
        <v>0.57999999999999996</v>
      </c>
      <c r="C176" s="65" cm="1">
        <f t="array" aca="1" ref="C176" ca="1">IF(ISNUMBER(_xll.VoseSimPercentile(TrueRate,0.58)),_xll.VoseSimPercentile(TrueRate,0.58),NA())</f>
        <v>0.3315580063672473</v>
      </c>
    </row>
    <row r="177" spans="2:3" hidden="1" outlineLevel="1" x14ac:dyDescent="0.45">
      <c r="B177" s="66">
        <v>0.59</v>
      </c>
      <c r="C177" s="65" cm="1">
        <f t="array" aca="1" ref="C177" ca="1">IF(ISNUMBER(_xll.VoseSimPercentile(TrueRate,0.59)),_xll.VoseSimPercentile(TrueRate,0.59),NA())</f>
        <v>0.33293855707055853</v>
      </c>
    </row>
    <row r="178" spans="2:3" hidden="1" outlineLevel="1" x14ac:dyDescent="0.45">
      <c r="B178" s="66">
        <v>0.6</v>
      </c>
      <c r="C178" s="65" cm="1">
        <f t="array" aca="1" ref="C178" ca="1">IF(ISNUMBER(_xll.VoseSimPercentile(TrueRate,0.6)),_xll.VoseSimPercentile(TrueRate,0.6),NA())</f>
        <v>0.33448627765851069</v>
      </c>
    </row>
    <row r="179" spans="2:3" hidden="1" outlineLevel="1" x14ac:dyDescent="0.45">
      <c r="B179" s="66">
        <v>0.61</v>
      </c>
      <c r="C179" s="65" cm="1">
        <f t="array" aca="1" ref="C179" ca="1">IF(ISNUMBER(_xll.VoseSimPercentile(TrueRate,0.61)),_xll.VoseSimPercentile(TrueRate,0.61),NA())</f>
        <v>0.3362553132021403</v>
      </c>
    </row>
    <row r="180" spans="2:3" hidden="1" outlineLevel="1" x14ac:dyDescent="0.45">
      <c r="B180" s="66">
        <v>0.62</v>
      </c>
      <c r="C180" s="65" cm="1">
        <f t="array" aca="1" ref="C180" ca="1">IF(ISNUMBER(_xll.VoseSimPercentile(TrueRate,0.62)),_xll.VoseSimPercentile(TrueRate,0.62),NA())</f>
        <v>0.33823862387029113</v>
      </c>
    </row>
    <row r="181" spans="2:3" hidden="1" outlineLevel="1" x14ac:dyDescent="0.45">
      <c r="B181" s="66">
        <v>0.63</v>
      </c>
      <c r="C181" s="65" cm="1">
        <f t="array" aca="1" ref="C181" ca="1">IF(ISNUMBER(_xll.VoseSimPercentile(TrueRate,0.63)),_xll.VoseSimPercentile(TrueRate,0.63),NA())</f>
        <v>0.34002869187523099</v>
      </c>
    </row>
    <row r="182" spans="2:3" hidden="1" outlineLevel="1" x14ac:dyDescent="0.45">
      <c r="B182" s="66">
        <v>0.64</v>
      </c>
      <c r="C182" s="65" cm="1">
        <f t="array" aca="1" ref="C182" ca="1">IF(ISNUMBER(_xll.VoseSimPercentile(TrueRate,0.64)),_xll.VoseSimPercentile(TrueRate,0.64),NA())</f>
        <v>0.34172138688286202</v>
      </c>
    </row>
    <row r="183" spans="2:3" hidden="1" outlineLevel="1" x14ac:dyDescent="0.45">
      <c r="B183" s="66">
        <v>0.65</v>
      </c>
      <c r="C183" s="65" cm="1">
        <f t="array" aca="1" ref="C183" ca="1">IF(ISNUMBER(_xll.VoseSimPercentile(TrueRate,0.65)),_xll.VoseSimPercentile(TrueRate,0.65),NA())</f>
        <v>0.34317947435810237</v>
      </c>
    </row>
    <row r="184" spans="2:3" hidden="1" outlineLevel="1" x14ac:dyDescent="0.45">
      <c r="B184" s="66">
        <v>0.66</v>
      </c>
      <c r="C184" s="65" cm="1">
        <f t="array" aca="1" ref="C184" ca="1">IF(ISNUMBER(_xll.VoseSimPercentile(TrueRate,0.66)),_xll.VoseSimPercentile(TrueRate,0.66),NA())</f>
        <v>0.34474777979291737</v>
      </c>
    </row>
    <row r="185" spans="2:3" hidden="1" outlineLevel="1" x14ac:dyDescent="0.45">
      <c r="B185" s="66">
        <v>0.67</v>
      </c>
      <c r="C185" s="65" cm="1">
        <f t="array" aca="1" ref="C185" ca="1">IF(ISNUMBER(_xll.VoseSimPercentile(TrueRate,0.67)),_xll.VoseSimPercentile(TrueRate,0.67),NA())</f>
        <v>0.3463094553614664</v>
      </c>
    </row>
    <row r="186" spans="2:3" hidden="1" outlineLevel="1" x14ac:dyDescent="0.45">
      <c r="B186" s="66">
        <v>0.68</v>
      </c>
      <c r="C186" s="65" cm="1">
        <f t="array" aca="1" ref="C186" ca="1">IF(ISNUMBER(_xll.VoseSimPercentile(TrueRate,0.68)),_xll.VoseSimPercentile(TrueRate,0.68),NA())</f>
        <v>0.34809827460899911</v>
      </c>
    </row>
    <row r="187" spans="2:3" hidden="1" outlineLevel="1" x14ac:dyDescent="0.45">
      <c r="B187" s="66">
        <v>0.69</v>
      </c>
      <c r="C187" s="65" cm="1">
        <f t="array" aca="1" ref="C187" ca="1">IF(ISNUMBER(_xll.VoseSimPercentile(TrueRate,0.69)),_xll.VoseSimPercentile(TrueRate,0.69),NA())</f>
        <v>0.35005558639843315</v>
      </c>
    </row>
    <row r="188" spans="2:3" hidden="1" outlineLevel="1" x14ac:dyDescent="0.45">
      <c r="B188" s="66">
        <v>0.7</v>
      </c>
      <c r="C188" s="65" cm="1">
        <f t="array" aca="1" ref="C188" ca="1">IF(ISNUMBER(_xll.VoseSimPercentile(TrueRate,0.7)),_xll.VoseSimPercentile(TrueRate,0.7),NA())</f>
        <v>0.35170635120103044</v>
      </c>
    </row>
    <row r="189" spans="2:3" hidden="1" outlineLevel="1" x14ac:dyDescent="0.45">
      <c r="B189" s="66">
        <v>0.71</v>
      </c>
      <c r="C189" s="65" cm="1">
        <f t="array" aca="1" ref="C189" ca="1">IF(ISNUMBER(_xll.VoseSimPercentile(TrueRate,0.71)),_xll.VoseSimPercentile(TrueRate,0.71),NA())</f>
        <v>0.3535104364789492</v>
      </c>
    </row>
    <row r="190" spans="2:3" hidden="1" outlineLevel="1" x14ac:dyDescent="0.45">
      <c r="B190" s="66">
        <v>0.72</v>
      </c>
      <c r="C190" s="65" cm="1">
        <f t="array" aca="1" ref="C190" ca="1">IF(ISNUMBER(_xll.VoseSimPercentile(TrueRate,0.72)),_xll.VoseSimPercentile(TrueRate,0.72),NA())</f>
        <v>0.35536482166448546</v>
      </c>
    </row>
    <row r="191" spans="2:3" hidden="1" outlineLevel="1" x14ac:dyDescent="0.45">
      <c r="B191" s="66">
        <v>0.73</v>
      </c>
      <c r="C191" s="65" cm="1">
        <f t="array" aca="1" ref="C191" ca="1">IF(ISNUMBER(_xll.VoseSimPercentile(TrueRate,0.73)),_xll.VoseSimPercentile(TrueRate,0.73),NA())</f>
        <v>0.35741827326670672</v>
      </c>
    </row>
    <row r="192" spans="2:3" hidden="1" outlineLevel="1" x14ac:dyDescent="0.45">
      <c r="B192" s="66">
        <v>0.74</v>
      </c>
      <c r="C192" s="65" cm="1">
        <f t="array" aca="1" ref="C192" ca="1">IF(ISNUMBER(_xll.VoseSimPercentile(TrueRate,0.74)),_xll.VoseSimPercentile(TrueRate,0.74),NA())</f>
        <v>0.35936982629169556</v>
      </c>
    </row>
    <row r="193" spans="2:3" hidden="1" outlineLevel="1" x14ac:dyDescent="0.45">
      <c r="B193" s="66">
        <v>0.75</v>
      </c>
      <c r="C193" s="65" cm="1">
        <f t="array" aca="1" ref="C193" ca="1">IF(ISNUMBER(_xll.VoseSimPercentile(TrueRate,0.75)),_xll.VoseSimPercentile(TrueRate,0.75),NA())</f>
        <v>0.36102966252550939</v>
      </c>
    </row>
    <row r="194" spans="2:3" hidden="1" outlineLevel="1" x14ac:dyDescent="0.45">
      <c r="B194" s="66">
        <v>0.76</v>
      </c>
      <c r="C194" s="65" cm="1">
        <f t="array" aca="1" ref="C194" ca="1">IF(ISNUMBER(_xll.VoseSimPercentile(TrueRate,0.76)),_xll.VoseSimPercentile(TrueRate,0.76),NA())</f>
        <v>0.36298080945815314</v>
      </c>
    </row>
    <row r="195" spans="2:3" hidden="1" outlineLevel="1" x14ac:dyDescent="0.45">
      <c r="B195" s="66">
        <v>0.77</v>
      </c>
      <c r="C195" s="65" cm="1">
        <f t="array" aca="1" ref="C195" ca="1">IF(ISNUMBER(_xll.VoseSimPercentile(TrueRate,0.77)),_xll.VoseSimPercentile(TrueRate,0.77),NA())</f>
        <v>0.36503058108491515</v>
      </c>
    </row>
    <row r="196" spans="2:3" hidden="1" outlineLevel="1" x14ac:dyDescent="0.45">
      <c r="B196" s="66">
        <v>0.78</v>
      </c>
      <c r="C196" s="65" cm="1">
        <f t="array" aca="1" ref="C196" ca="1">IF(ISNUMBER(_xll.VoseSimPercentile(TrueRate,0.78)),_xll.VoseSimPercentile(TrueRate,0.78),NA())</f>
        <v>0.36695641962514702</v>
      </c>
    </row>
    <row r="197" spans="2:3" hidden="1" outlineLevel="1" x14ac:dyDescent="0.45">
      <c r="B197" s="66">
        <v>0.79</v>
      </c>
      <c r="C197" s="65" cm="1">
        <f t="array" aca="1" ref="C197" ca="1">IF(ISNUMBER(_xll.VoseSimPercentile(TrueRate,0.79)),_xll.VoseSimPercentile(TrueRate,0.79),NA())</f>
        <v>0.36919055514104215</v>
      </c>
    </row>
    <row r="198" spans="2:3" hidden="1" outlineLevel="1" x14ac:dyDescent="0.45">
      <c r="B198" s="66">
        <v>0.8</v>
      </c>
      <c r="C198" s="65" cm="1">
        <f t="array" aca="1" ref="C198" ca="1">IF(ISNUMBER(_xll.VoseSimPercentile(TrueRate,0.8)),_xll.VoseSimPercentile(TrueRate,0.8),NA())</f>
        <v>0.3716604056705235</v>
      </c>
    </row>
    <row r="199" spans="2:3" hidden="1" outlineLevel="1" x14ac:dyDescent="0.45">
      <c r="B199" s="66">
        <v>0.81</v>
      </c>
      <c r="C199" s="65" cm="1">
        <f t="array" aca="1" ref="C199" ca="1">IF(ISNUMBER(_xll.VoseSimPercentile(TrueRate,0.81)),_xll.VoseSimPercentile(TrueRate,0.81),NA())</f>
        <v>0.37407427965251228</v>
      </c>
    </row>
    <row r="200" spans="2:3" hidden="1" outlineLevel="1" x14ac:dyDescent="0.45">
      <c r="B200" s="66">
        <v>0.82</v>
      </c>
      <c r="C200" s="65" cm="1">
        <f t="array" aca="1" ref="C200" ca="1">IF(ISNUMBER(_xll.VoseSimPercentile(TrueRate,0.82)),_xll.VoseSimPercentile(TrueRate,0.82),NA())</f>
        <v>0.37658661303400798</v>
      </c>
    </row>
    <row r="201" spans="2:3" hidden="1" outlineLevel="1" x14ac:dyDescent="0.45">
      <c r="B201" s="66">
        <v>0.83</v>
      </c>
      <c r="C201" s="65" cm="1">
        <f t="array" aca="1" ref="C201" ca="1">IF(ISNUMBER(_xll.VoseSimPercentile(TrueRate,0.83)),_xll.VoseSimPercentile(TrueRate,0.83),NA())</f>
        <v>0.37895977018004934</v>
      </c>
    </row>
    <row r="202" spans="2:3" hidden="1" outlineLevel="1" x14ac:dyDescent="0.45">
      <c r="B202" s="66">
        <v>0.84</v>
      </c>
      <c r="C202" s="65" cm="1">
        <f t="array" aca="1" ref="C202" ca="1">IF(ISNUMBER(_xll.VoseSimPercentile(TrueRate,0.84)),_xll.VoseSimPercentile(TrueRate,0.84),NA())</f>
        <v>0.38154811392900811</v>
      </c>
    </row>
    <row r="203" spans="2:3" hidden="1" outlineLevel="1" x14ac:dyDescent="0.45">
      <c r="B203" s="66">
        <v>0.85</v>
      </c>
      <c r="C203" s="65" cm="1">
        <f t="array" aca="1" ref="C203" ca="1">IF(ISNUMBER(_xll.VoseSimPercentile(TrueRate,0.85)),_xll.VoseSimPercentile(TrueRate,0.85),NA())</f>
        <v>0.38421610515470506</v>
      </c>
    </row>
    <row r="204" spans="2:3" hidden="1" outlineLevel="1" x14ac:dyDescent="0.45">
      <c r="B204" s="66">
        <v>0.86</v>
      </c>
      <c r="C204" s="65" cm="1">
        <f t="array" aca="1" ref="C204" ca="1">IF(ISNUMBER(_xll.VoseSimPercentile(TrueRate,0.86)),_xll.VoseSimPercentile(TrueRate,0.86),NA())</f>
        <v>0.38700663221900644</v>
      </c>
    </row>
    <row r="205" spans="2:3" hidden="1" outlineLevel="1" x14ac:dyDescent="0.45">
      <c r="B205" s="66">
        <v>0.87</v>
      </c>
      <c r="C205" s="65" cm="1">
        <f t="array" aca="1" ref="C205" ca="1">IF(ISNUMBER(_xll.VoseSimPercentile(TrueRate,0.87)),_xll.VoseSimPercentile(TrueRate,0.87),NA())</f>
        <v>0.3900556513453497</v>
      </c>
    </row>
    <row r="206" spans="2:3" hidden="1" outlineLevel="1" x14ac:dyDescent="0.45">
      <c r="B206" s="66">
        <v>0.88</v>
      </c>
      <c r="C206" s="65" cm="1">
        <f t="array" aca="1" ref="C206" ca="1">IF(ISNUMBER(_xll.VoseSimPercentile(TrueRate,0.88)),_xll.VoseSimPercentile(TrueRate,0.88),NA())</f>
        <v>0.39280167244912101</v>
      </c>
    </row>
    <row r="207" spans="2:3" hidden="1" outlineLevel="1" x14ac:dyDescent="0.45">
      <c r="B207" s="66">
        <v>0.89</v>
      </c>
      <c r="C207" s="65" cm="1">
        <f t="array" aca="1" ref="C207" ca="1">IF(ISNUMBER(_xll.VoseSimPercentile(TrueRate,0.89)),_xll.VoseSimPercentile(TrueRate,0.89),NA())</f>
        <v>0.39603304219837165</v>
      </c>
    </row>
    <row r="208" spans="2:3" hidden="1" outlineLevel="1" x14ac:dyDescent="0.45">
      <c r="B208" s="66">
        <v>0.9</v>
      </c>
      <c r="C208" s="65" cm="1">
        <f t="array" aca="1" ref="C208" ca="1">IF(ISNUMBER(_xll.VoseSimPercentile(TrueRate,0.9)),_xll.VoseSimPercentile(TrueRate,0.9),NA())</f>
        <v>0.3997097466690076</v>
      </c>
    </row>
    <row r="209" spans="2:7" hidden="1" outlineLevel="1" x14ac:dyDescent="0.45">
      <c r="B209" s="66">
        <v>0.91</v>
      </c>
      <c r="C209" s="65" cm="1">
        <f t="array" aca="1" ref="C209" ca="1">IF(ISNUMBER(_xll.VoseSimPercentile(TrueRate,0.91)),_xll.VoseSimPercentile(TrueRate,0.91),NA())</f>
        <v>0.40377331922425941</v>
      </c>
    </row>
    <row r="210" spans="2:7" hidden="1" outlineLevel="1" x14ac:dyDescent="0.45">
      <c r="B210" s="66">
        <v>0.92</v>
      </c>
      <c r="C210" s="65" cm="1">
        <f t="array" aca="1" ref="C210" ca="1">IF(ISNUMBER(_xll.VoseSimPercentile(TrueRate,0.92)),_xll.VoseSimPercentile(TrueRate,0.92),NA())</f>
        <v>0.40839846244769218</v>
      </c>
    </row>
    <row r="211" spans="2:7" hidden="1" outlineLevel="1" x14ac:dyDescent="0.45">
      <c r="B211" s="66">
        <v>0.93</v>
      </c>
      <c r="C211" s="65" cm="1">
        <f t="array" aca="1" ref="C211" ca="1">IF(ISNUMBER(_xll.VoseSimPercentile(TrueRate,0.93)),_xll.VoseSimPercentile(TrueRate,0.93),NA())</f>
        <v>0.41249643553108972</v>
      </c>
    </row>
    <row r="212" spans="2:7" hidden="1" outlineLevel="1" x14ac:dyDescent="0.45">
      <c r="B212" s="66">
        <v>0.94</v>
      </c>
      <c r="C212" s="65" cm="1">
        <f t="array" aca="1" ref="C212" ca="1">IF(ISNUMBER(_xll.VoseSimPercentile(TrueRate,0.94)),_xll.VoseSimPercentile(TrueRate,0.94),NA())</f>
        <v>0.41716108812615316</v>
      </c>
    </row>
    <row r="213" spans="2:7" hidden="1" outlineLevel="1" x14ac:dyDescent="0.45">
      <c r="B213" s="66">
        <v>0.95</v>
      </c>
      <c r="C213" s="65" cm="1">
        <f t="array" aca="1" ref="C213" ca="1">IF(ISNUMBER(_xll.VoseSimPercentile(TrueRate,0.95)),_xll.VoseSimPercentile(TrueRate,0.95),NA())</f>
        <v>0.42315817649377951</v>
      </c>
    </row>
    <row r="214" spans="2:7" hidden="1" outlineLevel="1" x14ac:dyDescent="0.45">
      <c r="B214" s="66">
        <v>0.96</v>
      </c>
      <c r="C214" s="65" cm="1">
        <f t="array" aca="1" ref="C214" ca="1">IF(ISNUMBER(_xll.VoseSimPercentile(TrueRate,0.96)),_xll.VoseSimPercentile(TrueRate,0.96),NA())</f>
        <v>0.42917638706065986</v>
      </c>
    </row>
    <row r="215" spans="2:7" hidden="1" outlineLevel="1" x14ac:dyDescent="0.45">
      <c r="B215" s="66">
        <v>0.97</v>
      </c>
      <c r="C215" s="65" cm="1">
        <f t="array" aca="1" ref="C215" ca="1">IF(ISNUMBER(_xll.VoseSimPercentile(TrueRate,0.97)),_xll.VoseSimPercentile(TrueRate,0.97),NA())</f>
        <v>0.43785241864028834</v>
      </c>
    </row>
    <row r="216" spans="2:7" hidden="1" outlineLevel="1" x14ac:dyDescent="0.45">
      <c r="B216" s="66">
        <v>0.98</v>
      </c>
      <c r="C216" s="65" cm="1">
        <f t="array" aca="1" ref="C216" ca="1">IF(ISNUMBER(_xll.VoseSimPercentile(TrueRate,0.98)),_xll.VoseSimPercentile(TrueRate,0.98),NA())</f>
        <v>0.44841563141093366</v>
      </c>
    </row>
    <row r="217" spans="2:7" hidden="1" outlineLevel="1" x14ac:dyDescent="0.45">
      <c r="B217" s="66">
        <v>0.99</v>
      </c>
      <c r="C217" s="65" cm="1">
        <f t="array" aca="1" ref="C217" ca="1">IF(ISNUMBER(_xll.VoseSimPercentile(TrueRate,0.99)),_xll.VoseSimPercentile(TrueRate,0.99),NA())</f>
        <v>0.46583729454397826</v>
      </c>
    </row>
    <row r="218" spans="2:7" hidden="1" outlineLevel="1" x14ac:dyDescent="0.45">
      <c r="B218" s="66">
        <v>0.995</v>
      </c>
      <c r="C218" s="65" cm="1">
        <f t="array" aca="1" ref="C218" ca="1">IF(ISNUMBER(_xll.VoseSimPercentile(TrueRate,0.995)),_xll.VoseSimPercentile(TrueRate,0.995),NA())</f>
        <v>0.48005296367317263</v>
      </c>
    </row>
    <row r="219" spans="2:7" hidden="1" outlineLevel="1" x14ac:dyDescent="0.45"/>
    <row r="220" spans="2:7" ht="18" hidden="1" customHeight="1" outlineLevel="1" x14ac:dyDescent="0.45">
      <c r="B220" s="23" t="s">
        <v>239</v>
      </c>
      <c r="C220" s="24" t="s">
        <v>240</v>
      </c>
      <c r="D220" s="24" t="s">
        <v>241</v>
      </c>
      <c r="E220" s="24" t="s">
        <v>242</v>
      </c>
      <c r="F220" s="24" t="s">
        <v>243</v>
      </c>
      <c r="G220" s="24" t="s">
        <v>244</v>
      </c>
    </row>
    <row r="221" spans="2:7" hidden="1" outlineLevel="1" x14ac:dyDescent="0.45">
      <c r="B221" s="67">
        <v>0</v>
      </c>
      <c r="C221" s="65">
        <f ca="1">IF(ISNUMBER($C$118),$C$118+($C$218-$C$118)*0/24,NA())</f>
        <v>0.18242654330050712</v>
      </c>
      <c r="D221" s="68">
        <f t="shared" ref="D221:D245" ca="1" si="2">IF(ISNUMBER(C221),MATCH(C221,$C$118:$C$218,1),NA())</f>
        <v>1</v>
      </c>
      <c r="E221" s="65">
        <f t="shared" ref="E221:E244" ca="1" si="3">IF(ISNUMBER(C221),(C221+C222)/2,NA())</f>
        <v>0.18862709372493763</v>
      </c>
      <c r="F221" s="66">
        <f t="shared" ref="F221:F244" ca="1" si="4">IF(ISNUMBER(G222),G222-G221,NA())</f>
        <v>5.6224509646159567E-3</v>
      </c>
      <c r="G221" s="66" cm="1">
        <f t="array" aca="1" ref="G221" ca="1">IF(ISNUMBER(D221),IF(D221&gt;=101,INDEX($B$118:$B$218,101),INDEX($B$118:$B$218,D221)+(C221-INDEX($C$118:$C$218,D221))/MAX(0.000000000001,INDEX($C$118:$C$218,D221+1)-INDEX($C$118:$C$218,D221))*(INDEX($B$118:$B$218,D221+1)-INDEX($B$118:$B$218,D221))),NA())</f>
        <v>5.0000000000000001E-3</v>
      </c>
    </row>
    <row r="222" spans="2:7" hidden="1" outlineLevel="1" x14ac:dyDescent="0.45">
      <c r="B222" s="67">
        <v>1</v>
      </c>
      <c r="C222" s="65">
        <f ca="1">IF(ISNUMBER($C$118),$C$118+($C$218-$C$118)*1/24,NA())</f>
        <v>0.19482764414936818</v>
      </c>
      <c r="D222" s="68">
        <f t="shared" ca="1" si="2"/>
        <v>2</v>
      </c>
      <c r="E222" s="65">
        <f t="shared" ca="1" si="3"/>
        <v>0.20102819457379872</v>
      </c>
      <c r="F222" s="66">
        <f t="shared" ca="1" si="4"/>
        <v>9.4923317596516798E-3</v>
      </c>
      <c r="G222" s="66" cm="1">
        <f t="array" aca="1" ref="G222" ca="1">IF(ISNUMBER(D222),IF(D222&gt;=101,INDEX($B$118:$B$218,101),INDEX($B$118:$B$218,D222)+(C222-INDEX($C$118:$C$218,D222))/MAX(0.000000000001,INDEX($C$118:$C$218,D222+1)-INDEX($C$118:$C$218,D222))*(INDEX($B$118:$B$218,D222+1)-INDEX($B$118:$B$218,D222))),NA())</f>
        <v>1.0622450964615957E-2</v>
      </c>
    </row>
    <row r="223" spans="2:7" hidden="1" outlineLevel="1" x14ac:dyDescent="0.45">
      <c r="B223" s="67">
        <v>2</v>
      </c>
      <c r="C223" s="65">
        <f ca="1">IF(ISNUMBER($C$118),$C$118+($C$218-$C$118)*2/24,NA())</f>
        <v>0.20722874499822924</v>
      </c>
      <c r="D223" s="68">
        <f t="shared" ca="1" si="2"/>
        <v>3</v>
      </c>
      <c r="E223" s="65">
        <f t="shared" ca="1" si="3"/>
        <v>0.21342929542265976</v>
      </c>
      <c r="F223" s="66">
        <f t="shared" ca="1" si="4"/>
        <v>1.6147316626688772E-2</v>
      </c>
      <c r="G223" s="66" cm="1">
        <f t="array" aca="1" ref="G223" ca="1">IF(ISNUMBER(D223),IF(D223&gt;=101,INDEX($B$118:$B$218,101),INDEX($B$118:$B$218,D223)+(C223-INDEX($C$118:$C$218,D223))/MAX(0.000000000001,INDEX($C$118:$C$218,D223+1)-INDEX($C$118:$C$218,D223))*(INDEX($B$118:$B$218,D223+1)-INDEX($B$118:$B$218,D223))),NA())</f>
        <v>2.0114782724267637E-2</v>
      </c>
    </row>
    <row r="224" spans="2:7" hidden="1" outlineLevel="1" x14ac:dyDescent="0.45">
      <c r="B224" s="67">
        <v>3</v>
      </c>
      <c r="C224" s="65">
        <f ca="1">IF(ISNUMBER($C$118),$C$118+($C$218-$C$118)*3/24,NA())</f>
        <v>0.2196298458470903</v>
      </c>
      <c r="D224" s="68">
        <f t="shared" ca="1" si="2"/>
        <v>4</v>
      </c>
      <c r="E224" s="65">
        <f t="shared" ca="1" si="3"/>
        <v>0.22583039627152085</v>
      </c>
      <c r="F224" s="66">
        <f t="shared" ca="1" si="4"/>
        <v>2.3852766402522006E-2</v>
      </c>
      <c r="G224" s="66" cm="1">
        <f t="array" aca="1" ref="G224" ca="1">IF(ISNUMBER(D224),IF(D224&gt;=101,INDEX($B$118:$B$218,101),INDEX($B$118:$B$218,D224)+(C224-INDEX($C$118:$C$218,D224))/MAX(0.000000000001,INDEX($C$118:$C$218,D224+1)-INDEX($C$118:$C$218,D224))*(INDEX($B$118:$B$218,D224+1)-INDEX($B$118:$B$218,D224))),NA())</f>
        <v>3.6262099350956409E-2</v>
      </c>
    </row>
    <row r="225" spans="2:7" hidden="1" outlineLevel="1" x14ac:dyDescent="0.45">
      <c r="B225" s="67">
        <v>4</v>
      </c>
      <c r="C225" s="65">
        <f ca="1">IF(ISNUMBER($C$118),$C$118+($C$218-$C$118)*4/24,NA())</f>
        <v>0.23203094669595137</v>
      </c>
      <c r="D225" s="68">
        <f t="shared" ca="1" si="2"/>
        <v>7</v>
      </c>
      <c r="E225" s="65">
        <f t="shared" ca="1" si="3"/>
        <v>0.23823149712038189</v>
      </c>
      <c r="F225" s="66">
        <f t="shared" ca="1" si="4"/>
        <v>3.1960496004225618E-2</v>
      </c>
      <c r="G225" s="66" cm="1">
        <f t="array" aca="1" ref="G225" ca="1">IF(ISNUMBER(D225),IF(D225&gt;=101,INDEX($B$118:$B$218,101),INDEX($B$118:$B$218,D225)+(C225-INDEX($C$118:$C$218,D225))/MAX(0.000000000001,INDEX($C$118:$C$218,D225+1)-INDEX($C$118:$C$218,D225))*(INDEX($B$118:$B$218,D225+1)-INDEX($B$118:$B$218,D225))),NA())</f>
        <v>6.0114865753478415E-2</v>
      </c>
    </row>
    <row r="226" spans="2:7" hidden="1" outlineLevel="1" x14ac:dyDescent="0.45">
      <c r="B226" s="67">
        <v>5</v>
      </c>
      <c r="C226" s="65">
        <f ca="1">IF(ISNUMBER($C$118),$C$118+($C$218-$C$118)*5/24,NA())</f>
        <v>0.24443204754481243</v>
      </c>
      <c r="D226" s="68">
        <f t="shared" ca="1" si="2"/>
        <v>10</v>
      </c>
      <c r="E226" s="65">
        <f t="shared" ca="1" si="3"/>
        <v>0.25063259796924298</v>
      </c>
      <c r="F226" s="66">
        <f t="shared" ca="1" si="4"/>
        <v>4.5907547652008912E-2</v>
      </c>
      <c r="G226" s="66" cm="1">
        <f t="array" aca="1" ref="G226" ca="1">IF(ISNUMBER(D226),IF(D226&gt;=101,INDEX($B$118:$B$218,101),INDEX($B$118:$B$218,D226)+(C226-INDEX($C$118:$C$218,D226))/MAX(0.000000000001,INDEX($C$118:$C$218,D226+1)-INDEX($C$118:$C$218,D226))*(INDEX($B$118:$B$218,D226+1)-INDEX($B$118:$B$218,D226))),NA())</f>
        <v>9.2075361757704033E-2</v>
      </c>
    </row>
    <row r="227" spans="2:7" hidden="1" outlineLevel="1" x14ac:dyDescent="0.45">
      <c r="B227" s="67">
        <v>6</v>
      </c>
      <c r="C227" s="65">
        <f ca="1">IF(ISNUMBER($C$118),$C$118+($C$218-$C$118)*6/24,NA())</f>
        <v>0.25683314839367349</v>
      </c>
      <c r="D227" s="68">
        <f t="shared" ca="1" si="2"/>
        <v>14</v>
      </c>
      <c r="E227" s="65">
        <f t="shared" ca="1" si="3"/>
        <v>0.26303369881810401</v>
      </c>
      <c r="F227" s="66">
        <f t="shared" ca="1" si="4"/>
        <v>5.2331728683435663E-2</v>
      </c>
      <c r="G227" s="66" cm="1">
        <f t="array" aca="1" ref="G227" ca="1">IF(ISNUMBER(D227),IF(D227&gt;=101,INDEX($B$118:$B$218,101),INDEX($B$118:$B$218,D227)+(C227-INDEX($C$118:$C$218,D227))/MAX(0.000000000001,INDEX($C$118:$C$218,D227+1)-INDEX($C$118:$C$218,D227))*(INDEX($B$118:$B$218,D227+1)-INDEX($B$118:$B$218,D227))),NA())</f>
        <v>0.13798290940971294</v>
      </c>
    </row>
    <row r="228" spans="2:7" hidden="1" outlineLevel="1" x14ac:dyDescent="0.45">
      <c r="B228" s="67">
        <v>7</v>
      </c>
      <c r="C228" s="65">
        <f ca="1">IF(ISNUMBER($C$118),$C$118+($C$218-$C$118)*7/24,NA())</f>
        <v>0.26923424924253453</v>
      </c>
      <c r="D228" s="68">
        <f t="shared" ca="1" si="2"/>
        <v>20</v>
      </c>
      <c r="E228" s="65">
        <f t="shared" ca="1" si="3"/>
        <v>0.27543479966696505</v>
      </c>
      <c r="F228" s="66">
        <f t="shared" ca="1" si="4"/>
        <v>6.7619809977024575E-2</v>
      </c>
      <c r="G228" s="66" cm="1">
        <f t="array" aca="1" ref="G228" ca="1">IF(ISNUMBER(D228),IF(D228&gt;=101,INDEX($B$118:$B$218,101),INDEX($B$118:$B$218,D228)+(C228-INDEX($C$118:$C$218,D228))/MAX(0.000000000001,INDEX($C$118:$C$218,D228+1)-INDEX($C$118:$C$218,D228))*(INDEX($B$118:$B$218,D228+1)-INDEX($B$118:$B$218,D228))),NA())</f>
        <v>0.19031463809314861</v>
      </c>
    </row>
    <row r="229" spans="2:7" hidden="1" outlineLevel="1" x14ac:dyDescent="0.45">
      <c r="B229" s="67">
        <v>8</v>
      </c>
      <c r="C229" s="65">
        <f ca="1">IF(ISNUMBER($C$118),$C$118+($C$218-$C$118)*8/24,NA())</f>
        <v>0.28163535009139562</v>
      </c>
      <c r="D229" s="68">
        <f t="shared" ca="1" si="2"/>
        <v>26</v>
      </c>
      <c r="E229" s="65">
        <f t="shared" ca="1" si="3"/>
        <v>0.28783590051582619</v>
      </c>
      <c r="F229" s="66">
        <f t="shared" ca="1" si="4"/>
        <v>7.5871768238815973E-2</v>
      </c>
      <c r="G229" s="66" cm="1">
        <f t="array" aca="1" ref="G229" ca="1">IF(ISNUMBER(D229),IF(D229&gt;=101,INDEX($B$118:$B$218,101),INDEX($B$118:$B$218,D229)+(C229-INDEX($C$118:$C$218,D229))/MAX(0.000000000001,INDEX($C$118:$C$218,D229+1)-INDEX($C$118:$C$218,D229))*(INDEX($B$118:$B$218,D229+1)-INDEX($B$118:$B$218,D229))),NA())</f>
        <v>0.25793444807017318</v>
      </c>
    </row>
    <row r="230" spans="2:7" hidden="1" outlineLevel="1" x14ac:dyDescent="0.45">
      <c r="B230" s="67">
        <v>9</v>
      </c>
      <c r="C230" s="65">
        <f ca="1">IF(ISNUMBER($C$118),$C$118+($C$218-$C$118)*9/24,NA())</f>
        <v>0.29403645094025671</v>
      </c>
      <c r="D230" s="68">
        <f t="shared" ca="1" si="2"/>
        <v>34</v>
      </c>
      <c r="E230" s="65">
        <f t="shared" ca="1" si="3"/>
        <v>0.30023700136468723</v>
      </c>
      <c r="F230" s="66">
        <f t="shared" ca="1" si="4"/>
        <v>8.4145769882014554E-2</v>
      </c>
      <c r="G230" s="66" cm="1">
        <f t="array" aca="1" ref="G230" ca="1">IF(ISNUMBER(D230),IF(D230&gt;=101,INDEX($B$118:$B$218,101),INDEX($B$118:$B$218,D230)+(C230-INDEX($C$118:$C$218,D230))/MAX(0.000000000001,INDEX($C$118:$C$218,D230+1)-INDEX($C$118:$C$218,D230))*(INDEX($B$118:$B$218,D230+1)-INDEX($B$118:$B$218,D230))),NA())</f>
        <v>0.33380621630898916</v>
      </c>
    </row>
    <row r="231" spans="2:7" hidden="1" outlineLevel="1" x14ac:dyDescent="0.45">
      <c r="B231" s="67">
        <v>10</v>
      </c>
      <c r="C231" s="65">
        <f ca="1">IF(ISNUMBER($C$118),$C$118+($C$218-$C$118)*10/24,NA())</f>
        <v>0.30643755178911775</v>
      </c>
      <c r="D231" s="68">
        <f t="shared" ca="1" si="2"/>
        <v>42</v>
      </c>
      <c r="E231" s="65">
        <f t="shared" ca="1" si="3"/>
        <v>0.31263810221354826</v>
      </c>
      <c r="F231" s="66">
        <f t="shared" ca="1" si="4"/>
        <v>8.1395699937628518E-2</v>
      </c>
      <c r="G231" s="66" cm="1">
        <f t="array" aca="1" ref="G231" ca="1">IF(ISNUMBER(D231),IF(D231&gt;=101,INDEX($B$118:$B$218,101),INDEX($B$118:$B$218,D231)+(C231-INDEX($C$118:$C$218,D231))/MAX(0.000000000001,INDEX($C$118:$C$218,D231+1)-INDEX($C$118:$C$218,D231))*(INDEX($B$118:$B$218,D231+1)-INDEX($B$118:$B$218,D231))),NA())</f>
        <v>0.41795198619100371</v>
      </c>
    </row>
    <row r="232" spans="2:7" hidden="1" outlineLevel="1" x14ac:dyDescent="0.45">
      <c r="B232" s="67">
        <v>11</v>
      </c>
      <c r="C232" s="65">
        <f ca="1">IF(ISNUMBER($C$118),$C$118+($C$218-$C$118)*11/24,NA())</f>
        <v>0.31883865263797884</v>
      </c>
      <c r="D232" s="68">
        <f t="shared" ca="1" si="2"/>
        <v>50</v>
      </c>
      <c r="E232" s="65">
        <f t="shared" ca="1" si="3"/>
        <v>0.32503920306240935</v>
      </c>
      <c r="F232" s="66">
        <f t="shared" ca="1" si="4"/>
        <v>7.8548751256848792E-2</v>
      </c>
      <c r="G232" s="66" cm="1">
        <f t="array" aca="1" ref="G232" ca="1">IF(ISNUMBER(D232),IF(D232&gt;=101,INDEX($B$118:$B$218,101),INDEX($B$118:$B$218,D232)+(C232-INDEX($C$118:$C$218,D232))/MAX(0.000000000001,INDEX($C$118:$C$218,D232+1)-INDEX($C$118:$C$218,D232))*(INDEX($B$118:$B$218,D232+1)-INDEX($B$118:$B$218,D232))),NA())</f>
        <v>0.49934768612863223</v>
      </c>
    </row>
    <row r="233" spans="2:7" hidden="1" outlineLevel="1" x14ac:dyDescent="0.45">
      <c r="B233" s="67">
        <v>12</v>
      </c>
      <c r="C233" s="65">
        <f ca="1">IF(ISNUMBER($C$118),$C$118+($C$218-$C$118)*12/24,NA())</f>
        <v>0.33123975348683987</v>
      </c>
      <c r="D233" s="68">
        <f t="shared" ca="1" si="2"/>
        <v>58</v>
      </c>
      <c r="E233" s="65">
        <f t="shared" ca="1" si="3"/>
        <v>0.33744030391127039</v>
      </c>
      <c r="F233" s="66">
        <f t="shared" ca="1" si="4"/>
        <v>7.5045463900813791E-2</v>
      </c>
      <c r="G233" s="66" cm="1">
        <f t="array" aca="1" ref="G233" ca="1">IF(ISNUMBER(D233),IF(D233&gt;=101,INDEX($B$118:$B$218,101),INDEX($B$118:$B$218,D233)+(C233-INDEX($C$118:$C$218,D233))/MAX(0.000000000001,INDEX($C$118:$C$218,D233+1)-INDEX($C$118:$C$218,D233))*(INDEX($B$118:$B$218,D233+1)-INDEX($B$118:$B$218,D233))),NA())</f>
        <v>0.57789643738548102</v>
      </c>
    </row>
    <row r="234" spans="2:7" hidden="1" outlineLevel="1" x14ac:dyDescent="0.45">
      <c r="B234" s="67">
        <v>13</v>
      </c>
      <c r="C234" s="65">
        <f ca="1">IF(ISNUMBER($C$118),$C$118+($C$218-$C$118)*13/24,NA())</f>
        <v>0.34364085433570091</v>
      </c>
      <c r="D234" s="68">
        <f t="shared" ca="1" si="2"/>
        <v>66</v>
      </c>
      <c r="E234" s="65">
        <f t="shared" ca="1" si="3"/>
        <v>0.34984140476013142</v>
      </c>
      <c r="F234" s="66">
        <f t="shared" ca="1" si="4"/>
        <v>7.0355636962690538E-2</v>
      </c>
      <c r="G234" s="66" cm="1">
        <f t="array" aca="1" ref="G234" ca="1">IF(ISNUMBER(D234),IF(D234&gt;=101,INDEX($B$118:$B$218,101),INDEX($B$118:$B$218,D234)+(C234-INDEX($C$118:$C$218,D234))/MAX(0.000000000001,INDEX($C$118:$C$218,D234+1)-INDEX($C$118:$C$218,D234))*(INDEX($B$118:$B$218,D234+1)-INDEX($B$118:$B$218,D234))),NA())</f>
        <v>0.65294190128629481</v>
      </c>
    </row>
    <row r="235" spans="2:7" hidden="1" outlineLevel="1" x14ac:dyDescent="0.45">
      <c r="B235" s="67">
        <v>14</v>
      </c>
      <c r="C235" s="65">
        <f ca="1">IF(ISNUMBER($C$118),$C$118+($C$218-$C$118)*14/24,NA())</f>
        <v>0.35604195518456194</v>
      </c>
      <c r="D235" s="68">
        <f t="shared" ca="1" si="2"/>
        <v>73</v>
      </c>
      <c r="E235" s="65">
        <f t="shared" ca="1" si="3"/>
        <v>0.36224250560899252</v>
      </c>
      <c r="F235" s="66">
        <f t="shared" ca="1" si="4"/>
        <v>6.3356652589928175E-2</v>
      </c>
      <c r="G235" s="66" cm="1">
        <f t="array" aca="1" ref="G235" ca="1">IF(ISNUMBER(D235),IF(D235&gt;=101,INDEX($B$118:$B$218,101),INDEX($B$118:$B$218,D235)+(C235-INDEX($C$118:$C$218,D235))/MAX(0.000000000001,INDEX($C$118:$C$218,D235+1)-INDEX($C$118:$C$218,D235))*(INDEX($B$118:$B$218,D235+1)-INDEX($B$118:$B$218,D235))),NA())</f>
        <v>0.72329753824898535</v>
      </c>
    </row>
    <row r="236" spans="2:7" hidden="1" outlineLevel="1" x14ac:dyDescent="0.45">
      <c r="B236" s="67">
        <v>15</v>
      </c>
      <c r="C236" s="65">
        <f ca="1">IF(ISNUMBER($C$118),$C$118+($C$218-$C$118)*15/24,NA())</f>
        <v>0.36844305603342309</v>
      </c>
      <c r="D236" s="68">
        <f t="shared" ca="1" si="2"/>
        <v>79</v>
      </c>
      <c r="E236" s="65">
        <f t="shared" ca="1" si="3"/>
        <v>0.37464360645785361</v>
      </c>
      <c r="F236" s="66">
        <f t="shared" ca="1" si="4"/>
        <v>5.0626089081374559E-2</v>
      </c>
      <c r="G236" s="66" cm="1">
        <f t="array" aca="1" ref="G236" ca="1">IF(ISNUMBER(D236),IF(D236&gt;=101,INDEX($B$118:$B$218,101),INDEX($B$118:$B$218,D236)+(C236-INDEX($C$118:$C$218,D236))/MAX(0.000000000001,INDEX($C$118:$C$218,D236+1)-INDEX($C$118:$C$218,D236))*(INDEX($B$118:$B$218,D236+1)-INDEX($B$118:$B$218,D236))),NA())</f>
        <v>0.78665419083891353</v>
      </c>
    </row>
    <row r="237" spans="2:7" hidden="1" outlineLevel="1" x14ac:dyDescent="0.45">
      <c r="B237" s="67">
        <v>16</v>
      </c>
      <c r="C237" s="65">
        <f ca="1">IF(ISNUMBER($C$118),$C$118+($C$218-$C$118)*16/24,NA())</f>
        <v>0.38084415688228412</v>
      </c>
      <c r="D237" s="68">
        <f t="shared" ca="1" si="2"/>
        <v>84</v>
      </c>
      <c r="E237" s="65">
        <f t="shared" ca="1" si="3"/>
        <v>0.38704470730671464</v>
      </c>
      <c r="F237" s="66">
        <f t="shared" ca="1" si="4"/>
        <v>4.4092466984107515E-2</v>
      </c>
      <c r="G237" s="66" cm="1">
        <f t="array" aca="1" ref="G237" ca="1">IF(ISNUMBER(D237),IF(D237&gt;=101,INDEX($B$118:$B$218,101),INDEX($B$118:$B$218,D237)+(C237-INDEX($C$118:$C$218,D237))/MAX(0.000000000001,INDEX($C$118:$C$218,D237+1)-INDEX($C$118:$C$218,D237))*(INDEX($B$118:$B$218,D237+1)-INDEX($B$118:$B$218,D237))),NA())</f>
        <v>0.83728027992028808</v>
      </c>
    </row>
    <row r="238" spans="2:7" hidden="1" outlineLevel="1" x14ac:dyDescent="0.45">
      <c r="B238" s="67">
        <v>17</v>
      </c>
      <c r="C238" s="65">
        <f ca="1">IF(ISNUMBER($C$118),$C$118+($C$218-$C$118)*17/24,NA())</f>
        <v>0.39324525773114516</v>
      </c>
      <c r="D238" s="68">
        <f t="shared" ca="1" si="2"/>
        <v>89</v>
      </c>
      <c r="E238" s="65">
        <f t="shared" ca="1" si="3"/>
        <v>0.39944580815557573</v>
      </c>
      <c r="F238" s="66">
        <f t="shared" ca="1" si="4"/>
        <v>3.2676942511182694E-2</v>
      </c>
      <c r="G238" s="66" cm="1">
        <f t="array" aca="1" ref="G238" ca="1">IF(ISNUMBER(D238),IF(D238&gt;=101,INDEX($B$118:$B$218,101),INDEX($B$118:$B$218,D238)+(C238-INDEX($C$118:$C$218,D238))/MAX(0.000000000001,INDEX($C$118:$C$218,D238+1)-INDEX($C$118:$C$218,D238))*(INDEX($B$118:$B$218,D238+1)-INDEX($B$118:$B$218,D238))),NA())</f>
        <v>0.8813727469043956</v>
      </c>
    </row>
    <row r="239" spans="2:7" hidden="1" outlineLevel="1" x14ac:dyDescent="0.45">
      <c r="B239" s="67">
        <v>18</v>
      </c>
      <c r="C239" s="65">
        <f ca="1">IF(ISNUMBER($C$118),$C$118+($C$218-$C$118)*18/24,NA())</f>
        <v>0.40564635858000631</v>
      </c>
      <c r="D239" s="68">
        <f t="shared" ca="1" si="2"/>
        <v>92</v>
      </c>
      <c r="E239" s="65">
        <f t="shared" ca="1" si="3"/>
        <v>0.41184690900443682</v>
      </c>
      <c r="F239" s="66">
        <f t="shared" ca="1" si="4"/>
        <v>2.7428313322381936E-2</v>
      </c>
      <c r="G239" s="66" cm="1">
        <f t="array" aca="1" ref="G239" ca="1">IF(ISNUMBER(D239),IF(D239&gt;=101,INDEX($B$118:$B$218,101),INDEX($B$118:$B$218,D239)+(C239-INDEX($C$118:$C$218,D239))/MAX(0.000000000001,INDEX($C$118:$C$218,D239+1)-INDEX($C$118:$C$218,D239))*(INDEX($B$118:$B$218,D239+1)-INDEX($B$118:$B$218,D239))),NA())</f>
        <v>0.91404968941557829</v>
      </c>
    </row>
    <row r="240" spans="2:7" hidden="1" outlineLevel="1" x14ac:dyDescent="0.45">
      <c r="B240" s="67">
        <v>19</v>
      </c>
      <c r="C240" s="65">
        <f ca="1">IF(ISNUMBER($C$118),$C$118+($C$218-$C$118)*19/24,NA())</f>
        <v>0.41804745942886734</v>
      </c>
      <c r="D240" s="68">
        <f t="shared" ca="1" si="2"/>
        <v>95</v>
      </c>
      <c r="E240" s="65">
        <f t="shared" ca="1" si="3"/>
        <v>0.42424800985329786</v>
      </c>
      <c r="F240" s="66">
        <f t="shared" ca="1" si="4"/>
        <v>1.9988304992011097E-2</v>
      </c>
      <c r="G240" s="66" cm="1">
        <f t="array" aca="1" ref="G240" ca="1">IF(ISNUMBER(D240),IF(D240&gt;=101,INDEX($B$118:$B$218,101),INDEX($B$118:$B$218,D240)+(C240-INDEX($C$118:$C$218,D240))/MAX(0.000000000001,INDEX($C$118:$C$218,D240+1)-INDEX($C$118:$C$218,D240))*(INDEX($B$118:$B$218,D240+1)-INDEX($B$118:$B$218,D240))),NA())</f>
        <v>0.94147800273796023</v>
      </c>
    </row>
    <row r="241" spans="2:7" hidden="1" outlineLevel="1" x14ac:dyDescent="0.45">
      <c r="B241" s="67">
        <v>20</v>
      </c>
      <c r="C241" s="65">
        <f ca="1">IF(ISNUMBER($C$118),$C$118+($C$218-$C$118)*20/24,NA())</f>
        <v>0.43044856027772838</v>
      </c>
      <c r="D241" s="68">
        <f t="shared" ca="1" si="2"/>
        <v>97</v>
      </c>
      <c r="E241" s="65">
        <f t="shared" ca="1" si="3"/>
        <v>0.43664911070215895</v>
      </c>
      <c r="F241" s="66">
        <f t="shared" ca="1" si="4"/>
        <v>1.326449017669229E-2</v>
      </c>
      <c r="G241" s="66" cm="1">
        <f t="array" aca="1" ref="G241" ca="1">IF(ISNUMBER(D241),IF(D241&gt;=101,INDEX($B$118:$B$218,101),INDEX($B$118:$B$218,D241)+(C241-INDEX($C$118:$C$218,D241))/MAX(0.000000000001,INDEX($C$118:$C$218,D241+1)-INDEX($C$118:$C$218,D241))*(INDEX($B$118:$B$218,D241+1)-INDEX($B$118:$B$218,D241))),NA())</f>
        <v>0.96146630772997133</v>
      </c>
    </row>
    <row r="242" spans="2:7" hidden="1" outlineLevel="1" x14ac:dyDescent="0.45">
      <c r="B242" s="67">
        <v>21</v>
      </c>
      <c r="C242" s="65">
        <f ca="1">IF(ISNUMBER($C$118),$C$118+($C$218-$C$118)*21/24,NA())</f>
        <v>0.44284966112658947</v>
      </c>
      <c r="D242" s="68">
        <f t="shared" ca="1" si="2"/>
        <v>98</v>
      </c>
      <c r="E242" s="65">
        <f t="shared" ca="1" si="3"/>
        <v>0.44905021155101998</v>
      </c>
      <c r="F242" s="66">
        <f t="shared" ca="1" si="4"/>
        <v>9.1925534475203463E-3</v>
      </c>
      <c r="G242" s="66" cm="1">
        <f t="array" aca="1" ref="G242" ca="1">IF(ISNUMBER(D242),IF(D242&gt;=101,INDEX($B$118:$B$218,101),INDEX($B$118:$B$218,D242)+(C242-INDEX($C$118:$C$218,D242))/MAX(0.000000000001,INDEX($C$118:$C$218,D242+1)-INDEX($C$118:$C$218,D242))*(INDEX($B$118:$B$218,D242+1)-INDEX($B$118:$B$218,D242))),NA())</f>
        <v>0.97473079790666362</v>
      </c>
    </row>
    <row r="243" spans="2:7" hidden="1" outlineLevel="1" x14ac:dyDescent="0.45">
      <c r="B243" s="67">
        <v>22</v>
      </c>
      <c r="C243" s="65">
        <f ca="1">IF(ISNUMBER($C$118),$C$118+($C$218-$C$118)*22/24,NA())</f>
        <v>0.4552507619754505</v>
      </c>
      <c r="D243" s="68">
        <f t="shared" ca="1" si="2"/>
        <v>99</v>
      </c>
      <c r="E243" s="65">
        <f t="shared" ca="1" si="3"/>
        <v>0.46145131239988102</v>
      </c>
      <c r="F243" s="66">
        <f t="shared" ca="1" si="4"/>
        <v>6.7148768796903013E-3</v>
      </c>
      <c r="G243" s="66" cm="1">
        <f t="array" aca="1" ref="G243" ca="1">IF(ISNUMBER(D243),IF(D243&gt;=101,INDEX($B$118:$B$218,101),INDEX($B$118:$B$218,D243)+(C243-INDEX($C$118:$C$218,D243))/MAX(0.000000000001,INDEX($C$118:$C$218,D243+1)-INDEX($C$118:$C$218,D243))*(INDEX($B$118:$B$218,D243+1)-INDEX($B$118:$B$218,D243))),NA())</f>
        <v>0.98392335135418396</v>
      </c>
    </row>
    <row r="244" spans="2:7" hidden="1" outlineLevel="1" x14ac:dyDescent="0.45">
      <c r="B244" s="67">
        <v>23</v>
      </c>
      <c r="C244" s="65">
        <f ca="1">IF(ISNUMBER($C$118),$C$118+($C$218-$C$118)*23/24,NA())</f>
        <v>0.46765186282431154</v>
      </c>
      <c r="D244" s="68">
        <f t="shared" ca="1" si="2"/>
        <v>100</v>
      </c>
      <c r="E244" s="65">
        <f t="shared" ca="1" si="3"/>
        <v>0.47385241324874205</v>
      </c>
      <c r="F244" s="66">
        <f t="shared" ca="1" si="4"/>
        <v>4.3617717661257327E-3</v>
      </c>
      <c r="G244" s="66" cm="1">
        <f t="array" aca="1" ref="G244" ca="1">IF(ISNUMBER(D244),IF(D244&gt;=101,INDEX($B$118:$B$218,101),INDEX($B$118:$B$218,D244)+(C244-INDEX($C$118:$C$218,D244))/MAX(0.000000000001,INDEX($C$118:$C$218,D244+1)-INDEX($C$118:$C$218,D244))*(INDEX($B$118:$B$218,D244+1)-INDEX($B$118:$B$218,D244))),NA())</f>
        <v>0.99063822823387426</v>
      </c>
    </row>
    <row r="245" spans="2:7" hidden="1" outlineLevel="1" x14ac:dyDescent="0.45">
      <c r="B245" s="67">
        <v>24</v>
      </c>
      <c r="C245" s="65">
        <f ca="1">IF(ISNUMBER($C$118),$C$118+($C$218-$C$118)*24/24,NA())</f>
        <v>0.48005296367317263</v>
      </c>
      <c r="D245" s="68">
        <f t="shared" ca="1" si="2"/>
        <v>101</v>
      </c>
      <c r="G245" s="66" cm="1">
        <f t="array" aca="1" ref="G245" ca="1">IF(ISNUMBER(D245),IF(D245&gt;=101,INDEX($B$118:$B$218,101),INDEX($B$118:$B$218,D245)+(C245-INDEX($C$118:$C$218,D245))/MAX(0.000000000001,INDEX($C$118:$C$218,D245+1)-INDEX($C$118:$C$218,D245))*(INDEX($B$118:$B$218,D245+1)-INDEX($B$118:$B$218,D245))),NA())</f>
        <v>0.995</v>
      </c>
    </row>
    <row r="246" spans="2:7" hidden="1" outlineLevel="1" x14ac:dyDescent="0.45"/>
    <row r="247" spans="2:7" ht="18" hidden="1" customHeight="1" outlineLevel="1" x14ac:dyDescent="0.45">
      <c r="B247" s="23" t="s">
        <v>245</v>
      </c>
      <c r="C247" s="24" t="s">
        <v>136</v>
      </c>
      <c r="D247" s="5"/>
      <c r="E247" s="5"/>
      <c r="F247" s="5"/>
      <c r="G247" s="5"/>
    </row>
    <row r="248" spans="2:7" hidden="1" outlineLevel="1" x14ac:dyDescent="0.45">
      <c r="B248" s="66">
        <v>5.0000000000000001E-3</v>
      </c>
      <c r="C248" s="65" cm="1">
        <f t="array" aca="1" ref="C248" ca="1">IF(ISNUMBER(_xll.VoseSimPercentile(FinalX,0.005)),_xll.VoseSimPercentile(FinalX,0.005),NA())</f>
        <v>22</v>
      </c>
    </row>
    <row r="249" spans="2:7" hidden="1" outlineLevel="1" x14ac:dyDescent="0.45">
      <c r="B249" s="66">
        <v>0.01</v>
      </c>
      <c r="C249" s="65" cm="1">
        <f t="array" aca="1" ref="C249" ca="1">IF(ISNUMBER(_xll.VoseSimPercentile(FinalX,0.01)),_xll.VoseSimPercentile(FinalX,0.01),NA())</f>
        <v>23</v>
      </c>
    </row>
    <row r="250" spans="2:7" hidden="1" outlineLevel="1" x14ac:dyDescent="0.45">
      <c r="B250" s="66">
        <v>0.02</v>
      </c>
      <c r="C250" s="65" cm="1">
        <f t="array" aca="1" ref="C250" ca="1">IF(ISNUMBER(_xll.VoseSimPercentile(FinalX,0.02)),_xll.VoseSimPercentile(FinalX,0.02),NA())</f>
        <v>24</v>
      </c>
    </row>
    <row r="251" spans="2:7" hidden="1" outlineLevel="1" x14ac:dyDescent="0.45">
      <c r="B251" s="66">
        <v>0.03</v>
      </c>
      <c r="C251" s="65" cm="1">
        <f t="array" aca="1" ref="C251" ca="1">IF(ISNUMBER(_xll.VoseSimPercentile(FinalX,0.03)),_xll.VoseSimPercentile(FinalX,0.03),NA())</f>
        <v>24</v>
      </c>
    </row>
    <row r="252" spans="2:7" hidden="1" outlineLevel="1" x14ac:dyDescent="0.45">
      <c r="B252" s="66">
        <v>0.04</v>
      </c>
      <c r="C252" s="65" cm="1">
        <f t="array" aca="1" ref="C252" ca="1">IF(ISNUMBER(_xll.VoseSimPercentile(FinalX,0.04)),_xll.VoseSimPercentile(FinalX,0.04),NA())</f>
        <v>25</v>
      </c>
    </row>
    <row r="253" spans="2:7" hidden="1" outlineLevel="1" x14ac:dyDescent="0.45">
      <c r="B253" s="66">
        <v>0.05</v>
      </c>
      <c r="C253" s="65" cm="1">
        <f t="array" aca="1" ref="C253" ca="1">IF(ISNUMBER(_xll.VoseSimPercentile(FinalX,0.05)),_xll.VoseSimPercentile(FinalX,0.05),NA())</f>
        <v>25</v>
      </c>
    </row>
    <row r="254" spans="2:7" hidden="1" outlineLevel="1" x14ac:dyDescent="0.45">
      <c r="B254" s="66">
        <v>0.06</v>
      </c>
      <c r="C254" s="65" cm="1">
        <f t="array" aca="1" ref="C254" ca="1">IF(ISNUMBER(_xll.VoseSimPercentile(FinalX,0.06)),_xll.VoseSimPercentile(FinalX,0.06),NA())</f>
        <v>26</v>
      </c>
    </row>
    <row r="255" spans="2:7" hidden="1" outlineLevel="1" x14ac:dyDescent="0.45">
      <c r="B255" s="66">
        <v>7.0000000000000007E-2</v>
      </c>
      <c r="C255" s="65" cm="1">
        <f t="array" aca="1" ref="C255" ca="1">IF(ISNUMBER(_xll.VoseSimPercentile(FinalX,0.07)),_xll.VoseSimPercentile(FinalX,0.07),NA())</f>
        <v>26</v>
      </c>
    </row>
    <row r="256" spans="2:7" hidden="1" outlineLevel="1" x14ac:dyDescent="0.45">
      <c r="B256" s="66">
        <v>0.08</v>
      </c>
      <c r="C256" s="65" cm="1">
        <f t="array" aca="1" ref="C256" ca="1">IF(ISNUMBER(_xll.VoseSimPercentile(FinalX,0.08)),_xll.VoseSimPercentile(FinalX,0.08),NA())</f>
        <v>26</v>
      </c>
    </row>
    <row r="257" spans="2:3" hidden="1" outlineLevel="1" x14ac:dyDescent="0.45">
      <c r="B257" s="66">
        <v>0.09</v>
      </c>
      <c r="C257" s="65" cm="1">
        <f t="array" aca="1" ref="C257" ca="1">IF(ISNUMBER(_xll.VoseSimPercentile(FinalX,0.09)),_xll.VoseSimPercentile(FinalX,0.09),NA())</f>
        <v>27</v>
      </c>
    </row>
    <row r="258" spans="2:3" hidden="1" outlineLevel="1" x14ac:dyDescent="0.45">
      <c r="B258" s="66">
        <v>0.1</v>
      </c>
      <c r="C258" s="65" cm="1">
        <f t="array" aca="1" ref="C258" ca="1">IF(ISNUMBER(_xll.VoseSimPercentile(FinalX,0.1)),_xll.VoseSimPercentile(FinalX,0.1),NA())</f>
        <v>27</v>
      </c>
    </row>
    <row r="259" spans="2:3" hidden="1" outlineLevel="1" x14ac:dyDescent="0.45">
      <c r="B259" s="66">
        <v>0.11</v>
      </c>
      <c r="C259" s="65" cm="1">
        <f t="array" aca="1" ref="C259" ca="1">IF(ISNUMBER(_xll.VoseSimPercentile(FinalX,0.11)),_xll.VoseSimPercentile(FinalX,0.11),NA())</f>
        <v>27</v>
      </c>
    </row>
    <row r="260" spans="2:3" hidden="1" outlineLevel="1" x14ac:dyDescent="0.45">
      <c r="B260" s="66">
        <v>0.12</v>
      </c>
      <c r="C260" s="65" cm="1">
        <f t="array" aca="1" ref="C260" ca="1">IF(ISNUMBER(_xll.VoseSimPercentile(FinalX,0.12)),_xll.VoseSimPercentile(FinalX,0.12),NA())</f>
        <v>28</v>
      </c>
    </row>
    <row r="261" spans="2:3" hidden="1" outlineLevel="1" x14ac:dyDescent="0.45">
      <c r="B261" s="66">
        <v>0.13</v>
      </c>
      <c r="C261" s="65" cm="1">
        <f t="array" aca="1" ref="C261" ca="1">IF(ISNUMBER(_xll.VoseSimPercentile(FinalX,0.13)),_xll.VoseSimPercentile(FinalX,0.13),NA())</f>
        <v>28</v>
      </c>
    </row>
    <row r="262" spans="2:3" hidden="1" outlineLevel="1" x14ac:dyDescent="0.45">
      <c r="B262" s="66">
        <v>0.14000000000000001</v>
      </c>
      <c r="C262" s="65" cm="1">
        <f t="array" aca="1" ref="C262" ca="1">IF(ISNUMBER(_xll.VoseSimPercentile(FinalX,0.14)),_xll.VoseSimPercentile(FinalX,0.14),NA())</f>
        <v>28</v>
      </c>
    </row>
    <row r="263" spans="2:3" hidden="1" outlineLevel="1" x14ac:dyDescent="0.45">
      <c r="B263" s="66">
        <v>0.15</v>
      </c>
      <c r="C263" s="65" cm="1">
        <f t="array" aca="1" ref="C263" ca="1">IF(ISNUMBER(_xll.VoseSimPercentile(FinalX,0.15)),_xll.VoseSimPercentile(FinalX,0.15),NA())</f>
        <v>28</v>
      </c>
    </row>
    <row r="264" spans="2:3" hidden="1" outlineLevel="1" x14ac:dyDescent="0.45">
      <c r="B264" s="66">
        <v>0.16</v>
      </c>
      <c r="C264" s="65" cm="1">
        <f t="array" aca="1" ref="C264" ca="1">IF(ISNUMBER(_xll.VoseSimPercentile(FinalX,0.16)),_xll.VoseSimPercentile(FinalX,0.16),NA())</f>
        <v>28</v>
      </c>
    </row>
    <row r="265" spans="2:3" hidden="1" outlineLevel="1" x14ac:dyDescent="0.45">
      <c r="B265" s="66">
        <v>0.17</v>
      </c>
      <c r="C265" s="65" cm="1">
        <f t="array" aca="1" ref="C265" ca="1">IF(ISNUMBER(_xll.VoseSimPercentile(FinalX,0.17)),_xll.VoseSimPercentile(FinalX,0.17),NA())</f>
        <v>28</v>
      </c>
    </row>
    <row r="266" spans="2:3" hidden="1" outlineLevel="1" x14ac:dyDescent="0.45">
      <c r="B266" s="66">
        <v>0.18</v>
      </c>
      <c r="C266" s="65" cm="1">
        <f t="array" aca="1" ref="C266" ca="1">IF(ISNUMBER(_xll.VoseSimPercentile(FinalX,0.18)),_xll.VoseSimPercentile(FinalX,0.18),NA())</f>
        <v>29</v>
      </c>
    </row>
    <row r="267" spans="2:3" hidden="1" outlineLevel="1" x14ac:dyDescent="0.45">
      <c r="B267" s="66">
        <v>0.19</v>
      </c>
      <c r="C267" s="65" cm="1">
        <f t="array" aca="1" ref="C267" ca="1">IF(ISNUMBER(_xll.VoseSimPercentile(FinalX,0.19)),_xll.VoseSimPercentile(FinalX,0.19),NA())</f>
        <v>29</v>
      </c>
    </row>
    <row r="268" spans="2:3" hidden="1" outlineLevel="1" x14ac:dyDescent="0.45">
      <c r="B268" s="66">
        <v>0.2</v>
      </c>
      <c r="C268" s="65" cm="1">
        <f t="array" aca="1" ref="C268" ca="1">IF(ISNUMBER(_xll.VoseSimPercentile(FinalX,0.2)),_xll.VoseSimPercentile(FinalX,0.2),NA())</f>
        <v>29</v>
      </c>
    </row>
    <row r="269" spans="2:3" hidden="1" outlineLevel="1" x14ac:dyDescent="0.45">
      <c r="B269" s="66">
        <v>0.21</v>
      </c>
      <c r="C269" s="65" cm="1">
        <f t="array" aca="1" ref="C269" ca="1">IF(ISNUMBER(_xll.VoseSimPercentile(FinalX,0.21)),_xll.VoseSimPercentile(FinalX,0.21),NA())</f>
        <v>29</v>
      </c>
    </row>
    <row r="270" spans="2:3" hidden="1" outlineLevel="1" x14ac:dyDescent="0.45">
      <c r="B270" s="66">
        <v>0.22</v>
      </c>
      <c r="C270" s="65" cm="1">
        <f t="array" aca="1" ref="C270" ca="1">IF(ISNUMBER(_xll.VoseSimPercentile(FinalX,0.22)),_xll.VoseSimPercentile(FinalX,0.22),NA())</f>
        <v>29</v>
      </c>
    </row>
    <row r="271" spans="2:3" hidden="1" outlineLevel="1" x14ac:dyDescent="0.45">
      <c r="B271" s="66">
        <v>0.23</v>
      </c>
      <c r="C271" s="65" cm="1">
        <f t="array" aca="1" ref="C271" ca="1">IF(ISNUMBER(_xll.VoseSimPercentile(FinalX,0.23)),_xll.VoseSimPercentile(FinalX,0.23),NA())</f>
        <v>29</v>
      </c>
    </row>
    <row r="272" spans="2:3" hidden="1" outlineLevel="1" x14ac:dyDescent="0.45">
      <c r="B272" s="66">
        <v>0.24</v>
      </c>
      <c r="C272" s="65" cm="1">
        <f t="array" aca="1" ref="C272" ca="1">IF(ISNUMBER(_xll.VoseSimPercentile(FinalX,0.24)),_xll.VoseSimPercentile(FinalX,0.24),NA())</f>
        <v>30</v>
      </c>
    </row>
    <row r="273" spans="2:3" hidden="1" outlineLevel="1" x14ac:dyDescent="0.45">
      <c r="B273" s="66">
        <v>0.25</v>
      </c>
      <c r="C273" s="65" cm="1">
        <f t="array" aca="1" ref="C273" ca="1">IF(ISNUMBER(_xll.VoseSimPercentile(FinalX,0.25)),_xll.VoseSimPercentile(FinalX,0.25),NA())</f>
        <v>30</v>
      </c>
    </row>
    <row r="274" spans="2:3" hidden="1" outlineLevel="1" x14ac:dyDescent="0.45">
      <c r="B274" s="66">
        <v>0.26</v>
      </c>
      <c r="C274" s="65" cm="1">
        <f t="array" aca="1" ref="C274" ca="1">IF(ISNUMBER(_xll.VoseSimPercentile(FinalX,0.26)),_xll.VoseSimPercentile(FinalX,0.26),NA())</f>
        <v>30</v>
      </c>
    </row>
    <row r="275" spans="2:3" hidden="1" outlineLevel="1" x14ac:dyDescent="0.45">
      <c r="B275" s="66">
        <v>0.27</v>
      </c>
      <c r="C275" s="65" cm="1">
        <f t="array" aca="1" ref="C275" ca="1">IF(ISNUMBER(_xll.VoseSimPercentile(FinalX,0.27)),_xll.VoseSimPercentile(FinalX,0.27),NA())</f>
        <v>30</v>
      </c>
    </row>
    <row r="276" spans="2:3" hidden="1" outlineLevel="1" x14ac:dyDescent="0.45">
      <c r="B276" s="66">
        <v>0.28000000000000003</v>
      </c>
      <c r="C276" s="65" cm="1">
        <f t="array" aca="1" ref="C276" ca="1">IF(ISNUMBER(_xll.VoseSimPercentile(FinalX,0.28)),_xll.VoseSimPercentile(FinalX,0.28),NA())</f>
        <v>30</v>
      </c>
    </row>
    <row r="277" spans="2:3" hidden="1" outlineLevel="1" x14ac:dyDescent="0.45">
      <c r="B277" s="66">
        <v>0.28999999999999998</v>
      </c>
      <c r="C277" s="65" cm="1">
        <f t="array" aca="1" ref="C277" ca="1">IF(ISNUMBER(_xll.VoseSimPercentile(FinalX,0.29)),_xll.VoseSimPercentile(FinalX,0.29),NA())</f>
        <v>30</v>
      </c>
    </row>
    <row r="278" spans="2:3" hidden="1" outlineLevel="1" x14ac:dyDescent="0.45">
      <c r="B278" s="66">
        <v>0.3</v>
      </c>
      <c r="C278" s="65" cm="1">
        <f t="array" aca="1" ref="C278" ca="1">IF(ISNUMBER(_xll.VoseSimPercentile(FinalX,0.3)),_xll.VoseSimPercentile(FinalX,0.3),NA())</f>
        <v>31</v>
      </c>
    </row>
    <row r="279" spans="2:3" hidden="1" outlineLevel="1" x14ac:dyDescent="0.45">
      <c r="B279" s="66">
        <v>0.31</v>
      </c>
      <c r="C279" s="65" cm="1">
        <f t="array" aca="1" ref="C279" ca="1">IF(ISNUMBER(_xll.VoseSimPercentile(FinalX,0.31)),_xll.VoseSimPercentile(FinalX,0.31),NA())</f>
        <v>31</v>
      </c>
    </row>
    <row r="280" spans="2:3" hidden="1" outlineLevel="1" x14ac:dyDescent="0.45">
      <c r="B280" s="66">
        <v>0.32</v>
      </c>
      <c r="C280" s="65" cm="1">
        <f t="array" aca="1" ref="C280" ca="1">IF(ISNUMBER(_xll.VoseSimPercentile(FinalX,0.32)),_xll.VoseSimPercentile(FinalX,0.32),NA())</f>
        <v>31</v>
      </c>
    </row>
    <row r="281" spans="2:3" hidden="1" outlineLevel="1" x14ac:dyDescent="0.45">
      <c r="B281" s="66">
        <v>0.33</v>
      </c>
      <c r="C281" s="65" cm="1">
        <f t="array" aca="1" ref="C281" ca="1">IF(ISNUMBER(_xll.VoseSimPercentile(FinalX,0.33)),_xll.VoseSimPercentile(FinalX,0.33),NA())</f>
        <v>31</v>
      </c>
    </row>
    <row r="282" spans="2:3" hidden="1" outlineLevel="1" x14ac:dyDescent="0.45">
      <c r="B282" s="66">
        <v>0.34</v>
      </c>
      <c r="C282" s="65" cm="1">
        <f t="array" aca="1" ref="C282" ca="1">IF(ISNUMBER(_xll.VoseSimPercentile(FinalX,0.34)),_xll.VoseSimPercentile(FinalX,0.34),NA())</f>
        <v>31</v>
      </c>
    </row>
    <row r="283" spans="2:3" hidden="1" outlineLevel="1" x14ac:dyDescent="0.45">
      <c r="B283" s="66">
        <v>0.35</v>
      </c>
      <c r="C283" s="65" cm="1">
        <f t="array" aca="1" ref="C283" ca="1">IF(ISNUMBER(_xll.VoseSimPercentile(FinalX,0.35)),_xll.VoseSimPercentile(FinalX,0.35),NA())</f>
        <v>31</v>
      </c>
    </row>
    <row r="284" spans="2:3" hidden="1" outlineLevel="1" x14ac:dyDescent="0.45">
      <c r="B284" s="66">
        <v>0.36</v>
      </c>
      <c r="C284" s="65" cm="1">
        <f t="array" aca="1" ref="C284" ca="1">IF(ISNUMBER(_xll.VoseSimPercentile(FinalX,0.36)),_xll.VoseSimPercentile(FinalX,0.36),NA())</f>
        <v>31</v>
      </c>
    </row>
    <row r="285" spans="2:3" hidden="1" outlineLevel="1" x14ac:dyDescent="0.45">
      <c r="B285" s="66">
        <v>0.37</v>
      </c>
      <c r="C285" s="65" cm="1">
        <f t="array" aca="1" ref="C285" ca="1">IF(ISNUMBER(_xll.VoseSimPercentile(FinalX,0.37)),_xll.VoseSimPercentile(FinalX,0.37),NA())</f>
        <v>32</v>
      </c>
    </row>
    <row r="286" spans="2:3" hidden="1" outlineLevel="1" x14ac:dyDescent="0.45">
      <c r="B286" s="66">
        <v>0.38</v>
      </c>
      <c r="C286" s="65" cm="1">
        <f t="array" aca="1" ref="C286" ca="1">IF(ISNUMBER(_xll.VoseSimPercentile(FinalX,0.38)),_xll.VoseSimPercentile(FinalX,0.38),NA())</f>
        <v>32</v>
      </c>
    </row>
    <row r="287" spans="2:3" hidden="1" outlineLevel="1" x14ac:dyDescent="0.45">
      <c r="B287" s="66">
        <v>0.39</v>
      </c>
      <c r="C287" s="65" cm="1">
        <f t="array" aca="1" ref="C287" ca="1">IF(ISNUMBER(_xll.VoseSimPercentile(FinalX,0.39)),_xll.VoseSimPercentile(FinalX,0.39),NA())</f>
        <v>32</v>
      </c>
    </row>
    <row r="288" spans="2:3" hidden="1" outlineLevel="1" x14ac:dyDescent="0.45">
      <c r="B288" s="66">
        <v>0.4</v>
      </c>
      <c r="C288" s="65" cm="1">
        <f t="array" aca="1" ref="C288" ca="1">IF(ISNUMBER(_xll.VoseSimPercentile(FinalX,0.4)),_xll.VoseSimPercentile(FinalX,0.4),NA())</f>
        <v>32</v>
      </c>
    </row>
    <row r="289" spans="2:3" hidden="1" outlineLevel="1" x14ac:dyDescent="0.45">
      <c r="B289" s="66">
        <v>0.41</v>
      </c>
      <c r="C289" s="65" cm="1">
        <f t="array" aca="1" ref="C289" ca="1">IF(ISNUMBER(_xll.VoseSimPercentile(FinalX,0.41)),_xll.VoseSimPercentile(FinalX,0.41),NA())</f>
        <v>32</v>
      </c>
    </row>
    <row r="290" spans="2:3" hidden="1" outlineLevel="1" x14ac:dyDescent="0.45">
      <c r="B290" s="66">
        <v>0.42</v>
      </c>
      <c r="C290" s="65" cm="1">
        <f t="array" aca="1" ref="C290" ca="1">IF(ISNUMBER(_xll.VoseSimPercentile(FinalX,0.42)),_xll.VoseSimPercentile(FinalX,0.42),NA())</f>
        <v>32</v>
      </c>
    </row>
    <row r="291" spans="2:3" hidden="1" outlineLevel="1" x14ac:dyDescent="0.45">
      <c r="B291" s="66">
        <v>0.43</v>
      </c>
      <c r="C291" s="65" cm="1">
        <f t="array" aca="1" ref="C291" ca="1">IF(ISNUMBER(_xll.VoseSimPercentile(FinalX,0.43)),_xll.VoseSimPercentile(FinalX,0.43),NA())</f>
        <v>32</v>
      </c>
    </row>
    <row r="292" spans="2:3" hidden="1" outlineLevel="1" x14ac:dyDescent="0.45">
      <c r="B292" s="66">
        <v>0.44</v>
      </c>
      <c r="C292" s="65" cm="1">
        <f t="array" aca="1" ref="C292" ca="1">IF(ISNUMBER(_xll.VoseSimPercentile(FinalX,0.44)),_xll.VoseSimPercentile(FinalX,0.44),NA())</f>
        <v>32</v>
      </c>
    </row>
    <row r="293" spans="2:3" hidden="1" outlineLevel="1" x14ac:dyDescent="0.45">
      <c r="B293" s="66">
        <v>0.45</v>
      </c>
      <c r="C293" s="65" cm="1">
        <f t="array" aca="1" ref="C293" ca="1">IF(ISNUMBER(_xll.VoseSimPercentile(FinalX,0.45)),_xll.VoseSimPercentile(FinalX,0.45),NA())</f>
        <v>33</v>
      </c>
    </row>
    <row r="294" spans="2:3" hidden="1" outlineLevel="1" x14ac:dyDescent="0.45">
      <c r="B294" s="66">
        <v>0.46</v>
      </c>
      <c r="C294" s="65" cm="1">
        <f t="array" aca="1" ref="C294" ca="1">IF(ISNUMBER(_xll.VoseSimPercentile(FinalX,0.46)),_xll.VoseSimPercentile(FinalX,0.46),NA())</f>
        <v>33</v>
      </c>
    </row>
    <row r="295" spans="2:3" hidden="1" outlineLevel="1" x14ac:dyDescent="0.45">
      <c r="B295" s="66">
        <v>0.47</v>
      </c>
      <c r="C295" s="65" cm="1">
        <f t="array" aca="1" ref="C295" ca="1">IF(ISNUMBER(_xll.VoseSimPercentile(FinalX,0.47)),_xll.VoseSimPercentile(FinalX,0.47),NA())</f>
        <v>33</v>
      </c>
    </row>
    <row r="296" spans="2:3" hidden="1" outlineLevel="1" x14ac:dyDescent="0.45">
      <c r="B296" s="66">
        <v>0.48</v>
      </c>
      <c r="C296" s="65" cm="1">
        <f t="array" aca="1" ref="C296" ca="1">IF(ISNUMBER(_xll.VoseSimPercentile(FinalX,0.48)),_xll.VoseSimPercentile(FinalX,0.48),NA())</f>
        <v>33</v>
      </c>
    </row>
    <row r="297" spans="2:3" hidden="1" outlineLevel="1" x14ac:dyDescent="0.45">
      <c r="B297" s="66">
        <v>0.49</v>
      </c>
      <c r="C297" s="65" cm="1">
        <f t="array" aca="1" ref="C297" ca="1">IF(ISNUMBER(_xll.VoseSimPercentile(FinalX,0.49)),_xll.VoseSimPercentile(FinalX,0.49),NA())</f>
        <v>33</v>
      </c>
    </row>
    <row r="298" spans="2:3" hidden="1" outlineLevel="1" x14ac:dyDescent="0.45">
      <c r="B298" s="66">
        <v>0.5</v>
      </c>
      <c r="C298" s="65" cm="1">
        <f t="array" aca="1" ref="C298" ca="1">IF(ISNUMBER(_xll.VoseSimPercentile(FinalX,0.5)),_xll.VoseSimPercentile(FinalX,0.5),NA())</f>
        <v>33</v>
      </c>
    </row>
    <row r="299" spans="2:3" hidden="1" outlineLevel="1" x14ac:dyDescent="0.45">
      <c r="B299" s="66">
        <v>0.51</v>
      </c>
      <c r="C299" s="65" cm="1">
        <f t="array" aca="1" ref="C299" ca="1">IF(ISNUMBER(_xll.VoseSimPercentile(FinalX,0.51)),_xll.VoseSimPercentile(FinalX,0.51),NA())</f>
        <v>33</v>
      </c>
    </row>
    <row r="300" spans="2:3" hidden="1" outlineLevel="1" x14ac:dyDescent="0.45">
      <c r="B300" s="66">
        <v>0.52</v>
      </c>
      <c r="C300" s="65" cm="1">
        <f t="array" aca="1" ref="C300" ca="1">IF(ISNUMBER(_xll.VoseSimPercentile(FinalX,0.52)),_xll.VoseSimPercentile(FinalX,0.52),NA())</f>
        <v>33</v>
      </c>
    </row>
    <row r="301" spans="2:3" hidden="1" outlineLevel="1" x14ac:dyDescent="0.45">
      <c r="B301" s="66">
        <v>0.53</v>
      </c>
      <c r="C301" s="65" cm="1">
        <f t="array" aca="1" ref="C301" ca="1">IF(ISNUMBER(_xll.VoseSimPercentile(FinalX,0.53)),_xll.VoseSimPercentile(FinalX,0.53),NA())</f>
        <v>34</v>
      </c>
    </row>
    <row r="302" spans="2:3" hidden="1" outlineLevel="1" x14ac:dyDescent="0.45">
      <c r="B302" s="66">
        <v>0.54</v>
      </c>
      <c r="C302" s="65" cm="1">
        <f t="array" aca="1" ref="C302" ca="1">IF(ISNUMBER(_xll.VoseSimPercentile(FinalX,0.54)),_xll.VoseSimPercentile(FinalX,0.54),NA())</f>
        <v>34</v>
      </c>
    </row>
    <row r="303" spans="2:3" hidden="1" outlineLevel="1" x14ac:dyDescent="0.45">
      <c r="B303" s="66">
        <v>0.55000000000000004</v>
      </c>
      <c r="C303" s="65" cm="1">
        <f t="array" aca="1" ref="C303" ca="1">IF(ISNUMBER(_xll.VoseSimPercentile(FinalX,0.55)),_xll.VoseSimPercentile(FinalX,0.55),NA())</f>
        <v>34</v>
      </c>
    </row>
    <row r="304" spans="2:3" hidden="1" outlineLevel="1" x14ac:dyDescent="0.45">
      <c r="B304" s="66">
        <v>0.56000000000000005</v>
      </c>
      <c r="C304" s="65" cm="1">
        <f t="array" aca="1" ref="C304" ca="1">IF(ISNUMBER(_xll.VoseSimPercentile(FinalX,0.56)),_xll.VoseSimPercentile(FinalX,0.56),NA())</f>
        <v>34</v>
      </c>
    </row>
    <row r="305" spans="2:3" hidden="1" outlineLevel="1" x14ac:dyDescent="0.45">
      <c r="B305" s="66">
        <v>0.56999999999999995</v>
      </c>
      <c r="C305" s="65" cm="1">
        <f t="array" aca="1" ref="C305" ca="1">IF(ISNUMBER(_xll.VoseSimPercentile(FinalX,0.57)),_xll.VoseSimPercentile(FinalX,0.57),NA())</f>
        <v>34</v>
      </c>
    </row>
    <row r="306" spans="2:3" hidden="1" outlineLevel="1" x14ac:dyDescent="0.45">
      <c r="B306" s="66">
        <v>0.57999999999999996</v>
      </c>
      <c r="C306" s="65" cm="1">
        <f t="array" aca="1" ref="C306" ca="1">IF(ISNUMBER(_xll.VoseSimPercentile(FinalX,0.58)),_xll.VoseSimPercentile(FinalX,0.58),NA())</f>
        <v>34</v>
      </c>
    </row>
    <row r="307" spans="2:3" hidden="1" outlineLevel="1" x14ac:dyDescent="0.45">
      <c r="B307" s="66">
        <v>0.59</v>
      </c>
      <c r="C307" s="65" cm="1">
        <f t="array" aca="1" ref="C307" ca="1">IF(ISNUMBER(_xll.VoseSimPercentile(FinalX,0.59)),_xll.VoseSimPercentile(FinalX,0.59),NA())</f>
        <v>34</v>
      </c>
    </row>
    <row r="308" spans="2:3" hidden="1" outlineLevel="1" x14ac:dyDescent="0.45">
      <c r="B308" s="66">
        <v>0.6</v>
      </c>
      <c r="C308" s="65" cm="1">
        <f t="array" aca="1" ref="C308" ca="1">IF(ISNUMBER(_xll.VoseSimPercentile(FinalX,0.6)),_xll.VoseSimPercentile(FinalX,0.6),NA())</f>
        <v>34</v>
      </c>
    </row>
    <row r="309" spans="2:3" hidden="1" outlineLevel="1" x14ac:dyDescent="0.45">
      <c r="B309" s="66">
        <v>0.61</v>
      </c>
      <c r="C309" s="65" cm="1">
        <f t="array" aca="1" ref="C309" ca="1">IF(ISNUMBER(_xll.VoseSimPercentile(FinalX,0.61)),_xll.VoseSimPercentile(FinalX,0.61),NA())</f>
        <v>35</v>
      </c>
    </row>
    <row r="310" spans="2:3" hidden="1" outlineLevel="1" x14ac:dyDescent="0.45">
      <c r="B310" s="66">
        <v>0.62</v>
      </c>
      <c r="C310" s="65" cm="1">
        <f t="array" aca="1" ref="C310" ca="1">IF(ISNUMBER(_xll.VoseSimPercentile(FinalX,0.62)),_xll.VoseSimPercentile(FinalX,0.62),NA())</f>
        <v>35</v>
      </c>
    </row>
    <row r="311" spans="2:3" hidden="1" outlineLevel="1" x14ac:dyDescent="0.45">
      <c r="B311" s="66">
        <v>0.63</v>
      </c>
      <c r="C311" s="65" cm="1">
        <f t="array" aca="1" ref="C311" ca="1">IF(ISNUMBER(_xll.VoseSimPercentile(FinalX,0.63)),_xll.VoseSimPercentile(FinalX,0.63),NA())</f>
        <v>35</v>
      </c>
    </row>
    <row r="312" spans="2:3" hidden="1" outlineLevel="1" x14ac:dyDescent="0.45">
      <c r="B312" s="66">
        <v>0.64</v>
      </c>
      <c r="C312" s="65" cm="1">
        <f t="array" aca="1" ref="C312" ca="1">IF(ISNUMBER(_xll.VoseSimPercentile(FinalX,0.64)),_xll.VoseSimPercentile(FinalX,0.64),NA())</f>
        <v>35</v>
      </c>
    </row>
    <row r="313" spans="2:3" hidden="1" outlineLevel="1" x14ac:dyDescent="0.45">
      <c r="B313" s="66">
        <v>0.65</v>
      </c>
      <c r="C313" s="65" cm="1">
        <f t="array" aca="1" ref="C313" ca="1">IF(ISNUMBER(_xll.VoseSimPercentile(FinalX,0.65)),_xll.VoseSimPercentile(FinalX,0.65),NA())</f>
        <v>35</v>
      </c>
    </row>
    <row r="314" spans="2:3" hidden="1" outlineLevel="1" x14ac:dyDescent="0.45">
      <c r="B314" s="66">
        <v>0.66</v>
      </c>
      <c r="C314" s="65" cm="1">
        <f t="array" aca="1" ref="C314" ca="1">IF(ISNUMBER(_xll.VoseSimPercentile(FinalX,0.66)),_xll.VoseSimPercentile(FinalX,0.66),NA())</f>
        <v>35</v>
      </c>
    </row>
    <row r="315" spans="2:3" hidden="1" outlineLevel="1" x14ac:dyDescent="0.45">
      <c r="B315" s="66">
        <v>0.67</v>
      </c>
      <c r="C315" s="65" cm="1">
        <f t="array" aca="1" ref="C315" ca="1">IF(ISNUMBER(_xll.VoseSimPercentile(FinalX,0.67)),_xll.VoseSimPercentile(FinalX,0.67),NA())</f>
        <v>35</v>
      </c>
    </row>
    <row r="316" spans="2:3" hidden="1" outlineLevel="1" x14ac:dyDescent="0.45">
      <c r="B316" s="66">
        <v>0.68</v>
      </c>
      <c r="C316" s="65" cm="1">
        <f t="array" aca="1" ref="C316" ca="1">IF(ISNUMBER(_xll.VoseSimPercentile(FinalX,0.68)),_xll.VoseSimPercentile(FinalX,0.68),NA())</f>
        <v>36</v>
      </c>
    </row>
    <row r="317" spans="2:3" hidden="1" outlineLevel="1" x14ac:dyDescent="0.45">
      <c r="B317" s="66">
        <v>0.69</v>
      </c>
      <c r="C317" s="65" cm="1">
        <f t="array" aca="1" ref="C317" ca="1">IF(ISNUMBER(_xll.VoseSimPercentile(FinalX,0.69)),_xll.VoseSimPercentile(FinalX,0.69),NA())</f>
        <v>36</v>
      </c>
    </row>
    <row r="318" spans="2:3" hidden="1" outlineLevel="1" x14ac:dyDescent="0.45">
      <c r="B318" s="66">
        <v>0.7</v>
      </c>
      <c r="C318" s="65" cm="1">
        <f t="array" aca="1" ref="C318" ca="1">IF(ISNUMBER(_xll.VoseSimPercentile(FinalX,0.7)),_xll.VoseSimPercentile(FinalX,0.7),NA())</f>
        <v>36</v>
      </c>
    </row>
    <row r="319" spans="2:3" hidden="1" outlineLevel="1" x14ac:dyDescent="0.45">
      <c r="B319" s="66">
        <v>0.71</v>
      </c>
      <c r="C319" s="65" cm="1">
        <f t="array" aca="1" ref="C319" ca="1">IF(ISNUMBER(_xll.VoseSimPercentile(FinalX,0.71)),_xll.VoseSimPercentile(FinalX,0.71),NA())</f>
        <v>36</v>
      </c>
    </row>
    <row r="320" spans="2:3" hidden="1" outlineLevel="1" x14ac:dyDescent="0.45">
      <c r="B320" s="66">
        <v>0.72</v>
      </c>
      <c r="C320" s="65" cm="1">
        <f t="array" aca="1" ref="C320" ca="1">IF(ISNUMBER(_xll.VoseSimPercentile(FinalX,0.72)),_xll.VoseSimPercentile(FinalX,0.72),NA())</f>
        <v>36</v>
      </c>
    </row>
    <row r="321" spans="2:3" hidden="1" outlineLevel="1" x14ac:dyDescent="0.45">
      <c r="B321" s="66">
        <v>0.73</v>
      </c>
      <c r="C321" s="65" cm="1">
        <f t="array" aca="1" ref="C321" ca="1">IF(ISNUMBER(_xll.VoseSimPercentile(FinalX,0.73)),_xll.VoseSimPercentile(FinalX,0.73),NA())</f>
        <v>36</v>
      </c>
    </row>
    <row r="322" spans="2:3" hidden="1" outlineLevel="1" x14ac:dyDescent="0.45">
      <c r="B322" s="66">
        <v>0.74</v>
      </c>
      <c r="C322" s="65" cm="1">
        <f t="array" aca="1" ref="C322" ca="1">IF(ISNUMBER(_xll.VoseSimPercentile(FinalX,0.74)),_xll.VoseSimPercentile(FinalX,0.74),NA())</f>
        <v>36</v>
      </c>
    </row>
    <row r="323" spans="2:3" hidden="1" outlineLevel="1" x14ac:dyDescent="0.45">
      <c r="B323" s="66">
        <v>0.75</v>
      </c>
      <c r="C323" s="65" cm="1">
        <f t="array" aca="1" ref="C323" ca="1">IF(ISNUMBER(_xll.VoseSimPercentile(FinalX,0.75)),_xll.VoseSimPercentile(FinalX,0.75),NA())</f>
        <v>37</v>
      </c>
    </row>
    <row r="324" spans="2:3" hidden="1" outlineLevel="1" x14ac:dyDescent="0.45">
      <c r="B324" s="66">
        <v>0.76</v>
      </c>
      <c r="C324" s="65" cm="1">
        <f t="array" aca="1" ref="C324" ca="1">IF(ISNUMBER(_xll.VoseSimPercentile(FinalX,0.76)),_xll.VoseSimPercentile(FinalX,0.76),NA())</f>
        <v>37</v>
      </c>
    </row>
    <row r="325" spans="2:3" hidden="1" outlineLevel="1" x14ac:dyDescent="0.45">
      <c r="B325" s="66">
        <v>0.77</v>
      </c>
      <c r="C325" s="65" cm="1">
        <f t="array" aca="1" ref="C325" ca="1">IF(ISNUMBER(_xll.VoseSimPercentile(FinalX,0.77)),_xll.VoseSimPercentile(FinalX,0.77),NA())</f>
        <v>37</v>
      </c>
    </row>
    <row r="326" spans="2:3" hidden="1" outlineLevel="1" x14ac:dyDescent="0.45">
      <c r="B326" s="66">
        <v>0.78</v>
      </c>
      <c r="C326" s="65" cm="1">
        <f t="array" aca="1" ref="C326" ca="1">IF(ISNUMBER(_xll.VoseSimPercentile(FinalX,0.78)),_xll.VoseSimPercentile(FinalX,0.78),NA())</f>
        <v>37</v>
      </c>
    </row>
    <row r="327" spans="2:3" hidden="1" outlineLevel="1" x14ac:dyDescent="0.45">
      <c r="B327" s="66">
        <v>0.79</v>
      </c>
      <c r="C327" s="65" cm="1">
        <f t="array" aca="1" ref="C327" ca="1">IF(ISNUMBER(_xll.VoseSimPercentile(FinalX,0.79)),_xll.VoseSimPercentile(FinalX,0.79),NA())</f>
        <v>37</v>
      </c>
    </row>
    <row r="328" spans="2:3" hidden="1" outlineLevel="1" x14ac:dyDescent="0.45">
      <c r="B328" s="66">
        <v>0.8</v>
      </c>
      <c r="C328" s="65" cm="1">
        <f t="array" aca="1" ref="C328" ca="1">IF(ISNUMBER(_xll.VoseSimPercentile(FinalX,0.8)),_xll.VoseSimPercentile(FinalX,0.8),NA())</f>
        <v>37</v>
      </c>
    </row>
    <row r="329" spans="2:3" hidden="1" outlineLevel="1" x14ac:dyDescent="0.45">
      <c r="B329" s="66">
        <v>0.81</v>
      </c>
      <c r="C329" s="65" cm="1">
        <f t="array" aca="1" ref="C329" ca="1">IF(ISNUMBER(_xll.VoseSimPercentile(FinalX,0.81)),_xll.VoseSimPercentile(FinalX,0.81),NA())</f>
        <v>38</v>
      </c>
    </row>
    <row r="330" spans="2:3" hidden="1" outlineLevel="1" x14ac:dyDescent="0.45">
      <c r="B330" s="66">
        <v>0.82</v>
      </c>
      <c r="C330" s="65" cm="1">
        <f t="array" aca="1" ref="C330" ca="1">IF(ISNUMBER(_xll.VoseSimPercentile(FinalX,0.82)),_xll.VoseSimPercentile(FinalX,0.82),NA())</f>
        <v>38</v>
      </c>
    </row>
    <row r="331" spans="2:3" hidden="1" outlineLevel="1" x14ac:dyDescent="0.45">
      <c r="B331" s="66">
        <v>0.83</v>
      </c>
      <c r="C331" s="65" cm="1">
        <f t="array" aca="1" ref="C331" ca="1">IF(ISNUMBER(_xll.VoseSimPercentile(FinalX,0.83)),_xll.VoseSimPercentile(FinalX,0.83),NA())</f>
        <v>38</v>
      </c>
    </row>
    <row r="332" spans="2:3" hidden="1" outlineLevel="1" x14ac:dyDescent="0.45">
      <c r="B332" s="66">
        <v>0.84</v>
      </c>
      <c r="C332" s="65" cm="1">
        <f t="array" aca="1" ref="C332" ca="1">IF(ISNUMBER(_xll.VoseSimPercentile(FinalX,0.84)),_xll.VoseSimPercentile(FinalX,0.84),NA())</f>
        <v>38</v>
      </c>
    </row>
    <row r="333" spans="2:3" hidden="1" outlineLevel="1" x14ac:dyDescent="0.45">
      <c r="B333" s="66">
        <v>0.85</v>
      </c>
      <c r="C333" s="65" cm="1">
        <f t="array" aca="1" ref="C333" ca="1">IF(ISNUMBER(_xll.VoseSimPercentile(FinalX,0.85)),_xll.VoseSimPercentile(FinalX,0.85),NA())</f>
        <v>39</v>
      </c>
    </row>
    <row r="334" spans="2:3" hidden="1" outlineLevel="1" x14ac:dyDescent="0.45">
      <c r="B334" s="66">
        <v>0.86</v>
      </c>
      <c r="C334" s="65" cm="1">
        <f t="array" aca="1" ref="C334" ca="1">IF(ISNUMBER(_xll.VoseSimPercentile(FinalX,0.86)),_xll.VoseSimPercentile(FinalX,0.86),NA())</f>
        <v>39</v>
      </c>
    </row>
    <row r="335" spans="2:3" hidden="1" outlineLevel="1" x14ac:dyDescent="0.45">
      <c r="B335" s="66">
        <v>0.87</v>
      </c>
      <c r="C335" s="65" cm="1">
        <f t="array" aca="1" ref="C335" ca="1">IF(ISNUMBER(_xll.VoseSimPercentile(FinalX,0.87)),_xll.VoseSimPercentile(FinalX,0.87),NA())</f>
        <v>39</v>
      </c>
    </row>
    <row r="336" spans="2:3" hidden="1" outlineLevel="1" x14ac:dyDescent="0.45">
      <c r="B336" s="66">
        <v>0.88</v>
      </c>
      <c r="C336" s="65" cm="1">
        <f t="array" aca="1" ref="C336" ca="1">IF(ISNUMBER(_xll.VoseSimPercentile(FinalX,0.88)),_xll.VoseSimPercentile(FinalX,0.88),NA())</f>
        <v>39</v>
      </c>
    </row>
    <row r="337" spans="2:7" hidden="1" outlineLevel="1" x14ac:dyDescent="0.45">
      <c r="B337" s="66">
        <v>0.89</v>
      </c>
      <c r="C337" s="65" cm="1">
        <f t="array" aca="1" ref="C337" ca="1">IF(ISNUMBER(_xll.VoseSimPercentile(FinalX,0.89)),_xll.VoseSimPercentile(FinalX,0.89),NA())</f>
        <v>40</v>
      </c>
    </row>
    <row r="338" spans="2:7" hidden="1" outlineLevel="1" x14ac:dyDescent="0.45">
      <c r="B338" s="66">
        <v>0.9</v>
      </c>
      <c r="C338" s="65" cm="1">
        <f t="array" aca="1" ref="C338" ca="1">IF(ISNUMBER(_xll.VoseSimPercentile(FinalX,0.9)),_xll.VoseSimPercentile(FinalX,0.9),NA())</f>
        <v>40</v>
      </c>
    </row>
    <row r="339" spans="2:7" hidden="1" outlineLevel="1" x14ac:dyDescent="0.45">
      <c r="B339" s="66">
        <v>0.91</v>
      </c>
      <c r="C339" s="65" cm="1">
        <f t="array" aca="1" ref="C339" ca="1">IF(ISNUMBER(_xll.VoseSimPercentile(FinalX,0.91)),_xll.VoseSimPercentile(FinalX,0.91),NA())</f>
        <v>40</v>
      </c>
    </row>
    <row r="340" spans="2:7" hidden="1" outlineLevel="1" x14ac:dyDescent="0.45">
      <c r="B340" s="66">
        <v>0.92</v>
      </c>
      <c r="C340" s="65" cm="1">
        <f t="array" aca="1" ref="C340" ca="1">IF(ISNUMBER(_xll.VoseSimPercentile(FinalX,0.92)),_xll.VoseSimPercentile(FinalX,0.92),NA())</f>
        <v>41</v>
      </c>
    </row>
    <row r="341" spans="2:7" hidden="1" outlineLevel="1" x14ac:dyDescent="0.45">
      <c r="B341" s="66">
        <v>0.93</v>
      </c>
      <c r="C341" s="65" cm="1">
        <f t="array" aca="1" ref="C341" ca="1">IF(ISNUMBER(_xll.VoseSimPercentile(FinalX,0.93)),_xll.VoseSimPercentile(FinalX,0.93),NA())</f>
        <v>41</v>
      </c>
    </row>
    <row r="342" spans="2:7" hidden="1" outlineLevel="1" x14ac:dyDescent="0.45">
      <c r="B342" s="66">
        <v>0.94</v>
      </c>
      <c r="C342" s="65" cm="1">
        <f t="array" aca="1" ref="C342" ca="1">IF(ISNUMBER(_xll.VoseSimPercentile(FinalX,0.94)),_xll.VoseSimPercentile(FinalX,0.94),NA())</f>
        <v>41</v>
      </c>
    </row>
    <row r="343" spans="2:7" hidden="1" outlineLevel="1" x14ac:dyDescent="0.45">
      <c r="B343" s="66">
        <v>0.95</v>
      </c>
      <c r="C343" s="65" cm="1">
        <f t="array" aca="1" ref="C343" ca="1">IF(ISNUMBER(_xll.VoseSimPercentile(FinalX,0.95)),_xll.VoseSimPercentile(FinalX,0.95),NA())</f>
        <v>42</v>
      </c>
    </row>
    <row r="344" spans="2:7" hidden="1" outlineLevel="1" x14ac:dyDescent="0.45">
      <c r="B344" s="66">
        <v>0.96</v>
      </c>
      <c r="C344" s="65" cm="1">
        <f t="array" aca="1" ref="C344" ca="1">IF(ISNUMBER(_xll.VoseSimPercentile(FinalX,0.96)),_xll.VoseSimPercentile(FinalX,0.96),NA())</f>
        <v>42</v>
      </c>
    </row>
    <row r="345" spans="2:7" hidden="1" outlineLevel="1" x14ac:dyDescent="0.45">
      <c r="B345" s="66">
        <v>0.97</v>
      </c>
      <c r="C345" s="65" cm="1">
        <f t="array" aca="1" ref="C345" ca="1">IF(ISNUMBER(_xll.VoseSimPercentile(FinalX,0.97)),_xll.VoseSimPercentile(FinalX,0.97),NA())</f>
        <v>43</v>
      </c>
    </row>
    <row r="346" spans="2:7" hidden="1" outlineLevel="1" x14ac:dyDescent="0.45">
      <c r="B346" s="66">
        <v>0.98</v>
      </c>
      <c r="C346" s="65" cm="1">
        <f t="array" aca="1" ref="C346" ca="1">IF(ISNUMBER(_xll.VoseSimPercentile(FinalX,0.98)),_xll.VoseSimPercentile(FinalX,0.98),NA())</f>
        <v>44</v>
      </c>
    </row>
    <row r="347" spans="2:7" hidden="1" outlineLevel="1" x14ac:dyDescent="0.45">
      <c r="B347" s="66">
        <v>0.99</v>
      </c>
      <c r="C347" s="65" cm="1">
        <f t="array" aca="1" ref="C347" ca="1">IF(ISNUMBER(_xll.VoseSimPercentile(FinalX,0.99)),_xll.VoseSimPercentile(FinalX,0.99),NA())</f>
        <v>45</v>
      </c>
    </row>
    <row r="348" spans="2:7" hidden="1" outlineLevel="1" x14ac:dyDescent="0.45">
      <c r="B348" s="66">
        <v>0.995</v>
      </c>
      <c r="C348" s="65" cm="1">
        <f t="array" aca="1" ref="C348" ca="1">IF(ISNUMBER(_xll.VoseSimPercentile(FinalX,0.995)),_xll.VoseSimPercentile(FinalX,0.995),NA())</f>
        <v>47</v>
      </c>
    </row>
    <row r="349" spans="2:7" hidden="1" outlineLevel="1" x14ac:dyDescent="0.45"/>
    <row r="350" spans="2:7" ht="18" hidden="1" customHeight="1" outlineLevel="1" x14ac:dyDescent="0.45">
      <c r="B350" s="23" t="s">
        <v>246</v>
      </c>
      <c r="C350" s="24" t="s">
        <v>240</v>
      </c>
      <c r="D350" s="24" t="s">
        <v>241</v>
      </c>
      <c r="E350" s="24" t="s">
        <v>242</v>
      </c>
      <c r="F350" s="24" t="s">
        <v>243</v>
      </c>
      <c r="G350" s="24" t="s">
        <v>244</v>
      </c>
    </row>
    <row r="351" spans="2:7" hidden="1" outlineLevel="1" x14ac:dyDescent="0.45">
      <c r="B351" s="67">
        <v>0</v>
      </c>
      <c r="C351" s="65">
        <f ca="1">IF(ISNUMBER($C$248),$C$248+($C$348-$C$248)*0/24,NA())</f>
        <v>22</v>
      </c>
      <c r="D351" s="68">
        <f t="shared" ref="D351:D375" ca="1" si="5">IF(ISNUMBER(C351),MATCH(C351,$C$248:$C$348,1),NA())</f>
        <v>1</v>
      </c>
      <c r="E351" s="65">
        <f t="shared" ref="E351:E374" ca="1" si="6">IF(ISNUMBER(C351),(C351+C352)/2,NA())</f>
        <v>22.520833333333336</v>
      </c>
      <c r="F351" s="66">
        <f t="shared" ref="F351:F374" ca="1" si="7">IF(ISNUMBER(G352),G352-G351,NA())</f>
        <v>5.4166666666666781E-3</v>
      </c>
      <c r="G351" s="66" cm="1">
        <f t="array" aca="1" ref="G351" ca="1">IF(ISNUMBER(D351),IF(D351&gt;=101,INDEX($B$248:$B$348,101),INDEX($B$248:$B$348,D351)+(C351-INDEX($C$248:$C$348,D351))/MAX(0.000000000001,INDEX($C$248:$C$348,D351+1)-INDEX($C$248:$C$348,D351))*(INDEX($B$248:$B$348,D351+1)-INDEX($B$248:$B$348,D351))),NA())</f>
        <v>5.0000000000000001E-3</v>
      </c>
    </row>
    <row r="352" spans="2:7" hidden="1" outlineLevel="1" x14ac:dyDescent="0.45">
      <c r="B352" s="67">
        <v>1</v>
      </c>
      <c r="C352" s="65">
        <f ca="1">IF(ISNUMBER($C$248),$C$248+($C$348-$C$248)*1/24,NA())</f>
        <v>23.041666666666668</v>
      </c>
      <c r="D352" s="68">
        <f t="shared" ca="1" si="5"/>
        <v>2</v>
      </c>
      <c r="E352" s="65">
        <f t="shared" ca="1" si="6"/>
        <v>23.5625</v>
      </c>
      <c r="F352" s="66">
        <f t="shared" ca="1" si="7"/>
        <v>2.0416666666666642E-2</v>
      </c>
      <c r="G352" s="66" cm="1">
        <f t="array" aca="1" ref="G352" ca="1">IF(ISNUMBER(D352),IF(D352&gt;=101,INDEX($B$248:$B$348,101),INDEX($B$248:$B$348,D352)+(C352-INDEX($C$248:$C$348,D352))/MAX(0.000000000001,INDEX($C$248:$C$348,D352+1)-INDEX($C$248:$C$348,D352))*(INDEX($B$248:$B$348,D352+1)-INDEX($B$248:$B$348,D352))),NA())</f>
        <v>1.0416666666666678E-2</v>
      </c>
    </row>
    <row r="353" spans="2:7" hidden="1" outlineLevel="1" x14ac:dyDescent="0.45">
      <c r="B353" s="67">
        <v>2</v>
      </c>
      <c r="C353" s="65">
        <f ca="1">IF(ISNUMBER($C$248),$C$248+($C$348-$C$248)*2/24,NA())</f>
        <v>24.083333333333332</v>
      </c>
      <c r="D353" s="68">
        <f t="shared" ca="1" si="5"/>
        <v>4</v>
      </c>
      <c r="E353" s="65">
        <f t="shared" ca="1" si="6"/>
        <v>24.604166666666664</v>
      </c>
      <c r="F353" s="66">
        <f t="shared" ca="1" si="7"/>
        <v>2.0416666666666684E-2</v>
      </c>
      <c r="G353" s="66" cm="1">
        <f t="array" aca="1" ref="G353" ca="1">IF(ISNUMBER(D353),IF(D353&gt;=101,INDEX($B$248:$B$348,101),INDEX($B$248:$B$348,D353)+(C353-INDEX($C$248:$C$348,D353))/MAX(0.000000000001,INDEX($C$248:$C$348,D353+1)-INDEX($C$248:$C$348,D353))*(INDEX($B$248:$B$348,D353+1)-INDEX($B$248:$B$348,D353))),NA())</f>
        <v>3.083333333333332E-2</v>
      </c>
    </row>
    <row r="354" spans="2:7" hidden="1" outlineLevel="1" x14ac:dyDescent="0.45">
      <c r="B354" s="67">
        <v>3</v>
      </c>
      <c r="C354" s="65">
        <f ca="1">IF(ISNUMBER($C$248),$C$248+($C$348-$C$248)*3/24,NA())</f>
        <v>25.125</v>
      </c>
      <c r="D354" s="68">
        <f t="shared" ca="1" si="5"/>
        <v>6</v>
      </c>
      <c r="E354" s="65">
        <f t="shared" ca="1" si="6"/>
        <v>25.645833333333336</v>
      </c>
      <c r="F354" s="66">
        <f t="shared" ca="1" si="7"/>
        <v>3.0416666666666675E-2</v>
      </c>
      <c r="G354" s="66" cm="1">
        <f t="array" aca="1" ref="G354" ca="1">IF(ISNUMBER(D354),IF(D354&gt;=101,INDEX($B$248:$B$348,101),INDEX($B$248:$B$348,D354)+(C354-INDEX($C$248:$C$348,D354))/MAX(0.000000000001,INDEX($C$248:$C$348,D354+1)-INDEX($C$248:$C$348,D354))*(INDEX($B$248:$B$348,D354+1)-INDEX($B$248:$B$348,D354))),NA())</f>
        <v>5.1250000000000004E-2</v>
      </c>
    </row>
    <row r="355" spans="2:7" hidden="1" outlineLevel="1" x14ac:dyDescent="0.45">
      <c r="B355" s="67">
        <v>4</v>
      </c>
      <c r="C355" s="65">
        <f ca="1">IF(ISNUMBER($C$248),$C$248+($C$348-$C$248)*4/24,NA())</f>
        <v>26.166666666666668</v>
      </c>
      <c r="D355" s="68">
        <f t="shared" ca="1" si="5"/>
        <v>9</v>
      </c>
      <c r="E355" s="65">
        <f t="shared" ca="1" si="6"/>
        <v>26.6875</v>
      </c>
      <c r="F355" s="66">
        <f t="shared" ca="1" si="7"/>
        <v>3.0416666666666647E-2</v>
      </c>
      <c r="G355" s="66" cm="1">
        <f t="array" aca="1" ref="G355" ca="1">IF(ISNUMBER(D355),IF(D355&gt;=101,INDEX($B$248:$B$348,101),INDEX($B$248:$B$348,D355)+(C355-INDEX($C$248:$C$348,D355))/MAX(0.000000000001,INDEX($C$248:$C$348,D355+1)-INDEX($C$248:$C$348,D355))*(INDEX($B$248:$B$348,D355+1)-INDEX($B$248:$B$348,D355))),NA())</f>
        <v>8.1666666666666679E-2</v>
      </c>
    </row>
    <row r="356" spans="2:7" hidden="1" outlineLevel="1" x14ac:dyDescent="0.45">
      <c r="B356" s="67">
        <v>5</v>
      </c>
      <c r="C356" s="65">
        <f ca="1">IF(ISNUMBER($C$248),$C$248+($C$348-$C$248)*5/24,NA())</f>
        <v>27.208333333333332</v>
      </c>
      <c r="D356" s="68">
        <f t="shared" ca="1" si="5"/>
        <v>12</v>
      </c>
      <c r="E356" s="65">
        <f t="shared" ca="1" si="6"/>
        <v>27.729166666666664</v>
      </c>
      <c r="F356" s="66">
        <f t="shared" ca="1" si="7"/>
        <v>6.0416666666666688E-2</v>
      </c>
      <c r="G356" s="66" cm="1">
        <f t="array" aca="1" ref="G356" ca="1">IF(ISNUMBER(D356),IF(D356&gt;=101,INDEX($B$248:$B$348,101),INDEX($B$248:$B$348,D356)+(C356-INDEX($C$248:$C$348,D356))/MAX(0.000000000001,INDEX($C$248:$C$348,D356+1)-INDEX($C$248:$C$348,D356))*(INDEX($B$248:$B$348,D356+1)-INDEX($B$248:$B$348,D356))),NA())</f>
        <v>0.11208333333333333</v>
      </c>
    </row>
    <row r="357" spans="2:7" hidden="1" outlineLevel="1" x14ac:dyDescent="0.45">
      <c r="B357" s="67">
        <v>6</v>
      </c>
      <c r="C357" s="65">
        <f ca="1">IF(ISNUMBER($C$248),$C$248+($C$348-$C$248)*6/24,NA())</f>
        <v>28.25</v>
      </c>
      <c r="D357" s="68">
        <f t="shared" ca="1" si="5"/>
        <v>18</v>
      </c>
      <c r="E357" s="65">
        <f t="shared" ca="1" si="6"/>
        <v>28.770833333333336</v>
      </c>
      <c r="F357" s="66">
        <f t="shared" ca="1" si="7"/>
        <v>6.0416666666666674E-2</v>
      </c>
      <c r="G357" s="66" cm="1">
        <f t="array" aca="1" ref="G357" ca="1">IF(ISNUMBER(D357),IF(D357&gt;=101,INDEX($B$248:$B$348,101),INDEX($B$248:$B$348,D357)+(C357-INDEX($C$248:$C$348,D357))/MAX(0.000000000001,INDEX($C$248:$C$348,D357+1)-INDEX($C$248:$C$348,D357))*(INDEX($B$248:$B$348,D357+1)-INDEX($B$248:$B$348,D357))),NA())</f>
        <v>0.17250000000000001</v>
      </c>
    </row>
    <row r="358" spans="2:7" hidden="1" outlineLevel="1" x14ac:dyDescent="0.45">
      <c r="B358" s="67">
        <v>7</v>
      </c>
      <c r="C358" s="65">
        <f ca="1">IF(ISNUMBER($C$248),$C$248+($C$348-$C$248)*7/24,NA())</f>
        <v>29.291666666666668</v>
      </c>
      <c r="D358" s="68">
        <f t="shared" ca="1" si="5"/>
        <v>24</v>
      </c>
      <c r="E358" s="65">
        <f t="shared" ca="1" si="6"/>
        <v>29.8125</v>
      </c>
      <c r="F358" s="66">
        <f t="shared" ca="1" si="7"/>
        <v>6.0416666666666646E-2</v>
      </c>
      <c r="G358" s="66" cm="1">
        <f t="array" aca="1" ref="G358" ca="1">IF(ISNUMBER(D358),IF(D358&gt;=101,INDEX($B$248:$B$348,101),INDEX($B$248:$B$348,D358)+(C358-INDEX($C$248:$C$348,D358))/MAX(0.000000000001,INDEX($C$248:$C$348,D358+1)-INDEX($C$248:$C$348,D358))*(INDEX($B$248:$B$348,D358+1)-INDEX($B$248:$B$348,D358))),NA())</f>
        <v>0.23291666666666669</v>
      </c>
    </row>
    <row r="359" spans="2:7" hidden="1" outlineLevel="1" x14ac:dyDescent="0.45">
      <c r="B359" s="67">
        <v>8</v>
      </c>
      <c r="C359" s="65">
        <f ca="1">IF(ISNUMBER($C$248),$C$248+($C$348-$C$248)*8/24,NA())</f>
        <v>30.333333333333336</v>
      </c>
      <c r="D359" s="68">
        <f t="shared" ca="1" si="5"/>
        <v>30</v>
      </c>
      <c r="E359" s="65">
        <f t="shared" ca="1" si="6"/>
        <v>30.854166666666668</v>
      </c>
      <c r="F359" s="66">
        <f t="shared" ca="1" si="7"/>
        <v>7.0416666666666683E-2</v>
      </c>
      <c r="G359" s="66" cm="1">
        <f t="array" aca="1" ref="G359" ca="1">IF(ISNUMBER(D359),IF(D359&gt;=101,INDEX($B$248:$B$348,101),INDEX($B$248:$B$348,D359)+(C359-INDEX($C$248:$C$348,D359))/MAX(0.000000000001,INDEX($C$248:$C$348,D359+1)-INDEX($C$248:$C$348,D359))*(INDEX($B$248:$B$348,D359+1)-INDEX($B$248:$B$348,D359))),NA())</f>
        <v>0.29333333333333333</v>
      </c>
    </row>
    <row r="360" spans="2:7" hidden="1" outlineLevel="1" x14ac:dyDescent="0.45">
      <c r="B360" s="67">
        <v>9</v>
      </c>
      <c r="C360" s="65">
        <f ca="1">IF(ISNUMBER($C$248),$C$248+($C$348-$C$248)*9/24,NA())</f>
        <v>31.375</v>
      </c>
      <c r="D360" s="68">
        <f t="shared" ca="1" si="5"/>
        <v>37</v>
      </c>
      <c r="E360" s="65">
        <f t="shared" ca="1" si="6"/>
        <v>31.895833333333332</v>
      </c>
      <c r="F360" s="66">
        <f t="shared" ca="1" si="7"/>
        <v>8.0416666666666636E-2</v>
      </c>
      <c r="G360" s="66" cm="1">
        <f t="array" aca="1" ref="G360" ca="1">IF(ISNUMBER(D360),IF(D360&gt;=101,INDEX($B$248:$B$348,101),INDEX($B$248:$B$348,D360)+(C360-INDEX($C$248:$C$348,D360))/MAX(0.000000000001,INDEX($C$248:$C$348,D360+1)-INDEX($C$248:$C$348,D360))*(INDEX($B$248:$B$348,D360+1)-INDEX($B$248:$B$348,D360))),NA())</f>
        <v>0.36375000000000002</v>
      </c>
    </row>
    <row r="361" spans="2:7" hidden="1" outlineLevel="1" x14ac:dyDescent="0.45">
      <c r="B361" s="67">
        <v>10</v>
      </c>
      <c r="C361" s="65">
        <f ca="1">IF(ISNUMBER($C$248),$C$248+($C$348-$C$248)*10/24,NA())</f>
        <v>32.416666666666664</v>
      </c>
      <c r="D361" s="68">
        <f t="shared" ca="1" si="5"/>
        <v>45</v>
      </c>
      <c r="E361" s="65">
        <f t="shared" ca="1" si="6"/>
        <v>32.9375</v>
      </c>
      <c r="F361" s="66">
        <f t="shared" ca="1" si="7"/>
        <v>8.0416666666666747E-2</v>
      </c>
      <c r="G361" s="66" cm="1">
        <f t="array" aca="1" ref="G361" ca="1">IF(ISNUMBER(D361),IF(D361&gt;=101,INDEX($B$248:$B$348,101),INDEX($B$248:$B$348,D361)+(C361-INDEX($C$248:$C$348,D361))/MAX(0.000000000001,INDEX($C$248:$C$348,D361+1)-INDEX($C$248:$C$348,D361))*(INDEX($B$248:$B$348,D361+1)-INDEX($B$248:$B$348,D361))),NA())</f>
        <v>0.44416666666666665</v>
      </c>
    </row>
    <row r="362" spans="2:7" hidden="1" outlineLevel="1" x14ac:dyDescent="0.45">
      <c r="B362" s="67">
        <v>11</v>
      </c>
      <c r="C362" s="65">
        <f ca="1">IF(ISNUMBER($C$248),$C$248+($C$348-$C$248)*11/24,NA())</f>
        <v>33.458333333333336</v>
      </c>
      <c r="D362" s="68">
        <f t="shared" ca="1" si="5"/>
        <v>53</v>
      </c>
      <c r="E362" s="65">
        <f t="shared" ca="1" si="6"/>
        <v>33.979166666666671</v>
      </c>
      <c r="F362" s="66">
        <f t="shared" ca="1" si="7"/>
        <v>8.0416666666666581E-2</v>
      </c>
      <c r="G362" s="66" cm="1">
        <f t="array" aca="1" ref="G362" ca="1">IF(ISNUMBER(D362),IF(D362&gt;=101,INDEX($B$248:$B$348,101),INDEX($B$248:$B$348,D362)+(C362-INDEX($C$248:$C$348,D362))/MAX(0.000000000001,INDEX($C$248:$C$348,D362+1)-INDEX($C$248:$C$348,D362))*(INDEX($B$248:$B$348,D362+1)-INDEX($B$248:$B$348,D362))),NA())</f>
        <v>0.5245833333333334</v>
      </c>
    </row>
    <row r="363" spans="2:7" hidden="1" outlineLevel="1" x14ac:dyDescent="0.45">
      <c r="B363" s="67">
        <v>12</v>
      </c>
      <c r="C363" s="65">
        <f ca="1">IF(ISNUMBER($C$248),$C$248+($C$348-$C$248)*12/24,NA())</f>
        <v>34.5</v>
      </c>
      <c r="D363" s="68">
        <f t="shared" ca="1" si="5"/>
        <v>61</v>
      </c>
      <c r="E363" s="65">
        <f t="shared" ca="1" si="6"/>
        <v>35.020833333333329</v>
      </c>
      <c r="F363" s="66">
        <f t="shared" ca="1" si="7"/>
        <v>7.0416666666666683E-2</v>
      </c>
      <c r="G363" s="66" cm="1">
        <f t="array" aca="1" ref="G363" ca="1">IF(ISNUMBER(D363),IF(D363&gt;=101,INDEX($B$248:$B$348,101),INDEX($B$248:$B$348,D363)+(C363-INDEX($C$248:$C$348,D363))/MAX(0.000000000001,INDEX($C$248:$C$348,D363+1)-INDEX($C$248:$C$348,D363))*(INDEX($B$248:$B$348,D363+1)-INDEX($B$248:$B$348,D363))),NA())</f>
        <v>0.60499999999999998</v>
      </c>
    </row>
    <row r="364" spans="2:7" hidden="1" outlineLevel="1" x14ac:dyDescent="0.45">
      <c r="B364" s="67">
        <v>13</v>
      </c>
      <c r="C364" s="65">
        <f ca="1">IF(ISNUMBER($C$248),$C$248+($C$348-$C$248)*13/24,NA())</f>
        <v>35.541666666666664</v>
      </c>
      <c r="D364" s="68">
        <f t="shared" ca="1" si="5"/>
        <v>68</v>
      </c>
      <c r="E364" s="65">
        <f t="shared" ca="1" si="6"/>
        <v>36.0625</v>
      </c>
      <c r="F364" s="66">
        <f t="shared" ca="1" si="7"/>
        <v>7.0416666666666683E-2</v>
      </c>
      <c r="G364" s="66" cm="1">
        <f t="array" aca="1" ref="G364" ca="1">IF(ISNUMBER(D364),IF(D364&gt;=101,INDEX($B$248:$B$348,101),INDEX($B$248:$B$348,D364)+(C364-INDEX($C$248:$C$348,D364))/MAX(0.000000000001,INDEX($C$248:$C$348,D364+1)-INDEX($C$248:$C$348,D364))*(INDEX($B$248:$B$348,D364+1)-INDEX($B$248:$B$348,D364))),NA())</f>
        <v>0.67541666666666667</v>
      </c>
    </row>
    <row r="365" spans="2:7" hidden="1" outlineLevel="1" x14ac:dyDescent="0.45">
      <c r="B365" s="67">
        <v>14</v>
      </c>
      <c r="C365" s="65">
        <f ca="1">IF(ISNUMBER($C$248),$C$248+($C$348-$C$248)*14/24,NA())</f>
        <v>36.583333333333336</v>
      </c>
      <c r="D365" s="68">
        <f t="shared" ca="1" si="5"/>
        <v>75</v>
      </c>
      <c r="E365" s="65">
        <f t="shared" ca="1" si="6"/>
        <v>37.104166666666671</v>
      </c>
      <c r="F365" s="66">
        <f t="shared" ca="1" si="7"/>
        <v>6.0416666666666674E-2</v>
      </c>
      <c r="G365" s="66" cm="1">
        <f t="array" aca="1" ref="G365" ca="1">IF(ISNUMBER(D365),IF(D365&gt;=101,INDEX($B$248:$B$348,101),INDEX($B$248:$B$348,D365)+(C365-INDEX($C$248:$C$348,D365))/MAX(0.000000000001,INDEX($C$248:$C$348,D365+1)-INDEX($C$248:$C$348,D365))*(INDEX($B$248:$B$348,D365+1)-INDEX($B$248:$B$348,D365))),NA())</f>
        <v>0.74583333333333335</v>
      </c>
    </row>
    <row r="366" spans="2:7" hidden="1" outlineLevel="1" x14ac:dyDescent="0.45">
      <c r="B366" s="67">
        <v>15</v>
      </c>
      <c r="C366" s="65">
        <f ca="1">IF(ISNUMBER($C$248),$C$248+($C$348-$C$248)*15/24,NA())</f>
        <v>37.625</v>
      </c>
      <c r="D366" s="68">
        <f t="shared" ca="1" si="5"/>
        <v>81</v>
      </c>
      <c r="E366" s="65">
        <f t="shared" ca="1" si="6"/>
        <v>38.145833333333336</v>
      </c>
      <c r="F366" s="66">
        <f t="shared" ca="1" si="7"/>
        <v>4.0416666666666656E-2</v>
      </c>
      <c r="G366" s="66" cm="1">
        <f t="array" aca="1" ref="G366" ca="1">IF(ISNUMBER(D366),IF(D366&gt;=101,INDEX($B$248:$B$348,101),INDEX($B$248:$B$348,D366)+(C366-INDEX($C$248:$C$348,D366))/MAX(0.000000000001,INDEX($C$248:$C$348,D366+1)-INDEX($C$248:$C$348,D366))*(INDEX($B$248:$B$348,D366+1)-INDEX($B$248:$B$348,D366))),NA())</f>
        <v>0.80625000000000002</v>
      </c>
    </row>
    <row r="367" spans="2:7" hidden="1" outlineLevel="1" x14ac:dyDescent="0.45">
      <c r="B367" s="67">
        <v>16</v>
      </c>
      <c r="C367" s="65">
        <f ca="1">IF(ISNUMBER($C$248),$C$248+($C$348-$C$248)*16/24,NA())</f>
        <v>38.666666666666671</v>
      </c>
      <c r="D367" s="68">
        <f t="shared" ca="1" si="5"/>
        <v>85</v>
      </c>
      <c r="E367" s="65">
        <f t="shared" ca="1" si="6"/>
        <v>39.1875</v>
      </c>
      <c r="F367" s="66">
        <f t="shared" ca="1" si="7"/>
        <v>4.0416666666666656E-2</v>
      </c>
      <c r="G367" s="66" cm="1">
        <f t="array" aca="1" ref="G367" ca="1">IF(ISNUMBER(D367),IF(D367&gt;=101,INDEX($B$248:$B$348,101),INDEX($B$248:$B$348,D367)+(C367-INDEX($C$248:$C$348,D367))/MAX(0.000000000001,INDEX($C$248:$C$348,D367+1)-INDEX($C$248:$C$348,D367))*(INDEX($B$248:$B$348,D367+1)-INDEX($B$248:$B$348,D367))),NA())</f>
        <v>0.84666666666666668</v>
      </c>
    </row>
    <row r="368" spans="2:7" hidden="1" outlineLevel="1" x14ac:dyDescent="0.45">
      <c r="B368" s="67">
        <v>17</v>
      </c>
      <c r="C368" s="65">
        <f ca="1">IF(ISNUMBER($C$248),$C$248+($C$348-$C$248)*17/24,NA())</f>
        <v>39.708333333333329</v>
      </c>
      <c r="D368" s="68">
        <f t="shared" ca="1" si="5"/>
        <v>89</v>
      </c>
      <c r="E368" s="65">
        <f t="shared" ca="1" si="6"/>
        <v>40.229166666666664</v>
      </c>
      <c r="F368" s="66">
        <f t="shared" ca="1" si="7"/>
        <v>3.0416666666666647E-2</v>
      </c>
      <c r="G368" s="66" cm="1">
        <f t="array" aca="1" ref="G368" ca="1">IF(ISNUMBER(D368),IF(D368&gt;=101,INDEX($B$248:$B$348,101),INDEX($B$248:$B$348,D368)+(C368-INDEX($C$248:$C$348,D368))/MAX(0.000000000001,INDEX($C$248:$C$348,D368+1)-INDEX($C$248:$C$348,D368))*(INDEX($B$248:$B$348,D368+1)-INDEX($B$248:$B$348,D368))),NA())</f>
        <v>0.88708333333333333</v>
      </c>
    </row>
    <row r="369" spans="2:7" hidden="1" outlineLevel="1" x14ac:dyDescent="0.45">
      <c r="B369" s="67">
        <v>18</v>
      </c>
      <c r="C369" s="65">
        <f ca="1">IF(ISNUMBER($C$248),$C$248+($C$348-$C$248)*18/24,NA())</f>
        <v>40.75</v>
      </c>
      <c r="D369" s="68">
        <f t="shared" ca="1" si="5"/>
        <v>92</v>
      </c>
      <c r="E369" s="65">
        <f t="shared" ca="1" si="6"/>
        <v>41.270833333333336</v>
      </c>
      <c r="F369" s="66">
        <f t="shared" ca="1" si="7"/>
        <v>3.0416666666666647E-2</v>
      </c>
      <c r="G369" s="66" cm="1">
        <f t="array" aca="1" ref="G369" ca="1">IF(ISNUMBER(D369),IF(D369&gt;=101,INDEX($B$248:$B$348,101),INDEX($B$248:$B$348,D369)+(C369-INDEX($C$248:$C$348,D369))/MAX(0.000000000001,INDEX($C$248:$C$348,D369+1)-INDEX($C$248:$C$348,D369))*(INDEX($B$248:$B$348,D369+1)-INDEX($B$248:$B$348,D369))),NA())</f>
        <v>0.91749999999999998</v>
      </c>
    </row>
    <row r="370" spans="2:7" hidden="1" outlineLevel="1" x14ac:dyDescent="0.45">
      <c r="B370" s="67">
        <v>19</v>
      </c>
      <c r="C370" s="65">
        <f ca="1">IF(ISNUMBER($C$248),$C$248+($C$348-$C$248)*19/24,NA())</f>
        <v>41.791666666666671</v>
      </c>
      <c r="D370" s="68">
        <f t="shared" ca="1" si="5"/>
        <v>95</v>
      </c>
      <c r="E370" s="65">
        <f t="shared" ca="1" si="6"/>
        <v>42.3125</v>
      </c>
      <c r="F370" s="66">
        <f t="shared" ca="1" si="7"/>
        <v>2.0416666666666639E-2</v>
      </c>
      <c r="G370" s="66" cm="1">
        <f t="array" aca="1" ref="G370" ca="1">IF(ISNUMBER(D370),IF(D370&gt;=101,INDEX($B$248:$B$348,101),INDEX($B$248:$B$348,D370)+(C370-INDEX($C$248:$C$348,D370))/MAX(0.000000000001,INDEX($C$248:$C$348,D370+1)-INDEX($C$248:$C$348,D370))*(INDEX($B$248:$B$348,D370+1)-INDEX($B$248:$B$348,D370))),NA())</f>
        <v>0.94791666666666663</v>
      </c>
    </row>
    <row r="371" spans="2:7" hidden="1" outlineLevel="1" x14ac:dyDescent="0.45">
      <c r="B371" s="67">
        <v>20</v>
      </c>
      <c r="C371" s="65">
        <f ca="1">IF(ISNUMBER($C$248),$C$248+($C$348-$C$248)*20/24,NA())</f>
        <v>42.833333333333329</v>
      </c>
      <c r="D371" s="68">
        <f t="shared" ca="1" si="5"/>
        <v>97</v>
      </c>
      <c r="E371" s="65">
        <f t="shared" ca="1" si="6"/>
        <v>43.354166666666664</v>
      </c>
      <c r="F371" s="66">
        <f t="shared" ca="1" si="7"/>
        <v>1.0416666666666741E-2</v>
      </c>
      <c r="G371" s="66" cm="1">
        <f t="array" aca="1" ref="G371" ca="1">IF(ISNUMBER(D371),IF(D371&gt;=101,INDEX($B$248:$B$348,101),INDEX($B$248:$B$348,D371)+(C371-INDEX($C$248:$C$348,D371))/MAX(0.000000000001,INDEX($C$248:$C$348,D371+1)-INDEX($C$248:$C$348,D371))*(INDEX($B$248:$B$348,D371+1)-INDEX($B$248:$B$348,D371))),NA())</f>
        <v>0.96833333333333327</v>
      </c>
    </row>
    <row r="372" spans="2:7" hidden="1" outlineLevel="1" x14ac:dyDescent="0.45">
      <c r="B372" s="67">
        <v>21</v>
      </c>
      <c r="C372" s="65">
        <f ca="1">IF(ISNUMBER($C$248),$C$248+($C$348-$C$248)*21/24,NA())</f>
        <v>43.875</v>
      </c>
      <c r="D372" s="68">
        <f t="shared" ca="1" si="5"/>
        <v>98</v>
      </c>
      <c r="E372" s="65">
        <f t="shared" ca="1" si="6"/>
        <v>44.395833333333336</v>
      </c>
      <c r="F372" s="66">
        <f t="shared" ca="1" si="7"/>
        <v>1.0416666666666741E-2</v>
      </c>
      <c r="G372" s="66" cm="1">
        <f t="array" aca="1" ref="G372" ca="1">IF(ISNUMBER(D372),IF(D372&gt;=101,INDEX($B$248:$B$348,101),INDEX($B$248:$B$348,D372)+(C372-INDEX($C$248:$C$348,D372))/MAX(0.000000000001,INDEX($C$248:$C$348,D372+1)-INDEX($C$248:$C$348,D372))*(INDEX($B$248:$B$348,D372+1)-INDEX($B$248:$B$348,D372))),NA())</f>
        <v>0.97875000000000001</v>
      </c>
    </row>
    <row r="373" spans="2:7" hidden="1" outlineLevel="1" x14ac:dyDescent="0.45">
      <c r="B373" s="67">
        <v>22</v>
      </c>
      <c r="C373" s="65">
        <f ca="1">IF(ISNUMBER($C$248),$C$248+($C$348-$C$248)*22/24,NA())</f>
        <v>44.916666666666671</v>
      </c>
      <c r="D373" s="68">
        <f t="shared" ca="1" si="5"/>
        <v>99</v>
      </c>
      <c r="E373" s="65">
        <f t="shared" ca="1" si="6"/>
        <v>45.4375</v>
      </c>
      <c r="F373" s="66">
        <f t="shared" ca="1" si="7"/>
        <v>3.2291666666666163E-3</v>
      </c>
      <c r="G373" s="66" cm="1">
        <f t="array" aca="1" ref="G373" ca="1">IF(ISNUMBER(D373),IF(D373&gt;=101,INDEX($B$248:$B$348,101),INDEX($B$248:$B$348,D373)+(C373-INDEX($C$248:$C$348,D373))/MAX(0.000000000001,INDEX($C$248:$C$348,D373+1)-INDEX($C$248:$C$348,D373))*(INDEX($B$248:$B$348,D373+1)-INDEX($B$248:$B$348,D373))),NA())</f>
        <v>0.98916666666666675</v>
      </c>
    </row>
    <row r="374" spans="2:7" hidden="1" outlineLevel="1" x14ac:dyDescent="0.45">
      <c r="B374" s="67">
        <v>23</v>
      </c>
      <c r="C374" s="65">
        <f ca="1">IF(ISNUMBER($C$248),$C$248+($C$348-$C$248)*23/24,NA())</f>
        <v>45.958333333333329</v>
      </c>
      <c r="D374" s="68">
        <f t="shared" ca="1" si="5"/>
        <v>100</v>
      </c>
      <c r="E374" s="65">
        <f t="shared" ca="1" si="6"/>
        <v>46.479166666666664</v>
      </c>
      <c r="F374" s="66">
        <f t="shared" ca="1" si="7"/>
        <v>2.6041666666666297E-3</v>
      </c>
      <c r="G374" s="66" cm="1">
        <f t="array" aca="1" ref="G374" ca="1">IF(ISNUMBER(D374),IF(D374&gt;=101,INDEX($B$248:$B$348,101),INDEX($B$248:$B$348,D374)+(C374-INDEX($C$248:$C$348,D374))/MAX(0.000000000001,INDEX($C$248:$C$348,D374+1)-INDEX($C$248:$C$348,D374))*(INDEX($B$248:$B$348,D374+1)-INDEX($B$248:$B$348,D374))),NA())</f>
        <v>0.99239583333333337</v>
      </c>
    </row>
    <row r="375" spans="2:7" hidden="1" outlineLevel="1" x14ac:dyDescent="0.45">
      <c r="B375" s="67">
        <v>24</v>
      </c>
      <c r="C375" s="65">
        <f ca="1">IF(ISNUMBER($C$248),$C$248+($C$348-$C$248)*24/24,NA())</f>
        <v>47</v>
      </c>
      <c r="D375" s="68">
        <f t="shared" ca="1" si="5"/>
        <v>101</v>
      </c>
      <c r="G375" s="66" cm="1">
        <f t="array" aca="1" ref="G375" ca="1">IF(ISNUMBER(D375),IF(D375&gt;=101,INDEX($B$248:$B$348,101),INDEX($B$248:$B$348,D375)+(C375-INDEX($C$248:$C$348,D375))/MAX(0.000000000001,INDEX($C$248:$C$348,D375+1)-INDEX($C$248:$C$348,D375))*(INDEX($B$248:$B$348,D375+1)-INDEX($B$248:$B$348,D375))),NA())</f>
        <v>0.995</v>
      </c>
    </row>
    <row r="376" spans="2:7" hidden="1" outlineLevel="1" x14ac:dyDescent="0.45"/>
    <row r="377" spans="2:7" ht="28.05" hidden="1" customHeight="1" outlineLevel="1" x14ac:dyDescent="0.45">
      <c r="B377" s="23" t="s">
        <v>247</v>
      </c>
      <c r="C377" s="24" t="s">
        <v>61</v>
      </c>
      <c r="D377" s="24" t="s">
        <v>248</v>
      </c>
      <c r="E377" s="24" t="s">
        <v>249</v>
      </c>
      <c r="F377" s="5"/>
      <c r="G377" s="5"/>
    </row>
    <row r="378" spans="2:7" hidden="1" outlineLevel="1" x14ac:dyDescent="0.45">
      <c r="B378" s="69" t="s">
        <v>250</v>
      </c>
      <c r="C378" s="70">
        <f>Analysis!H44</f>
        <v>5.7421363663934244E-7</v>
      </c>
      <c r="D378" s="70">
        <f t="shared" ref="D378:D418" si="8">Futility</f>
        <v>0.1</v>
      </c>
      <c r="E378" s="70">
        <f t="shared" ref="E378:E418" si="9">Efficacy</f>
        <v>0.95</v>
      </c>
    </row>
    <row r="379" spans="2:7" hidden="1" outlineLevel="1" x14ac:dyDescent="0.45">
      <c r="B379" s="69" t="s">
        <v>251</v>
      </c>
      <c r="C379" s="70">
        <f>Analysis!H45</f>
        <v>5.0017256857382009E-6</v>
      </c>
      <c r="D379" s="70">
        <f t="shared" si="8"/>
        <v>0.1</v>
      </c>
      <c r="E379" s="70">
        <f t="shared" si="9"/>
        <v>0.95</v>
      </c>
    </row>
    <row r="380" spans="2:7" hidden="1" outlineLevel="1" x14ac:dyDescent="0.45">
      <c r="B380" s="69" t="s">
        <v>252</v>
      </c>
      <c r="C380" s="70">
        <f>Analysis!H46</f>
        <v>3.4518472163291847E-5</v>
      </c>
      <c r="D380" s="70">
        <f t="shared" si="8"/>
        <v>0.1</v>
      </c>
      <c r="E380" s="70">
        <f t="shared" si="9"/>
        <v>0.95</v>
      </c>
    </row>
    <row r="381" spans="2:7" hidden="1" outlineLevel="1" x14ac:dyDescent="0.45">
      <c r="B381" s="69" t="s">
        <v>253</v>
      </c>
      <c r="C381" s="70">
        <f>Analysis!H47</f>
        <v>1.9273691508248092E-4</v>
      </c>
      <c r="D381" s="70">
        <f t="shared" si="8"/>
        <v>0.1</v>
      </c>
      <c r="E381" s="70">
        <f t="shared" si="9"/>
        <v>0.95</v>
      </c>
    </row>
    <row r="382" spans="2:7" hidden="1" outlineLevel="1" x14ac:dyDescent="0.45">
      <c r="B382" s="69" t="s">
        <v>254</v>
      </c>
      <c r="C382" s="70">
        <f>Analysis!H48</f>
        <v>8.8487981736284915E-4</v>
      </c>
      <c r="D382" s="70">
        <f t="shared" si="8"/>
        <v>0.1</v>
      </c>
      <c r="E382" s="70">
        <f t="shared" si="9"/>
        <v>0.95</v>
      </c>
    </row>
    <row r="383" spans="2:7" hidden="1" outlineLevel="1" x14ac:dyDescent="0.45">
      <c r="B383" s="69" t="s">
        <v>255</v>
      </c>
      <c r="C383" s="70">
        <f>Analysis!H49</f>
        <v>3.3842847426489575E-3</v>
      </c>
      <c r="D383" s="70">
        <f t="shared" si="8"/>
        <v>0.1</v>
      </c>
      <c r="E383" s="70">
        <f t="shared" si="9"/>
        <v>0.95</v>
      </c>
    </row>
    <row r="384" spans="2:7" hidden="1" outlineLevel="1" x14ac:dyDescent="0.45">
      <c r="B384" s="69" t="s">
        <v>256</v>
      </c>
      <c r="C384" s="70">
        <f>Analysis!H50</f>
        <v>1.0900922650699862E-2</v>
      </c>
      <c r="D384" s="70">
        <f t="shared" si="8"/>
        <v>0.1</v>
      </c>
      <c r="E384" s="70">
        <f t="shared" si="9"/>
        <v>0.95</v>
      </c>
    </row>
    <row r="385" spans="2:5" hidden="1" outlineLevel="1" x14ac:dyDescent="0.45">
      <c r="B385" s="69" t="s">
        <v>257</v>
      </c>
      <c r="C385" s="70">
        <f>Analysis!H51</f>
        <v>2.985735597144823E-2</v>
      </c>
      <c r="D385" s="70">
        <f t="shared" si="8"/>
        <v>0.1</v>
      </c>
      <c r="E385" s="70">
        <f t="shared" si="9"/>
        <v>0.95</v>
      </c>
    </row>
    <row r="386" spans="2:5" hidden="1" outlineLevel="1" x14ac:dyDescent="0.45">
      <c r="B386" s="69" t="s">
        <v>258</v>
      </c>
      <c r="C386" s="70">
        <f>Analysis!H52</f>
        <v>7.0163145162254636E-2</v>
      </c>
      <c r="D386" s="70">
        <f t="shared" si="8"/>
        <v>0.1</v>
      </c>
      <c r="E386" s="70">
        <f t="shared" si="9"/>
        <v>0.95</v>
      </c>
    </row>
    <row r="387" spans="2:5" hidden="1" outlineLevel="1" x14ac:dyDescent="0.45">
      <c r="B387" s="69" t="s">
        <v>259</v>
      </c>
      <c r="C387" s="70">
        <f>Analysis!H53</f>
        <v>0.14271356570556115</v>
      </c>
      <c r="D387" s="70">
        <f t="shared" si="8"/>
        <v>0.1</v>
      </c>
      <c r="E387" s="70">
        <f t="shared" si="9"/>
        <v>0.95</v>
      </c>
    </row>
    <row r="388" spans="2:5" hidden="1" outlineLevel="1" x14ac:dyDescent="0.45">
      <c r="B388" s="69" t="s">
        <v>260</v>
      </c>
      <c r="C388" s="70">
        <f>Analysis!H54</f>
        <v>0.25360363938170805</v>
      </c>
      <c r="D388" s="70">
        <f t="shared" si="8"/>
        <v>0.1</v>
      </c>
      <c r="E388" s="70">
        <f t="shared" si="9"/>
        <v>0.95</v>
      </c>
    </row>
    <row r="389" spans="2:5" hidden="1" outlineLevel="1" x14ac:dyDescent="0.45">
      <c r="B389" s="69" t="s">
        <v>261</v>
      </c>
      <c r="C389" s="70">
        <f>Analysis!H55</f>
        <v>0.39782674115680339</v>
      </c>
      <c r="D389" s="70">
        <f t="shared" si="8"/>
        <v>0.1</v>
      </c>
      <c r="E389" s="70">
        <f t="shared" si="9"/>
        <v>0.95</v>
      </c>
    </row>
    <row r="390" spans="2:5" hidden="1" outlineLevel="1" x14ac:dyDescent="0.45">
      <c r="B390" s="69" t="s">
        <v>262</v>
      </c>
      <c r="C390" s="70">
        <f>Analysis!H56</f>
        <v>0.55763619729612213</v>
      </c>
      <c r="D390" s="70">
        <f t="shared" si="8"/>
        <v>0.1</v>
      </c>
      <c r="E390" s="70">
        <f t="shared" si="9"/>
        <v>0.95</v>
      </c>
    </row>
    <row r="391" spans="2:5" hidden="1" outlineLevel="1" x14ac:dyDescent="0.45">
      <c r="B391" s="69" t="s">
        <v>263</v>
      </c>
      <c r="C391" s="70">
        <f>Analysis!H57</f>
        <v>0.70856735031661433</v>
      </c>
      <c r="D391" s="70">
        <f t="shared" si="8"/>
        <v>0.1</v>
      </c>
      <c r="E391" s="70">
        <f t="shared" si="9"/>
        <v>0.95</v>
      </c>
    </row>
    <row r="392" spans="2:5" hidden="1" outlineLevel="1" x14ac:dyDescent="0.45">
      <c r="B392" s="69" t="s">
        <v>264</v>
      </c>
      <c r="C392" s="70">
        <f>Analysis!H58</f>
        <v>0.83001838339041956</v>
      </c>
      <c r="D392" s="70">
        <f t="shared" si="8"/>
        <v>0.1</v>
      </c>
      <c r="E392" s="70">
        <f t="shared" si="9"/>
        <v>0.95</v>
      </c>
    </row>
    <row r="393" spans="2:5" hidden="1" outlineLevel="1" x14ac:dyDescent="0.45">
      <c r="B393" s="69" t="s">
        <v>265</v>
      </c>
      <c r="C393" s="70">
        <f>Analysis!H59</f>
        <v>0.91318593864747322</v>
      </c>
      <c r="D393" s="70">
        <f t="shared" si="8"/>
        <v>0.1</v>
      </c>
      <c r="E393" s="70">
        <f t="shared" si="9"/>
        <v>0.95</v>
      </c>
    </row>
    <row r="394" spans="2:5" hidden="1" outlineLevel="1" x14ac:dyDescent="0.45">
      <c r="B394" s="69" t="s">
        <v>266</v>
      </c>
      <c r="C394" s="70">
        <f>Analysis!H60</f>
        <v>0.9615528856763994</v>
      </c>
      <c r="D394" s="70">
        <f t="shared" si="8"/>
        <v>0.1</v>
      </c>
      <c r="E394" s="70">
        <f t="shared" si="9"/>
        <v>0.95</v>
      </c>
    </row>
    <row r="395" spans="2:5" hidden="1" outlineLevel="1" x14ac:dyDescent="0.45">
      <c r="B395" s="69" t="s">
        <v>267</v>
      </c>
      <c r="C395" s="70">
        <f>Analysis!H61</f>
        <v>0.98536994292549285</v>
      </c>
      <c r="D395" s="70">
        <f t="shared" si="8"/>
        <v>0.1</v>
      </c>
      <c r="E395" s="70">
        <f t="shared" si="9"/>
        <v>0.95</v>
      </c>
    </row>
    <row r="396" spans="2:5" hidden="1" outlineLevel="1" x14ac:dyDescent="0.45">
      <c r="B396" s="69" t="s">
        <v>268</v>
      </c>
      <c r="C396" s="70">
        <f>Analysis!H62</f>
        <v>0.99526025596238332</v>
      </c>
      <c r="D396" s="70">
        <f t="shared" si="8"/>
        <v>0.1</v>
      </c>
      <c r="E396" s="70">
        <f t="shared" si="9"/>
        <v>0.95</v>
      </c>
    </row>
    <row r="397" spans="2:5" hidden="1" outlineLevel="1" x14ac:dyDescent="0.45">
      <c r="B397" s="69" t="s">
        <v>269</v>
      </c>
      <c r="C397" s="70">
        <f>Analysis!H63</f>
        <v>0.99870538167023371</v>
      </c>
      <c r="D397" s="70">
        <f t="shared" si="8"/>
        <v>0.1</v>
      </c>
      <c r="E397" s="70">
        <f t="shared" si="9"/>
        <v>0.95</v>
      </c>
    </row>
    <row r="398" spans="2:5" hidden="1" outlineLevel="1" x14ac:dyDescent="0.45">
      <c r="B398" s="69" t="s">
        <v>270</v>
      </c>
      <c r="C398" s="70">
        <f>Analysis!H64</f>
        <v>0.99970514364035479</v>
      </c>
      <c r="D398" s="70">
        <f t="shared" si="8"/>
        <v>0.1</v>
      </c>
      <c r="E398" s="70">
        <f t="shared" si="9"/>
        <v>0.95</v>
      </c>
    </row>
    <row r="399" spans="2:5" hidden="1" outlineLevel="1" x14ac:dyDescent="0.45">
      <c r="B399" s="69" t="s">
        <v>271</v>
      </c>
      <c r="C399" s="70">
        <f>Analysis!H65</f>
        <v>0.9999447315681057</v>
      </c>
      <c r="D399" s="70">
        <f t="shared" si="8"/>
        <v>0.1</v>
      </c>
      <c r="E399" s="70">
        <f t="shared" si="9"/>
        <v>0.95</v>
      </c>
    </row>
    <row r="400" spans="2:5" hidden="1" outlineLevel="1" x14ac:dyDescent="0.45">
      <c r="B400" s="69" t="s">
        <v>272</v>
      </c>
      <c r="C400" s="70">
        <f>Analysis!H66</f>
        <v>0.99999161110672929</v>
      </c>
      <c r="D400" s="70">
        <f t="shared" si="8"/>
        <v>0.1</v>
      </c>
      <c r="E400" s="70">
        <f t="shared" si="9"/>
        <v>0.95</v>
      </c>
    </row>
    <row r="401" spans="2:5" hidden="1" outlineLevel="1" x14ac:dyDescent="0.45">
      <c r="B401" s="69" t="s">
        <v>273</v>
      </c>
      <c r="C401" s="70">
        <f>Analysis!H67</f>
        <v>0.99999899029336448</v>
      </c>
      <c r="D401" s="70">
        <f t="shared" si="8"/>
        <v>0.1</v>
      </c>
      <c r="E401" s="70">
        <f t="shared" si="9"/>
        <v>0.95</v>
      </c>
    </row>
    <row r="402" spans="2:5" hidden="1" outlineLevel="1" x14ac:dyDescent="0.45">
      <c r="B402" s="69" t="s">
        <v>274</v>
      </c>
      <c r="C402" s="70">
        <f>Analysis!H68</f>
        <v>0.99999990633032609</v>
      </c>
      <c r="D402" s="70">
        <f t="shared" si="8"/>
        <v>0.1</v>
      </c>
      <c r="E402" s="70">
        <f t="shared" si="9"/>
        <v>0.95</v>
      </c>
    </row>
    <row r="403" spans="2:5" hidden="1" outlineLevel="1" x14ac:dyDescent="0.45">
      <c r="B403" s="69" t="s">
        <v>275</v>
      </c>
      <c r="C403" s="70">
        <f>Analysis!H69</f>
        <v>0.99999999357194147</v>
      </c>
      <c r="D403" s="70">
        <f t="shared" si="8"/>
        <v>0.1</v>
      </c>
      <c r="E403" s="70">
        <f t="shared" si="9"/>
        <v>0.95</v>
      </c>
    </row>
    <row r="404" spans="2:5" hidden="1" outlineLevel="1" x14ac:dyDescent="0.45">
      <c r="B404" s="69" t="s">
        <v>276</v>
      </c>
      <c r="C404" s="70">
        <f>Analysis!H70</f>
        <v>0.99999999969416009</v>
      </c>
      <c r="D404" s="70">
        <f t="shared" si="8"/>
        <v>0.1</v>
      </c>
      <c r="E404" s="70">
        <f t="shared" si="9"/>
        <v>0.95</v>
      </c>
    </row>
    <row r="405" spans="2:5" hidden="1" outlineLevel="1" x14ac:dyDescent="0.45">
      <c r="B405" s="69" t="s">
        <v>277</v>
      </c>
      <c r="C405" s="70">
        <f>Analysis!H71</f>
        <v>0.99999999999103484</v>
      </c>
      <c r="D405" s="70">
        <f t="shared" si="8"/>
        <v>0.1</v>
      </c>
      <c r="E405" s="70">
        <f t="shared" si="9"/>
        <v>0.95</v>
      </c>
    </row>
    <row r="406" spans="2:5" hidden="1" outlineLevel="1" x14ac:dyDescent="0.45">
      <c r="B406" s="69" t="s">
        <v>278</v>
      </c>
      <c r="C406" s="70">
        <f>Analysis!H72</f>
        <v>0.99999999999987865</v>
      </c>
      <c r="D406" s="70">
        <f t="shared" si="8"/>
        <v>0.1</v>
      </c>
      <c r="E406" s="70">
        <f t="shared" si="9"/>
        <v>0.95</v>
      </c>
    </row>
    <row r="407" spans="2:5" hidden="1" outlineLevel="1" x14ac:dyDescent="0.45">
      <c r="B407" s="69" t="s">
        <v>279</v>
      </c>
      <c r="C407" s="70">
        <f>Analysis!H73</f>
        <v>1</v>
      </c>
      <c r="D407" s="70">
        <f t="shared" si="8"/>
        <v>0.1</v>
      </c>
      <c r="E407" s="70">
        <f t="shared" si="9"/>
        <v>0.95</v>
      </c>
    </row>
    <row r="408" spans="2:5" hidden="1" outlineLevel="1" x14ac:dyDescent="0.45">
      <c r="B408" s="69" t="s">
        <v>280</v>
      </c>
      <c r="C408" s="70">
        <f>Analysis!H74</f>
        <v>1</v>
      </c>
      <c r="D408" s="70">
        <f t="shared" si="8"/>
        <v>0.1</v>
      </c>
      <c r="E408" s="70">
        <f t="shared" si="9"/>
        <v>0.95</v>
      </c>
    </row>
    <row r="409" spans="2:5" hidden="1" outlineLevel="1" x14ac:dyDescent="0.45">
      <c r="B409" s="69" t="s">
        <v>281</v>
      </c>
      <c r="C409" s="70">
        <f>Analysis!H75</f>
        <v>1</v>
      </c>
      <c r="D409" s="70">
        <f t="shared" si="8"/>
        <v>0.1</v>
      </c>
      <c r="E409" s="70">
        <f t="shared" si="9"/>
        <v>0.95</v>
      </c>
    </row>
    <row r="410" spans="2:5" hidden="1" outlineLevel="1" x14ac:dyDescent="0.45">
      <c r="B410" s="69" t="s">
        <v>282</v>
      </c>
      <c r="C410" s="70">
        <f>Analysis!H76</f>
        <v>1</v>
      </c>
      <c r="D410" s="70">
        <f t="shared" si="8"/>
        <v>0.1</v>
      </c>
      <c r="E410" s="70">
        <f t="shared" si="9"/>
        <v>0.95</v>
      </c>
    </row>
    <row r="411" spans="2:5" hidden="1" outlineLevel="1" x14ac:dyDescent="0.45">
      <c r="B411" s="69" t="s">
        <v>283</v>
      </c>
      <c r="C411" s="70">
        <f>Analysis!H77</f>
        <v>1</v>
      </c>
      <c r="D411" s="70">
        <f t="shared" si="8"/>
        <v>0.1</v>
      </c>
      <c r="E411" s="70">
        <f t="shared" si="9"/>
        <v>0.95</v>
      </c>
    </row>
    <row r="412" spans="2:5" hidden="1" outlineLevel="1" x14ac:dyDescent="0.45">
      <c r="B412" s="69" t="s">
        <v>284</v>
      </c>
      <c r="C412" s="70">
        <f>Analysis!H78</f>
        <v>1</v>
      </c>
      <c r="D412" s="70">
        <f t="shared" si="8"/>
        <v>0.1</v>
      </c>
      <c r="E412" s="70">
        <f t="shared" si="9"/>
        <v>0.95</v>
      </c>
    </row>
    <row r="413" spans="2:5" hidden="1" outlineLevel="1" x14ac:dyDescent="0.45">
      <c r="B413" s="69" t="s">
        <v>285</v>
      </c>
      <c r="C413" s="70">
        <f>Analysis!H79</f>
        <v>1</v>
      </c>
      <c r="D413" s="70">
        <f t="shared" si="8"/>
        <v>0.1</v>
      </c>
      <c r="E413" s="70">
        <f t="shared" si="9"/>
        <v>0.95</v>
      </c>
    </row>
    <row r="414" spans="2:5" hidden="1" outlineLevel="1" x14ac:dyDescent="0.45">
      <c r="B414" s="69" t="s">
        <v>286</v>
      </c>
      <c r="C414" s="70">
        <f>Analysis!H80</f>
        <v>1</v>
      </c>
      <c r="D414" s="70">
        <f t="shared" si="8"/>
        <v>0.1</v>
      </c>
      <c r="E414" s="70">
        <f t="shared" si="9"/>
        <v>0.95</v>
      </c>
    </row>
    <row r="415" spans="2:5" hidden="1" outlineLevel="1" x14ac:dyDescent="0.45">
      <c r="B415" s="69" t="s">
        <v>287</v>
      </c>
      <c r="C415" s="70">
        <f>Analysis!H81</f>
        <v>1</v>
      </c>
      <c r="D415" s="70">
        <f t="shared" si="8"/>
        <v>0.1</v>
      </c>
      <c r="E415" s="70">
        <f t="shared" si="9"/>
        <v>0.95</v>
      </c>
    </row>
    <row r="416" spans="2:5" hidden="1" outlineLevel="1" x14ac:dyDescent="0.45">
      <c r="B416" s="69" t="s">
        <v>288</v>
      </c>
      <c r="C416" s="70">
        <f>Analysis!H82</f>
        <v>1</v>
      </c>
      <c r="D416" s="70">
        <f t="shared" si="8"/>
        <v>0.1</v>
      </c>
      <c r="E416" s="70">
        <f t="shared" si="9"/>
        <v>0.95</v>
      </c>
    </row>
    <row r="417" spans="2:5" hidden="1" outlineLevel="1" x14ac:dyDescent="0.45">
      <c r="B417" s="69" t="s">
        <v>289</v>
      </c>
      <c r="C417" s="70">
        <f>Analysis!H83</f>
        <v>1</v>
      </c>
      <c r="D417" s="70">
        <f t="shared" si="8"/>
        <v>0.1</v>
      </c>
      <c r="E417" s="70">
        <f t="shared" si="9"/>
        <v>0.95</v>
      </c>
    </row>
    <row r="418" spans="2:5" hidden="1" outlineLevel="1" x14ac:dyDescent="0.45">
      <c r="B418" s="69" t="s">
        <v>290</v>
      </c>
      <c r="C418" s="70">
        <f>Analysis!H84</f>
        <v>1</v>
      </c>
      <c r="D418" s="70">
        <f t="shared" si="8"/>
        <v>0.1</v>
      </c>
      <c r="E418" s="70">
        <f t="shared" si="9"/>
        <v>0.95</v>
      </c>
    </row>
  </sheetData>
  <mergeCells count="5">
    <mergeCell ref="B59:G59"/>
    <mergeCell ref="B60:G60"/>
    <mergeCell ref="B57:G57"/>
    <mergeCell ref="B58:G58"/>
    <mergeCell ref="B56:G56"/>
  </mergeCells>
  <conditionalFormatting sqref="B7">
    <cfRule type="expression" dxfId="5" priority="2">
      <formula>LEFT($B$7,1)="✗"</formula>
    </cfRule>
  </conditionalFormatting>
  <conditionalFormatting sqref="B6:G6">
    <cfRule type="expression" dxfId="4" priority="1">
      <formula>LEFT($B$6,1)&lt;&gt;"✔"</formula>
    </cfRule>
  </conditionalFormatting>
  <conditionalFormatting sqref="C378:E418">
    <cfRule type="expression" dxfId="3" priority="6">
      <formula>ISNA(C378)</formula>
    </cfRule>
  </conditionalFormatting>
  <conditionalFormatting sqref="C118:G245">
    <cfRule type="expression" dxfId="2" priority="4">
      <formula>ISNA($C$118)</formula>
    </cfRule>
  </conditionalFormatting>
  <conditionalFormatting sqref="C248:G375">
    <cfRule type="expression" dxfId="1" priority="5">
      <formula>ISNA($C$248)</formula>
    </cfRule>
  </conditionalFormatting>
  <conditionalFormatting sqref="D66:E115">
    <cfRule type="expression" dxfId="0" priority="3">
      <formula>ISNA(D66)</formula>
    </cfRule>
  </conditionalFormatting>
  <hyperlinks>
    <hyperlink ref="B4" location="'Analysis'!A1" display="◂  Analysis"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38"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EF04B-1ECC-4D17-967A-290213E26B59}">
  <dimension ref="A1:B1"/>
  <sheetViews>
    <sheetView workbookViewId="0"/>
  </sheetViews>
  <sheetFormatPr defaultRowHeight="14.25" x14ac:dyDescent="0.45"/>
  <sheetData>
    <row r="1" spans="1:2" x14ac:dyDescent="0.45">
      <c r="A1" s="75" t="s">
        <v>291</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E4919-0D73-42A1-B77B-252492FA5093}">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41170-25AE-4991-AF44-DAEC293BB502}">
  <dimension ref="B3:B42"/>
  <sheetViews>
    <sheetView workbookViewId="0"/>
  </sheetViews>
  <sheetFormatPr defaultRowHeight="14.25" x14ac:dyDescent="0.45"/>
  <sheetData>
    <row r="3" spans="2:2" x14ac:dyDescent="0.45">
      <c r="B3">
        <v>5</v>
      </c>
    </row>
    <row r="4" spans="2:2" x14ac:dyDescent="0.45">
      <c r="B4">
        <v>50</v>
      </c>
    </row>
    <row r="5" spans="2:2" x14ac:dyDescent="0.45">
      <c r="B5">
        <v>199</v>
      </c>
    </row>
    <row r="6" spans="2:2" x14ac:dyDescent="0.45">
      <c r="B6">
        <v>418</v>
      </c>
    </row>
    <row r="7" spans="2:2" x14ac:dyDescent="0.45">
      <c r="B7">
        <v>516</v>
      </c>
    </row>
    <row r="8" spans="2:2" x14ac:dyDescent="0.45">
      <c r="B8">
        <v>407</v>
      </c>
    </row>
    <row r="9" spans="2:2" x14ac:dyDescent="0.45">
      <c r="B9">
        <v>263</v>
      </c>
    </row>
    <row r="10" spans="2:2" x14ac:dyDescent="0.45">
      <c r="B10">
        <v>104</v>
      </c>
    </row>
    <row r="11" spans="2:2" x14ac:dyDescent="0.45">
      <c r="B11">
        <v>28</v>
      </c>
    </row>
    <row r="12" spans="2:2" x14ac:dyDescent="0.45">
      <c r="B12">
        <v>10</v>
      </c>
    </row>
    <row r="13" spans="2:2" x14ac:dyDescent="0.45">
      <c r="B13">
        <v>17</v>
      </c>
    </row>
    <row r="14" spans="2:2" x14ac:dyDescent="0.45">
      <c r="B14">
        <v>89</v>
      </c>
    </row>
    <row r="15" spans="2:2" x14ac:dyDescent="0.45">
      <c r="B15">
        <v>242</v>
      </c>
    </row>
    <row r="16" spans="2:2" x14ac:dyDescent="0.45">
      <c r="B16">
        <v>414</v>
      </c>
    </row>
    <row r="17" spans="2:2" x14ac:dyDescent="0.45">
      <c r="B17">
        <v>463</v>
      </c>
    </row>
    <row r="18" spans="2:2" x14ac:dyDescent="0.45">
      <c r="B18">
        <v>378</v>
      </c>
    </row>
    <row r="19" spans="2:2" x14ac:dyDescent="0.45">
      <c r="B19">
        <v>236</v>
      </c>
    </row>
    <row r="20" spans="2:2" x14ac:dyDescent="0.45">
      <c r="B20">
        <v>118</v>
      </c>
    </row>
    <row r="21" spans="2:2" x14ac:dyDescent="0.45">
      <c r="B21">
        <v>34</v>
      </c>
    </row>
    <row r="22" spans="2:2" x14ac:dyDescent="0.45">
      <c r="B22">
        <v>9</v>
      </c>
    </row>
    <row r="23" spans="2:2" x14ac:dyDescent="0.45">
      <c r="B23">
        <v>348</v>
      </c>
    </row>
    <row r="24" spans="2:2" x14ac:dyDescent="0.45">
      <c r="B24">
        <v>0</v>
      </c>
    </row>
    <row r="25" spans="2:2" x14ac:dyDescent="0.45">
      <c r="B25">
        <v>0</v>
      </c>
    </row>
    <row r="26" spans="2:2" x14ac:dyDescent="0.45">
      <c r="B26">
        <v>0</v>
      </c>
    </row>
    <row r="27" spans="2:2" x14ac:dyDescent="0.45">
      <c r="B27">
        <v>0</v>
      </c>
    </row>
    <row r="28" spans="2:2" x14ac:dyDescent="0.45">
      <c r="B28">
        <v>0</v>
      </c>
    </row>
    <row r="29" spans="2:2" x14ac:dyDescent="0.45">
      <c r="B29">
        <v>0</v>
      </c>
    </row>
    <row r="30" spans="2:2" x14ac:dyDescent="0.45">
      <c r="B30">
        <v>0</v>
      </c>
    </row>
    <row r="31" spans="2:2" x14ac:dyDescent="0.45">
      <c r="B31">
        <v>0</v>
      </c>
    </row>
    <row r="32" spans="2:2" x14ac:dyDescent="0.45">
      <c r="B32">
        <v>1652</v>
      </c>
    </row>
    <row r="33" spans="2:2" x14ac:dyDescent="0.45">
      <c r="B33">
        <v>17</v>
      </c>
    </row>
    <row r="34" spans="2:2" x14ac:dyDescent="0.45">
      <c r="B34">
        <v>89</v>
      </c>
    </row>
    <row r="35" spans="2:2" x14ac:dyDescent="0.45">
      <c r="B35">
        <v>242</v>
      </c>
    </row>
    <row r="36" spans="2:2" x14ac:dyDescent="0.45">
      <c r="B36">
        <v>414</v>
      </c>
    </row>
    <row r="37" spans="2:2" x14ac:dyDescent="0.45">
      <c r="B37">
        <v>463</v>
      </c>
    </row>
    <row r="38" spans="2:2" x14ac:dyDescent="0.45">
      <c r="B38">
        <v>378</v>
      </c>
    </row>
    <row r="39" spans="2:2" x14ac:dyDescent="0.45">
      <c r="B39">
        <v>236</v>
      </c>
    </row>
    <row r="40" spans="2:2" x14ac:dyDescent="0.45">
      <c r="B40">
        <v>118</v>
      </c>
    </row>
    <row r="41" spans="2:2" x14ac:dyDescent="0.45">
      <c r="B41">
        <v>34</v>
      </c>
    </row>
    <row r="42" spans="2:2" x14ac:dyDescent="0.45">
      <c r="B42">
        <v>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D14DECD2-8E18-48C9-A418-A33652258FAF}">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41</vt:i4>
      </vt:variant>
    </vt:vector>
  </HeadingPairs>
  <TitlesOfParts>
    <vt:vector size="48" baseType="lpstr">
      <vt:lpstr>About</vt:lpstr>
      <vt:lpstr>Inputs</vt:lpstr>
      <vt:lpstr>Analysis</vt:lpstr>
      <vt:lpstr>Results</vt:lpstr>
      <vt:lpstr>ModelRiskDSN</vt:lpstr>
      <vt:lpstr>ModelRiskSYS1</vt:lpstr>
      <vt:lpstr>ModelRiskCharts</vt:lpstr>
      <vt:lpstr>Alpha</vt:lpstr>
      <vt:lpstr>BoundX</vt:lpstr>
      <vt:lpstr>Checks</vt:lpstr>
      <vt:lpstr>Control</vt:lpstr>
      <vt:lpstr>CPower</vt:lpstr>
      <vt:lpstr>CrHi</vt:lpstr>
      <vt:lpstr>CrLo</vt:lpstr>
      <vt:lpstr>Decision</vt:lpstr>
      <vt:lpstr>Efficacy</vt:lpstr>
      <vt:lpstr>EffMin</vt:lpstr>
      <vt:lpstr>FinalRate</vt:lpstr>
      <vt:lpstr>FinalX</vt:lpstr>
      <vt:lpstr>Futility</vt:lpstr>
      <vt:lpstr>FutMax</vt:lpstr>
      <vt:lpstr>KSucc</vt:lpstr>
      <vt:lpstr>Need</vt:lpstr>
      <vt:lpstr>NInt</vt:lpstr>
      <vt:lpstr>NRem</vt:lpstr>
      <vt:lpstr>NTot</vt:lpstr>
      <vt:lpstr>PA_2</vt:lpstr>
      <vt:lpstr>PA_3</vt:lpstr>
      <vt:lpstr>PA_4</vt:lpstr>
      <vt:lpstr>PB_2</vt:lpstr>
      <vt:lpstr>PB_3</vt:lpstr>
      <vt:lpstr>PB_4</vt:lpstr>
      <vt:lpstr>PBeat</vt:lpstr>
      <vt:lpstr>PostA</vt:lpstr>
      <vt:lpstr>PostB</vt:lpstr>
      <vt:lpstr>PostMean</vt:lpstr>
      <vt:lpstr>PPoS</vt:lpstr>
      <vt:lpstr>Results!Print_Area</vt:lpstr>
      <vt:lpstr>Inputs!Print_Titles</vt:lpstr>
      <vt:lpstr>Results!Print_Titles</vt:lpstr>
      <vt:lpstr>PriorN</vt:lpstr>
      <vt:lpstr>PriorTable</vt:lpstr>
      <vt:lpstr>PriorX</vt:lpstr>
      <vt:lpstr>Success</vt:lpstr>
      <vt:lpstr>TrueRate</vt:lpstr>
      <vt:lpstr>XInt</vt:lpstr>
      <vt:lpstr>YRem</vt:lpstr>
      <vt:lpstr>Zone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PH-08 Bayesian Estimate of a Trial's Success Probability</dc:title>
  <dc:subject>ModelRisk industry example library — Pharmaceuticals and biotech</dc:subject>
  <dc:creator>Vose Software</dc:creator>
  <cp:keywords>ModelRisk; Monte Carlo; Pharmaceuticals and biotech</cp:keywords>
  <dc:description>A Phase II interim analysis the Bayesian way: the posterior response rate, the predictive probability of success, and when to stop.</dc:description>
  <cp:lastModifiedBy>Timour Koupeev</cp:lastModifiedBy>
  <cp:lastPrinted>2026-10-05T09:50:13Z</cp:lastPrinted>
  <dcterms:created xsi:type="dcterms:W3CDTF">2026-10-05T09:46:51Z</dcterms:created>
  <dcterms:modified xsi:type="dcterms:W3CDTF">2026-10-05T09:50:15Z</dcterms:modified>
</cp:coreProperties>
</file>