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harmaceuticals and biotech\"/>
    </mc:Choice>
  </mc:AlternateContent>
  <xr:revisionPtr revIDLastSave="0" documentId="8_{7CE392F4-8FCC-4DD7-9D62-339D29529B02}"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atient" sheetId="3" r:id="rId3"/>
    <sheet name="Results" sheetId="4" r:id="rId4"/>
    <sheet name="ModelRiskDSN" sheetId="5" state="hidden" r:id="rId5"/>
    <sheet name="ModelRiskSYS1" sheetId="6" state="hidden" r:id="rId6"/>
    <sheet name="ModelRiskCharts" sheetId="7" state="hidden" r:id="rId7"/>
  </sheets>
  <definedNames>
    <definedName name="Bioav">Inputs!$D$17</definedName>
    <definedName name="ChartReg">Inputs!$D$41</definedName>
    <definedName name="Checks">Patient!$D$126:$D$131</definedName>
    <definedName name="CL_T">Inputs!$D$11</definedName>
    <definedName name="Cmax_1">Patient!$D$99</definedName>
    <definedName name="Cmax_2">Patient!$D$100</definedName>
    <definedName name="Cmax_3">Patient!$D$101</definedName>
    <definedName name="Cmax_4">Patient!$D$102</definedName>
    <definedName name="Cmax_raw_1">Patient!$F$73</definedName>
    <definedName name="Cmax_raw_2">Patient!$K$73</definedName>
    <definedName name="Cmax_raw_3">Patient!$P$73</definedName>
    <definedName name="Cmax_raw_4">Patient!$U$73</definedName>
    <definedName name="Dose_1">Inputs!$D$29</definedName>
    <definedName name="Dose_2">Inputs!$D$31</definedName>
    <definedName name="Dose_3">Inputs!$D$33</definedName>
    <definedName name="Dose_4">Inputs!$D$35</definedName>
    <definedName name="DoseUntil">Patient!$D$34</definedName>
    <definedName name="Eff_1">Patient!$D$107</definedName>
    <definedName name="Eff_2">Patient!$D$108</definedName>
    <definedName name="Eff_3">Patient!$D$109</definedName>
    <definedName name="Eff_4">Patient!$D$110</definedName>
    <definedName name="Eta_CL">Patient!$D$9</definedName>
    <definedName name="Eta_KA">Patient!$D$13</definedName>
    <definedName name="Eta_V">Patient!$D$11</definedName>
    <definedName name="IC_50">Inputs!$D$23</definedName>
    <definedName name="Inh_raw_1">Patient!$G$75</definedName>
    <definedName name="Inh_raw_2">Patient!$L$75</definedName>
    <definedName name="Inh_raw_3">Patient!$Q$75</definedName>
    <definedName name="Inh_raw_4">Patient!$V$75</definedName>
    <definedName name="InhibTarget">Inputs!$D$24</definedName>
    <definedName name="KA_T">Inputs!$D$15</definedName>
    <definedName name="KaTyp">Patient!$D$81</definedName>
    <definedName name="KeTyp">Patient!$D$80</definedName>
    <definedName name="MEC">Inputs!$D$21</definedName>
    <definedName name="MTC">Inputs!$D$22</definedName>
    <definedName name="P_CL">Patient!$D$10</definedName>
    <definedName name="P_KA">Patient!$D$14</definedName>
    <definedName name="P_V">Patient!$D$12</definedName>
    <definedName name="PK_Dose_1">Patient!$D$38:$O$38</definedName>
    <definedName name="PK_Dose_2">Patient!$D$39:$O$39</definedName>
    <definedName name="PK_Dose_3">Patient!$D$40:$O$40</definedName>
    <definedName name="PK_Dose_4">Patient!$D$41:$O$41</definedName>
    <definedName name="PK_Init">Patient!$D$26:$E$27</definedName>
    <definedName name="PK_Lim">Patient!$J$22:$J$23</definedName>
    <definedName name="PK_Name">Patient!$D$19</definedName>
    <definedName name="PK_ODE">Patient!$D$20:$D$21</definedName>
    <definedName name="PK_Out">Patient!$D$22:$D$23</definedName>
    <definedName name="PK_Par">Patient!$D$28:$E$31</definedName>
    <definedName name="PK_Step">Patient!$D$24:$E$24</definedName>
    <definedName name="PK_Times">Patient!$C$48:$C$72</definedName>
    <definedName name="PK_Unit">Patient!$D$25</definedName>
    <definedName name="_xlnm.Print_Area" localSheetId="3">Results!$A$1:$R$60</definedName>
    <definedName name="_xlnm.Print_Titles" localSheetId="1">Inputs!$1:$4</definedName>
    <definedName name="_xlnm.Print_Titles" localSheetId="3">Results!$1:$4</definedName>
    <definedName name="Profile_1">Patient!$F$48:$F$72</definedName>
    <definedName name="Profile_2">Patient!$K$48:$K$72</definedName>
    <definedName name="Profile_3">Patient!$P$48:$P$72</definedName>
    <definedName name="Profile_4">Patient!$U$48:$U$72</definedName>
    <definedName name="ProfileFrom">Patient!$D$33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olverDiff">Patient!$N$85:$N$88</definedName>
    <definedName name="SteadyAt">Patient!$D$32</definedName>
    <definedName name="T80_1">Patient!$D$115</definedName>
    <definedName name="T80_2">Patient!$D$116</definedName>
    <definedName name="T80_3">Patient!$D$117</definedName>
    <definedName name="T80_4">Patient!$D$118</definedName>
    <definedName name="Tau_1">Inputs!$D$30</definedName>
    <definedName name="Tau_2">Inputs!$D$32</definedName>
    <definedName name="Tau_3">Inputs!$D$34</definedName>
    <definedName name="Tau_4">Inputs!$D$36</definedName>
    <definedName name="TimeStep">Inputs!$D$40</definedName>
    <definedName name="Tox_1">Patient!$D$111</definedName>
    <definedName name="Tox_2">Patient!$D$112</definedName>
    <definedName name="Tox_3">Patient!$D$113</definedName>
    <definedName name="Tox_4">Patient!$D$114</definedName>
    <definedName name="Trough_1">Patient!$D$95</definedName>
    <definedName name="Trough_2">Patient!$D$96</definedName>
    <definedName name="Trough_3">Patient!$D$97</definedName>
    <definedName name="Trough_4">Patient!$D$98</definedName>
    <definedName name="Trough_raw_1">Patient!$F$72</definedName>
    <definedName name="Trough_raw_2">Patient!$K$72</definedName>
    <definedName name="Trough_raw_3">Patient!$P$72</definedName>
    <definedName name="Trough_raw_4">Patient!$U$72</definedName>
    <definedName name="TypicalOnly">Inputs!$D$42</definedName>
    <definedName name="TypPeak_1">Patient!$I$85</definedName>
    <definedName name="TypPeak_2">Patient!$I$86</definedName>
    <definedName name="TypPeak_3">Patient!$I$87</definedName>
    <definedName name="TypPeak_4">Patient!$I$88</definedName>
    <definedName name="TypTrough_1">Patient!$H$85</definedName>
    <definedName name="TypTrough_2">Patient!$H$86</definedName>
    <definedName name="TypTrough_3">Patient!$H$87</definedName>
    <definedName name="TypTrough_4">Patient!$H$88</definedName>
    <definedName name="TypWin_1">Patient!$J$85</definedName>
    <definedName name="TypWin_2">Patient!$J$86</definedName>
    <definedName name="TypWin_3">Patient!$J$87</definedName>
    <definedName name="TypWin_4">Patient!$J$88</definedName>
    <definedName name="V_T">Inputs!$D$13</definedName>
    <definedName name="W_CL">Inputs!$D$12</definedName>
    <definedName name="W_KA">Inputs!$D$16</definedName>
    <definedName name="W_V">Inputs!$D$14</definedName>
    <definedName name="Win_1">Patient!$D$103</definedName>
    <definedName name="Win_2">Patient!$D$104</definedName>
    <definedName name="Win_3">Patient!$D$105</definedName>
    <definedName name="Win_4">Patient!$D$106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8" i="4" l="1"/>
  <c r="G148" i="4"/>
  <c r="H147" i="4"/>
  <c r="G147" i="4"/>
  <c r="H146" i="4"/>
  <c r="G146" i="4"/>
  <c r="H145" i="4"/>
  <c r="G145" i="4"/>
  <c r="H144" i="4"/>
  <c r="G144" i="4"/>
  <c r="H143" i="4"/>
  <c r="G143" i="4"/>
  <c r="H142" i="4"/>
  <c r="G142" i="4"/>
  <c r="H141" i="4"/>
  <c r="G141" i="4"/>
  <c r="H140" i="4"/>
  <c r="G140" i="4"/>
  <c r="H139" i="4"/>
  <c r="G139" i="4"/>
  <c r="H138" i="4"/>
  <c r="G138" i="4"/>
  <c r="H137" i="4"/>
  <c r="G137" i="4"/>
  <c r="H136" i="4"/>
  <c r="G136" i="4"/>
  <c r="H135" i="4"/>
  <c r="G135" i="4"/>
  <c r="H134" i="4"/>
  <c r="G134" i="4"/>
  <c r="H133" i="4"/>
  <c r="G133" i="4"/>
  <c r="H132" i="4"/>
  <c r="G132" i="4"/>
  <c r="H131" i="4"/>
  <c r="G131" i="4"/>
  <c r="H130" i="4"/>
  <c r="G130" i="4"/>
  <c r="H129" i="4"/>
  <c r="G129" i="4"/>
  <c r="H128" i="4"/>
  <c r="G128" i="4"/>
  <c r="H127" i="4"/>
  <c r="G127" i="4"/>
  <c r="H126" i="4"/>
  <c r="G126" i="4"/>
  <c r="H125" i="4"/>
  <c r="G125" i="4"/>
  <c r="H124" i="4"/>
  <c r="G124"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B32" i="4"/>
  <c r="B31" i="4"/>
  <c r="B30" i="4"/>
  <c r="B29" i="4"/>
  <c r="B17" i="4"/>
  <c r="B16" i="4"/>
  <c r="B15" i="4"/>
  <c r="B14" i="4"/>
  <c r="B13" i="4"/>
  <c r="D131" i="3"/>
  <c r="D130" i="3"/>
  <c r="D128" i="3"/>
  <c r="D127" i="3"/>
  <c r="N88" i="3"/>
  <c r="B88" i="3"/>
  <c r="N87" i="3"/>
  <c r="B87" i="3"/>
  <c r="N86" i="3"/>
  <c r="B86" i="3"/>
  <c r="N85" i="3"/>
  <c r="B85" i="3"/>
  <c r="D81" i="3"/>
  <c r="F86" i="3" s="1"/>
  <c r="G86" i="3" s="1"/>
  <c r="D80" i="3"/>
  <c r="D86" i="3" s="1"/>
  <c r="E85" i="3"/>
  <c r="J41" i="3"/>
  <c r="D41" i="3"/>
  <c r="B41" i="3"/>
  <c r="J40" i="3"/>
  <c r="D40" i="3"/>
  <c r="B40" i="3"/>
  <c r="J39" i="3"/>
  <c r="D39" i="3"/>
  <c r="B39" i="3"/>
  <c r="J38" i="3"/>
  <c r="D38" i="3"/>
  <c r="B38" i="3"/>
  <c r="D32" i="3"/>
  <c r="D34" i="3"/>
  <c r="L41" i="3" s="1"/>
  <c r="E31" i="3"/>
  <c r="D24" i="3"/>
  <c r="J23" i="3"/>
  <c r="J22" i="3"/>
  <c r="D87" i="3"/>
  <c r="F87" i="3"/>
  <c r="F88" i="3"/>
  <c r="E86" i="3"/>
  <c r="E88" i="3"/>
  <c r="F85" i="3"/>
  <c r="G85" i="3" s="1"/>
  <c r="L40" i="3"/>
  <c r="L38" i="3"/>
  <c r="L39" i="3"/>
  <c r="D33" i="3"/>
  <c r="C48" i="3" s="1"/>
  <c r="C49" i="3" s="1"/>
  <c r="C50" i="3" s="1"/>
  <c r="C51" i="3" s="1"/>
  <c r="C52" i="3"/>
  <c r="C53" i="3"/>
  <c r="C54" i="3" s="1"/>
  <c r="C55" i="3" s="1"/>
  <c r="C56" i="3" s="1"/>
  <c r="C57" i="3" s="1"/>
  <c r="C58" i="3" s="1"/>
  <c r="C59" i="3" s="1"/>
  <c r="C60" i="3" s="1"/>
  <c r="C61" i="3"/>
  <c r="C62" i="3" s="1"/>
  <c r="C63" i="3" s="1"/>
  <c r="C64" i="3" s="1"/>
  <c r="C65" i="3" s="1"/>
  <c r="C66" i="3" s="1"/>
  <c r="C67" i="3" s="1"/>
  <c r="C68" i="3" s="1"/>
  <c r="C69" i="3" s="1"/>
  <c r="C70" i="3" s="1"/>
  <c r="C71" i="3" s="1"/>
  <c r="C72" i="3" s="1"/>
  <c r="D129" i="3"/>
  <c r="D88" i="3"/>
  <c r="H88" i="3" s="1"/>
  <c r="C32" i="4" s="1"/>
  <c r="D11" i="3" a="1"/>
  <c r="D9" i="3" a="1"/>
  <c r="D13" i="3" a="1"/>
  <c r="I86" i="3" l="1"/>
  <c r="F30" i="4" s="1"/>
  <c r="H86" i="3"/>
  <c r="D85" i="3"/>
  <c r="E87" i="3"/>
  <c r="G87" i="3" s="1"/>
  <c r="I87" i="3" s="1"/>
  <c r="F31" i="4" s="1"/>
  <c r="H87" i="3"/>
  <c r="C31" i="4" s="1"/>
  <c r="D13" i="3"/>
  <c r="D14" i="3" s="1"/>
  <c r="E28" i="3" s="1"/>
  <c r="D9" i="3"/>
  <c r="D10" i="3" s="1"/>
  <c r="E29" i="3" s="1"/>
  <c r="D11" i="3"/>
  <c r="D12" i="3" s="1"/>
  <c r="E30" i="3" s="1"/>
  <c r="G88" i="3"/>
  <c r="I88" i="3" s="1"/>
  <c r="S47" i="3" a="1"/>
  <c r="N47" i="3" a="1"/>
  <c r="D47" i="3" a="1"/>
  <c r="I47" i="3" a="1"/>
  <c r="J88" i="3" l="1"/>
  <c r="C16" i="4" s="1"/>
  <c r="F32" i="4"/>
  <c r="I85" i="3"/>
  <c r="F29" i="4" s="1"/>
  <c r="H85" i="3"/>
  <c r="C30" i="4"/>
  <c r="J86" i="3"/>
  <c r="C14" i="4" s="1"/>
  <c r="J87" i="3"/>
  <c r="C15" i="4" s="1"/>
  <c r="L66" i="3"/>
  <c r="I67" i="3"/>
  <c r="I54" i="3"/>
  <c r="I52" i="3"/>
  <c r="J56" i="3"/>
  <c r="K53" i="3"/>
  <c r="I58" i="3"/>
  <c r="L47" i="3"/>
  <c r="J67" i="3"/>
  <c r="I60" i="3"/>
  <c r="K50" i="3"/>
  <c r="K70" i="3"/>
  <c r="K61" i="3"/>
  <c r="L59" i="3"/>
  <c r="L75" i="3"/>
  <c r="D116" i="3" s="1" a="1"/>
  <c r="D116" i="3" s="1"/>
  <c r="I47" i="3"/>
  <c r="J71" i="3"/>
  <c r="K71" i="3"/>
  <c r="I62" i="3"/>
  <c r="I56" i="3"/>
  <c r="L60" i="3"/>
  <c r="K56" i="3"/>
  <c r="J61" i="3"/>
  <c r="I50" i="3"/>
  <c r="I70" i="3"/>
  <c r="K62" i="3"/>
  <c r="L52" i="3"/>
  <c r="J73" i="3"/>
  <c r="I64" i="3"/>
  <c r="L61" i="3"/>
  <c r="K66" i="3"/>
  <c r="L51" i="3"/>
  <c r="I69" i="3"/>
  <c r="K54" i="3"/>
  <c r="I48" i="3"/>
  <c r="K67" i="3"/>
  <c r="J58" i="3"/>
  <c r="L74" i="3"/>
  <c r="L50" i="3"/>
  <c r="K74" i="3"/>
  <c r="K60" i="3"/>
  <c r="K64" i="3"/>
  <c r="I61" i="3"/>
  <c r="I66" i="3"/>
  <c r="J52" i="3"/>
  <c r="I75" i="3"/>
  <c r="I65" i="3"/>
  <c r="J55" i="3"/>
  <c r="I49" i="3"/>
  <c r="J66" i="3"/>
  <c r="L63" i="3"/>
  <c r="I71" i="3"/>
  <c r="J64" i="3"/>
  <c r="K65" i="3"/>
  <c r="I63" i="3"/>
  <c r="J68" i="3"/>
  <c r="J49" i="3"/>
  <c r="L49" i="3"/>
  <c r="K59" i="3"/>
  <c r="L72" i="3"/>
  <c r="I51" i="3"/>
  <c r="J75" i="3"/>
  <c r="K47" i="3"/>
  <c r="J51" i="3"/>
  <c r="J53" i="3"/>
  <c r="L53" i="3"/>
  <c r="J62" i="3"/>
  <c r="K75" i="3"/>
  <c r="I53" i="3"/>
  <c r="L57" i="3"/>
  <c r="K51" i="3"/>
  <c r="I59" i="3"/>
  <c r="K73" i="3"/>
  <c r="K69" i="3"/>
  <c r="L64" i="3"/>
  <c r="J48" i="3"/>
  <c r="I55" i="3"/>
  <c r="L65" i="3"/>
  <c r="L58" i="3"/>
  <c r="I72" i="3"/>
  <c r="K72" i="3"/>
  <c r="K52" i="3"/>
  <c r="J60" i="3"/>
  <c r="J59" i="3"/>
  <c r="L69" i="3"/>
  <c r="J47" i="3"/>
  <c r="J63" i="3"/>
  <c r="L48" i="3"/>
  <c r="K49" i="3"/>
  <c r="L54" i="3"/>
  <c r="L62" i="3"/>
  <c r="K68" i="3"/>
  <c r="L71" i="3"/>
  <c r="J54" i="3"/>
  <c r="K48" i="3"/>
  <c r="L68" i="3"/>
  <c r="J69" i="3"/>
  <c r="J57" i="3"/>
  <c r="J65" i="3"/>
  <c r="L70" i="3"/>
  <c r="L73" i="3"/>
  <c r="K58" i="3"/>
  <c r="L55" i="3"/>
  <c r="J72" i="3"/>
  <c r="I74" i="3"/>
  <c r="L56" i="3"/>
  <c r="J70" i="3"/>
  <c r="I68" i="3"/>
  <c r="I73" i="3"/>
  <c r="J74" i="3"/>
  <c r="J50" i="3"/>
  <c r="I57" i="3"/>
  <c r="K57" i="3"/>
  <c r="L67" i="3"/>
  <c r="K55" i="3"/>
  <c r="K63" i="3"/>
  <c r="D62" i="3"/>
  <c r="F73" i="3"/>
  <c r="F48" i="3"/>
  <c r="D58" i="3"/>
  <c r="G55" i="3"/>
  <c r="D56" i="3"/>
  <c r="E57" i="3"/>
  <c r="F57" i="3"/>
  <c r="E63" i="3"/>
  <c r="F65" i="3"/>
  <c r="E61" i="3"/>
  <c r="D50" i="3"/>
  <c r="F68" i="3"/>
  <c r="E56" i="3"/>
  <c r="E72" i="3"/>
  <c r="D48" i="3"/>
  <c r="F59" i="3"/>
  <c r="E65" i="3"/>
  <c r="G59" i="3"/>
  <c r="D60" i="3"/>
  <c r="F60" i="3"/>
  <c r="G60" i="3"/>
  <c r="E47" i="3"/>
  <c r="G67" i="3"/>
  <c r="G74" i="3"/>
  <c r="F63" i="3"/>
  <c r="F52" i="3"/>
  <c r="G70" i="3"/>
  <c r="E58" i="3"/>
  <c r="E74" i="3"/>
  <c r="G53" i="3"/>
  <c r="F66" i="3"/>
  <c r="G66" i="3"/>
  <c r="G62" i="3"/>
  <c r="D49" i="3"/>
  <c r="F64" i="3"/>
  <c r="G71" i="3"/>
  <c r="G58" i="3"/>
  <c r="D52" i="3"/>
  <c r="D75" i="3"/>
  <c r="D73" i="3"/>
  <c r="E64" i="3"/>
  <c r="G61" i="3"/>
  <c r="F69" i="3"/>
  <c r="D51" i="3"/>
  <c r="G69" i="3"/>
  <c r="D53" i="3"/>
  <c r="F67" i="3"/>
  <c r="G75" i="3"/>
  <c r="D115" i="3" s="1" a="1"/>
  <c r="D115" i="3" s="1"/>
  <c r="D61" i="3"/>
  <c r="F54" i="3"/>
  <c r="G47" i="3"/>
  <c r="E75" i="3"/>
  <c r="E66" i="3"/>
  <c r="E55" i="3"/>
  <c r="F55" i="3"/>
  <c r="D72" i="3"/>
  <c r="D67" i="3"/>
  <c r="F74" i="3"/>
  <c r="F53" i="3"/>
  <c r="G51" i="3"/>
  <c r="D68" i="3"/>
  <c r="F61" i="3"/>
  <c r="E54" i="3"/>
  <c r="F58" i="3"/>
  <c r="G73" i="3"/>
  <c r="E73" i="3"/>
  <c r="D71" i="3"/>
  <c r="E49" i="3"/>
  <c r="G64" i="3"/>
  <c r="D54" i="3"/>
  <c r="F47" i="3"/>
  <c r="F70" i="3"/>
  <c r="G63" i="3"/>
  <c r="E60" i="3"/>
  <c r="G52" i="3"/>
  <c r="F75" i="3"/>
  <c r="F72" i="3"/>
  <c r="G72" i="3"/>
  <c r="E62" i="3"/>
  <c r="G50" i="3"/>
  <c r="F50" i="3"/>
  <c r="G54" i="3"/>
  <c r="D47" i="3"/>
  <c r="G57" i="3"/>
  <c r="E67" i="3"/>
  <c r="G49" i="3"/>
  <c r="D66" i="3"/>
  <c r="E51" i="3"/>
  <c r="E71" i="3"/>
  <c r="G56" i="3"/>
  <c r="F51" i="3"/>
  <c r="D63" i="3"/>
  <c r="E68" i="3"/>
  <c r="E69" i="3"/>
  <c r="D74" i="3"/>
  <c r="G68" i="3"/>
  <c r="E70" i="3"/>
  <c r="D64" i="3"/>
  <c r="E59" i="3"/>
  <c r="D55" i="3"/>
  <c r="E53" i="3"/>
  <c r="D59" i="3"/>
  <c r="D57" i="3"/>
  <c r="D65" i="3"/>
  <c r="F49" i="3"/>
  <c r="E48" i="3"/>
  <c r="F62" i="3"/>
  <c r="F56" i="3"/>
  <c r="E50" i="3"/>
  <c r="G48" i="3"/>
  <c r="F71" i="3"/>
  <c r="D70" i="3"/>
  <c r="G65" i="3"/>
  <c r="E52" i="3"/>
  <c r="D69" i="3"/>
  <c r="N63" i="3"/>
  <c r="Q67" i="3"/>
  <c r="N66" i="3"/>
  <c r="O60" i="3"/>
  <c r="O65" i="3"/>
  <c r="O69" i="3"/>
  <c r="N74" i="3"/>
  <c r="N64" i="3"/>
  <c r="Q56" i="3"/>
  <c r="O49" i="3"/>
  <c r="N70" i="3"/>
  <c r="Q59" i="3"/>
  <c r="P56" i="3"/>
  <c r="P74" i="3"/>
  <c r="O66" i="3"/>
  <c r="P71" i="3"/>
  <c r="Q70" i="3"/>
  <c r="Q63" i="3"/>
  <c r="Q68" i="3"/>
  <c r="Q73" i="3"/>
  <c r="Q61" i="3"/>
  <c r="N67" i="3"/>
  <c r="O59" i="3"/>
  <c r="Q51" i="3"/>
  <c r="Q72" i="3"/>
  <c r="N62" i="3"/>
  <c r="Q75" i="3"/>
  <c r="D117" i="3" s="1" a="1"/>
  <c r="D117" i="3" s="1"/>
  <c r="P58" i="3"/>
  <c r="Q54" i="3"/>
  <c r="O47" i="3"/>
  <c r="N68" i="3"/>
  <c r="N56" i="3"/>
  <c r="P49" i="3"/>
  <c r="Q53" i="3"/>
  <c r="P51" i="3"/>
  <c r="O54" i="3"/>
  <c r="Q50" i="3"/>
  <c r="P73" i="3"/>
  <c r="P60" i="3"/>
  <c r="O58" i="3"/>
  <c r="N51" i="3"/>
  <c r="P47" i="3"/>
  <c r="Q60" i="3"/>
  <c r="O53" i="3"/>
  <c r="O56" i="3"/>
  <c r="N54" i="3"/>
  <c r="P72" i="3"/>
  <c r="N58" i="3"/>
  <c r="N55" i="3"/>
  <c r="Q62" i="3"/>
  <c r="N73" i="3"/>
  <c r="O57" i="3"/>
  <c r="O70" i="3"/>
  <c r="N72" i="3"/>
  <c r="O72" i="3"/>
  <c r="P67" i="3"/>
  <c r="Q66" i="3"/>
  <c r="P50" i="3"/>
  <c r="P70" i="3"/>
  <c r="O74" i="3"/>
  <c r="Q58" i="3"/>
  <c r="P55" i="3"/>
  <c r="Q47" i="3"/>
  <c r="N61" i="3"/>
  <c r="Q48" i="3"/>
  <c r="Q74" i="3"/>
  <c r="N75" i="3"/>
  <c r="O75" i="3"/>
  <c r="N69" i="3"/>
  <c r="P52" i="3"/>
  <c r="O63" i="3"/>
  <c r="O52" i="3"/>
  <c r="O51" i="3"/>
  <c r="N47" i="3"/>
  <c r="P57" i="3"/>
  <c r="P62" i="3"/>
  <c r="O73" i="3"/>
  <c r="N57" i="3"/>
  <c r="O64" i="3"/>
  <c r="P64" i="3"/>
  <c r="P61" i="3"/>
  <c r="P53" i="3"/>
  <c r="O62" i="3"/>
  <c r="P68" i="3"/>
  <c r="N60" i="3"/>
  <c r="P65" i="3"/>
  <c r="N49" i="3"/>
  <c r="N65" i="3"/>
  <c r="N52" i="3"/>
  <c r="Q64" i="3"/>
  <c r="P75" i="3"/>
  <c r="O61" i="3"/>
  <c r="N53" i="3"/>
  <c r="P63" i="3"/>
  <c r="N59" i="3"/>
  <c r="Q71" i="3"/>
  <c r="N48" i="3"/>
  <c r="P59" i="3"/>
  <c r="O71" i="3"/>
  <c r="P66" i="3"/>
  <c r="Q52" i="3"/>
  <c r="N50" i="3"/>
  <c r="N71" i="3"/>
  <c r="Q55" i="3"/>
  <c r="P48" i="3"/>
  <c r="O48" i="3"/>
  <c r="Q49" i="3"/>
  <c r="O50" i="3"/>
  <c r="O68" i="3"/>
  <c r="Q65" i="3"/>
  <c r="Q69" i="3"/>
  <c r="O55" i="3"/>
  <c r="P54" i="3"/>
  <c r="P69" i="3"/>
  <c r="Q57" i="3"/>
  <c r="O67" i="3"/>
  <c r="S75" i="3"/>
  <c r="S50" i="3"/>
  <c r="T54" i="3"/>
  <c r="S55" i="3"/>
  <c r="U73" i="3"/>
  <c r="S60" i="3"/>
  <c r="V56" i="3"/>
  <c r="S73" i="3"/>
  <c r="S56" i="3"/>
  <c r="T74" i="3"/>
  <c r="S59" i="3"/>
  <c r="S51" i="3"/>
  <c r="S74" i="3"/>
  <c r="T61" i="3"/>
  <c r="U54" i="3"/>
  <c r="J121" i="3" s="1" a="1"/>
  <c r="J121" i="3" s="1"/>
  <c r="V70" i="3"/>
  <c r="S63" i="3"/>
  <c r="V57" i="3"/>
  <c r="V59" i="3"/>
  <c r="U64" i="3"/>
  <c r="G122" i="3" s="1" a="1"/>
  <c r="G122" i="3" s="1"/>
  <c r="U60" i="3"/>
  <c r="P121" i="3" s="1" a="1"/>
  <c r="P121" i="3" s="1"/>
  <c r="S49" i="3"/>
  <c r="S64" i="3"/>
  <c r="U58" i="3"/>
  <c r="N121" i="3" s="1" a="1"/>
  <c r="N121" i="3" s="1"/>
  <c r="T48" i="3"/>
  <c r="U66" i="3"/>
  <c r="I122" i="3" s="1" a="1"/>
  <c r="I122" i="3" s="1"/>
  <c r="U51" i="3"/>
  <c r="G121" i="3" s="1" a="1"/>
  <c r="G121" i="3" s="1"/>
  <c r="V61" i="3"/>
  <c r="U53" i="3"/>
  <c r="I121" i="3" s="1" a="1"/>
  <c r="I121" i="3" s="1"/>
  <c r="T47" i="3"/>
  <c r="T63" i="3"/>
  <c r="S47" i="3"/>
  <c r="U63" i="3"/>
  <c r="F122" i="3" s="1" a="1"/>
  <c r="F122" i="3" s="1"/>
  <c r="S52" i="3"/>
  <c r="V47" i="3"/>
  <c r="U52" i="3"/>
  <c r="H121" i="3" s="1" a="1"/>
  <c r="H121" i="3" s="1"/>
  <c r="U71" i="3"/>
  <c r="N122" i="3" s="1" a="1"/>
  <c r="N122" i="3" s="1"/>
  <c r="T56" i="3"/>
  <c r="U48" i="3"/>
  <c r="D121" i="3" s="1" a="1"/>
  <c r="D121" i="3" s="1"/>
  <c r="T64" i="3"/>
  <c r="V55" i="3"/>
  <c r="T65" i="3"/>
  <c r="U55" i="3"/>
  <c r="K121" i="3" s="1" a="1"/>
  <c r="K121" i="3" s="1"/>
  <c r="T52" i="3"/>
  <c r="V58" i="3"/>
  <c r="V66" i="3"/>
  <c r="S58" i="3"/>
  <c r="V71" i="3"/>
  <c r="T67" i="3"/>
  <c r="T50" i="3"/>
  <c r="V49" i="3"/>
  <c r="T58" i="3"/>
  <c r="V67" i="3"/>
  <c r="U70" i="3"/>
  <c r="M122" i="3" s="1" a="1"/>
  <c r="M122" i="3" s="1"/>
  <c r="U72" i="3"/>
  <c r="V62" i="3"/>
  <c r="S71" i="3"/>
  <c r="U68" i="3"/>
  <c r="K122" i="3" s="1" a="1"/>
  <c r="K122" i="3" s="1"/>
  <c r="U65" i="3"/>
  <c r="H122" i="3" s="1" a="1"/>
  <c r="H122" i="3" s="1"/>
  <c r="V65" i="3"/>
  <c r="V68" i="3"/>
  <c r="U56" i="3"/>
  <c r="L121" i="3" s="1" a="1"/>
  <c r="L121" i="3" s="1"/>
  <c r="V48" i="3"/>
  <c r="S67" i="3"/>
  <c r="T55" i="3"/>
  <c r="T75" i="3"/>
  <c r="S53" i="3"/>
  <c r="U67" i="3"/>
  <c r="J122" i="3" s="1" a="1"/>
  <c r="J122" i="3" s="1"/>
  <c r="V75" i="3"/>
  <c r="D118" i="3" s="1" a="1"/>
  <c r="D118" i="3" s="1"/>
  <c r="T68" i="3"/>
  <c r="S70" i="3"/>
  <c r="T70" i="3"/>
  <c r="V50" i="3"/>
  <c r="S69" i="3"/>
  <c r="U69" i="3"/>
  <c r="L122" i="3" s="1" a="1"/>
  <c r="L122" i="3" s="1"/>
  <c r="T57" i="3"/>
  <c r="U75" i="3"/>
  <c r="U47" i="3"/>
  <c r="V72" i="3"/>
  <c r="V73" i="3"/>
  <c r="V53" i="3"/>
  <c r="S72" i="3"/>
  <c r="T59" i="3"/>
  <c r="V51" i="3"/>
  <c r="U49" i="3"/>
  <c r="E121" i="3" s="1" a="1"/>
  <c r="E121" i="3" s="1"/>
  <c r="S57" i="3"/>
  <c r="S61" i="3"/>
  <c r="S54" i="3"/>
  <c r="T51" i="3"/>
  <c r="V74" i="3"/>
  <c r="S62" i="3"/>
  <c r="T60" i="3"/>
  <c r="T73" i="3"/>
  <c r="U62" i="3"/>
  <c r="E122" i="3" s="1" a="1"/>
  <c r="E122" i="3" s="1"/>
  <c r="S68" i="3"/>
  <c r="V60" i="3"/>
  <c r="V63" i="3"/>
  <c r="V69" i="3"/>
  <c r="T53" i="3"/>
  <c r="V52" i="3"/>
  <c r="T66" i="3"/>
  <c r="T72" i="3"/>
  <c r="T69" i="3"/>
  <c r="T71" i="3"/>
  <c r="V64" i="3"/>
  <c r="U61" i="3"/>
  <c r="D122" i="3" s="1" a="1"/>
  <c r="D122" i="3" s="1"/>
  <c r="V54" i="3"/>
  <c r="U59" i="3"/>
  <c r="O121" i="3" s="1" a="1"/>
  <c r="O121" i="3" s="1"/>
  <c r="U74" i="3"/>
  <c r="T62" i="3"/>
  <c r="S65" i="3"/>
  <c r="S48" i="3"/>
  <c r="S66" i="3"/>
  <c r="U50" i="3"/>
  <c r="F121" i="3" s="1" a="1"/>
  <c r="F121" i="3" s="1"/>
  <c r="T49" i="3"/>
  <c r="U57" i="3"/>
  <c r="M121" i="3" s="1" a="1"/>
  <c r="M121" i="3" s="1"/>
  <c r="F136" i="4" a="1"/>
  <c r="E136" i="4" a="1"/>
  <c r="D136" i="4" a="1"/>
  <c r="C136" i="4" a="1"/>
  <c r="C129" i="4" a="1"/>
  <c r="D129" i="4" a="1"/>
  <c r="F129" i="4" a="1"/>
  <c r="E129" i="4" a="1"/>
  <c r="D147" i="4" a="1"/>
  <c r="C147" i="4" a="1"/>
  <c r="F147" i="4" a="1"/>
  <c r="E147" i="4" a="1"/>
  <c r="G16" i="4" a="1"/>
  <c r="E125" i="4" a="1"/>
  <c r="F125" i="4" a="1"/>
  <c r="C125" i="4" a="1"/>
  <c r="D125" i="4" a="1"/>
  <c r="F135" i="4" a="1"/>
  <c r="C135" i="4" a="1"/>
  <c r="E135" i="4" a="1"/>
  <c r="D135" i="4" a="1"/>
  <c r="E146" i="4" a="1"/>
  <c r="F146" i="4" a="1"/>
  <c r="D146" i="4" a="1"/>
  <c r="C146" i="4" a="1"/>
  <c r="E132" i="4" a="1"/>
  <c r="F132" i="4" a="1"/>
  <c r="D132" i="4" a="1"/>
  <c r="C132" i="4" a="1"/>
  <c r="F138" i="4" a="1"/>
  <c r="D138" i="4" a="1"/>
  <c r="C138" i="4" a="1"/>
  <c r="E138" i="4" a="1"/>
  <c r="G15" i="4" a="1"/>
  <c r="F124" i="4" a="1"/>
  <c r="E124" i="4" a="1"/>
  <c r="D124" i="4" a="1"/>
  <c r="C124" i="4" a="1"/>
  <c r="G13" i="4" a="1"/>
  <c r="D139" i="4" a="1"/>
  <c r="C139" i="4" a="1"/>
  <c r="F139" i="4" a="1"/>
  <c r="E139" i="4" a="1"/>
  <c r="C128" i="4" a="1"/>
  <c r="F128" i="4" a="1"/>
  <c r="E128" i="4" a="1"/>
  <c r="D128" i="4" a="1"/>
  <c r="F130" i="4" a="1"/>
  <c r="D130" i="4" a="1"/>
  <c r="C130" i="4" a="1"/>
  <c r="E130" i="4" a="1"/>
  <c r="C143" i="4" a="1"/>
  <c r="E143" i="4" a="1"/>
  <c r="D143" i="4" a="1"/>
  <c r="F143" i="4" a="1"/>
  <c r="F134" i="4" a="1"/>
  <c r="E134" i="4" a="1"/>
  <c r="D134" i="4" a="1"/>
  <c r="C134" i="4" a="1"/>
  <c r="F133" i="4" a="1"/>
  <c r="C133" i="4" a="1"/>
  <c r="D133" i="4" a="1"/>
  <c r="E133" i="4" a="1"/>
  <c r="F142" i="4" a="1"/>
  <c r="E142" i="4" a="1"/>
  <c r="D142" i="4" a="1"/>
  <c r="C142" i="4" a="1"/>
  <c r="F144" i="4" a="1"/>
  <c r="E144" i="4" a="1"/>
  <c r="D144" i="4" a="1"/>
  <c r="C144" i="4" a="1"/>
  <c r="D137" i="4" a="1"/>
  <c r="C137" i="4" a="1"/>
  <c r="F137" i="4" a="1"/>
  <c r="E137" i="4" a="1"/>
  <c r="F126" i="4" a="1"/>
  <c r="E126" i="4" a="1"/>
  <c r="D126" i="4" a="1"/>
  <c r="C126" i="4" a="1"/>
  <c r="G14" i="4" a="1"/>
  <c r="D127" i="4" a="1"/>
  <c r="E127" i="4" a="1"/>
  <c r="F127" i="4" a="1"/>
  <c r="C127" i="4" a="1"/>
  <c r="D131" i="4" a="1"/>
  <c r="C131" i="4" a="1"/>
  <c r="F131" i="4" a="1"/>
  <c r="E131" i="4" a="1"/>
  <c r="C141" i="4" a="1"/>
  <c r="E141" i="4" a="1"/>
  <c r="F141" i="4" a="1"/>
  <c r="D141" i="4" a="1"/>
  <c r="F145" i="4" a="1"/>
  <c r="E145" i="4" a="1"/>
  <c r="D145" i="4" a="1"/>
  <c r="C145" i="4" a="1"/>
  <c r="D140" i="4" a="1"/>
  <c r="C140" i="4" a="1"/>
  <c r="F140" i="4" a="1"/>
  <c r="E140" i="4" a="1"/>
  <c r="C29" i="4" l="1"/>
  <c r="J85" i="3"/>
  <c r="C13" i="4" s="1"/>
  <c r="E140" i="4"/>
  <c r="F140" i="4"/>
  <c r="C140" i="4"/>
  <c r="D140" i="4"/>
  <c r="C145" i="4"/>
  <c r="D145" i="4"/>
  <c r="E145" i="4"/>
  <c r="F145" i="4"/>
  <c r="D141" i="4"/>
  <c r="F141" i="4"/>
  <c r="E141" i="4"/>
  <c r="C141" i="4"/>
  <c r="E131" i="4"/>
  <c r="F131" i="4"/>
  <c r="C131" i="4"/>
  <c r="D131" i="4"/>
  <c r="C127" i="4"/>
  <c r="F127" i="4"/>
  <c r="E127" i="4"/>
  <c r="D127" i="4"/>
  <c r="G14" i="4"/>
  <c r="C126" i="4"/>
  <c r="D126" i="4"/>
  <c r="E126" i="4"/>
  <c r="F126" i="4"/>
  <c r="E137" i="4"/>
  <c r="F137" i="4"/>
  <c r="C137" i="4"/>
  <c r="D137" i="4"/>
  <c r="C144" i="4"/>
  <c r="D144" i="4"/>
  <c r="E144" i="4"/>
  <c r="F144" i="4"/>
  <c r="C142" i="4"/>
  <c r="D142" i="4"/>
  <c r="E142" i="4"/>
  <c r="F142" i="4"/>
  <c r="E133" i="4"/>
  <c r="D133" i="4"/>
  <c r="C133" i="4"/>
  <c r="F133" i="4"/>
  <c r="C134" i="4"/>
  <c r="D134" i="4"/>
  <c r="E134" i="4"/>
  <c r="F134" i="4"/>
  <c r="F143" i="4"/>
  <c r="D143" i="4"/>
  <c r="E143" i="4"/>
  <c r="C143" i="4"/>
  <c r="E130" i="4"/>
  <c r="C130" i="4"/>
  <c r="D130" i="4"/>
  <c r="F130" i="4"/>
  <c r="D128" i="4"/>
  <c r="E128" i="4"/>
  <c r="F128" i="4"/>
  <c r="C128" i="4"/>
  <c r="E139" i="4"/>
  <c r="F139" i="4"/>
  <c r="C139" i="4"/>
  <c r="D139" i="4"/>
  <c r="G13" i="4"/>
  <c r="C124" i="4"/>
  <c r="D124" i="4"/>
  <c r="E124" i="4"/>
  <c r="F124" i="4"/>
  <c r="G15" i="4"/>
  <c r="E138" i="4"/>
  <c r="C138" i="4"/>
  <c r="D138" i="4"/>
  <c r="F138" i="4"/>
  <c r="C132" i="4"/>
  <c r="D132" i="4"/>
  <c r="F132" i="4"/>
  <c r="E132" i="4"/>
  <c r="C146" i="4"/>
  <c r="D146" i="4"/>
  <c r="F146" i="4"/>
  <c r="E146" i="4"/>
  <c r="D135" i="4"/>
  <c r="E135" i="4"/>
  <c r="C135" i="4"/>
  <c r="F135" i="4"/>
  <c r="D125" i="4"/>
  <c r="C125" i="4"/>
  <c r="F125" i="4"/>
  <c r="E125" i="4"/>
  <c r="G16" i="4"/>
  <c r="E147" i="4"/>
  <c r="F147" i="4"/>
  <c r="C147" i="4"/>
  <c r="D147" i="4"/>
  <c r="E129" i="4"/>
  <c r="F129" i="4"/>
  <c r="D129" i="4"/>
  <c r="C129" i="4"/>
  <c r="C136" i="4"/>
  <c r="D136" i="4"/>
  <c r="E136" i="4"/>
  <c r="F136" i="4"/>
  <c r="M87" i="3"/>
  <c r="D101" i="3" a="1"/>
  <c r="D101" i="3" s="1"/>
  <c r="D99" i="3" a="1"/>
  <c r="D99" i="3" s="1"/>
  <c r="M85" i="3"/>
  <c r="L87" i="3"/>
  <c r="D97" i="3" a="1"/>
  <c r="D97" i="3" s="1"/>
  <c r="L85" i="3"/>
  <c r="D95" i="3" a="1"/>
  <c r="D95" i="3" s="1"/>
  <c r="D98" i="3" a="1"/>
  <c r="D98" i="3" s="1"/>
  <c r="L88" i="3"/>
  <c r="O122" i="3" a="1"/>
  <c r="O122" i="3" s="1"/>
  <c r="D102" i="3" a="1"/>
  <c r="D102" i="3" s="1"/>
  <c r="M88" i="3"/>
  <c r="L86" i="3"/>
  <c r="D96" i="3" a="1"/>
  <c r="D96" i="3" s="1"/>
  <c r="M86" i="3"/>
  <c r="D100" i="3" a="1"/>
  <c r="D100" i="3" s="1"/>
  <c r="G30" i="4" a="1"/>
  <c r="F99" i="4" a="1"/>
  <c r="F106" i="4" a="1"/>
  <c r="F109" i="4" a="1"/>
  <c r="F78" i="4" a="1"/>
  <c r="F103" i="4" a="1"/>
  <c r="F91" i="4" a="1"/>
  <c r="F107" i="4" a="1"/>
  <c r="F95" i="4" a="1"/>
  <c r="F115" i="4" a="1"/>
  <c r="F73" i="4" a="1"/>
  <c r="F80" i="4" a="1"/>
  <c r="F76" i="4" a="1"/>
  <c r="F93" i="4" a="1"/>
  <c r="F67" i="4" a="1"/>
  <c r="F85" i="4" a="1"/>
  <c r="E31" i="4" a="1"/>
  <c r="F84" i="4" a="1"/>
  <c r="F69" i="4" a="1"/>
  <c r="F72" i="4" a="1"/>
  <c r="F87" i="4" a="1"/>
  <c r="F90" i="4" a="1"/>
  <c r="F86" i="4" a="1"/>
  <c r="F114" i="4" a="1"/>
  <c r="F77" i="4" a="1"/>
  <c r="F82" i="4" a="1"/>
  <c r="F111" i="4" a="1"/>
  <c r="F96" i="4" a="1"/>
  <c r="F101" i="4" a="1"/>
  <c r="F105" i="4" a="1"/>
  <c r="F92" i="4" a="1"/>
  <c r="F112" i="4" a="1"/>
  <c r="F89" i="4" a="1"/>
  <c r="F98" i="4" a="1"/>
  <c r="F66" i="4" a="1"/>
  <c r="F75" i="4" a="1"/>
  <c r="D31" i="4" a="1"/>
  <c r="F70" i="4" a="1"/>
  <c r="F88" i="4" a="1"/>
  <c r="F97" i="4" a="1"/>
  <c r="F81" i="4" a="1"/>
  <c r="F94" i="4" a="1"/>
  <c r="F108" i="4" a="1"/>
  <c r="F71" i="4" a="1"/>
  <c r="F100" i="4" a="1"/>
  <c r="F68" i="4" a="1"/>
  <c r="F104" i="4" a="1"/>
  <c r="F110" i="4" a="1"/>
  <c r="F74" i="4" a="1"/>
  <c r="F83" i="4" a="1"/>
  <c r="F113" i="4" a="1"/>
  <c r="F102" i="4" a="1"/>
  <c r="F79" i="4" a="1"/>
  <c r="E76" i="4" a="1"/>
  <c r="E89" i="4" a="1"/>
  <c r="E107" i="4" a="1"/>
  <c r="E87" i="4" a="1"/>
  <c r="E114" i="4" a="1"/>
  <c r="E111" i="4" a="1"/>
  <c r="E88" i="4" a="1"/>
  <c r="E101" i="4" a="1"/>
  <c r="E69" i="4" a="1"/>
  <c r="E99" i="4" a="1"/>
  <c r="E82" i="4" a="1"/>
  <c r="E75" i="4" a="1"/>
  <c r="E103" i="4" a="1"/>
  <c r="E84" i="4" a="1"/>
  <c r="E97" i="4" a="1"/>
  <c r="E30" i="4" a="1"/>
  <c r="E95" i="4" a="1"/>
  <c r="E66" i="4" a="1"/>
  <c r="E94" i="4" a="1"/>
  <c r="E109" i="4" a="1"/>
  <c r="E80" i="4" a="1"/>
  <c r="E93" i="4" a="1"/>
  <c r="E115" i="4" a="1"/>
  <c r="E91" i="4" a="1"/>
  <c r="E70" i="4" a="1"/>
  <c r="E74" i="4" a="1"/>
  <c r="E102" i="4" a="1"/>
  <c r="E79" i="4" a="1"/>
  <c r="B44" i="4" a="1"/>
  <c r="E106" i="4" a="1"/>
  <c r="E72" i="4" a="1"/>
  <c r="E85" i="4" a="1"/>
  <c r="D30" i="4" a="1"/>
  <c r="E90" i="4" a="1"/>
  <c r="E110" i="4" a="1"/>
  <c r="E100" i="4" a="1"/>
  <c r="E68" i="4" a="1"/>
  <c r="E81" i="4" a="1"/>
  <c r="E113" i="4" a="1"/>
  <c r="E83" i="4" a="1"/>
  <c r="E98" i="4" a="1"/>
  <c r="E96" i="4" a="1"/>
  <c r="E112" i="4" a="1"/>
  <c r="E77" i="4" a="1"/>
  <c r="E105" i="4" a="1"/>
  <c r="E67" i="4" a="1"/>
  <c r="E71" i="4" a="1"/>
  <c r="D117" i="4" a="1"/>
  <c r="E92" i="4" a="1"/>
  <c r="E104" i="4" a="1"/>
  <c r="E73" i="4" a="1"/>
  <c r="E108" i="4" a="1"/>
  <c r="E78" i="4" a="1"/>
  <c r="E86" i="4" a="1"/>
  <c r="F148" i="4" a="1"/>
  <c r="C148" i="4" a="1"/>
  <c r="E148" i="4" a="1"/>
  <c r="D148" i="4" a="1"/>
  <c r="D87" i="4" a="1"/>
  <c r="D69" i="4" a="1"/>
  <c r="D93" i="4" a="1"/>
  <c r="D96" i="4" a="1"/>
  <c r="D83" i="4" a="1"/>
  <c r="D68" i="4" a="1"/>
  <c r="D107" i="4" a="1"/>
  <c r="D100" i="4" a="1"/>
  <c r="D108" i="4" a="1"/>
  <c r="D106" i="4" a="1"/>
  <c r="D89" i="4" a="1"/>
  <c r="D115" i="4" a="1"/>
  <c r="D114" i="4" a="1"/>
  <c r="D102" i="4" a="1"/>
  <c r="D91" i="4" a="1"/>
  <c r="D77" i="4" a="1"/>
  <c r="D79" i="4" a="1"/>
  <c r="D103" i="4" a="1"/>
  <c r="D71" i="4" a="1"/>
  <c r="D80" i="4" a="1"/>
  <c r="D101" i="4" a="1"/>
  <c r="D110" i="4" a="1"/>
  <c r="D99" i="4" a="1"/>
  <c r="D67" i="4" a="1"/>
  <c r="D76" i="4" a="1"/>
  <c r="D78" i="4" a="1"/>
  <c r="D70" i="4" a="1"/>
  <c r="D109" i="4" a="1"/>
  <c r="D95" i="4" a="1"/>
  <c r="D29" i="4" a="1"/>
  <c r="D72" i="4" a="1"/>
  <c r="D82" i="4" a="1"/>
  <c r="D85" i="4" a="1"/>
  <c r="D92" i="4" a="1"/>
  <c r="D98" i="4" a="1"/>
  <c r="D66" i="4" a="1"/>
  <c r="D74" i="4" a="1"/>
  <c r="D94" i="4" a="1"/>
  <c r="E29" i="4" a="1"/>
  <c r="D105" i="4" a="1"/>
  <c r="D81" i="4" a="1"/>
  <c r="D112" i="4" a="1"/>
  <c r="D104" i="4" a="1"/>
  <c r="D75" i="4" a="1"/>
  <c r="D84" i="4" a="1"/>
  <c r="D90" i="4" a="1"/>
  <c r="D97" i="4" a="1"/>
  <c r="D73" i="4" a="1"/>
  <c r="D113" i="4" a="1"/>
  <c r="D88" i="4" a="1"/>
  <c r="D111" i="4" a="1"/>
  <c r="D86" i="4" a="1"/>
  <c r="D32" i="4" a="1"/>
  <c r="G108" i="4" a="1"/>
  <c r="G97" i="4" a="1"/>
  <c r="G84" i="4" a="1"/>
  <c r="G102" i="4" a="1"/>
  <c r="G90" i="4" a="1"/>
  <c r="G94" i="4" a="1"/>
  <c r="G103" i="4" a="1"/>
  <c r="G75" i="4" a="1"/>
  <c r="G93" i="4" a="1"/>
  <c r="G71" i="4" a="1"/>
  <c r="G88" i="4" a="1"/>
  <c r="G86" i="4" a="1"/>
  <c r="G112" i="4" a="1"/>
  <c r="G77" i="4" a="1"/>
  <c r="E32" i="4" a="1"/>
  <c r="G104" i="4" a="1"/>
  <c r="G73" i="4" a="1"/>
  <c r="G110" i="4" a="1"/>
  <c r="G113" i="4" a="1"/>
  <c r="G83" i="4" a="1"/>
  <c r="G96" i="4" a="1"/>
  <c r="G109" i="4" a="1"/>
  <c r="G101" i="4" a="1"/>
  <c r="G69" i="4" a="1"/>
  <c r="G98" i="4" a="1"/>
  <c r="G105" i="4" a="1"/>
  <c r="G79" i="4" a="1"/>
  <c r="G92" i="4" a="1"/>
  <c r="G111" i="4" a="1"/>
  <c r="G89" i="4" a="1"/>
  <c r="G82" i="4" a="1"/>
  <c r="G78" i="4" a="1"/>
  <c r="G99" i="4" a="1"/>
  <c r="G67" i="4" a="1"/>
  <c r="G80" i="4" a="1"/>
  <c r="G74" i="4" a="1"/>
  <c r="G114" i="4" a="1"/>
  <c r="G85" i="4" a="1"/>
  <c r="G66" i="4" a="1"/>
  <c r="G95" i="4" a="1"/>
  <c r="G76" i="4" a="1"/>
  <c r="G81" i="4" a="1"/>
  <c r="G115" i="4" a="1"/>
  <c r="G70" i="4" a="1"/>
  <c r="G91" i="4" a="1"/>
  <c r="G106" i="4" a="1"/>
  <c r="G72" i="4" a="1"/>
  <c r="G107" i="4" a="1"/>
  <c r="G87" i="4" a="1"/>
  <c r="G100" i="4" a="1"/>
  <c r="G68" i="4" a="1"/>
  <c r="G31" i="4" a="1"/>
  <c r="G29" i="4" a="1"/>
  <c r="G32" i="4" a="1"/>
  <c r="G32" i="4" l="1"/>
  <c r="G29" i="4"/>
  <c r="G31" i="4"/>
  <c r="G68" i="4"/>
  <c r="G100" i="4"/>
  <c r="G87" i="4"/>
  <c r="G107" i="4"/>
  <c r="G72" i="4"/>
  <c r="G106" i="4"/>
  <c r="G91" i="4"/>
  <c r="G70" i="4"/>
  <c r="G115" i="4"/>
  <c r="G81" i="4"/>
  <c r="G76" i="4"/>
  <c r="G95" i="4"/>
  <c r="G66" i="4"/>
  <c r="G85" i="4"/>
  <c r="G114" i="4"/>
  <c r="G74" i="4"/>
  <c r="G80" i="4"/>
  <c r="G67" i="4"/>
  <c r="G99" i="4"/>
  <c r="G78" i="4"/>
  <c r="G82" i="4"/>
  <c r="G89" i="4"/>
  <c r="G111" i="4"/>
  <c r="G92" i="4"/>
  <c r="G79" i="4"/>
  <c r="G105" i="4"/>
  <c r="G98" i="4"/>
  <c r="G69" i="4"/>
  <c r="G101" i="4"/>
  <c r="G109" i="4"/>
  <c r="G96" i="4"/>
  <c r="G83" i="4"/>
  <c r="G113" i="4"/>
  <c r="G110" i="4"/>
  <c r="G73" i="4"/>
  <c r="G104" i="4"/>
  <c r="E32" i="4"/>
  <c r="G77" i="4"/>
  <c r="G112" i="4"/>
  <c r="G86" i="4"/>
  <c r="G88" i="4"/>
  <c r="G71" i="4"/>
  <c r="G93" i="4"/>
  <c r="G75" i="4"/>
  <c r="G103" i="4"/>
  <c r="G94" i="4"/>
  <c r="G90" i="4"/>
  <c r="G102" i="4"/>
  <c r="G84" i="4"/>
  <c r="G97" i="4"/>
  <c r="G108" i="4"/>
  <c r="D32" i="4"/>
  <c r="D86" i="4"/>
  <c r="D111" i="4"/>
  <c r="D88" i="4"/>
  <c r="D113" i="4"/>
  <c r="D73" i="4"/>
  <c r="D97" i="4"/>
  <c r="D90" i="4"/>
  <c r="D84" i="4"/>
  <c r="D75" i="4"/>
  <c r="D104" i="4"/>
  <c r="D112" i="4"/>
  <c r="D81" i="4"/>
  <c r="D105" i="4"/>
  <c r="E29" i="4"/>
  <c r="D94" i="4"/>
  <c r="D74" i="4"/>
  <c r="D66" i="4"/>
  <c r="D98" i="4"/>
  <c r="D92" i="4"/>
  <c r="D85" i="4"/>
  <c r="D82" i="4"/>
  <c r="D72" i="4"/>
  <c r="D29" i="4"/>
  <c r="D95" i="4"/>
  <c r="D109" i="4"/>
  <c r="D70" i="4"/>
  <c r="D78" i="4"/>
  <c r="D76" i="4"/>
  <c r="D67" i="4"/>
  <c r="D99" i="4"/>
  <c r="D110" i="4"/>
  <c r="D101" i="4"/>
  <c r="D80" i="4"/>
  <c r="D71" i="4"/>
  <c r="D103" i="4"/>
  <c r="D79" i="4"/>
  <c r="D77" i="4"/>
  <c r="D91" i="4"/>
  <c r="D102" i="4"/>
  <c r="D114" i="4"/>
  <c r="D115" i="4"/>
  <c r="D89" i="4"/>
  <c r="D106" i="4"/>
  <c r="D108" i="4"/>
  <c r="D100" i="4"/>
  <c r="D107" i="4"/>
  <c r="D68" i="4"/>
  <c r="D83" i="4"/>
  <c r="D96" i="4"/>
  <c r="D93" i="4"/>
  <c r="D69" i="4"/>
  <c r="D87" i="4"/>
  <c r="D148" i="4"/>
  <c r="E148" i="4"/>
  <c r="C148" i="4"/>
  <c r="F148" i="4"/>
  <c r="E86" i="4"/>
  <c r="E78" i="4"/>
  <c r="E108" i="4"/>
  <c r="E73" i="4"/>
  <c r="E104" i="4"/>
  <c r="E92" i="4"/>
  <c r="D117" i="4"/>
  <c r="E71" i="4"/>
  <c r="E67" i="4"/>
  <c r="E105" i="4"/>
  <c r="E77" i="4"/>
  <c r="E112" i="4"/>
  <c r="E96" i="4"/>
  <c r="E98" i="4"/>
  <c r="E83" i="4"/>
  <c r="E113" i="4"/>
  <c r="E81" i="4"/>
  <c r="E68" i="4"/>
  <c r="E100" i="4"/>
  <c r="E110" i="4"/>
  <c r="E90" i="4"/>
  <c r="D30" i="4"/>
  <c r="E85" i="4"/>
  <c r="E72" i="4"/>
  <c r="E106" i="4"/>
  <c r="E45" i="4"/>
  <c r="B45" i="4"/>
  <c r="B120" i="4" s="1"/>
  <c r="B46" i="4"/>
  <c r="B121" i="4" s="1"/>
  <c r="C46" i="4"/>
  <c r="C44" i="4"/>
  <c r="D46" i="4"/>
  <c r="F121" i="4" s="1"/>
  <c r="C45" i="4"/>
  <c r="E44" i="4"/>
  <c r="D45" i="4"/>
  <c r="E46" i="4"/>
  <c r="B44" i="4"/>
  <c r="B119" i="4" s="1"/>
  <c r="D44" i="4"/>
  <c r="E79" i="4"/>
  <c r="E102" i="4"/>
  <c r="E74" i="4"/>
  <c r="E70" i="4"/>
  <c r="E91" i="4"/>
  <c r="E115" i="4"/>
  <c r="E93" i="4"/>
  <c r="E80" i="4"/>
  <c r="E109" i="4"/>
  <c r="E94" i="4"/>
  <c r="E66" i="4"/>
  <c r="E95" i="4"/>
  <c r="E30" i="4"/>
  <c r="E97" i="4"/>
  <c r="E84" i="4"/>
  <c r="E103" i="4"/>
  <c r="E75" i="4"/>
  <c r="E82" i="4"/>
  <c r="E99" i="4"/>
  <c r="E69" i="4"/>
  <c r="E101" i="4"/>
  <c r="E88" i="4"/>
  <c r="E111" i="4"/>
  <c r="E114" i="4"/>
  <c r="E87" i="4"/>
  <c r="E107" i="4"/>
  <c r="E89" i="4"/>
  <c r="E76" i="4"/>
  <c r="F79" i="4"/>
  <c r="F102" i="4"/>
  <c r="F113" i="4"/>
  <c r="F83" i="4"/>
  <c r="F74" i="4"/>
  <c r="F110" i="4"/>
  <c r="F104" i="4"/>
  <c r="F68" i="4"/>
  <c r="F100" i="4"/>
  <c r="F71" i="4"/>
  <c r="F108" i="4"/>
  <c r="F94" i="4"/>
  <c r="F81" i="4"/>
  <c r="F97" i="4"/>
  <c r="F88" i="4"/>
  <c r="F70" i="4"/>
  <c r="D31" i="4"/>
  <c r="F75" i="4"/>
  <c r="F66" i="4"/>
  <c r="F98" i="4"/>
  <c r="F89" i="4"/>
  <c r="F112" i="4"/>
  <c r="F92" i="4"/>
  <c r="F105" i="4"/>
  <c r="F101" i="4"/>
  <c r="F96" i="4"/>
  <c r="F111" i="4"/>
  <c r="F82" i="4"/>
  <c r="F77" i="4"/>
  <c r="F114" i="4"/>
  <c r="F86" i="4"/>
  <c r="F90" i="4"/>
  <c r="F87" i="4"/>
  <c r="F72" i="4"/>
  <c r="F69" i="4"/>
  <c r="F84" i="4"/>
  <c r="E31" i="4"/>
  <c r="F85" i="4"/>
  <c r="F67" i="4"/>
  <c r="F93" i="4"/>
  <c r="F76" i="4"/>
  <c r="F80" i="4"/>
  <c r="F73" i="4"/>
  <c r="F115" i="4"/>
  <c r="F95" i="4"/>
  <c r="F107" i="4"/>
  <c r="F91" i="4"/>
  <c r="F103" i="4"/>
  <c r="F78" i="4"/>
  <c r="F109" i="4"/>
  <c r="F106" i="4"/>
  <c r="F99" i="4"/>
  <c r="G30" i="4"/>
  <c r="D114" i="3" a="1"/>
  <c r="D114" i="3" s="1"/>
  <c r="D111" i="3" a="1"/>
  <c r="D111" i="3" s="1"/>
  <c r="D113" i="3" a="1"/>
  <c r="D113" i="3" s="1"/>
  <c r="D112" i="3" a="1"/>
  <c r="D112" i="3" s="1"/>
  <c r="D105" i="3" a="1"/>
  <c r="D105" i="3" s="1"/>
  <c r="D109" i="3" a="1"/>
  <c r="D109" i="3" s="1"/>
  <c r="D104" i="3" a="1"/>
  <c r="D104" i="3" s="1"/>
  <c r="D108" i="3" a="1"/>
  <c r="D108" i="3" s="1"/>
  <c r="D107" i="3" a="1"/>
  <c r="D107" i="3" s="1"/>
  <c r="D103" i="3" a="1"/>
  <c r="D103" i="3" s="1"/>
  <c r="D126" i="3"/>
  <c r="B7" i="4" s="1"/>
  <c r="D110" i="3" a="1"/>
  <c r="D110" i="3" s="1"/>
  <c r="D106" i="3" a="1"/>
  <c r="D106" i="3" s="1"/>
  <c r="E14" i="4" a="1"/>
  <c r="D16" i="4" a="1"/>
  <c r="F16" i="4" a="1"/>
  <c r="F14" i="4" a="1"/>
  <c r="B6" i="4" a="1"/>
  <c r="F15" i="4" a="1"/>
  <c r="D15" i="4" a="1"/>
  <c r="D14" i="4" a="1"/>
  <c r="E16" i="4" a="1"/>
  <c r="D13" i="4" a="1"/>
  <c r="E13" i="4" a="1"/>
  <c r="F13" i="4" a="1"/>
  <c r="E15" i="4" a="1"/>
  <c r="G121" i="4" l="1"/>
  <c r="F119" i="4"/>
  <c r="G120" i="4"/>
  <c r="E15" i="4"/>
  <c r="F13" i="4"/>
  <c r="E13" i="4"/>
  <c r="D13" i="4"/>
  <c r="E16" i="4"/>
  <c r="D14" i="4"/>
  <c r="D15" i="4"/>
  <c r="F15" i="4"/>
  <c r="B6" i="4"/>
  <c r="F14" i="4"/>
  <c r="F16" i="4"/>
  <c r="D16" i="4"/>
  <c r="E14" i="4"/>
  <c r="G119" i="4"/>
  <c r="F120"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<sst xmlns="http://schemas.openxmlformats.org/spreadsheetml/2006/main" count="504" uniqueCount="358">
  <si>
    <t>Exposure Variability: Dose Selection with PK/PD</t>
  </si>
  <si>
    <t>ModelRisk example  ·  Pharmaceuticals and biotech  ·  PH-07</t>
  </si>
  <si>
    <t>Which dose keeps most patients between the effective level and the safety limit?</t>
  </si>
  <si>
    <t>Next:  Inputs  ▸</t>
  </si>
  <si>
    <t>Model card</t>
  </si>
  <si>
    <t>Industry</t>
  </si>
  <si>
    <t>Pharmaceuticals and biotech</t>
  </si>
  <si>
    <t>Difficulty</t>
  </si>
  <si>
    <t>★★★★★   A pharmacokinetic model solved as differential equations for every simulated patient (VosePKPDModel), four dosing regimens per patient, between-patient variability in three parameters, and a therapeutic window.</t>
  </si>
  <si>
    <t>Business question</t>
  </si>
  <si>
    <t>A drug's Phase I studies give its pharmacokinetics: how fast patients absorb and clear it, and how much those differ between patients. It works when the concentration stays above 0.8 mg/L, and above 4 mg/L it prolongs the QT interval. Which dosing regimen — 100, 150 or 200 mg twice a day, or 100 mg three times a day — puts the most patients inside that window for Phase III?</t>
  </si>
  <si>
    <t>Who it is for</t>
  </si>
  <si>
    <t>Clinical pharmacologists, pharmacometricians, clinical development teams choosing a Phase III dose.</t>
  </si>
  <si>
    <t>Main outputs</t>
  </si>
  <si>
    <t>For each regimen: the chance that a patient's trough is effective, that the peak exceeds the safety limit, and that both are right; hours above 80% target inhibition · the typical patient against the population · the concentration over a dosing interval across patients · what drives exposure.</t>
  </si>
  <si>
    <t>ModelRisk techniques</t>
  </si>
  <si>
    <t>A one-compartment model with first-order absorption written as differential equations and solved by VosePKPDModel, with repeated oral doses, output equations for concentration and target inhibition, and thresholds · between-patient variability as typical value × exp(η), η Normal (VoseNormal) · four regimens solved for the same patients · the steady-state closed form as a check · fan chart against the therapeutic window · tornado.</t>
  </si>
  <si>
    <t>File</t>
  </si>
  <si>
    <t>PH-07 Exposure variability dose selection PKPD  ·  Version 1.0  ·  October 2026  ·  built with ModelRisk 10</t>
  </si>
  <si>
    <t>The business question</t>
  </si>
  <si>
    <t>A biotech company's oral kinase inhibitor has finished its Phase I studies. In a typical patient it is absorbed with a rate constant of about 1 per hour, distributed in about 50 litres and cleared at about 5 litres an hour, with 80% bioavailability — but clearance varies between patients by about 40%, volume by 25% and absorption by 50%. Efficacy needs a trough above 0.8 mg/L; above 4 mg/L the drug prolongs the QT interval. The drug inhibits its target with an IC50 of 0.5 mg/L, and the biology suggests that more than 80% inhibition matters. The team must choose one regimen for Phase III. For the typical patient 150 mg twice a day fits the window well. How many patients would it actually suit?</t>
  </si>
  <si>
    <t>How the model works</t>
  </si>
  <si>
    <t>Three sheets after this one, read from left to right. Each one feeds the next.</t>
  </si>
  <si>
    <t>1  Inputs</t>
  </si>
  <si>
    <t>Typical clearance, volume and absorption rate, and how much each varies between patients (ω, on the log scale); bioavailability; the minimum effective concentration, the safety limit, the IC50 and the inhibition target; each regimen's dose and interval; the solver's time step.</t>
  </si>
  <si>
    <t>2  Patient</t>
  </si>
  <si>
    <t>VoseNormal draws the patient's deviations η from the typical values: CL = typical × exp(η). The model is written as two differential equations — the gut and the central compartment — with concentration and inhibition as outputs. VosePKPDModel solves it for three days of doses under each regimen and returns the concentration over the last twelve hours, the peak and the hours above each threshold.</t>
  </si>
  <si>
    <t>3  Results</t>
  </si>
  <si>
    <t>For each regimen: the typical patient's trough and peak (by formula), and across patients the chance of an effective trough, of a peak above the limit, and of both being right; the hours of 80% inhibition; the spread of concentrations through a dosing interval.</t>
  </si>
  <si>
    <t>How to use it</t>
  </si>
  <si>
    <t>Step 1</t>
  </si>
  <si>
    <t>Enter your population PK estimates and their between-patient variability on the Inputs sheet.</t>
  </si>
  <si>
    <t>Step 2</t>
  </si>
  <si>
    <t>Enter the therapeutic window and up to four regimens to compare.</t>
  </si>
  <si>
    <t>Step 3</t>
  </si>
  <si>
    <t>Run a simulation from the ModelRisk ribbon (10,000 samples with a fixed seed are set; each solves the model four times, so a run takes several minutes — use 1,000 samples while you explore).</t>
  </si>
  <si>
    <t>Step 4</t>
  </si>
  <si>
    <t>Choose the regimen with the best balance; consider how many patients each one leaves outside the window.</t>
  </si>
  <si>
    <t>Workbook map</t>
  </si>
  <si>
    <t>Inputs</t>
  </si>
  <si>
    <t>PK parameters, window and target, regimens, solver.</t>
  </si>
  <si>
    <t>Patient</t>
  </si>
  <si>
    <t>This patient; the model definition; VosePKPDModel results; outputs and checks.</t>
  </si>
  <si>
    <t>Results</t>
  </si>
  <si>
    <t>Regimens compared, exposure across patients,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</si>
  <si>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</si>
  <si>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</si>
  <si>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</si>
  <si>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</si>
  <si>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</si>
  <si>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</si>
  <si>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</si>
  <si>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</si>
  <si>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</si>
  <si>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</si>
  <si>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</si>
  <si>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</si>
  <si>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Concentration</t>
  </si>
  <si>
    <t>mg/L in plasma; time in hours from the first dose.</t>
  </si>
  <si>
    <t>Steady state</t>
  </si>
  <si>
    <t>Three days of dosing: the trough at 72 hours, the peak over the whole three days.</t>
  </si>
  <si>
    <t>In the window</t>
  </si>
  <si>
    <t>Trough at least the minimum effective concentration, and peak at most the safety limit.</t>
  </si>
  <si>
    <t>η</t>
  </si>
  <si>
    <t>A patient's deviation from the typical value on the log scale: CL = typical CL × exp(η).</t>
  </si>
  <si>
    <t>Key assumptions and limitations</t>
  </si>
  <si>
    <t>Model</t>
  </si>
  <si>
    <t>One compartment, first-order absorption and elimination, linear kinetics; doses taken exactly on time.</t>
  </si>
  <si>
    <t>Variability</t>
  </si>
  <si>
    <t>Clearance, volume and absorption vary independently between patients; no covariates such as weight or renal function.</t>
  </si>
  <si>
    <t>Solver</t>
  </si>
  <si>
    <t>VosePKPDModel integrates the equations with a fixed time step. With the typical-patient switch on, its trough and peak are compared with the closed-form steady state.</t>
  </si>
  <si>
    <t>Data</t>
  </si>
  <si>
    <t>The drug and all figures are invented for this example.</t>
  </si>
  <si>
    <t>ModelRisk functions used</t>
  </si>
  <si>
    <t>VosePKPDModel</t>
  </si>
  <si>
    <t>Solves the PK/PD differential equations with repeated doses and returns concentrations, peaks and time above thresholds (array).</t>
  </si>
  <si>
    <t>VoseNormal</t>
  </si>
  <si>
    <t>Each patient's deviation η of clearance, volume and absorption rate.</t>
  </si>
  <si>
    <t>VoseInput, VoseOutput</t>
  </si>
  <si>
    <t>Mark the uncertain inputs and the outputs.</t>
  </si>
  <si>
    <t>VoseSimMean, VoseSimPercentile, VoseSimProbability</t>
  </si>
  <si>
    <t>Statistics of the simulation on the Results sheet.</t>
  </si>
  <si>
    <t>VoseSimSensitivityMean</t>
  </si>
  <si>
    <t>The tornado chart: every VoseInput ranked by how far the mean trough moves across its range.</t>
  </si>
  <si>
    <t>Further reading</t>
  </si>
  <si>
    <t>Pharmacokinetics</t>
  </si>
  <si>
    <t>Rowland, M. &amp; Tozer, T. N. (2011). Clinical Pharmacokinetics and Pharmacodynamics, 4th edition. Lippincott Williams &amp; Wilkins.</t>
  </si>
  <si>
    <t>Population PK</t>
  </si>
  <si>
    <t>Mould, D. R. &amp; Upton, R. N. (2012). Basic concepts in population modeling, simulation, and model-based drug development. CPT: Pharmacometrics &amp; Systems Pharmacology 1, e6.</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</si>
  <si>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</si>
  <si>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</si>
  <si>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</si>
  <si>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Patient  ▸</t>
  </si>
  <si>
    <t>How to read this sheet:  yellow cells are inputs.</t>
  </si>
  <si>
    <t>1   Pharmacokinetics</t>
  </si>
  <si>
    <t>Typical values from the Phase I population model, and the variation between patients (ω).</t>
  </si>
  <si>
    <t>Assumption</t>
  </si>
  <si>
    <t>Unit</t>
  </si>
  <si>
    <t>Value in model</t>
  </si>
  <si>
    <t>Uncertainty</t>
  </si>
  <si>
    <t>Basis / source (illustrative)</t>
  </si>
  <si>
    <t>Clearance, typical</t>
  </si>
  <si>
    <t>L / hour</t>
  </si>
  <si>
    <t>Fixed</t>
  </si>
  <si>
    <t>Clearance, variation between patients (ω)</t>
  </si>
  <si>
    <t>log scale</t>
  </si>
  <si>
    <t>About ±40%: liver enzymes differ between patients.</t>
  </si>
  <si>
    <t>Volume of distribution, typical</t>
  </si>
  <si>
    <t>L</t>
  </si>
  <si>
    <t>Volume, variation between patients (ω)</t>
  </si>
  <si>
    <t>Absorption rate constant, typical</t>
  </si>
  <si>
    <t>per hour</t>
  </si>
  <si>
    <t>Absorption, variation between patients (ω)</t>
  </si>
  <si>
    <t>Bioavailability</t>
  </si>
  <si>
    <t>of the dose</t>
  </si>
  <si>
    <t>Share of an oral dose that reaches the blood.</t>
  </si>
  <si>
    <t>2   Therapeutic window and target</t>
  </si>
  <si>
    <t>Minimum effective concentration  (trough)</t>
  </si>
  <si>
    <t>mg / L</t>
  </si>
  <si>
    <t>Safety limit  (peak)</t>
  </si>
  <si>
    <t>QT prolongation above this.</t>
  </si>
  <si>
    <t>Concentration for 50% target inhibition</t>
  </si>
  <si>
    <t>Target inhibition</t>
  </si>
  <si>
    <t>share</t>
  </si>
  <si>
    <t>Inhibition = concentration ÷ (IC50 + concentration).</t>
  </si>
  <si>
    <t>3   Regimens</t>
  </si>
  <si>
    <t>Doses given at once, every interval from time 0, until the trough is read at 72 hours.</t>
  </si>
  <si>
    <t>Regimen 1: dose</t>
  </si>
  <si>
    <t>mg</t>
  </si>
  <si>
    <t>Regimen 1: interval between doses</t>
  </si>
  <si>
    <t>hours</t>
  </si>
  <si>
    <t>12 hours: twice a day; 8 hours: three times a day. It must divide the 72 hours.</t>
  </si>
  <si>
    <t>Regimen 2: dose</t>
  </si>
  <si>
    <t>Regimen 2: interval between doses</t>
  </si>
  <si>
    <t>Regimen 3: dose</t>
  </si>
  <si>
    <t>Regimen 3: interval between doses</t>
  </si>
  <si>
    <t>Regimen 4: dose</t>
  </si>
  <si>
    <t>Regimen 4: interval between doses</t>
  </si>
  <si>
    <t>4   Solver</t>
  </si>
  <si>
    <t>Time step of the numerical solution</t>
  </si>
  <si>
    <t>Smaller is more accurate and slower; the check on the Patient sheet compares with the exact formula.</t>
  </si>
  <si>
    <t>Regimen shown in the concentration chart</t>
  </si>
  <si>
    <t>1 – 4</t>
  </si>
  <si>
    <t>Solve the typical patient only  (1 = yes)</t>
  </si>
  <si>
    <t>1 / 0</t>
  </si>
  <si>
    <t>A test: every η is set to 0, and the Patient sheet compares the solver with the exact formula. Back to 0 to simulate.</t>
  </si>
  <si>
    <t>PATIENT   ·   One simulated patient: parameters, the model as VosePKPDModel reads it, and its solution under each regimen.</t>
  </si>
  <si>
    <t>◂  Inputs</t>
  </si>
  <si>
    <t>Next:  Results  ▸</t>
  </si>
  <si>
    <t>1   This patient</t>
  </si>
  <si>
    <t>VoseNormal: the patient's deviations η from the typical values (log scale).</t>
  </si>
  <si>
    <t>Quantity</t>
  </si>
  <si>
    <t>Value</t>
  </si>
  <si>
    <t>How it is calculated</t>
  </si>
  <si>
    <t>Clearance: deviation η</t>
  </si>
  <si>
    <t>VoseNormal(0, ω)</t>
  </si>
  <si>
    <t>Clearance</t>
  </si>
  <si>
    <t>Typical × exp(η); the typical value when the switch on the Inputs sheet is on</t>
  </si>
  <si>
    <t>Volume of distribution: deviation η</t>
  </si>
  <si>
    <t>Volume of distribution</t>
  </si>
  <si>
    <t>Absorption rate constant: deviation η</t>
  </si>
  <si>
    <t>Absorption rate constant</t>
  </si>
  <si>
    <t>2   The model, as VosePKPDModel reads it</t>
  </si>
  <si>
    <t>Two differential equations — the gut and the central compartment — and two outputs, written as text; the patient's parameters; the doses.</t>
  </si>
  <si>
    <t>Item</t>
  </si>
  <si>
    <t>Name / unit</t>
  </si>
  <si>
    <t>Definition</t>
  </si>
  <si>
    <t>Model name</t>
  </si>
  <si>
    <t>PK</t>
  </si>
  <si>
    <t>Equation: gut</t>
  </si>
  <si>
    <t>dGut/dt=-ka*Gut</t>
  </si>
  <si>
    <t>Equation: central</t>
  </si>
  <si>
    <t>dCent/dt=ka*Gut-CL/V*Cent</t>
  </si>
  <si>
    <t>Output: concentration</t>
  </si>
  <si>
    <t>Conc=Cent/V</t>
  </si>
  <si>
    <t>threshold: hours above it are counted</t>
  </si>
  <si>
    <t>Output: inhibition</t>
  </si>
  <si>
    <t>Inhib=Conc/(IC50+Conc)</t>
  </si>
  <si>
    <t>Time step</t>
  </si>
  <si>
    <t>Unit of the results</t>
  </si>
  <si>
    <t>Starting amounts</t>
  </si>
  <si>
    <t>Gut</t>
  </si>
  <si>
    <t>Cent</t>
  </si>
  <si>
    <t>Parameters</t>
  </si>
  <si>
    <t>ka</t>
  </si>
  <si>
    <t>CL</t>
  </si>
  <si>
    <t>V</t>
  </si>
  <si>
    <t>IC50</t>
  </si>
  <si>
    <t>Trough read at</t>
  </si>
  <si>
    <t>Three days of doses: steady state</t>
  </si>
  <si>
    <t>Profile from</t>
  </si>
  <si>
    <t>The last twelve hours</t>
  </si>
  <si>
    <t>Doses given until</t>
  </si>
  <si>
    <t>Every dose before the trough: none at 72 h</t>
  </si>
  <si>
    <t>Time stamps</t>
  </si>
  <si>
    <t>Every half hour from the profile's start to the trough: listed beside the solutions in section 3.</t>
  </si>
  <si>
    <t>Doses</t>
  </si>
  <si>
    <t>Amount</t>
  </si>
  <si>
    <t>Repeat</t>
  </si>
  <si>
    <t>Into</t>
  </si>
  <si>
    <t>How</t>
  </si>
  <si>
    <t>Input time</t>
  </si>
  <si>
    <t>Interval</t>
  </si>
  <si>
    <t>Duration</t>
  </si>
  <si>
    <t>Start</t>
  </si>
  <si>
    <t>MULTIPLE</t>
  </si>
  <si>
    <t>INSTANT</t>
  </si>
  <si>
    <t>Amount: the bioavailable part of the dose, in mg. Times in hours from the first dose.</t>
  </si>
  <si>
    <t>3   The solution for each regimen</t>
  </si>
  <si>
    <t>VosePKPDModel, entered over 4 columns × 29 rows: the names, the 25 time stamps (60 to 72 hours), then Cmax, Tmax and the hours above each threshold.</t>
  </si>
  <si>
    <t>Regimen 1</t>
  </si>
  <si>
    <t>Regimen 2</t>
  </si>
  <si>
    <t>Regimen 3</t>
  </si>
  <si>
    <t>Regimen 4</t>
  </si>
  <si>
    <t>(names)</t>
  </si>
  <si>
    <t>Cmax</t>
  </si>
  <si>
    <t>Tmax</t>
  </si>
  <si>
    <t>Hours above</t>
  </si>
  <si>
    <t>4   The typical patient, by formula — and the solver beside it</t>
  </si>
  <si>
    <t>Steady state of the one-compartment model with first-order absorption, in steps.</t>
  </si>
  <si>
    <t>Elimination rate constant, typical</t>
  </si>
  <si>
    <t>Clearance ÷ volume</t>
  </si>
  <si>
    <t>From the Inputs sheet</t>
  </si>
  <si>
    <t>Regimen</t>
  </si>
  <si>
    <t>Amplitude</t>
  </si>
  <si>
    <t>Build-up</t>
  </si>
  <si>
    <t>Time of</t>
  </si>
  <si>
    <t>Trough</t>
  </si>
  <si>
    <t>Peak</t>
  </si>
  <si>
    <t>In window</t>
  </si>
  <si>
    <t>Largest</t>
  </si>
  <si>
    <t>elimination</t>
  </si>
  <si>
    <t>absorption</t>
  </si>
  <si>
    <t>peak, h</t>
  </si>
  <si>
    <t>trough</t>
  </si>
  <si>
    <t>peak</t>
  </si>
  <si>
    <t>difference</t>
  </si>
  <si>
    <t>Build-up: the accumulation factors 1 ÷ (1 − e^(−k·τ)). Trough = amplitude × (e^(−ke·τ) × build-up(ke) − e^(−ka·τ) × build-up(ka)); the peak is the same at the time of the peak.</t>
  </si>
  <si>
    <t>Solver: this patient's VosePKPDModel result. Switch the typical patient on (Inputs) and the largest difference shows how close the solver comes to the exact formula: within 0.2% as shipped.</t>
  </si>
  <si>
    <t>5   Value in this iteration</t>
  </si>
  <si>
    <t>Key outputs, recorded by ModelRisk at every sample (VoseOutput). Their statistics appear on the Results sheet.</t>
  </si>
  <si>
    <t>Output</t>
  </si>
  <si>
    <t>Meaning</t>
  </si>
  <si>
    <t>Regimen 1: trough at 72 hours</t>
  </si>
  <si>
    <t>The concentration just before the next dose.</t>
  </si>
  <si>
    <t>Regimen 2: trough at 72 hours</t>
  </si>
  <si>
    <t>Regimen 3: trough at 72 hours</t>
  </si>
  <si>
    <t>Regimen 4: trough at 72 hours</t>
  </si>
  <si>
    <t>Regimen 1: peak</t>
  </si>
  <si>
    <t>The highest concentration over the three days.</t>
  </si>
  <si>
    <t>Regimen 2: peak</t>
  </si>
  <si>
    <t>Regimen 3: peak</t>
  </si>
  <si>
    <t>Regimen 4: peak</t>
  </si>
  <si>
    <t>Regimen 1: in the window?  (1 = yes)</t>
  </si>
  <si>
    <t>Regimen 2: in the window?  (1 = yes)</t>
  </si>
  <si>
    <t>Regimen 3: in the window?  (1 = yes)</t>
  </si>
  <si>
    <t>Regimen 4: in the window?  (1 = yes)</t>
  </si>
  <si>
    <t>Regimen 1: trough effective?  (1 = yes)</t>
  </si>
  <si>
    <t>Regimen 2: trough effective?  (1 = yes)</t>
  </si>
  <si>
    <t>Regimen 3: trough effective?  (1 = yes)</t>
  </si>
  <si>
    <t>Regimen 4: trough effective?  (1 = yes)</t>
  </si>
  <si>
    <t>Regimen 1: peak above the limit?  (1 = yes)</t>
  </si>
  <si>
    <t>Regimen 2: peak above the limit?  (1 = yes)</t>
  </si>
  <si>
    <t>Regimen 3: peak above the limit?  (1 = yes)</t>
  </si>
  <si>
    <t>Regimen 4: peak above the limit?  (1 = yes)</t>
  </si>
  <si>
    <t>Regimen 1: hours of target inhibition</t>
  </si>
  <si>
    <t>Hours of the 72 with inhibition above the target.</t>
  </si>
  <si>
    <t>Regimen 2: hours of target inhibition</t>
  </si>
  <si>
    <t>Regimen 3: hours of target inhibition</t>
  </si>
  <si>
    <t>Regimen 4: hours of target inhibition</t>
  </si>
  <si>
    <t>Concentration of the charted regimen  (output)</t>
  </si>
  <si>
    <t>6   Model checks</t>
  </si>
  <si>
    <t>Should all read OK. A CHECK means an input has been set outside the range the model is built for.</t>
  </si>
  <si>
    <t>VosePKPDModel solved every regimen</t>
  </si>
  <si>
    <t>The window is open: effective level below the safety limit</t>
  </si>
  <si>
    <t>The regimen to chart is 1 to 4</t>
  </si>
  <si>
    <t>Every interval divides 72 hours</t>
  </si>
  <si>
    <t>The typical-patient switch is off</t>
  </si>
  <si>
    <t>Switch on: solver within 1% of the formula</t>
  </si>
  <si>
    <t>RESULTS   ·   Filled in automatically from the last simulation. Run a simulation after changing any input.</t>
  </si>
  <si>
    <t>◂  Patient</t>
  </si>
  <si>
    <t>1   Which regimen?</t>
  </si>
  <si>
    <t>Concentration over the last dosing hours — 10th to 90th percentile</t>
  </si>
  <si>
    <t>The typical patient (by formula) against the simulated patients.</t>
  </si>
  <si>
    <t>Typical</t>
  </si>
  <si>
    <t>Peak above</t>
  </si>
  <si>
    <t>In the</t>
  </si>
  <si>
    <t>Hours at</t>
  </si>
  <si>
    <t>in window?</t>
  </si>
  <si>
    <t>effective</t>
  </si>
  <si>
    <t>the limit</t>
  </si>
  <si>
    <t>window</t>
  </si>
  <si>
    <t>80% inhibition</t>
  </si>
  <si>
    <t>2   Exposure across patients</t>
  </si>
  <si>
    <t>Trough concentration — cumulative probability</t>
  </si>
  <si>
    <t>Trough and peak concentrations (mg/L): the typical patient against the spread.</t>
  </si>
  <si>
    <t>typical</t>
  </si>
  <si>
    <t>10th pct</t>
  </si>
  <si>
    <t>90th pct</t>
  </si>
  <si>
    <t>3   What drives exposure</t>
  </si>
  <si>
    <t>What drives the trough concentration  (mg/L)</t>
  </si>
  <si>
    <t>Lowest and highest mean trough of regimen 2 over ten equal groups of each patient parameter (VoseSimSensitivityMean).</t>
  </si>
  <si>
    <t>Input (ranked by influence)</t>
  </si>
  <si>
    <t>Lowest mean</t>
  </si>
  <si>
    <t>Highest mean</t>
  </si>
  <si>
    <t>Rank</t>
  </si>
  <si>
    <t>4   How to read these results</t>
  </si>
  <si>
    <t>•  For the typical patient, 150 mg twice a day sits comfortably inside the window — a trough of 1.15 mg/L and a peak of 2.77 — and so does 200 mg. But patients differ: clearance varies by about 40% between them, and it decides the trough almost entirely: the mean trough is about 3.1 mg/L in the tenth of patients who clear the drug slowest and 0.3 mg/L in the tenth who clear it fastest.</t>
  </si>
  <si>
    <t>•  Across patients, 150 mg twice a day suits only about 59%: 29% have a trough below the effective level and 12% a peak above the safety limit. Raising the dose to 200 mg helps the first group and harms the second — 41% exceed the limit — and only 42% are in the window.</t>
  </si>
  <si>
    <t>•  100 mg three times a day, the same daily dose as 150 mg twice a day, puts about 78% of patients in the window: smaller doses given more often keep the lowest concentration higher and the highest lower. The price is a third daily dose; a modified-release formulation could give the same profile twice a day.</t>
  </si>
  <si>
    <t>•  Time above 80% target inhibition rises with the dose — about 30 of the 72 hours at 150 mg twice a day, 46 at 200 mg. If the biology says inhibition matters more than the trough, the window should be set around it.</t>
  </si>
  <si>
    <t>•  Even the best regimen leaves about one patient in five outside the window. Clearance is the lever: dosing by a patient's clearance — measured, or predicted from liver function and other covariates — would narrow the spread.</t>
  </si>
  <si>
    <t>Chart data</t>
  </si>
  <si>
    <t>Statistics of the last simulation behind the charts and the ranking above. Grouped: click + in the left margin to show them.</t>
  </si>
  <si>
    <t>Cumulative probability</t>
  </si>
  <si>
    <t>Exceedance</t>
  </si>
  <si>
    <t>Trough_1</t>
  </si>
  <si>
    <t>Trough_2</t>
  </si>
  <si>
    <t>Trough_3</t>
  </si>
  <si>
    <t>Trough_4</t>
  </si>
  <si>
    <t>Overall mean of Trough_2</t>
  </si>
  <si>
    <t>Ranked input (chart)</t>
  </si>
  <si>
    <t>Highest − mean</t>
  </si>
  <si>
    <t>Lowest − mean</t>
  </si>
  <si>
    <t>Period</t>
  </si>
  <si>
    <t>10th percentile</t>
  </si>
  <si>
    <t>Median</t>
  </si>
  <si>
    <t>90th percentile</t>
  </si>
  <si>
    <t>Mean</t>
  </si>
  <si>
    <t>Effective level</t>
  </si>
  <si>
    <t>Safety limit</t>
  </si>
  <si>
    <t>60</t>
  </si>
  <si>
    <t>60.5</t>
  </si>
  <si>
    <t>61</t>
  </si>
  <si>
    <t>61.5</t>
  </si>
  <si>
    <t>62</t>
  </si>
  <si>
    <t>62.5</t>
  </si>
  <si>
    <t>63</t>
  </si>
  <si>
    <t>63.5</t>
  </si>
  <si>
    <t>64</t>
  </si>
  <si>
    <t>64.5</t>
  </si>
  <si>
    <t>65</t>
  </si>
  <si>
    <t>65.5</t>
  </si>
  <si>
    <t>66</t>
  </si>
  <si>
    <t>66.5</t>
  </si>
  <si>
    <t>67</t>
  </si>
  <si>
    <t>67.5</t>
  </si>
  <si>
    <t>68</t>
  </si>
  <si>
    <t>68.5</t>
  </si>
  <si>
    <t>69</t>
  </si>
  <si>
    <t>69.5</t>
  </si>
  <si>
    <t>70</t>
  </si>
  <si>
    <t>70.5</t>
  </si>
  <si>
    <t>71</t>
  </si>
  <si>
    <t>71.5</t>
  </si>
  <si>
    <t>72</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</si>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</sst>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0.0\);&quot;–&quot;_)"/>
    <numFmt numFmtId="165" formatCode="#,##0_);\(#,##0\);&quot;–&quot;_)"/>
    <numFmt numFmtId="166" formatCode="#,##0.00_);\(#,##0.00\);&quot;–&quot;_)"/>
    <numFmt numFmtId="167" formatCode="0.000"/>
    <numFmt numFmtId="168" formatCode="0.0"/>
    <numFmt numFmtId="169" formatCode="0.0&quot; h&quot;"/>
    <numFmt numFmtId="170" formatCode="0%;\-0%;0%;&quot;–&quot;"/>
    <numFmt numFmtId="171" formatCode="#,##0.0_);\(#,##0.0\);&quot;–&quot;_);&quot;–&quot;"/>
    <numFmt numFmtId="172" formatCode="#,##0.00_);\(#,##0.00\);&quot;–&quot;_);&quot;–&quot;"/>
    <numFmt numFmtId="173" formatCode="0;\-0;0;&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2" fontId="1" fillId="2" borderId="7" xfId="1" applyNumberFormat="1" applyBorder="1">
      <alignment horizontal="right" vertical="center"/>
    </xf>
    <xf numFmtId="165" fontId="1" fillId="2" borderId="7" xfId="1" applyNumberFormat="1" applyBorder="1">
      <alignment horizontal="right" vertical="center"/>
    </xf>
    <xf numFmtId="166" fontId="1" fillId="2" borderId="7" xfId="1" applyNumberFormat="1" applyBorder="1">
      <alignment horizontal="right" vertical="center"/>
    </xf>
    <xf numFmtId="9" fontId="1" fillId="2" borderId="7" xfId="1" applyNumberFormat="1" applyBorder="1">
      <alignment horizontal="right" vertical="center"/>
    </xf>
    <xf numFmtId="167" fontId="1" fillId="2" borderId="7" xfId="1" applyNumberFormat="1" applyBorder="1">
      <alignment horizontal="right" vertical="center"/>
    </xf>
    <xf numFmtId="1"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7" fontId="2" fillId="3" borderId="7" xfId="2" applyNumberFormat="1" applyBorder="1">
      <alignment horizontal="right" vertical="center"/>
    </xf>
    <xf numFmtId="166" fontId="3" fillId="0" borderId="8" xfId="3" applyNumberFormat="1" applyBorder="1">
      <alignment horizontal="right" vertical="center"/>
    </xf>
    <xf numFmtId="0" fontId="1" fillId="0" borderId="6" xfId="0" applyFont="1" applyBorder="1" applyAlignment="1">
      <alignment horizontal="left" vertical="center" indent="1"/>
    </xf>
    <xf numFmtId="167" fontId="3" fillId="0" borderId="8" xfId="3" applyNumberFormat="1" applyBorder="1">
      <alignment horizontal="right" vertical="center"/>
    </xf>
    <xf numFmtId="0" fontId="3" fillId="0" borderId="6" xfId="0" applyFont="1" applyBorder="1"/>
    <xf numFmtId="165" fontId="3" fillId="0" borderId="8" xfId="3" applyNumberFormat="1" applyBorder="1">
      <alignment horizontal="right" vertical="center"/>
    </xf>
    <xf numFmtId="168" fontId="3" fillId="0" borderId="8" xfId="3" applyNumberFormat="1" applyBorder="1">
      <alignment horizontal="right" vertical="center"/>
    </xf>
    <xf numFmtId="164" fontId="3" fillId="0" borderId="8" xfId="3" applyNumberFormat="1" applyBorder="1">
      <alignment horizontal="right" vertical="center"/>
    </xf>
    <xf numFmtId="0" fontId="18" fillId="0" borderId="6" xfId="0" applyFont="1" applyBorder="1"/>
    <xf numFmtId="1" fontId="3" fillId="0" borderId="8" xfId="3" applyNumberFormat="1" applyBorder="1">
      <alignment horizontal="right" vertical="center"/>
    </xf>
    <xf numFmtId="0" fontId="13" fillId="0" borderId="0" xfId="0" applyFont="1" applyAlignment="1">
      <alignment horizontal="left" vertical="center" indent="1"/>
    </xf>
    <xf numFmtId="0" fontId="15" fillId="0" borderId="0" xfId="0" applyFont="1"/>
    <xf numFmtId="0" fontId="18" fillId="0" borderId="0" xfId="0" applyFont="1" applyAlignment="1">
      <alignment horizontal="right" vertical="center"/>
    </xf>
    <xf numFmtId="167" fontId="2" fillId="3" borderId="1" xfId="2" applyNumberFormat="1">
      <alignment horizontal="right" vertical="center"/>
    </xf>
    <xf numFmtId="169" fontId="18" fillId="0" borderId="0" xfId="0" applyNumberFormat="1" applyFont="1" applyAlignment="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2" fontId="3" fillId="0" borderId="8" xfId="3" applyNumberFormat="1" applyBorder="1">
      <alignment horizontal="right" vertical="center"/>
    </xf>
    <xf numFmtId="10" fontId="3" fillId="0" borderId="8" xfId="3" applyNumberFormat="1" applyBorder="1">
      <alignment horizontal="right" vertical="center"/>
    </xf>
    <xf numFmtId="167" fontId="4" fillId="4" borderId="9" xfId="4" applyNumberFormat="1" applyBorder="1">
      <alignment horizontal="right" vertical="center"/>
    </xf>
    <xf numFmtId="1" fontId="4" fillId="4" borderId="9" xfId="4" applyNumberFormat="1" applyBorder="1">
      <alignment horizontal="right" vertical="center"/>
    </xf>
    <xf numFmtId="164" fontId="4" fillId="4" borderId="9" xfId="4" applyNumberFormat="1" applyBorder="1">
      <alignment horizontal="right" vertical="center"/>
    </xf>
    <xf numFmtId="167" fontId="4" fillId="4" borderId="3" xfId="4" applyNumberFormat="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2"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3" fillId="0" borderId="6" xfId="0" applyFont="1" applyBorder="1" applyAlignment="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0" fontId="17" fillId="7" borderId="4" xfId="0" applyFont="1" applyFill="1" applyBorder="1" applyAlignment="1">
      <alignment horizontal="center" vertical="center" wrapText="1"/>
    </xf>
    <xf numFmtId="173"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2" fontId="1" fillId="5" borderId="1" xfId="5" applyNumberFormat="1">
      <alignment horizontal="right" vertical="center"/>
    </xf>
    <xf numFmtId="0" fontId="21" fillId="0" borderId="0" xfId="0" applyFont="1" applyAlignment="1">
      <alignment horizontal="left" vertical="center" indent="1"/>
    </xf>
    <xf numFmtId="166"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b/>
        <color rgb="FF15803D"/>
      </font>
      <fill>
        <patternFill patternType="solid">
          <fgColor rgb="FFDCFCE7"/>
          <bgColor rgb="FFDCFCE7"/>
        </patternFill>
      </fill>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Results!$B$124:$B$148</c:f>
              <c:strCache>
                <c:ptCount val="25"/>
                <c:pt idx="0">
                  <c:v>60</c:v>
                </c:pt>
                <c:pt idx="1">
                  <c:v>60.5</c:v>
                </c:pt>
                <c:pt idx="2">
                  <c:v>61</c:v>
                </c:pt>
                <c:pt idx="3">
                  <c:v>61.5</c:v>
                </c:pt>
                <c:pt idx="4">
                  <c:v>62</c:v>
                </c:pt>
                <c:pt idx="5">
                  <c:v>62.5</c:v>
                </c:pt>
                <c:pt idx="6">
                  <c:v>63</c:v>
                </c:pt>
                <c:pt idx="7">
                  <c:v>63.5</c:v>
                </c:pt>
                <c:pt idx="8">
                  <c:v>64</c:v>
                </c:pt>
                <c:pt idx="9">
                  <c:v>64.5</c:v>
                </c:pt>
                <c:pt idx="10">
                  <c:v>65</c:v>
                </c:pt>
                <c:pt idx="11">
                  <c:v>65.5</c:v>
                </c:pt>
                <c:pt idx="12">
                  <c:v>66</c:v>
                </c:pt>
                <c:pt idx="13">
                  <c:v>66.5</c:v>
                </c:pt>
                <c:pt idx="14">
                  <c:v>67</c:v>
                </c:pt>
                <c:pt idx="15">
                  <c:v>67.5</c:v>
                </c:pt>
                <c:pt idx="16">
                  <c:v>68</c:v>
                </c:pt>
                <c:pt idx="17">
                  <c:v>68.5</c:v>
                </c:pt>
                <c:pt idx="18">
                  <c:v>69</c:v>
                </c:pt>
                <c:pt idx="19">
                  <c:v>69.5</c:v>
                </c:pt>
                <c:pt idx="20">
                  <c:v>70</c:v>
                </c:pt>
                <c:pt idx="21">
                  <c:v>70.5</c:v>
                </c:pt>
                <c:pt idx="22">
                  <c:v>71</c:v>
                </c:pt>
                <c:pt idx="23">
                  <c:v>71.5</c:v>
                </c:pt>
                <c:pt idx="24">
                  <c:v>72</c:v>
                </c:pt>
              </c:strCache>
            </c:strRef>
          </c:cat>
          <c:val>
            <c:numRef>
              <c:f>Results!$E$124:$E$148</c:f>
              <c:numCache>
                <c:formatCode>#,##0.00</c:formatCode>
                <c:ptCount val="25"/>
                <c:pt idx="0">
                  <c:v>3.4095919061323565</c:v>
                </c:pt>
                <c:pt idx="1">
                  <c:v>3.3240977040404505</c:v>
                </c:pt>
                <c:pt idx="2">
                  <c:v>3.2389917830707544</c:v>
                </c:pt>
                <c:pt idx="3">
                  <c:v>3.1549295040451595</c:v>
                </c:pt>
                <c:pt idx="4">
                  <c:v>3.0717942515471757</c:v>
                </c:pt>
                <c:pt idx="5">
                  <c:v>2.9874880231325727</c:v>
                </c:pt>
                <c:pt idx="6">
                  <c:v>2.9041044110078977</c:v>
                </c:pt>
                <c:pt idx="7">
                  <c:v>2.8197897638416061</c:v>
                </c:pt>
                <c:pt idx="8">
                  <c:v>2.7397142045586351</c:v>
                </c:pt>
                <c:pt idx="9">
                  <c:v>3.3417943813132664</c:v>
                </c:pt>
                <c:pt idx="10">
                  <c:v>3.5977845823093157</c:v>
                </c:pt>
                <c:pt idx="11">
                  <c:v>3.6903672965928087</c:v>
                </c:pt>
                <c:pt idx="12">
                  <c:v>3.6946822461213458</c:v>
                </c:pt>
                <c:pt idx="13">
                  <c:v>3.6735433273735887</c:v>
                </c:pt>
                <c:pt idx="14">
                  <c:v>3.6018581604046931</c:v>
                </c:pt>
                <c:pt idx="15">
                  <c:v>3.5268363986224349</c:v>
                </c:pt>
                <c:pt idx="16">
                  <c:v>3.4482302962290308</c:v>
                </c:pt>
                <c:pt idx="17">
                  <c:v>3.3657635256992182</c:v>
                </c:pt>
                <c:pt idx="18">
                  <c:v>3.2791638686860631</c:v>
                </c:pt>
                <c:pt idx="19">
                  <c:v>3.191071532840021</c:v>
                </c:pt>
                <c:pt idx="20">
                  <c:v>3.1051262741153378</c:v>
                </c:pt>
                <c:pt idx="21">
                  <c:v>3.0191325099332236</c:v>
                </c:pt>
                <c:pt idx="22">
                  <c:v>2.9339580854777059</c:v>
                </c:pt>
                <c:pt idx="23">
                  <c:v>2.8493779671705104</c:v>
                </c:pt>
                <c:pt idx="24">
                  <c:v>2.7751944430093882</c:v>
                </c:pt>
              </c:numCache>
            </c:numRef>
          </c:val>
          <c:smooth val="0"/>
          <c:extLst>
            <c:ext xmlns:c16="http://schemas.microsoft.com/office/drawing/2014/chart" uri="{C3380CC4-5D6E-409C-BE32-E72D297353CC}">
              <c16:uniqueId val="{00000000-7213-4D00-91A0-2BCBA456E492}"/>
            </c:ext>
          </c:extLst>
        </c:ser>
        <c:ser>
          <c:idx val="1"/>
          <c:order val="1"/>
          <c:tx>
            <c:v>Median</c:v>
          </c:tx>
          <c:spPr>
            <a:ln w="28575">
              <a:solidFill>
                <a:srgbClr val="0E4F92"/>
              </a:solidFill>
              <a:prstDash val="solid"/>
            </a:ln>
          </c:spPr>
          <c:marker>
            <c:symbol val="none"/>
          </c:marker>
          <c:cat>
            <c:strRef>
              <c:f>Results!$B$124:$B$148</c:f>
              <c:strCache>
                <c:ptCount val="25"/>
                <c:pt idx="0">
                  <c:v>60</c:v>
                </c:pt>
                <c:pt idx="1">
                  <c:v>60.5</c:v>
                </c:pt>
                <c:pt idx="2">
                  <c:v>61</c:v>
                </c:pt>
                <c:pt idx="3">
                  <c:v>61.5</c:v>
                </c:pt>
                <c:pt idx="4">
                  <c:v>62</c:v>
                </c:pt>
                <c:pt idx="5">
                  <c:v>62.5</c:v>
                </c:pt>
                <c:pt idx="6">
                  <c:v>63</c:v>
                </c:pt>
                <c:pt idx="7">
                  <c:v>63.5</c:v>
                </c:pt>
                <c:pt idx="8">
                  <c:v>64</c:v>
                </c:pt>
                <c:pt idx="9">
                  <c:v>64.5</c:v>
                </c:pt>
                <c:pt idx="10">
                  <c:v>65</c:v>
                </c:pt>
                <c:pt idx="11">
                  <c:v>65.5</c:v>
                </c:pt>
                <c:pt idx="12">
                  <c:v>66</c:v>
                </c:pt>
                <c:pt idx="13">
                  <c:v>66.5</c:v>
                </c:pt>
                <c:pt idx="14">
                  <c:v>67</c:v>
                </c:pt>
                <c:pt idx="15">
                  <c:v>67.5</c:v>
                </c:pt>
                <c:pt idx="16">
                  <c:v>68</c:v>
                </c:pt>
                <c:pt idx="17">
                  <c:v>68.5</c:v>
                </c:pt>
                <c:pt idx="18">
                  <c:v>69</c:v>
                </c:pt>
                <c:pt idx="19">
                  <c:v>69.5</c:v>
                </c:pt>
                <c:pt idx="20">
                  <c:v>70</c:v>
                </c:pt>
                <c:pt idx="21">
                  <c:v>70.5</c:v>
                </c:pt>
                <c:pt idx="22">
                  <c:v>71</c:v>
                </c:pt>
                <c:pt idx="23">
                  <c:v>71.5</c:v>
                </c:pt>
                <c:pt idx="24">
                  <c:v>72</c:v>
                </c:pt>
              </c:strCache>
            </c:strRef>
          </c:cat>
          <c:val>
            <c:numRef>
              <c:f>Results!$D$124:$D$148</c:f>
              <c:numCache>
                <c:formatCode>#,##0.00</c:formatCode>
                <c:ptCount val="25"/>
                <c:pt idx="0">
                  <c:v>2.1190562339284793</c:v>
                </c:pt>
                <c:pt idx="1">
                  <c:v>2.0346442336139599</c:v>
                </c:pt>
                <c:pt idx="2">
                  <c:v>1.9467093707383194</c:v>
                </c:pt>
                <c:pt idx="3">
                  <c:v>1.8571277129792119</c:v>
                </c:pt>
                <c:pt idx="4">
                  <c:v>1.773982343639269</c:v>
                </c:pt>
                <c:pt idx="5">
                  <c:v>1.6947336863201798</c:v>
                </c:pt>
                <c:pt idx="6">
                  <c:v>1.6160240242399915</c:v>
                </c:pt>
                <c:pt idx="7">
                  <c:v>1.5405256657553226</c:v>
                </c:pt>
                <c:pt idx="8">
                  <c:v>1.4674687124521699</c:v>
                </c:pt>
                <c:pt idx="9">
                  <c:v>2.0484927440885321</c:v>
                </c:pt>
                <c:pt idx="10">
                  <c:v>2.3085838781804959</c:v>
                </c:pt>
                <c:pt idx="11">
                  <c:v>2.3902096488624509</c:v>
                </c:pt>
                <c:pt idx="12">
                  <c:v>2.3884119615519896</c:v>
                </c:pt>
                <c:pt idx="13">
                  <c:v>2.3494746109964364</c:v>
                </c:pt>
                <c:pt idx="14">
                  <c:v>2.284548487271735</c:v>
                </c:pt>
                <c:pt idx="15">
                  <c:v>2.2079253847067446</c:v>
                </c:pt>
                <c:pt idx="16">
                  <c:v>2.1237213350496775</c:v>
                </c:pt>
                <c:pt idx="17">
                  <c:v>2.0393448112653014</c:v>
                </c:pt>
                <c:pt idx="18">
                  <c:v>1.9499761677881968</c:v>
                </c:pt>
                <c:pt idx="19">
                  <c:v>1.8602112151361714</c:v>
                </c:pt>
                <c:pt idx="20">
                  <c:v>1.7789034044871714</c:v>
                </c:pt>
                <c:pt idx="21">
                  <c:v>1.6976762997860018</c:v>
                </c:pt>
                <c:pt idx="22">
                  <c:v>1.6190839802037642</c:v>
                </c:pt>
                <c:pt idx="23">
                  <c:v>1.5437807427070915</c:v>
                </c:pt>
                <c:pt idx="24">
                  <c:v>1.4704949395288678</c:v>
                </c:pt>
              </c:numCache>
            </c:numRef>
          </c:val>
          <c:smooth val="0"/>
          <c:extLst>
            <c:ext xmlns:c16="http://schemas.microsoft.com/office/drawing/2014/chart" uri="{C3380CC4-5D6E-409C-BE32-E72D297353CC}">
              <c16:uniqueId val="{00000001-7213-4D00-91A0-2BCBA456E492}"/>
            </c:ext>
          </c:extLst>
        </c:ser>
        <c:ser>
          <c:idx val="2"/>
          <c:order val="2"/>
          <c:tx>
            <c:v>Mean</c:v>
          </c:tx>
          <c:spPr>
            <a:ln w="19050">
              <a:solidFill>
                <a:srgbClr val="B45309"/>
              </a:solidFill>
              <a:prstDash val="solid"/>
            </a:ln>
          </c:spPr>
          <c:marker>
            <c:symbol val="none"/>
          </c:marker>
          <c:cat>
            <c:strRef>
              <c:f>Results!$B$124:$B$148</c:f>
              <c:strCache>
                <c:ptCount val="25"/>
                <c:pt idx="0">
                  <c:v>60</c:v>
                </c:pt>
                <c:pt idx="1">
                  <c:v>60.5</c:v>
                </c:pt>
                <c:pt idx="2">
                  <c:v>61</c:v>
                </c:pt>
                <c:pt idx="3">
                  <c:v>61.5</c:v>
                </c:pt>
                <c:pt idx="4">
                  <c:v>62</c:v>
                </c:pt>
                <c:pt idx="5">
                  <c:v>62.5</c:v>
                </c:pt>
                <c:pt idx="6">
                  <c:v>63</c:v>
                </c:pt>
                <c:pt idx="7">
                  <c:v>63.5</c:v>
                </c:pt>
                <c:pt idx="8">
                  <c:v>64</c:v>
                </c:pt>
                <c:pt idx="9">
                  <c:v>64.5</c:v>
                </c:pt>
                <c:pt idx="10">
                  <c:v>65</c:v>
                </c:pt>
                <c:pt idx="11">
                  <c:v>65.5</c:v>
                </c:pt>
                <c:pt idx="12">
                  <c:v>66</c:v>
                </c:pt>
                <c:pt idx="13">
                  <c:v>66.5</c:v>
                </c:pt>
                <c:pt idx="14">
                  <c:v>67</c:v>
                </c:pt>
                <c:pt idx="15">
                  <c:v>67.5</c:v>
                </c:pt>
                <c:pt idx="16">
                  <c:v>68</c:v>
                </c:pt>
                <c:pt idx="17">
                  <c:v>68.5</c:v>
                </c:pt>
                <c:pt idx="18">
                  <c:v>69</c:v>
                </c:pt>
                <c:pt idx="19">
                  <c:v>69.5</c:v>
                </c:pt>
                <c:pt idx="20">
                  <c:v>70</c:v>
                </c:pt>
                <c:pt idx="21">
                  <c:v>70.5</c:v>
                </c:pt>
                <c:pt idx="22">
                  <c:v>71</c:v>
                </c:pt>
                <c:pt idx="23">
                  <c:v>71.5</c:v>
                </c:pt>
                <c:pt idx="24">
                  <c:v>72</c:v>
                </c:pt>
              </c:strCache>
            </c:strRef>
          </c:cat>
          <c:val>
            <c:numRef>
              <c:f>Results!$F$124:$F$148</c:f>
              <c:numCache>
                <c:formatCode>#,##0.00</c:formatCode>
                <c:ptCount val="25"/>
                <c:pt idx="0">
                  <c:v>2.252353105489151</c:v>
                </c:pt>
                <c:pt idx="1">
                  <c:v>2.165151888715878</c:v>
                </c:pt>
                <c:pt idx="2">
                  <c:v>2.0779963497244918</c:v>
                </c:pt>
                <c:pt idx="3">
                  <c:v>1.9923401682567141</c:v>
                </c:pt>
                <c:pt idx="4">
                  <c:v>1.9090506822118158</c:v>
                </c:pt>
                <c:pt idx="5">
                  <c:v>1.82862705984982</c:v>
                </c:pt>
                <c:pt idx="6">
                  <c:v>1.751334115655369</c:v>
                </c:pt>
                <c:pt idx="7">
                  <c:v>1.6772862482221189</c:v>
                </c:pt>
                <c:pt idx="8">
                  <c:v>1.6065010936464543</c:v>
                </c:pt>
                <c:pt idx="9">
                  <c:v>2.1939697729375549</c:v>
                </c:pt>
                <c:pt idx="10">
                  <c:v>2.4441307465844653</c:v>
                </c:pt>
                <c:pt idx="11">
                  <c:v>2.532112118622424</c:v>
                </c:pt>
                <c:pt idx="12">
                  <c:v>2.5361206709771125</c:v>
                </c:pt>
                <c:pt idx="13">
                  <c:v>2.4949140614142258</c:v>
                </c:pt>
                <c:pt idx="14">
                  <c:v>2.4291182033165395</c:v>
                </c:pt>
                <c:pt idx="15">
                  <c:v>2.3502809207130873</c:v>
                </c:pt>
                <c:pt idx="16">
                  <c:v>2.2651057394539298</c:v>
                </c:pt>
                <c:pt idx="17">
                  <c:v>2.1775805057242281</c:v>
                </c:pt>
                <c:pt idx="18">
                  <c:v>2.0901102207629196</c:v>
                </c:pt>
                <c:pt idx="19">
                  <c:v>2.0041482674224698</c:v>
                </c:pt>
                <c:pt idx="20">
                  <c:v>1.9205616972860249</c:v>
                </c:pt>
                <c:pt idx="21">
                  <c:v>1.8398494024542784</c:v>
                </c:pt>
                <c:pt idx="22">
                  <c:v>1.7622759310114358</c:v>
                </c:pt>
                <c:pt idx="23">
                  <c:v>1.6879554245287522</c:v>
                </c:pt>
                <c:pt idx="24">
                  <c:v>1.6169052710933733</c:v>
                </c:pt>
              </c:numCache>
            </c:numRef>
          </c:val>
          <c:smooth val="0"/>
          <c:extLst>
            <c:ext xmlns:c16="http://schemas.microsoft.com/office/drawing/2014/chart" uri="{C3380CC4-5D6E-409C-BE32-E72D297353CC}">
              <c16:uniqueId val="{00000002-7213-4D00-91A0-2BCBA456E492}"/>
            </c:ext>
          </c:extLst>
        </c:ser>
        <c:ser>
          <c:idx val="3"/>
          <c:order val="3"/>
          <c:tx>
            <c:v>10th percentile</c:v>
          </c:tx>
          <c:spPr>
            <a:ln w="15875">
              <a:solidFill>
                <a:srgbClr val="0E4F92"/>
              </a:solidFill>
              <a:prstDash val="dash"/>
            </a:ln>
          </c:spPr>
          <c:marker>
            <c:symbol val="none"/>
          </c:marker>
          <c:cat>
            <c:strRef>
              <c:f>Results!$B$124:$B$148</c:f>
              <c:strCache>
                <c:ptCount val="25"/>
                <c:pt idx="0">
                  <c:v>60</c:v>
                </c:pt>
                <c:pt idx="1">
                  <c:v>60.5</c:v>
                </c:pt>
                <c:pt idx="2">
                  <c:v>61</c:v>
                </c:pt>
                <c:pt idx="3">
                  <c:v>61.5</c:v>
                </c:pt>
                <c:pt idx="4">
                  <c:v>62</c:v>
                </c:pt>
                <c:pt idx="5">
                  <c:v>62.5</c:v>
                </c:pt>
                <c:pt idx="6">
                  <c:v>63</c:v>
                </c:pt>
                <c:pt idx="7">
                  <c:v>63.5</c:v>
                </c:pt>
                <c:pt idx="8">
                  <c:v>64</c:v>
                </c:pt>
                <c:pt idx="9">
                  <c:v>64.5</c:v>
                </c:pt>
                <c:pt idx="10">
                  <c:v>65</c:v>
                </c:pt>
                <c:pt idx="11">
                  <c:v>65.5</c:v>
                </c:pt>
                <c:pt idx="12">
                  <c:v>66</c:v>
                </c:pt>
                <c:pt idx="13">
                  <c:v>66.5</c:v>
                </c:pt>
                <c:pt idx="14">
                  <c:v>67</c:v>
                </c:pt>
                <c:pt idx="15">
                  <c:v>67.5</c:v>
                </c:pt>
                <c:pt idx="16">
                  <c:v>68</c:v>
                </c:pt>
                <c:pt idx="17">
                  <c:v>68.5</c:v>
                </c:pt>
                <c:pt idx="18">
                  <c:v>69</c:v>
                </c:pt>
                <c:pt idx="19">
                  <c:v>69.5</c:v>
                </c:pt>
                <c:pt idx="20">
                  <c:v>70</c:v>
                </c:pt>
                <c:pt idx="21">
                  <c:v>70.5</c:v>
                </c:pt>
                <c:pt idx="22">
                  <c:v>71</c:v>
                </c:pt>
                <c:pt idx="23">
                  <c:v>71.5</c:v>
                </c:pt>
                <c:pt idx="24">
                  <c:v>72</c:v>
                </c:pt>
              </c:strCache>
            </c:strRef>
          </c:cat>
          <c:val>
            <c:numRef>
              <c:f>Results!$C$124:$C$148</c:f>
              <c:numCache>
                <c:formatCode>#,##0.00</c:formatCode>
                <c:ptCount val="25"/>
                <c:pt idx="0">
                  <c:v>1.274413095222553</c:v>
                </c:pt>
                <c:pt idx="1">
                  <c:v>1.1851514502890641</c:v>
                </c:pt>
                <c:pt idx="2">
                  <c:v>1.0982287348791901</c:v>
                </c:pt>
                <c:pt idx="3">
                  <c:v>1.0173476005961575</c:v>
                </c:pt>
                <c:pt idx="4">
                  <c:v>0.9371908016227587</c:v>
                </c:pt>
                <c:pt idx="5">
                  <c:v>0.86275093978289419</c:v>
                </c:pt>
                <c:pt idx="6">
                  <c:v>0.79271804679630553</c:v>
                </c:pt>
                <c:pt idx="7">
                  <c:v>0.72942518691231528</c:v>
                </c:pt>
                <c:pt idx="8">
                  <c:v>0.6676948668338536</c:v>
                </c:pt>
                <c:pt idx="9">
                  <c:v>1.242568993559831</c:v>
                </c:pt>
                <c:pt idx="10">
                  <c:v>1.4763427942515732</c:v>
                </c:pt>
                <c:pt idx="11">
                  <c:v>1.5627668543742923</c:v>
                </c:pt>
                <c:pt idx="12">
                  <c:v>1.5652790014686555</c:v>
                </c:pt>
                <c:pt idx="13">
                  <c:v>1.5216738340772962</c:v>
                </c:pt>
                <c:pt idx="14">
                  <c:v>1.4467887118284115</c:v>
                </c:pt>
                <c:pt idx="15">
                  <c:v>1.3644209794345599</c:v>
                </c:pt>
                <c:pt idx="16">
                  <c:v>1.2746902107025933</c:v>
                </c:pt>
                <c:pt idx="17">
                  <c:v>1.1851798587086479</c:v>
                </c:pt>
                <c:pt idx="18">
                  <c:v>1.098610045149687</c:v>
                </c:pt>
                <c:pt idx="19">
                  <c:v>1.0173508156624278</c:v>
                </c:pt>
                <c:pt idx="20">
                  <c:v>0.93719735101963664</c:v>
                </c:pt>
                <c:pt idx="21">
                  <c:v>0.86284095599948996</c:v>
                </c:pt>
                <c:pt idx="22">
                  <c:v>0.79271933508561276</c:v>
                </c:pt>
                <c:pt idx="23">
                  <c:v>0.72942840542703102</c:v>
                </c:pt>
                <c:pt idx="24">
                  <c:v>0.66769862296048599</c:v>
                </c:pt>
              </c:numCache>
            </c:numRef>
          </c:val>
          <c:smooth val="0"/>
          <c:extLst>
            <c:ext xmlns:c16="http://schemas.microsoft.com/office/drawing/2014/chart" uri="{C3380CC4-5D6E-409C-BE32-E72D297353CC}">
              <c16:uniqueId val="{00000003-7213-4D00-91A0-2BCBA456E492}"/>
            </c:ext>
          </c:extLst>
        </c:ser>
        <c:ser>
          <c:idx val="4"/>
          <c:order val="4"/>
          <c:tx>
            <c:v>Effective level</c:v>
          </c:tx>
          <c:spPr>
            <a:ln w="22225">
              <a:solidFill>
                <a:srgbClr val="15803D"/>
              </a:solidFill>
              <a:prstDash val="solid"/>
            </a:ln>
          </c:spPr>
          <c:marker>
            <c:symbol val="none"/>
          </c:marker>
          <c:cat>
            <c:strRef>
              <c:f>Results!$B$124:$B$148</c:f>
              <c:strCache>
                <c:ptCount val="25"/>
                <c:pt idx="0">
                  <c:v>60</c:v>
                </c:pt>
                <c:pt idx="1">
                  <c:v>60.5</c:v>
                </c:pt>
                <c:pt idx="2">
                  <c:v>61</c:v>
                </c:pt>
                <c:pt idx="3">
                  <c:v>61.5</c:v>
                </c:pt>
                <c:pt idx="4">
                  <c:v>62</c:v>
                </c:pt>
                <c:pt idx="5">
                  <c:v>62.5</c:v>
                </c:pt>
                <c:pt idx="6">
                  <c:v>63</c:v>
                </c:pt>
                <c:pt idx="7">
                  <c:v>63.5</c:v>
                </c:pt>
                <c:pt idx="8">
                  <c:v>64</c:v>
                </c:pt>
                <c:pt idx="9">
                  <c:v>64.5</c:v>
                </c:pt>
                <c:pt idx="10">
                  <c:v>65</c:v>
                </c:pt>
                <c:pt idx="11">
                  <c:v>65.5</c:v>
                </c:pt>
                <c:pt idx="12">
                  <c:v>66</c:v>
                </c:pt>
                <c:pt idx="13">
                  <c:v>66.5</c:v>
                </c:pt>
                <c:pt idx="14">
                  <c:v>67</c:v>
                </c:pt>
                <c:pt idx="15">
                  <c:v>67.5</c:v>
                </c:pt>
                <c:pt idx="16">
                  <c:v>68</c:v>
                </c:pt>
                <c:pt idx="17">
                  <c:v>68.5</c:v>
                </c:pt>
                <c:pt idx="18">
                  <c:v>69</c:v>
                </c:pt>
                <c:pt idx="19">
                  <c:v>69.5</c:v>
                </c:pt>
                <c:pt idx="20">
                  <c:v>70</c:v>
                </c:pt>
                <c:pt idx="21">
                  <c:v>70.5</c:v>
                </c:pt>
                <c:pt idx="22">
                  <c:v>71</c:v>
                </c:pt>
                <c:pt idx="23">
                  <c:v>71.5</c:v>
                </c:pt>
                <c:pt idx="24">
                  <c:v>72</c:v>
                </c:pt>
              </c:strCache>
            </c:strRef>
          </c:cat>
          <c:val>
            <c:numRef>
              <c:f>Results!$G$124:$G$148</c:f>
              <c:numCache>
                <c:formatCode>#,##0.00</c:formatCode>
                <c:ptCount val="25"/>
                <c:pt idx="0">
                  <c:v>0.8</c:v>
                </c:pt>
                <c:pt idx="1">
                  <c:v>0.8</c:v>
                </c:pt>
                <c:pt idx="2">
                  <c:v>0.8</c:v>
                </c:pt>
                <c:pt idx="3">
                  <c:v>0.8</c:v>
                </c:pt>
                <c:pt idx="4">
                  <c:v>0.8</c:v>
                </c:pt>
                <c:pt idx="5">
                  <c:v>0.8</c:v>
                </c:pt>
                <c:pt idx="6">
                  <c:v>0.8</c:v>
                </c:pt>
                <c:pt idx="7">
                  <c:v>0.8</c:v>
                </c:pt>
                <c:pt idx="8">
                  <c:v>0.8</c:v>
                </c:pt>
                <c:pt idx="9">
                  <c:v>0.8</c:v>
                </c:pt>
                <c:pt idx="10">
                  <c:v>0.8</c:v>
                </c:pt>
                <c:pt idx="11">
                  <c:v>0.8</c:v>
                </c:pt>
                <c:pt idx="12">
                  <c:v>0.8</c:v>
                </c:pt>
                <c:pt idx="13">
                  <c:v>0.8</c:v>
                </c:pt>
                <c:pt idx="14">
                  <c:v>0.8</c:v>
                </c:pt>
                <c:pt idx="15">
                  <c:v>0.8</c:v>
                </c:pt>
                <c:pt idx="16">
                  <c:v>0.8</c:v>
                </c:pt>
                <c:pt idx="17">
                  <c:v>0.8</c:v>
                </c:pt>
                <c:pt idx="18">
                  <c:v>0.8</c:v>
                </c:pt>
                <c:pt idx="19">
                  <c:v>0.8</c:v>
                </c:pt>
                <c:pt idx="20">
                  <c:v>0.8</c:v>
                </c:pt>
                <c:pt idx="21">
                  <c:v>0.8</c:v>
                </c:pt>
                <c:pt idx="22">
                  <c:v>0.8</c:v>
                </c:pt>
                <c:pt idx="23">
                  <c:v>0.8</c:v>
                </c:pt>
                <c:pt idx="24">
                  <c:v>0.8</c:v>
                </c:pt>
              </c:numCache>
            </c:numRef>
          </c:val>
          <c:smooth val="0"/>
          <c:extLst>
            <c:ext xmlns:c16="http://schemas.microsoft.com/office/drawing/2014/chart" uri="{C3380CC4-5D6E-409C-BE32-E72D297353CC}">
              <c16:uniqueId val="{00000004-7213-4D00-91A0-2BCBA456E492}"/>
            </c:ext>
          </c:extLst>
        </c:ser>
        <c:ser>
          <c:idx val="5"/>
          <c:order val="5"/>
          <c:tx>
            <c:v>Safety limit</c:v>
          </c:tx>
          <c:spPr>
            <a:ln w="22225">
              <a:solidFill>
                <a:srgbClr val="15803D"/>
              </a:solidFill>
              <a:prstDash val="sysDash"/>
            </a:ln>
          </c:spPr>
          <c:marker>
            <c:symbol val="none"/>
          </c:marker>
          <c:cat>
            <c:strRef>
              <c:f>Results!$B$124:$B$148</c:f>
              <c:strCache>
                <c:ptCount val="25"/>
                <c:pt idx="0">
                  <c:v>60</c:v>
                </c:pt>
                <c:pt idx="1">
                  <c:v>60.5</c:v>
                </c:pt>
                <c:pt idx="2">
                  <c:v>61</c:v>
                </c:pt>
                <c:pt idx="3">
                  <c:v>61.5</c:v>
                </c:pt>
                <c:pt idx="4">
                  <c:v>62</c:v>
                </c:pt>
                <c:pt idx="5">
                  <c:v>62.5</c:v>
                </c:pt>
                <c:pt idx="6">
                  <c:v>63</c:v>
                </c:pt>
                <c:pt idx="7">
                  <c:v>63.5</c:v>
                </c:pt>
                <c:pt idx="8">
                  <c:v>64</c:v>
                </c:pt>
                <c:pt idx="9">
                  <c:v>64.5</c:v>
                </c:pt>
                <c:pt idx="10">
                  <c:v>65</c:v>
                </c:pt>
                <c:pt idx="11">
                  <c:v>65.5</c:v>
                </c:pt>
                <c:pt idx="12">
                  <c:v>66</c:v>
                </c:pt>
                <c:pt idx="13">
                  <c:v>66.5</c:v>
                </c:pt>
                <c:pt idx="14">
                  <c:v>67</c:v>
                </c:pt>
                <c:pt idx="15">
                  <c:v>67.5</c:v>
                </c:pt>
                <c:pt idx="16">
                  <c:v>68</c:v>
                </c:pt>
                <c:pt idx="17">
                  <c:v>68.5</c:v>
                </c:pt>
                <c:pt idx="18">
                  <c:v>69</c:v>
                </c:pt>
                <c:pt idx="19">
                  <c:v>69.5</c:v>
                </c:pt>
                <c:pt idx="20">
                  <c:v>70</c:v>
                </c:pt>
                <c:pt idx="21">
                  <c:v>70.5</c:v>
                </c:pt>
                <c:pt idx="22">
                  <c:v>71</c:v>
                </c:pt>
                <c:pt idx="23">
                  <c:v>71.5</c:v>
                </c:pt>
                <c:pt idx="24">
                  <c:v>72</c:v>
                </c:pt>
              </c:strCache>
            </c:strRef>
          </c:cat>
          <c:val>
            <c:numRef>
              <c:f>Results!$H$124:$H$148</c:f>
              <c:numCache>
                <c:formatCode>#,##0.00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05-7213-4D00-91A0-2BCBA456E49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4"/>
        <c:tickMark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mg / L</a:t>
                </a:r>
              </a:p>
            </c:rich>
          </c:tx>
          <c:overlay val="0"/>
        </c:title>
        <c:numFmt formatCode="0.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Regimen 1</c:v>
          </c:tx>
          <c:spPr>
            <a:ln w="25400">
              <a:solidFill>
                <a:srgbClr val="0E4F92"/>
              </a:solidFill>
              <a:prstDash val="solid"/>
            </a:ln>
          </c:spPr>
          <c:marker>
            <c:symbol val="none"/>
          </c:marker>
          <c:xVal>
            <c:numRef>
              <c:f>Results!$D$66:$D$114</c:f>
              <c:numCache>
                <c:formatCode>#,##0.00</c:formatCode>
                <c:ptCount val="49"/>
                <c:pt idx="0">
                  <c:v>8.3165459708153394E-2</c:v>
                </c:pt>
                <c:pt idx="1">
                  <c:v>0.14536770007154426</c:v>
                </c:pt>
                <c:pt idx="2">
                  <c:v>0.19405966535011948</c:v>
                </c:pt>
                <c:pt idx="3">
                  <c:v>0.23302219487001893</c:v>
                </c:pt>
                <c:pt idx="4">
                  <c:v>0.26853480422125092</c:v>
                </c:pt>
                <c:pt idx="5">
                  <c:v>0.3010649408997263</c:v>
                </c:pt>
                <c:pt idx="6">
                  <c:v>0.33030673487837137</c:v>
                </c:pt>
                <c:pt idx="7">
                  <c:v>0.35926165677933053</c:v>
                </c:pt>
                <c:pt idx="8">
                  <c:v>0.38728616878116828</c:v>
                </c:pt>
                <c:pt idx="9">
                  <c:v>0.41116237487113111</c:v>
                </c:pt>
                <c:pt idx="10">
                  <c:v>0.43508747587099883</c:v>
                </c:pt>
                <c:pt idx="11">
                  <c:v>0.46064971362858614</c:v>
                </c:pt>
                <c:pt idx="12">
                  <c:v>0.48129788465450535</c:v>
                </c:pt>
                <c:pt idx="13">
                  <c:v>0.50619464188567198</c:v>
                </c:pt>
                <c:pt idx="14">
                  <c:v>0.52785362555579252</c:v>
                </c:pt>
                <c:pt idx="15">
                  <c:v>0.54934508430338769</c:v>
                </c:pt>
                <c:pt idx="16">
                  <c:v>0.57085496058827967</c:v>
                </c:pt>
                <c:pt idx="17">
                  <c:v>0.59399824528016543</c:v>
                </c:pt>
                <c:pt idx="18">
                  <c:v>0.61883386388541683</c:v>
                </c:pt>
                <c:pt idx="19">
                  <c:v>0.64414483344234419</c:v>
                </c:pt>
                <c:pt idx="20">
                  <c:v>0.66703783965597152</c:v>
                </c:pt>
                <c:pt idx="21">
                  <c:v>0.69246949278762349</c:v>
                </c:pt>
                <c:pt idx="22">
                  <c:v>0.71635319905421668</c:v>
                </c:pt>
                <c:pt idx="23">
                  <c:v>0.74139196608870062</c:v>
                </c:pt>
                <c:pt idx="24">
                  <c:v>0.76560107312731451</c:v>
                </c:pt>
                <c:pt idx="25">
                  <c:v>0.79106039964157415</c:v>
                </c:pt>
                <c:pt idx="26">
                  <c:v>0.81965666014946836</c:v>
                </c:pt>
                <c:pt idx="27">
                  <c:v>0.84866327994253221</c:v>
                </c:pt>
                <c:pt idx="28">
                  <c:v>0.87452761295257953</c:v>
                </c:pt>
                <c:pt idx="29">
                  <c:v>0.90371161938379641</c:v>
                </c:pt>
                <c:pt idx="30">
                  <c:v>0.93032097956115445</c:v>
                </c:pt>
                <c:pt idx="31">
                  <c:v>0.95839957427694167</c:v>
                </c:pt>
                <c:pt idx="32">
                  <c:v>0.98843060253976311</c:v>
                </c:pt>
                <c:pt idx="33">
                  <c:v>1.0230207760868215</c:v>
                </c:pt>
                <c:pt idx="34">
                  <c:v>1.059792501645513</c:v>
                </c:pt>
                <c:pt idx="35">
                  <c:v>1.0964758078456776</c:v>
                </c:pt>
                <c:pt idx="36">
                  <c:v>1.1337673925729201</c:v>
                </c:pt>
                <c:pt idx="37">
                  <c:v>1.1699898520813898</c:v>
                </c:pt>
                <c:pt idx="38">
                  <c:v>1.2176664779709203</c:v>
                </c:pt>
                <c:pt idx="39">
                  <c:v>1.2620046291998173</c:v>
                </c:pt>
                <c:pt idx="40">
                  <c:v>1.3182841954308731</c:v>
                </c:pt>
                <c:pt idx="41">
                  <c:v>1.368510839778345</c:v>
                </c:pt>
                <c:pt idx="42">
                  <c:v>1.4295561877588607</c:v>
                </c:pt>
                <c:pt idx="43">
                  <c:v>1.4982251296252105</c:v>
                </c:pt>
                <c:pt idx="44">
                  <c:v>1.5824328372985283</c:v>
                </c:pt>
                <c:pt idx="45">
                  <c:v>1.6825267744437467</c:v>
                </c:pt>
                <c:pt idx="46">
                  <c:v>1.799266221773917</c:v>
                </c:pt>
                <c:pt idx="47">
                  <c:v>1.9458791923983254</c:v>
                </c:pt>
                <c:pt idx="48">
                  <c:v>2.1640608453834314</c:v>
                </c:pt>
              </c:numCache>
            </c:numRef>
          </c:xVal>
          <c:yVal>
            <c:numRef>
              <c:f>Results!$B$66:$B$114</c:f>
              <c:numCache>
                <c:formatCode>0%</c:formatCode>
                <c:ptCount val="49"/>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numCache>
            </c:numRef>
          </c:yVal>
          <c:smooth val="1"/>
          <c:extLst>
            <c:ext xmlns:c16="http://schemas.microsoft.com/office/drawing/2014/chart" uri="{C3380CC4-5D6E-409C-BE32-E72D297353CC}">
              <c16:uniqueId val="{00000000-7FFA-4928-9EFD-14C5FDBAA5C0}"/>
            </c:ext>
          </c:extLst>
        </c:ser>
        <c:ser>
          <c:idx val="1"/>
          <c:order val="1"/>
          <c:tx>
            <c:v>Regimen 2</c:v>
          </c:tx>
          <c:spPr>
            <a:ln w="25400">
              <a:solidFill>
                <a:srgbClr val="B45309"/>
              </a:solidFill>
              <a:prstDash val="dash"/>
            </a:ln>
          </c:spPr>
          <c:marker>
            <c:symbol val="none"/>
          </c:marker>
          <c:xVal>
            <c:numRef>
              <c:f>Results!$E$66:$E$114</c:f>
              <c:numCache>
                <c:formatCode>#,##0.00</c:formatCode>
                <c:ptCount val="49"/>
                <c:pt idx="0">
                  <c:v>0.12474818956223079</c:v>
                </c:pt>
                <c:pt idx="1">
                  <c:v>0.21805155010731589</c:v>
                </c:pt>
                <c:pt idx="2">
                  <c:v>0.29108949802518064</c:v>
                </c:pt>
                <c:pt idx="3">
                  <c:v>0.34953329230502694</c:v>
                </c:pt>
                <c:pt idx="4">
                  <c:v>0.40280220633187669</c:v>
                </c:pt>
                <c:pt idx="5">
                  <c:v>0.45159741134959108</c:v>
                </c:pt>
                <c:pt idx="6">
                  <c:v>0.4954601023175581</c:v>
                </c:pt>
                <c:pt idx="7">
                  <c:v>0.53889248516899479</c:v>
                </c:pt>
                <c:pt idx="8">
                  <c:v>0.58092925317175459</c:v>
                </c:pt>
                <c:pt idx="9">
                  <c:v>0.61674356230669669</c:v>
                </c:pt>
                <c:pt idx="10">
                  <c:v>0.65263121380649636</c:v>
                </c:pt>
                <c:pt idx="11">
                  <c:v>0.6909745704428768</c:v>
                </c:pt>
                <c:pt idx="12">
                  <c:v>0.72194682698176027</c:v>
                </c:pt>
                <c:pt idx="13">
                  <c:v>0.75929196282850764</c:v>
                </c:pt>
                <c:pt idx="14">
                  <c:v>0.79178043833368994</c:v>
                </c:pt>
                <c:pt idx="15">
                  <c:v>0.82401762645508159</c:v>
                </c:pt>
                <c:pt idx="16">
                  <c:v>0.85628244088242045</c:v>
                </c:pt>
                <c:pt idx="17">
                  <c:v>0.89099736792025142</c:v>
                </c:pt>
                <c:pt idx="18">
                  <c:v>0.92825079582812653</c:v>
                </c:pt>
                <c:pt idx="19">
                  <c:v>0.966217250163521</c:v>
                </c:pt>
                <c:pt idx="20">
                  <c:v>1.0005567594839522</c:v>
                </c:pt>
                <c:pt idx="21">
                  <c:v>1.0387042391814374</c:v>
                </c:pt>
                <c:pt idx="22">
                  <c:v>1.0745297985813287</c:v>
                </c:pt>
                <c:pt idx="23">
                  <c:v>1.1120879491330438</c:v>
                </c:pt>
                <c:pt idx="24">
                  <c:v>1.1484016096909744</c:v>
                </c:pt>
                <c:pt idx="25">
                  <c:v>1.1865905994623669</c:v>
                </c:pt>
                <c:pt idx="26">
                  <c:v>1.2294849902242009</c:v>
                </c:pt>
                <c:pt idx="27">
                  <c:v>1.2729949199138</c:v>
                </c:pt>
                <c:pt idx="28">
                  <c:v>1.3117914194288645</c:v>
                </c:pt>
                <c:pt idx="29">
                  <c:v>1.3555674290757023</c:v>
                </c:pt>
                <c:pt idx="30">
                  <c:v>1.3954814693417295</c:v>
                </c:pt>
                <c:pt idx="31">
                  <c:v>1.437599361415417</c:v>
                </c:pt>
                <c:pt idx="32">
                  <c:v>1.4826459038096433</c:v>
                </c:pt>
                <c:pt idx="33">
                  <c:v>1.5345311641302313</c:v>
                </c:pt>
                <c:pt idx="34">
                  <c:v>1.5896887524682572</c:v>
                </c:pt>
                <c:pt idx="35">
                  <c:v>1.64471371176853</c:v>
                </c:pt>
                <c:pt idx="36">
                  <c:v>1.7006510888593895</c:v>
                </c:pt>
                <c:pt idx="37">
                  <c:v>1.7549847781220906</c:v>
                </c:pt>
                <c:pt idx="38">
                  <c:v>1.8264997169563735</c:v>
                </c:pt>
                <c:pt idx="39">
                  <c:v>1.8930069437997301</c:v>
                </c:pt>
                <c:pt idx="40">
                  <c:v>1.9774262931462987</c:v>
                </c:pt>
                <c:pt idx="41">
                  <c:v>2.0527662596675258</c:v>
                </c:pt>
                <c:pt idx="42">
                  <c:v>2.1443342816382933</c:v>
                </c:pt>
                <c:pt idx="43">
                  <c:v>2.2473376944378152</c:v>
                </c:pt>
                <c:pt idx="44">
                  <c:v>2.3736492559478033</c:v>
                </c:pt>
                <c:pt idx="45">
                  <c:v>2.5237901616656058</c:v>
                </c:pt>
                <c:pt idx="46">
                  <c:v>2.6988993326608792</c:v>
                </c:pt>
                <c:pt idx="47">
                  <c:v>2.9188187885974819</c:v>
                </c:pt>
                <c:pt idx="48">
                  <c:v>3.2460912680751579</c:v>
                </c:pt>
              </c:numCache>
            </c:numRef>
          </c:xVal>
          <c:yVal>
            <c:numRef>
              <c:f>Results!$B$66:$B$114</c:f>
              <c:numCache>
                <c:formatCode>0%</c:formatCode>
                <c:ptCount val="49"/>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numCache>
            </c:numRef>
          </c:yVal>
          <c:smooth val="1"/>
          <c:extLst>
            <c:ext xmlns:c16="http://schemas.microsoft.com/office/drawing/2014/chart" uri="{C3380CC4-5D6E-409C-BE32-E72D297353CC}">
              <c16:uniqueId val="{00000001-7FFA-4928-9EFD-14C5FDBAA5C0}"/>
            </c:ext>
          </c:extLst>
        </c:ser>
        <c:ser>
          <c:idx val="2"/>
          <c:order val="2"/>
          <c:tx>
            <c:v>Regimen 3</c:v>
          </c:tx>
          <c:spPr>
            <a:ln w="25400">
              <a:solidFill>
                <a:srgbClr val="15803D"/>
              </a:solidFill>
              <a:prstDash val="solid"/>
            </a:ln>
          </c:spPr>
          <c:marker>
            <c:symbol val="none"/>
          </c:marker>
          <c:xVal>
            <c:numRef>
              <c:f>Results!$F$66:$F$114</c:f>
              <c:numCache>
                <c:formatCode>#,##0.00</c:formatCode>
                <c:ptCount val="49"/>
                <c:pt idx="0">
                  <c:v>0.16633091941630679</c:v>
                </c:pt>
                <c:pt idx="1">
                  <c:v>0.29073540014308852</c:v>
                </c:pt>
                <c:pt idx="2">
                  <c:v>0.38811933070023896</c:v>
                </c:pt>
                <c:pt idx="3">
                  <c:v>0.46604438974003787</c:v>
                </c:pt>
                <c:pt idx="4">
                  <c:v>0.53706960844250184</c:v>
                </c:pt>
                <c:pt idx="5">
                  <c:v>0.60212988179945259</c:v>
                </c:pt>
                <c:pt idx="6">
                  <c:v>0.66061346975674273</c:v>
                </c:pt>
                <c:pt idx="7">
                  <c:v>0.71852331355866106</c:v>
                </c:pt>
                <c:pt idx="8">
                  <c:v>0.77457233756233657</c:v>
                </c:pt>
                <c:pt idx="9">
                  <c:v>0.82232474974226222</c:v>
                </c:pt>
                <c:pt idx="10">
                  <c:v>0.87017495174199766</c:v>
                </c:pt>
                <c:pt idx="11">
                  <c:v>0.92129942725717229</c:v>
                </c:pt>
                <c:pt idx="12">
                  <c:v>0.9625957693090107</c:v>
                </c:pt>
                <c:pt idx="13">
                  <c:v>1.012389283771344</c:v>
                </c:pt>
                <c:pt idx="14">
                  <c:v>1.055707251111585</c:v>
                </c:pt>
                <c:pt idx="15">
                  <c:v>1.0986901686067754</c:v>
                </c:pt>
                <c:pt idx="16">
                  <c:v>1.1417099211765593</c:v>
                </c:pt>
                <c:pt idx="17">
                  <c:v>1.1879964905603309</c:v>
                </c:pt>
                <c:pt idx="18">
                  <c:v>1.2376677277708337</c:v>
                </c:pt>
                <c:pt idx="19">
                  <c:v>1.2882896668846884</c:v>
                </c:pt>
                <c:pt idx="20">
                  <c:v>1.334075679311943</c:v>
                </c:pt>
                <c:pt idx="21">
                  <c:v>1.384938985575247</c:v>
                </c:pt>
                <c:pt idx="22">
                  <c:v>1.4327063981084334</c:v>
                </c:pt>
                <c:pt idx="23">
                  <c:v>1.4827839321774012</c:v>
                </c:pt>
                <c:pt idx="24">
                  <c:v>1.531202146254629</c:v>
                </c:pt>
                <c:pt idx="25">
                  <c:v>1.5821207992831483</c:v>
                </c:pt>
                <c:pt idx="26">
                  <c:v>1.6393133202989367</c:v>
                </c:pt>
                <c:pt idx="27">
                  <c:v>1.6973265598850644</c:v>
                </c:pt>
                <c:pt idx="28">
                  <c:v>1.7490552259051591</c:v>
                </c:pt>
                <c:pt idx="29">
                  <c:v>1.8074232387675928</c:v>
                </c:pt>
                <c:pt idx="30">
                  <c:v>1.8606419591223089</c:v>
                </c:pt>
                <c:pt idx="31">
                  <c:v>1.9167991485538833</c:v>
                </c:pt>
                <c:pt idx="32">
                  <c:v>1.9768612050795262</c:v>
                </c:pt>
                <c:pt idx="33">
                  <c:v>2.046041552173643</c:v>
                </c:pt>
                <c:pt idx="34">
                  <c:v>2.1195850032910259</c:v>
                </c:pt>
                <c:pt idx="35">
                  <c:v>2.1929516156913551</c:v>
                </c:pt>
                <c:pt idx="36">
                  <c:v>2.2675347851458403</c:v>
                </c:pt>
                <c:pt idx="37">
                  <c:v>2.3399797041627797</c:v>
                </c:pt>
                <c:pt idx="38">
                  <c:v>2.4353329559418406</c:v>
                </c:pt>
                <c:pt idx="39">
                  <c:v>2.5240092583996345</c:v>
                </c:pt>
                <c:pt idx="40">
                  <c:v>2.6365683908617461</c:v>
                </c:pt>
                <c:pt idx="41">
                  <c:v>2.73702167955669</c:v>
                </c:pt>
                <c:pt idx="42">
                  <c:v>2.8591123755177215</c:v>
                </c:pt>
                <c:pt idx="43">
                  <c:v>2.996450259250421</c:v>
                </c:pt>
                <c:pt idx="44">
                  <c:v>3.1648656745970567</c:v>
                </c:pt>
                <c:pt idx="45">
                  <c:v>3.3650535488874933</c:v>
                </c:pt>
                <c:pt idx="46">
                  <c:v>3.5985324435478341</c:v>
                </c:pt>
                <c:pt idx="47">
                  <c:v>3.8917583847966508</c:v>
                </c:pt>
                <c:pt idx="48">
                  <c:v>4.3281216907668627</c:v>
                </c:pt>
              </c:numCache>
            </c:numRef>
          </c:xVal>
          <c:yVal>
            <c:numRef>
              <c:f>Results!$B$66:$B$114</c:f>
              <c:numCache>
                <c:formatCode>0%</c:formatCode>
                <c:ptCount val="49"/>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numCache>
            </c:numRef>
          </c:yVal>
          <c:smooth val="1"/>
          <c:extLst>
            <c:ext xmlns:c16="http://schemas.microsoft.com/office/drawing/2014/chart" uri="{C3380CC4-5D6E-409C-BE32-E72D297353CC}">
              <c16:uniqueId val="{00000002-7FFA-4928-9EFD-14C5FDBAA5C0}"/>
            </c:ext>
          </c:extLst>
        </c:ser>
        <c:ser>
          <c:idx val="3"/>
          <c:order val="3"/>
          <c:tx>
            <c:v>Regimen 4</c:v>
          </c:tx>
          <c:spPr>
            <a:ln w="25400">
              <a:solidFill>
                <a:srgbClr val="B91C1C"/>
              </a:solidFill>
              <a:prstDash val="solid"/>
            </a:ln>
          </c:spPr>
          <c:marker>
            <c:symbol val="none"/>
          </c:marker>
          <c:xVal>
            <c:numRef>
              <c:f>Results!$G$66:$G$114</c:f>
              <c:numCache>
                <c:formatCode>#,##0.00</c:formatCode>
                <c:ptCount val="49"/>
                <c:pt idx="0">
                  <c:v>0.2766866740638691</c:v>
                </c:pt>
                <c:pt idx="1">
                  <c:v>0.4148830949166305</c:v>
                </c:pt>
                <c:pt idx="2">
                  <c:v>0.50543658869847585</c:v>
                </c:pt>
                <c:pt idx="3">
                  <c:v>0.57944398029875177</c:v>
                </c:pt>
                <c:pt idx="4">
                  <c:v>0.64004352275946108</c:v>
                </c:pt>
                <c:pt idx="5">
                  <c:v>0.6975062030666116</c:v>
                </c:pt>
                <c:pt idx="6">
                  <c:v>0.75267837916462332</c:v>
                </c:pt>
                <c:pt idx="7">
                  <c:v>0.79706180983924257</c:v>
                </c:pt>
                <c:pt idx="8">
                  <c:v>0.83844094802274893</c:v>
                </c:pt>
                <c:pt idx="9">
                  <c:v>0.88101036216328843</c:v>
                </c:pt>
                <c:pt idx="10">
                  <c:v>0.91992398479220949</c:v>
                </c:pt>
                <c:pt idx="11">
                  <c:v>0.95992526573494918</c:v>
                </c:pt>
                <c:pt idx="12">
                  <c:v>0.99569814434180881</c:v>
                </c:pt>
                <c:pt idx="13">
                  <c:v>1.0392675967503142</c:v>
                </c:pt>
                <c:pt idx="14">
                  <c:v>1.0735320928550793</c:v>
                </c:pt>
                <c:pt idx="15">
                  <c:v>1.1105642867800298</c:v>
                </c:pt>
                <c:pt idx="16">
                  <c:v>1.1411971292781842</c:v>
                </c:pt>
                <c:pt idx="17">
                  <c:v>1.1765026186252765</c:v>
                </c:pt>
                <c:pt idx="18">
                  <c:v>1.2151801321518843</c:v>
                </c:pt>
                <c:pt idx="19">
                  <c:v>1.2532640335068603</c:v>
                </c:pt>
                <c:pt idx="20">
                  <c:v>1.2918534760161648</c:v>
                </c:pt>
                <c:pt idx="21">
                  <c:v>1.3269246495775033</c:v>
                </c:pt>
                <c:pt idx="22">
                  <c:v>1.3654731890900986</c:v>
                </c:pt>
                <c:pt idx="23">
                  <c:v>1.4112975488682331</c:v>
                </c:pt>
                <c:pt idx="24">
                  <c:v>1.4490714211845612</c:v>
                </c:pt>
                <c:pt idx="25">
                  <c:v>1.4938876207778728</c:v>
                </c:pt>
                <c:pt idx="26">
                  <c:v>1.5312304757827508</c:v>
                </c:pt>
                <c:pt idx="27">
                  <c:v>1.5720811478585943</c:v>
                </c:pt>
                <c:pt idx="28">
                  <c:v>1.6148459264961921</c:v>
                </c:pt>
                <c:pt idx="29">
                  <c:v>1.6583025805846032</c:v>
                </c:pt>
                <c:pt idx="30">
                  <c:v>1.6991183212398306</c:v>
                </c:pt>
                <c:pt idx="31">
                  <c:v>1.7471295793903403</c:v>
                </c:pt>
                <c:pt idx="32">
                  <c:v>1.7939305009329973</c:v>
                </c:pt>
                <c:pt idx="33">
                  <c:v>1.8417196253713519</c:v>
                </c:pt>
                <c:pt idx="34">
                  <c:v>1.9019798221350797</c:v>
                </c:pt>
                <c:pt idx="35">
                  <c:v>1.9572412372009487</c:v>
                </c:pt>
                <c:pt idx="36">
                  <c:v>2.0126288965339918</c:v>
                </c:pt>
                <c:pt idx="37">
                  <c:v>2.0738725377087071</c:v>
                </c:pt>
                <c:pt idx="38">
                  <c:v>2.1397816330926278</c:v>
                </c:pt>
                <c:pt idx="39">
                  <c:v>2.2162846611488742</c:v>
                </c:pt>
                <c:pt idx="40">
                  <c:v>2.2923760854780837</c:v>
                </c:pt>
                <c:pt idx="41">
                  <c:v>2.3697571807729827</c:v>
                </c:pt>
                <c:pt idx="42">
                  <c:v>2.4643570099968675</c:v>
                </c:pt>
                <c:pt idx="43">
                  <c:v>2.5693507946341909</c:v>
                </c:pt>
                <c:pt idx="44">
                  <c:v>2.7018649072852319</c:v>
                </c:pt>
                <c:pt idx="45">
                  <c:v>2.8448418338267585</c:v>
                </c:pt>
                <c:pt idx="46">
                  <c:v>3.0179625576493816</c:v>
                </c:pt>
                <c:pt idx="47">
                  <c:v>3.2364405687693942</c:v>
                </c:pt>
                <c:pt idx="48">
                  <c:v>3.5673158334126027</c:v>
                </c:pt>
              </c:numCache>
            </c:numRef>
          </c:xVal>
          <c:yVal>
            <c:numRef>
              <c:f>Results!$B$66:$B$114</c:f>
              <c:numCache>
                <c:formatCode>0%</c:formatCode>
                <c:ptCount val="49"/>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numCache>
            </c:numRef>
          </c:yVal>
          <c:smooth val="1"/>
          <c:extLst>
            <c:ext xmlns:c16="http://schemas.microsoft.com/office/drawing/2014/chart" uri="{C3380CC4-5D6E-409C-BE32-E72D297353CC}">
              <c16:uniqueId val="{00000003-7FFA-4928-9EFD-14C5FDBAA5C0}"/>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mg / L</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Results!$B$119:$B$121</c:f>
              <c:strCache>
                <c:ptCount val="3"/>
                <c:pt idx="0">
                  <c:v>Clearance variation</c:v>
                </c:pt>
                <c:pt idx="1">
                  <c:v>Volume of distribution variation</c:v>
                </c:pt>
                <c:pt idx="2">
                  <c:v>Absorption rate constant variation</c:v>
                </c:pt>
              </c:strCache>
            </c:strRef>
          </c:cat>
          <c:val>
            <c:numRef>
              <c:f>Results!$F$119:$F$121</c:f>
              <c:numCache>
                <c:formatCode>#,##0.00_);\(#,##0.00\);"–"_)</c:formatCode>
                <c:ptCount val="3"/>
                <c:pt idx="0">
                  <c:v>1.7410705118796659</c:v>
                </c:pt>
                <c:pt idx="1">
                  <c:v>0.25713516504049516</c:v>
                </c:pt>
                <c:pt idx="2">
                  <c:v>0.14382373025525941</c:v>
                </c:pt>
              </c:numCache>
            </c:numRef>
          </c:val>
          <c:extLst>
            <c:ext xmlns:c16="http://schemas.microsoft.com/office/drawing/2014/chart" uri="{C3380CC4-5D6E-409C-BE32-E72D297353CC}">
              <c16:uniqueId val="{00000000-AD2B-48C5-A60A-24E7C2B146FE}"/>
            </c:ext>
          </c:extLst>
        </c:ser>
        <c:ser>
          <c:idx val="1"/>
          <c:order val="1"/>
          <c:tx>
            <c:v>Lowest group mean</c:v>
          </c:tx>
          <c:spPr>
            <a:solidFill>
              <a:srgbClr val="B91C1C"/>
            </a:solidFill>
            <a:ln>
              <a:noFill/>
              <a:prstDash val="solid"/>
            </a:ln>
          </c:spPr>
          <c:invertIfNegative val="0"/>
          <c:cat>
            <c:strRef>
              <c:f>Results!$B$119:$B$121</c:f>
              <c:strCache>
                <c:ptCount val="3"/>
                <c:pt idx="0">
                  <c:v>Clearance variation</c:v>
                </c:pt>
                <c:pt idx="1">
                  <c:v>Volume of distribution variation</c:v>
                </c:pt>
                <c:pt idx="2">
                  <c:v>Absorption rate constant variation</c:v>
                </c:pt>
              </c:strCache>
            </c:strRef>
          </c:cat>
          <c:val>
            <c:numRef>
              <c:f>Results!$G$119:$G$121</c:f>
              <c:numCache>
                <c:formatCode>#,##0.00_);\(#,##0.00\);"–"_)</c:formatCode>
                <c:ptCount val="3"/>
                <c:pt idx="0">
                  <c:v>-1.0101481397522916</c:v>
                </c:pt>
                <c:pt idx="1">
                  <c:v>-0.26703814022224681</c:v>
                </c:pt>
                <c:pt idx="2">
                  <c:v>-5.2407817721609407E-2</c:v>
                </c:pt>
              </c:numCache>
            </c:numRef>
          </c:val>
          <c:extLst>
            <c:ext xmlns:c16="http://schemas.microsoft.com/office/drawing/2014/chart" uri="{C3380CC4-5D6E-409C-BE32-E72D297353CC}">
              <c16:uniqueId val="{00000001-AD2B-48C5-A60A-24E7C2B146FE}"/>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41</xdr:row>
      <xdr:rowOff>0</xdr:rowOff>
    </xdr:from>
    <xdr:ext cx="6263999" cy="216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5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82" t="s">
        <v>20</v>
      </c>
      <c r="C16" s="8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ht="26.25"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ht="26.25"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ht="39.4"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ht="26.25" x14ac:dyDescent="0.45">
      <c r="B71" s="9" t="s">
        <v>88</v>
      </c>
      <c r="C71" s="10" t="s">
        <v>89</v>
      </c>
    </row>
    <row r="72" spans="2:3" ht="16.05" customHeight="1" x14ac:dyDescent="0.45"/>
    <row r="73" spans="2:3" x14ac:dyDescent="0.45">
      <c r="B73" s="84" t="s">
        <v>90</v>
      </c>
      <c r="C73" s="83"/>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Patient'!A1" display="Patient"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3"/>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20" customHeight="1" x14ac:dyDescent="0.45">
      <c r="B6" s="85" t="s">
        <v>94</v>
      </c>
      <c r="C6" s="83"/>
      <c r="D6" s="83"/>
      <c r="E6" s="83"/>
      <c r="F6" s="83"/>
      <c r="G6" s="83"/>
      <c r="H6" s="83"/>
      <c r="I6" s="83"/>
      <c r="J6" s="83"/>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5"/>
      <c r="G10" s="5"/>
      <c r="H10" s="5"/>
      <c r="I10" s="5"/>
      <c r="J10" s="23" t="s">
        <v>101</v>
      </c>
    </row>
    <row r="11" spans="1:10" x14ac:dyDescent="0.45">
      <c r="B11" s="25" t="s">
        <v>102</v>
      </c>
      <c r="C11" s="26" t="s">
        <v>103</v>
      </c>
      <c r="D11" s="27">
        <v>5</v>
      </c>
      <c r="E11" s="26" t="s">
        <v>104</v>
      </c>
      <c r="F11" s="28"/>
      <c r="G11" s="28"/>
      <c r="H11" s="28"/>
      <c r="I11" s="28"/>
      <c r="J11" s="29"/>
    </row>
    <row r="12" spans="1:10" x14ac:dyDescent="0.45">
      <c r="B12" s="25" t="s">
        <v>105</v>
      </c>
      <c r="C12" s="26" t="s">
        <v>106</v>
      </c>
      <c r="D12" s="30">
        <v>0.4</v>
      </c>
      <c r="E12" s="26" t="s">
        <v>104</v>
      </c>
      <c r="F12" s="28"/>
      <c r="G12" s="28"/>
      <c r="H12" s="28"/>
      <c r="I12" s="28"/>
      <c r="J12" s="29" t="s">
        <v>107</v>
      </c>
    </row>
    <row r="13" spans="1:10" x14ac:dyDescent="0.45">
      <c r="B13" s="25" t="s">
        <v>108</v>
      </c>
      <c r="C13" s="26" t="s">
        <v>109</v>
      </c>
      <c r="D13" s="31">
        <v>50</v>
      </c>
      <c r="E13" s="26" t="s">
        <v>104</v>
      </c>
      <c r="F13" s="28"/>
      <c r="G13" s="28"/>
      <c r="H13" s="28"/>
      <c r="I13" s="28"/>
      <c r="J13" s="29"/>
    </row>
    <row r="14" spans="1:10" x14ac:dyDescent="0.45">
      <c r="B14" s="25" t="s">
        <v>110</v>
      </c>
      <c r="C14" s="26" t="s">
        <v>106</v>
      </c>
      <c r="D14" s="30">
        <v>0.25</v>
      </c>
      <c r="E14" s="26" t="s">
        <v>104</v>
      </c>
      <c r="F14" s="28"/>
      <c r="G14" s="28"/>
      <c r="H14" s="28"/>
      <c r="I14" s="28"/>
      <c r="J14" s="29"/>
    </row>
    <row r="15" spans="1:10" x14ac:dyDescent="0.45">
      <c r="B15" s="25" t="s">
        <v>111</v>
      </c>
      <c r="C15" s="26" t="s">
        <v>112</v>
      </c>
      <c r="D15" s="32">
        <v>1</v>
      </c>
      <c r="E15" s="26" t="s">
        <v>104</v>
      </c>
      <c r="F15" s="28"/>
      <c r="G15" s="28"/>
      <c r="H15" s="28"/>
      <c r="I15" s="28"/>
      <c r="J15" s="29"/>
    </row>
    <row r="16" spans="1:10" x14ac:dyDescent="0.45">
      <c r="B16" s="25" t="s">
        <v>113</v>
      </c>
      <c r="C16" s="26" t="s">
        <v>106</v>
      </c>
      <c r="D16" s="30">
        <v>0.5</v>
      </c>
      <c r="E16" s="26" t="s">
        <v>104</v>
      </c>
      <c r="F16" s="28"/>
      <c r="G16" s="28"/>
      <c r="H16" s="28"/>
      <c r="I16" s="28"/>
      <c r="J16" s="29"/>
    </row>
    <row r="17" spans="2:10" x14ac:dyDescent="0.45">
      <c r="B17" s="25" t="s">
        <v>114</v>
      </c>
      <c r="C17" s="26" t="s">
        <v>115</v>
      </c>
      <c r="D17" s="33">
        <v>0.8</v>
      </c>
      <c r="E17" s="26" t="s">
        <v>104</v>
      </c>
      <c r="F17" s="28"/>
      <c r="G17" s="28"/>
      <c r="H17" s="28"/>
      <c r="I17" s="28"/>
      <c r="J17" s="29" t="s">
        <v>116</v>
      </c>
    </row>
    <row r="18" spans="2:10" ht="8" customHeight="1" x14ac:dyDescent="0.45"/>
    <row r="19" spans="2:10" ht="22.05" customHeight="1" x14ac:dyDescent="0.5">
      <c r="B19" s="7" t="s">
        <v>117</v>
      </c>
      <c r="C19" s="8"/>
      <c r="D19" s="8"/>
      <c r="E19" s="8"/>
      <c r="F19" s="8"/>
      <c r="G19" s="8"/>
      <c r="H19" s="8"/>
      <c r="I19" s="8"/>
      <c r="J19" s="8"/>
    </row>
    <row r="20" spans="2:10" ht="18" customHeight="1" x14ac:dyDescent="0.45">
      <c r="B20" s="23" t="s">
        <v>97</v>
      </c>
      <c r="C20" s="23" t="s">
        <v>98</v>
      </c>
      <c r="D20" s="24" t="s">
        <v>99</v>
      </c>
      <c r="E20" s="23" t="s">
        <v>100</v>
      </c>
      <c r="F20" s="5"/>
      <c r="G20" s="5"/>
      <c r="H20" s="5"/>
      <c r="I20" s="5"/>
      <c r="J20" s="23" t="s">
        <v>101</v>
      </c>
    </row>
    <row r="21" spans="2:10" x14ac:dyDescent="0.45">
      <c r="B21" s="25" t="s">
        <v>118</v>
      </c>
      <c r="C21" s="26" t="s">
        <v>119</v>
      </c>
      <c r="D21" s="32">
        <v>0.8</v>
      </c>
      <c r="E21" s="26" t="s">
        <v>104</v>
      </c>
      <c r="F21" s="28"/>
      <c r="G21" s="28"/>
      <c r="H21" s="28"/>
      <c r="I21" s="28"/>
      <c r="J21" s="29"/>
    </row>
    <row r="22" spans="2:10" x14ac:dyDescent="0.45">
      <c r="B22" s="25" t="s">
        <v>120</v>
      </c>
      <c r="C22" s="26" t="s">
        <v>119</v>
      </c>
      <c r="D22" s="32">
        <v>4</v>
      </c>
      <c r="E22" s="26" t="s">
        <v>104</v>
      </c>
      <c r="F22" s="28"/>
      <c r="G22" s="28"/>
      <c r="H22" s="28"/>
      <c r="I22" s="28"/>
      <c r="J22" s="29" t="s">
        <v>121</v>
      </c>
    </row>
    <row r="23" spans="2:10" x14ac:dyDescent="0.45">
      <c r="B23" s="25" t="s">
        <v>122</v>
      </c>
      <c r="C23" s="26" t="s">
        <v>119</v>
      </c>
      <c r="D23" s="32">
        <v>0.5</v>
      </c>
      <c r="E23" s="26" t="s">
        <v>104</v>
      </c>
      <c r="F23" s="28"/>
      <c r="G23" s="28"/>
      <c r="H23" s="28"/>
      <c r="I23" s="28"/>
      <c r="J23" s="29"/>
    </row>
    <row r="24" spans="2:10" x14ac:dyDescent="0.45">
      <c r="B24" s="25" t="s">
        <v>123</v>
      </c>
      <c r="C24" s="26" t="s">
        <v>124</v>
      </c>
      <c r="D24" s="33">
        <v>0.8</v>
      </c>
      <c r="E24" s="26" t="s">
        <v>104</v>
      </c>
      <c r="F24" s="28"/>
      <c r="G24" s="28"/>
      <c r="H24" s="28"/>
      <c r="I24" s="28"/>
      <c r="J24" s="29" t="s">
        <v>125</v>
      </c>
    </row>
    <row r="25" spans="2:10" ht="8" customHeight="1" x14ac:dyDescent="0.45"/>
    <row r="26" spans="2:10" ht="22.05" customHeight="1" x14ac:dyDescent="0.5">
      <c r="B26" s="7" t="s">
        <v>126</v>
      </c>
      <c r="C26" s="8"/>
      <c r="D26" s="8"/>
      <c r="E26" s="8"/>
      <c r="F26" s="8"/>
      <c r="G26" s="8"/>
      <c r="H26" s="8"/>
      <c r="I26" s="8"/>
      <c r="J26" s="8"/>
    </row>
    <row r="27" spans="2:10" ht="18" customHeight="1" x14ac:dyDescent="0.45">
      <c r="B27" s="13" t="s">
        <v>127</v>
      </c>
    </row>
    <row r="28" spans="2:10" ht="18" customHeight="1" x14ac:dyDescent="0.45">
      <c r="B28" s="23" t="s">
        <v>97</v>
      </c>
      <c r="C28" s="23" t="s">
        <v>98</v>
      </c>
      <c r="D28" s="24" t="s">
        <v>99</v>
      </c>
      <c r="E28" s="23" t="s">
        <v>100</v>
      </c>
      <c r="F28" s="5"/>
      <c r="G28" s="5"/>
      <c r="H28" s="5"/>
      <c r="I28" s="5"/>
      <c r="J28" s="23" t="s">
        <v>101</v>
      </c>
    </row>
    <row r="29" spans="2:10" x14ac:dyDescent="0.45">
      <c r="B29" s="25" t="s">
        <v>128</v>
      </c>
      <c r="C29" s="26" t="s">
        <v>129</v>
      </c>
      <c r="D29" s="31">
        <v>100</v>
      </c>
      <c r="E29" s="26" t="s">
        <v>104</v>
      </c>
      <c r="F29" s="28"/>
      <c r="G29" s="28"/>
      <c r="H29" s="28"/>
      <c r="I29" s="28"/>
      <c r="J29" s="29"/>
    </row>
    <row r="30" spans="2:10" x14ac:dyDescent="0.45">
      <c r="B30" s="25" t="s">
        <v>130</v>
      </c>
      <c r="C30" s="26" t="s">
        <v>131</v>
      </c>
      <c r="D30" s="31">
        <v>12</v>
      </c>
      <c r="E30" s="26" t="s">
        <v>104</v>
      </c>
      <c r="F30" s="28"/>
      <c r="G30" s="28"/>
      <c r="H30" s="28"/>
      <c r="I30" s="28"/>
      <c r="J30" s="29" t="s">
        <v>132</v>
      </c>
    </row>
    <row r="31" spans="2:10" x14ac:dyDescent="0.45">
      <c r="B31" s="25" t="s">
        <v>133</v>
      </c>
      <c r="C31" s="26" t="s">
        <v>129</v>
      </c>
      <c r="D31" s="31">
        <v>150</v>
      </c>
      <c r="E31" s="26" t="s">
        <v>104</v>
      </c>
      <c r="F31" s="28"/>
      <c r="G31" s="28"/>
      <c r="H31" s="28"/>
      <c r="I31" s="28"/>
      <c r="J31" s="29"/>
    </row>
    <row r="32" spans="2:10" x14ac:dyDescent="0.45">
      <c r="B32" s="25" t="s">
        <v>134</v>
      </c>
      <c r="C32" s="26" t="s">
        <v>131</v>
      </c>
      <c r="D32" s="31">
        <v>12</v>
      </c>
      <c r="E32" s="26" t="s">
        <v>104</v>
      </c>
      <c r="F32" s="28"/>
      <c r="G32" s="28"/>
      <c r="H32" s="28"/>
      <c r="I32" s="28"/>
      <c r="J32" s="29"/>
    </row>
    <row r="33" spans="2:10" x14ac:dyDescent="0.45">
      <c r="B33" s="25" t="s">
        <v>135</v>
      </c>
      <c r="C33" s="26" t="s">
        <v>129</v>
      </c>
      <c r="D33" s="31">
        <v>200</v>
      </c>
      <c r="E33" s="26" t="s">
        <v>104</v>
      </c>
      <c r="F33" s="28"/>
      <c r="G33" s="28"/>
      <c r="H33" s="28"/>
      <c r="I33" s="28"/>
      <c r="J33" s="29"/>
    </row>
    <row r="34" spans="2:10" x14ac:dyDescent="0.45">
      <c r="B34" s="25" t="s">
        <v>136</v>
      </c>
      <c r="C34" s="26" t="s">
        <v>131</v>
      </c>
      <c r="D34" s="31">
        <v>12</v>
      </c>
      <c r="E34" s="26" t="s">
        <v>104</v>
      </c>
      <c r="F34" s="28"/>
      <c r="G34" s="28"/>
      <c r="H34" s="28"/>
      <c r="I34" s="28"/>
      <c r="J34" s="29"/>
    </row>
    <row r="35" spans="2:10" x14ac:dyDescent="0.45">
      <c r="B35" s="25" t="s">
        <v>137</v>
      </c>
      <c r="C35" s="26" t="s">
        <v>129</v>
      </c>
      <c r="D35" s="31">
        <v>100</v>
      </c>
      <c r="E35" s="26" t="s">
        <v>104</v>
      </c>
      <c r="F35" s="28"/>
      <c r="G35" s="28"/>
      <c r="H35" s="28"/>
      <c r="I35" s="28"/>
      <c r="J35" s="29"/>
    </row>
    <row r="36" spans="2:10" x14ac:dyDescent="0.45">
      <c r="B36" s="25" t="s">
        <v>138</v>
      </c>
      <c r="C36" s="26" t="s">
        <v>131</v>
      </c>
      <c r="D36" s="31">
        <v>8</v>
      </c>
      <c r="E36" s="26" t="s">
        <v>104</v>
      </c>
      <c r="F36" s="28"/>
      <c r="G36" s="28"/>
      <c r="H36" s="28"/>
      <c r="I36" s="28"/>
      <c r="J36" s="29"/>
    </row>
    <row r="37" spans="2:10" ht="8" customHeight="1" x14ac:dyDescent="0.45"/>
    <row r="38" spans="2:10" ht="22.05" customHeight="1" x14ac:dyDescent="0.5">
      <c r="B38" s="7" t="s">
        <v>139</v>
      </c>
      <c r="C38" s="8"/>
      <c r="D38" s="8"/>
      <c r="E38" s="8"/>
      <c r="F38" s="8"/>
      <c r="G38" s="8"/>
      <c r="H38" s="8"/>
      <c r="I38" s="8"/>
      <c r="J38" s="8"/>
    </row>
    <row r="39" spans="2:10" ht="18" customHeight="1" x14ac:dyDescent="0.45">
      <c r="B39" s="23" t="s">
        <v>97</v>
      </c>
      <c r="C39" s="23" t="s">
        <v>98</v>
      </c>
      <c r="D39" s="24" t="s">
        <v>99</v>
      </c>
      <c r="E39" s="23" t="s">
        <v>100</v>
      </c>
      <c r="F39" s="5"/>
      <c r="G39" s="5"/>
      <c r="H39" s="5"/>
      <c r="I39" s="5"/>
      <c r="J39" s="23" t="s">
        <v>101</v>
      </c>
    </row>
    <row r="40" spans="2:10" ht="23.25" x14ac:dyDescent="0.45">
      <c r="B40" s="25" t="s">
        <v>140</v>
      </c>
      <c r="C40" s="26" t="s">
        <v>131</v>
      </c>
      <c r="D40" s="34">
        <v>5.0000000000000001E-3</v>
      </c>
      <c r="E40" s="26" t="s">
        <v>104</v>
      </c>
      <c r="F40" s="28"/>
      <c r="G40" s="28"/>
      <c r="H40" s="28"/>
      <c r="I40" s="28"/>
      <c r="J40" s="29" t="s">
        <v>141</v>
      </c>
    </row>
    <row r="41" spans="2:10" x14ac:dyDescent="0.45">
      <c r="B41" s="25" t="s">
        <v>142</v>
      </c>
      <c r="C41" s="26" t="s">
        <v>143</v>
      </c>
      <c r="D41" s="35">
        <v>4</v>
      </c>
      <c r="E41" s="26" t="s">
        <v>104</v>
      </c>
      <c r="F41" s="28"/>
      <c r="G41" s="28"/>
      <c r="H41" s="28"/>
      <c r="I41" s="28"/>
      <c r="J41" s="29"/>
    </row>
    <row r="42" spans="2:10" ht="23.25" x14ac:dyDescent="0.45">
      <c r="B42" s="25" t="s">
        <v>144</v>
      </c>
      <c r="C42" s="26" t="s">
        <v>145</v>
      </c>
      <c r="D42" s="35">
        <v>0</v>
      </c>
      <c r="E42" s="26" t="s">
        <v>104</v>
      </c>
      <c r="F42" s="28"/>
      <c r="G42" s="28"/>
      <c r="H42" s="28"/>
      <c r="I42" s="28"/>
      <c r="J42" s="29" t="s">
        <v>146</v>
      </c>
    </row>
    <row r="43" spans="2:10" ht="8" customHeight="1" x14ac:dyDescent="0.45"/>
  </sheetData>
  <mergeCells count="1">
    <mergeCell ref="B6:J6"/>
  </mergeCells>
  <dataValidations count="4">
    <dataValidation type="decimal" operator="greaterThan" showErrorMessage="1" errorTitle="Positive value" error="Enter a value greater than zero." sqref="D40 D29:D36 D21:D23 D11:D16" xr:uid="{00000000-0002-0000-0100-000000000000}">
      <formula1>0</formula1>
    </dataValidation>
    <dataValidation type="decimal" showErrorMessage="1" errorTitle="Probability" error="Enter a value between 0% and 100%." sqref="D17 D24" xr:uid="{00000000-0002-0000-0100-000006000000}">
      <formula1>0</formula1>
      <formula2>1</formula2>
    </dataValidation>
    <dataValidation type="whole" showErrorMessage="1" errorTitle="Whole number" error="Enter a whole number from 1 to 4." sqref="D41" xr:uid="{00000000-0002-0000-0100-000014000000}">
      <formula1>1</formula1>
      <formula2>4</formula2>
    </dataValidation>
    <dataValidation type="whole" showErrorMessage="1" errorTitle="Switch" error="Enter 1 (yes) or 0 (no)." sqref="D42" xr:uid="{00000000-0002-0000-0100-000015000000}">
      <formula1>0</formula1>
      <formula2>1</formula2>
    </dataValidation>
  </dataValidations>
  <hyperlinks>
    <hyperlink ref="B4" location="'About'!A1" display="◂  About" xr:uid="{00000000-0004-0000-0100-000000000000}"/>
    <hyperlink ref="J4" location="'Patient'!A1" display="Next:  Patient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W132"/>
  <sheetViews>
    <sheetView showGridLines="0" workbookViewId="0"/>
  </sheetViews>
  <sheetFormatPr defaultRowHeight="14.25" x14ac:dyDescent="0.45"/>
  <cols>
    <col min="1" max="1" width="2" customWidth="1"/>
    <col min="2" max="2" width="34" customWidth="1"/>
    <col min="3" max="3" width="12" customWidth="1"/>
    <col min="4" max="23" width="9.19921875" customWidth="1"/>
  </cols>
  <sheetData>
    <row r="1" spans="1:23" ht="6" customHeight="1" x14ac:dyDescent="0.45"/>
    <row r="2" spans="1:23" ht="30" customHeight="1" x14ac:dyDescent="0.45">
      <c r="A2" s="1"/>
      <c r="B2" s="21" t="s">
        <v>0</v>
      </c>
      <c r="C2" s="1"/>
      <c r="D2" s="1"/>
      <c r="E2" s="1"/>
      <c r="F2" s="1"/>
      <c r="G2" s="1"/>
      <c r="H2" s="1"/>
      <c r="I2" s="1"/>
      <c r="J2" s="1"/>
      <c r="K2" s="1"/>
      <c r="L2" s="1"/>
      <c r="M2" s="1"/>
      <c r="N2" s="1"/>
      <c r="O2" s="1"/>
      <c r="P2" s="1"/>
      <c r="Q2" s="1"/>
      <c r="R2" s="1"/>
      <c r="S2" s="1"/>
      <c r="T2" s="1"/>
      <c r="U2" s="1"/>
      <c r="V2" s="1"/>
      <c r="W2" s="3" t="s">
        <v>1</v>
      </c>
    </row>
    <row r="3" spans="1:23" ht="20" customHeight="1" x14ac:dyDescent="0.45">
      <c r="A3" s="1"/>
      <c r="B3" s="4" t="s">
        <v>147</v>
      </c>
      <c r="C3" s="1"/>
      <c r="D3" s="1"/>
      <c r="E3" s="1"/>
      <c r="F3" s="1"/>
      <c r="G3" s="1"/>
      <c r="H3" s="1"/>
      <c r="I3" s="1"/>
      <c r="J3" s="1"/>
      <c r="K3" s="1"/>
      <c r="L3" s="1"/>
      <c r="M3" s="1"/>
      <c r="N3" s="1"/>
      <c r="O3" s="1"/>
      <c r="P3" s="1"/>
      <c r="Q3" s="1"/>
      <c r="R3" s="1"/>
      <c r="S3" s="1"/>
      <c r="T3" s="1"/>
      <c r="U3" s="1"/>
      <c r="V3" s="1"/>
      <c r="W3" s="1"/>
    </row>
    <row r="4" spans="1:23" ht="20" customHeight="1" x14ac:dyDescent="0.45">
      <c r="A4" s="5"/>
      <c r="B4" s="22" t="s">
        <v>148</v>
      </c>
      <c r="C4" s="5"/>
      <c r="D4" s="5"/>
      <c r="E4" s="5"/>
      <c r="F4" s="5"/>
      <c r="G4" s="5"/>
      <c r="H4" s="5"/>
      <c r="I4" s="5"/>
      <c r="J4" s="5"/>
      <c r="K4" s="5"/>
      <c r="L4" s="5"/>
      <c r="M4" s="5"/>
      <c r="N4" s="5"/>
      <c r="O4" s="5"/>
      <c r="P4" s="5"/>
      <c r="Q4" s="5"/>
      <c r="R4" s="5"/>
      <c r="S4" s="5"/>
      <c r="T4" s="5"/>
      <c r="U4" s="5"/>
      <c r="V4" s="5"/>
      <c r="W4" s="6" t="s">
        <v>149</v>
      </c>
    </row>
    <row r="5" spans="1:23" ht="8" customHeight="1" x14ac:dyDescent="0.45"/>
    <row r="6" spans="1:23" ht="22.05" customHeight="1" x14ac:dyDescent="0.5">
      <c r="B6" s="7" t="s">
        <v>150</v>
      </c>
      <c r="C6" s="8"/>
      <c r="D6" s="8"/>
      <c r="E6" s="8"/>
      <c r="F6" s="8"/>
      <c r="G6" s="8"/>
      <c r="H6" s="8"/>
      <c r="I6" s="8"/>
      <c r="J6" s="8"/>
      <c r="K6" s="8"/>
      <c r="L6" s="8"/>
      <c r="M6" s="8"/>
      <c r="N6" s="8"/>
      <c r="O6" s="8"/>
      <c r="P6" s="8"/>
      <c r="Q6" s="8"/>
      <c r="R6" s="8"/>
      <c r="S6" s="8"/>
      <c r="T6" s="8"/>
      <c r="U6" s="8"/>
      <c r="V6" s="8"/>
      <c r="W6" s="8"/>
    </row>
    <row r="7" spans="1:23" ht="18" customHeight="1" x14ac:dyDescent="0.45">
      <c r="B7" s="13" t="s">
        <v>151</v>
      </c>
    </row>
    <row r="8" spans="1:23" ht="18" customHeight="1" x14ac:dyDescent="0.45">
      <c r="B8" s="36" t="s">
        <v>152</v>
      </c>
      <c r="C8" s="36" t="s">
        <v>98</v>
      </c>
      <c r="D8" s="37" t="s">
        <v>153</v>
      </c>
      <c r="E8" s="5"/>
      <c r="F8" s="36" t="s">
        <v>154</v>
      </c>
      <c r="G8" s="5"/>
      <c r="H8" s="5"/>
      <c r="I8" s="5"/>
      <c r="J8" s="5"/>
      <c r="K8" s="5"/>
      <c r="L8" s="5"/>
      <c r="M8" s="5"/>
      <c r="N8" s="5"/>
      <c r="O8" s="5"/>
      <c r="P8" s="5"/>
      <c r="Q8" s="5"/>
      <c r="R8" s="5"/>
      <c r="S8" s="5"/>
      <c r="T8" s="5"/>
      <c r="U8" s="5"/>
      <c r="V8" s="5"/>
      <c r="W8" s="5"/>
    </row>
    <row r="9" spans="1:23" x14ac:dyDescent="0.45">
      <c r="B9" s="25" t="s">
        <v>155</v>
      </c>
      <c r="C9" s="26" t="s">
        <v>106</v>
      </c>
      <c r="D9" s="38" cm="1">
        <f t="array" aca="1" ref="D9" ca="1">_xll.VoseInput("Clearance variation","log scale")+_xll.VoseNormal(0,W_CL)</f>
        <v>0.16039173096461012</v>
      </c>
      <c r="E9" s="28"/>
      <c r="F9" s="26" t="s">
        <v>156</v>
      </c>
      <c r="G9" s="28"/>
      <c r="H9" s="28"/>
      <c r="I9" s="28"/>
      <c r="J9" s="28"/>
      <c r="K9" s="28"/>
      <c r="L9" s="28"/>
      <c r="M9" s="28"/>
      <c r="N9" s="28"/>
      <c r="O9" s="28"/>
      <c r="P9" s="28"/>
      <c r="Q9" s="28"/>
      <c r="R9" s="28"/>
      <c r="S9" s="28"/>
      <c r="T9" s="28"/>
      <c r="U9" s="28"/>
      <c r="V9" s="28"/>
      <c r="W9" s="28"/>
    </row>
    <row r="10" spans="1:23" x14ac:dyDescent="0.45">
      <c r="B10" s="25" t="s">
        <v>157</v>
      </c>
      <c r="C10" s="26" t="s">
        <v>103</v>
      </c>
      <c r="D10" s="39">
        <f ca="1">IF(TypicalOnly=1,CL_T,CL_T*EXP(Eta_CL))</f>
        <v>5.8698533079425586</v>
      </c>
      <c r="E10" s="28"/>
      <c r="F10" s="26" t="s">
        <v>158</v>
      </c>
      <c r="G10" s="28"/>
      <c r="H10" s="28"/>
      <c r="I10" s="28"/>
      <c r="J10" s="28"/>
      <c r="K10" s="28"/>
      <c r="L10" s="28"/>
      <c r="M10" s="28"/>
      <c r="N10" s="28"/>
      <c r="O10" s="28"/>
      <c r="P10" s="28"/>
      <c r="Q10" s="28"/>
      <c r="R10" s="28"/>
      <c r="S10" s="28"/>
      <c r="T10" s="28"/>
      <c r="U10" s="28"/>
      <c r="V10" s="28"/>
      <c r="W10" s="28"/>
    </row>
    <row r="11" spans="1:23" x14ac:dyDescent="0.45">
      <c r="B11" s="25" t="s">
        <v>159</v>
      </c>
      <c r="C11" s="26" t="s">
        <v>106</v>
      </c>
      <c r="D11" s="38" cm="1">
        <f t="array" aca="1" ref="D11" ca="1">_xll.VoseInput("Volume of distribution variation","log scale")+_xll.VoseNormal(0,W_V)</f>
        <v>-7.8589703886809567E-2</v>
      </c>
      <c r="E11" s="28"/>
      <c r="F11" s="26" t="s">
        <v>156</v>
      </c>
      <c r="G11" s="28"/>
      <c r="H11" s="28"/>
      <c r="I11" s="28"/>
      <c r="J11" s="28"/>
      <c r="K11" s="28"/>
      <c r="L11" s="28"/>
      <c r="M11" s="28"/>
      <c r="N11" s="28"/>
      <c r="O11" s="28"/>
      <c r="P11" s="28"/>
      <c r="Q11" s="28"/>
      <c r="R11" s="28"/>
      <c r="S11" s="28"/>
      <c r="T11" s="28"/>
      <c r="U11" s="28"/>
      <c r="V11" s="28"/>
      <c r="W11" s="28"/>
    </row>
    <row r="12" spans="1:23" x14ac:dyDescent="0.45">
      <c r="B12" s="25" t="s">
        <v>160</v>
      </c>
      <c r="C12" s="26" t="s">
        <v>109</v>
      </c>
      <c r="D12" s="39">
        <f ca="1">IF(TypicalOnly=1,V_T,V_T*EXP(Eta_V))</f>
        <v>46.220956611146917</v>
      </c>
      <c r="E12" s="28"/>
      <c r="F12" s="26" t="s">
        <v>158</v>
      </c>
      <c r="G12" s="28"/>
      <c r="H12" s="28"/>
      <c r="I12" s="28"/>
      <c r="J12" s="28"/>
      <c r="K12" s="28"/>
      <c r="L12" s="28"/>
      <c r="M12" s="28"/>
      <c r="N12" s="28"/>
      <c r="O12" s="28"/>
      <c r="P12" s="28"/>
      <c r="Q12" s="28"/>
      <c r="R12" s="28"/>
      <c r="S12" s="28"/>
      <c r="T12" s="28"/>
      <c r="U12" s="28"/>
      <c r="V12" s="28"/>
      <c r="W12" s="28"/>
    </row>
    <row r="13" spans="1:23" x14ac:dyDescent="0.45">
      <c r="B13" s="25" t="s">
        <v>161</v>
      </c>
      <c r="C13" s="26" t="s">
        <v>106</v>
      </c>
      <c r="D13" s="38" cm="1">
        <f t="array" aca="1" ref="D13" ca="1">_xll.VoseInput("Absorption rate constant variation","log scale")+_xll.VoseNormal(0,W_KA)</f>
        <v>0.92069476436968922</v>
      </c>
      <c r="E13" s="28"/>
      <c r="F13" s="26" t="s">
        <v>156</v>
      </c>
      <c r="G13" s="28"/>
      <c r="H13" s="28"/>
      <c r="I13" s="28"/>
      <c r="J13" s="28"/>
      <c r="K13" s="28"/>
      <c r="L13" s="28"/>
      <c r="M13" s="28"/>
      <c r="N13" s="28"/>
      <c r="O13" s="28"/>
      <c r="P13" s="28"/>
      <c r="Q13" s="28"/>
      <c r="R13" s="28"/>
      <c r="S13" s="28"/>
      <c r="T13" s="28"/>
      <c r="U13" s="28"/>
      <c r="V13" s="28"/>
      <c r="W13" s="28"/>
    </row>
    <row r="14" spans="1:23" x14ac:dyDescent="0.45">
      <c r="B14" s="25" t="s">
        <v>162</v>
      </c>
      <c r="C14" s="26" t="s">
        <v>112</v>
      </c>
      <c r="D14" s="39">
        <f ca="1">IF(TypicalOnly=1,KA_T,KA_T*EXP(Eta_KA))</f>
        <v>2.5110343612468422</v>
      </c>
      <c r="E14" s="28"/>
      <c r="F14" s="26" t="s">
        <v>158</v>
      </c>
      <c r="G14" s="28"/>
      <c r="H14" s="28"/>
      <c r="I14" s="28"/>
      <c r="J14" s="28"/>
      <c r="K14" s="28"/>
      <c r="L14" s="28"/>
      <c r="M14" s="28"/>
      <c r="N14" s="28"/>
      <c r="O14" s="28"/>
      <c r="P14" s="28"/>
      <c r="Q14" s="28"/>
      <c r="R14" s="28"/>
      <c r="S14" s="28"/>
      <c r="T14" s="28"/>
      <c r="U14" s="28"/>
      <c r="V14" s="28"/>
      <c r="W14" s="28"/>
    </row>
    <row r="15" spans="1:23" ht="8" customHeight="1" x14ac:dyDescent="0.45"/>
    <row r="16" spans="1:23" ht="22.05" customHeight="1" x14ac:dyDescent="0.5">
      <c r="B16" s="7" t="s">
        <v>163</v>
      </c>
      <c r="C16" s="8"/>
      <c r="D16" s="8"/>
      <c r="E16" s="8"/>
      <c r="F16" s="8"/>
      <c r="G16" s="8"/>
      <c r="H16" s="8"/>
      <c r="I16" s="8"/>
      <c r="J16" s="8"/>
      <c r="K16" s="8"/>
      <c r="L16" s="8"/>
      <c r="M16" s="8"/>
      <c r="N16" s="8"/>
      <c r="O16" s="8"/>
      <c r="P16" s="8"/>
      <c r="Q16" s="8"/>
      <c r="R16" s="8"/>
      <c r="S16" s="8"/>
      <c r="T16" s="8"/>
      <c r="U16" s="8"/>
      <c r="V16" s="8"/>
      <c r="W16" s="8"/>
    </row>
    <row r="17" spans="2:23" ht="18" customHeight="1" x14ac:dyDescent="0.45">
      <c r="B17" s="13" t="s">
        <v>164</v>
      </c>
    </row>
    <row r="18" spans="2:23" ht="18" customHeight="1" x14ac:dyDescent="0.45">
      <c r="B18" s="36" t="s">
        <v>165</v>
      </c>
      <c r="C18" s="36" t="s">
        <v>166</v>
      </c>
      <c r="D18" s="36" t="s">
        <v>167</v>
      </c>
      <c r="E18" s="5"/>
      <c r="F18" s="5"/>
      <c r="G18" s="5"/>
      <c r="H18" s="5"/>
      <c r="I18" s="5"/>
      <c r="J18" s="5"/>
      <c r="K18" s="5"/>
      <c r="L18" s="5"/>
      <c r="M18" s="5"/>
      <c r="N18" s="5"/>
      <c r="O18" s="5"/>
      <c r="P18" s="5"/>
      <c r="Q18" s="5"/>
      <c r="R18" s="5"/>
      <c r="S18" s="5"/>
      <c r="T18" s="5"/>
      <c r="U18" s="5"/>
      <c r="V18" s="5"/>
      <c r="W18" s="5"/>
    </row>
    <row r="19" spans="2:23" ht="8" customHeight="1" x14ac:dyDescent="0.45">
      <c r="B19" s="25" t="s">
        <v>168</v>
      </c>
      <c r="C19" s="28"/>
      <c r="D19" s="40" t="s">
        <v>169</v>
      </c>
      <c r="E19" s="28"/>
      <c r="F19" s="28"/>
      <c r="G19" s="28"/>
      <c r="H19" s="28"/>
      <c r="I19" s="28"/>
      <c r="J19" s="28"/>
      <c r="K19" s="28"/>
      <c r="L19" s="28"/>
      <c r="M19" s="28"/>
      <c r="N19" s="28"/>
      <c r="O19" s="28"/>
      <c r="P19" s="28"/>
      <c r="Q19" s="28"/>
      <c r="R19" s="28"/>
      <c r="S19" s="28"/>
      <c r="T19" s="28"/>
      <c r="U19" s="28"/>
      <c r="V19" s="28"/>
      <c r="W19" s="28"/>
    </row>
    <row r="20" spans="2:23" x14ac:dyDescent="0.45">
      <c r="B20" s="25" t="s">
        <v>170</v>
      </c>
      <c r="C20" s="28"/>
      <c r="D20" s="40" t="s">
        <v>171</v>
      </c>
      <c r="E20" s="28"/>
      <c r="F20" s="28"/>
      <c r="G20" s="28"/>
      <c r="H20" s="28"/>
      <c r="I20" s="28"/>
      <c r="J20" s="28"/>
      <c r="K20" s="28"/>
      <c r="L20" s="28"/>
      <c r="M20" s="28"/>
      <c r="N20" s="28"/>
      <c r="O20" s="28"/>
      <c r="P20" s="28"/>
      <c r="Q20" s="28"/>
      <c r="R20" s="28"/>
      <c r="S20" s="28"/>
      <c r="T20" s="28"/>
      <c r="U20" s="28"/>
      <c r="V20" s="28"/>
      <c r="W20" s="28"/>
    </row>
    <row r="21" spans="2:23" x14ac:dyDescent="0.45">
      <c r="B21" s="25" t="s">
        <v>172</v>
      </c>
      <c r="C21" s="28"/>
      <c r="D21" s="40" t="s">
        <v>173</v>
      </c>
      <c r="E21" s="28"/>
      <c r="F21" s="28"/>
      <c r="G21" s="28"/>
      <c r="H21" s="28"/>
      <c r="I21" s="28"/>
      <c r="J21" s="28"/>
      <c r="K21" s="28"/>
      <c r="L21" s="28"/>
      <c r="M21" s="28"/>
      <c r="N21" s="28"/>
      <c r="O21" s="28"/>
      <c r="P21" s="28"/>
      <c r="Q21" s="28"/>
      <c r="R21" s="28"/>
      <c r="S21" s="28"/>
      <c r="T21" s="28"/>
      <c r="U21" s="28"/>
      <c r="V21" s="28"/>
      <c r="W21" s="28"/>
    </row>
    <row r="22" spans="2:23" x14ac:dyDescent="0.45">
      <c r="B22" s="25" t="s">
        <v>174</v>
      </c>
      <c r="C22" s="28"/>
      <c r="D22" s="40" t="s">
        <v>175</v>
      </c>
      <c r="E22" s="28"/>
      <c r="F22" s="28"/>
      <c r="G22" s="28"/>
      <c r="H22" s="28"/>
      <c r="I22" s="28"/>
      <c r="J22" s="39">
        <f>MEC</f>
        <v>0.8</v>
      </c>
      <c r="K22" s="26" t="s">
        <v>176</v>
      </c>
      <c r="L22" s="28"/>
      <c r="M22" s="28"/>
      <c r="N22" s="28"/>
      <c r="O22" s="28"/>
      <c r="P22" s="28"/>
      <c r="Q22" s="28"/>
      <c r="R22" s="28"/>
      <c r="S22" s="28"/>
      <c r="T22" s="28"/>
      <c r="U22" s="28"/>
      <c r="V22" s="28"/>
      <c r="W22" s="28"/>
    </row>
    <row r="23" spans="2:23" x14ac:dyDescent="0.45">
      <c r="B23" s="25" t="s">
        <v>177</v>
      </c>
      <c r="C23" s="28"/>
      <c r="D23" s="40" t="s">
        <v>178</v>
      </c>
      <c r="E23" s="28"/>
      <c r="F23" s="28"/>
      <c r="G23" s="28"/>
      <c r="H23" s="28"/>
      <c r="I23" s="28"/>
      <c r="J23" s="39">
        <f>InhibTarget</f>
        <v>0.8</v>
      </c>
      <c r="K23" s="26" t="s">
        <v>176</v>
      </c>
      <c r="L23" s="28"/>
      <c r="M23" s="28"/>
      <c r="N23" s="28"/>
      <c r="O23" s="28"/>
      <c r="P23" s="28"/>
      <c r="Q23" s="28"/>
      <c r="R23" s="28"/>
      <c r="S23" s="28"/>
      <c r="T23" s="28"/>
      <c r="U23" s="28"/>
      <c r="V23" s="28"/>
      <c r="W23" s="28"/>
    </row>
    <row r="24" spans="2:23" x14ac:dyDescent="0.45">
      <c r="B24" s="25" t="s">
        <v>179</v>
      </c>
      <c r="C24" s="28"/>
      <c r="D24" s="41">
        <f>TimeStep</f>
        <v>5.0000000000000001E-3</v>
      </c>
      <c r="E24" s="42" t="s">
        <v>131</v>
      </c>
      <c r="F24" s="28"/>
      <c r="G24" s="28"/>
      <c r="H24" s="28"/>
      <c r="I24" s="28"/>
      <c r="J24" s="28"/>
      <c r="K24" s="28"/>
      <c r="L24" s="28"/>
      <c r="M24" s="28"/>
      <c r="N24" s="28"/>
      <c r="O24" s="28"/>
      <c r="P24" s="28"/>
      <c r="Q24" s="28"/>
      <c r="R24" s="28"/>
      <c r="S24" s="28"/>
      <c r="T24" s="28"/>
      <c r="U24" s="28"/>
      <c r="V24" s="28"/>
      <c r="W24" s="28"/>
    </row>
    <row r="25" spans="2:23" x14ac:dyDescent="0.45">
      <c r="B25" s="25" t="s">
        <v>180</v>
      </c>
      <c r="C25" s="28"/>
      <c r="D25" s="42" t="s">
        <v>131</v>
      </c>
      <c r="E25" s="28"/>
      <c r="F25" s="28"/>
      <c r="G25" s="28"/>
      <c r="H25" s="28"/>
      <c r="I25" s="28"/>
      <c r="J25" s="28"/>
      <c r="K25" s="28"/>
      <c r="L25" s="28"/>
      <c r="M25" s="28"/>
      <c r="N25" s="28"/>
      <c r="O25" s="28"/>
      <c r="P25" s="28"/>
      <c r="Q25" s="28"/>
      <c r="R25" s="28"/>
      <c r="S25" s="28"/>
      <c r="T25" s="28"/>
      <c r="U25" s="28"/>
      <c r="V25" s="28"/>
      <c r="W25" s="28"/>
    </row>
    <row r="26" spans="2:23" x14ac:dyDescent="0.45">
      <c r="B26" s="25" t="s">
        <v>181</v>
      </c>
      <c r="C26" s="28"/>
      <c r="D26" s="42" t="s">
        <v>182</v>
      </c>
      <c r="E26" s="43">
        <v>0</v>
      </c>
      <c r="F26" s="28"/>
      <c r="G26" s="28"/>
      <c r="H26" s="28"/>
      <c r="I26" s="28"/>
      <c r="J26" s="28"/>
      <c r="K26" s="28"/>
      <c r="L26" s="28"/>
      <c r="M26" s="28"/>
      <c r="N26" s="28"/>
      <c r="O26" s="28"/>
      <c r="P26" s="28"/>
      <c r="Q26" s="28"/>
      <c r="R26" s="28"/>
      <c r="S26" s="28"/>
      <c r="T26" s="28"/>
      <c r="U26" s="28"/>
      <c r="V26" s="28"/>
      <c r="W26" s="28"/>
    </row>
    <row r="27" spans="2:23" x14ac:dyDescent="0.45">
      <c r="B27" s="28"/>
      <c r="C27" s="28"/>
      <c r="D27" s="42" t="s">
        <v>183</v>
      </c>
      <c r="E27" s="43">
        <v>0</v>
      </c>
      <c r="F27" s="28"/>
      <c r="G27" s="28"/>
      <c r="H27" s="28"/>
      <c r="I27" s="28"/>
      <c r="J27" s="28"/>
      <c r="K27" s="28"/>
      <c r="L27" s="28"/>
      <c r="M27" s="28"/>
      <c r="N27" s="28"/>
      <c r="O27" s="28"/>
      <c r="P27" s="28"/>
      <c r="Q27" s="28"/>
      <c r="R27" s="28"/>
      <c r="S27" s="28"/>
      <c r="T27" s="28"/>
      <c r="U27" s="28"/>
      <c r="V27" s="28"/>
      <c r="W27" s="28"/>
    </row>
    <row r="28" spans="2:23" x14ac:dyDescent="0.45">
      <c r="B28" s="25" t="s">
        <v>184</v>
      </c>
      <c r="C28" s="28"/>
      <c r="D28" s="42" t="s">
        <v>185</v>
      </c>
      <c r="E28" s="39">
        <f ca="1">P_KA</f>
        <v>2.5110343612468422</v>
      </c>
      <c r="F28" s="28"/>
      <c r="G28" s="28"/>
      <c r="H28" s="28"/>
      <c r="I28" s="28"/>
      <c r="J28" s="28"/>
      <c r="K28" s="28"/>
      <c r="L28" s="28"/>
      <c r="M28" s="28"/>
      <c r="N28" s="28"/>
      <c r="O28" s="28"/>
      <c r="P28" s="28"/>
      <c r="Q28" s="28"/>
      <c r="R28" s="28"/>
      <c r="S28" s="28"/>
      <c r="T28" s="28"/>
      <c r="U28" s="28"/>
      <c r="V28" s="28"/>
      <c r="W28" s="28"/>
    </row>
    <row r="29" spans="2:23" x14ac:dyDescent="0.45">
      <c r="B29" s="28"/>
      <c r="C29" s="28"/>
      <c r="D29" s="42" t="s">
        <v>186</v>
      </c>
      <c r="E29" s="39">
        <f ca="1">P_CL</f>
        <v>5.8698533079425586</v>
      </c>
      <c r="F29" s="28"/>
      <c r="G29" s="28"/>
      <c r="H29" s="28"/>
      <c r="I29" s="28"/>
      <c r="J29" s="28"/>
      <c r="K29" s="28"/>
      <c r="L29" s="28"/>
      <c r="M29" s="28"/>
      <c r="N29" s="28"/>
      <c r="O29" s="28"/>
      <c r="P29" s="28"/>
      <c r="Q29" s="28"/>
      <c r="R29" s="28"/>
      <c r="S29" s="28"/>
      <c r="T29" s="28"/>
      <c r="U29" s="28"/>
      <c r="V29" s="28"/>
      <c r="W29" s="28"/>
    </row>
    <row r="30" spans="2:23" x14ac:dyDescent="0.45">
      <c r="B30" s="28"/>
      <c r="C30" s="28"/>
      <c r="D30" s="42" t="s">
        <v>187</v>
      </c>
      <c r="E30" s="39">
        <f ca="1">P_V</f>
        <v>46.220956611146917</v>
      </c>
      <c r="F30" s="28"/>
      <c r="G30" s="28"/>
      <c r="H30" s="28"/>
      <c r="I30" s="28"/>
      <c r="J30" s="28"/>
      <c r="K30" s="28"/>
      <c r="L30" s="28"/>
      <c r="M30" s="28"/>
      <c r="N30" s="28"/>
      <c r="O30" s="28"/>
      <c r="P30" s="28"/>
      <c r="Q30" s="28"/>
      <c r="R30" s="28"/>
      <c r="S30" s="28"/>
      <c r="T30" s="28"/>
      <c r="U30" s="28"/>
      <c r="V30" s="28"/>
      <c r="W30" s="28"/>
    </row>
    <row r="31" spans="2:23" x14ac:dyDescent="0.45">
      <c r="B31" s="28"/>
      <c r="C31" s="28"/>
      <c r="D31" s="42" t="s">
        <v>188</v>
      </c>
      <c r="E31" s="39">
        <f>IC_50</f>
        <v>0.5</v>
      </c>
      <c r="F31" s="28"/>
      <c r="G31" s="28"/>
      <c r="H31" s="28"/>
      <c r="I31" s="28"/>
      <c r="J31" s="28"/>
      <c r="K31" s="28"/>
      <c r="L31" s="28"/>
      <c r="M31" s="28"/>
      <c r="N31" s="28"/>
      <c r="O31" s="28"/>
      <c r="P31" s="28"/>
      <c r="Q31" s="28"/>
      <c r="R31" s="28"/>
      <c r="S31" s="28"/>
      <c r="T31" s="28"/>
      <c r="U31" s="28"/>
      <c r="V31" s="28"/>
      <c r="W31" s="28"/>
    </row>
    <row r="32" spans="2:23" x14ac:dyDescent="0.45">
      <c r="B32" s="25" t="s">
        <v>189</v>
      </c>
      <c r="C32" s="28"/>
      <c r="D32" s="44">
        <f>72</f>
        <v>72</v>
      </c>
      <c r="E32" s="42" t="s">
        <v>131</v>
      </c>
      <c r="F32" s="26" t="s">
        <v>190</v>
      </c>
      <c r="G32" s="28"/>
      <c r="H32" s="28"/>
      <c r="I32" s="28"/>
      <c r="J32" s="28"/>
      <c r="K32" s="28"/>
      <c r="L32" s="28"/>
      <c r="M32" s="28"/>
      <c r="N32" s="28"/>
      <c r="O32" s="28"/>
      <c r="P32" s="28"/>
      <c r="Q32" s="28"/>
      <c r="R32" s="28"/>
      <c r="S32" s="28"/>
      <c r="T32" s="28"/>
      <c r="U32" s="28"/>
      <c r="V32" s="28"/>
      <c r="W32" s="28"/>
    </row>
    <row r="33" spans="2:23" x14ac:dyDescent="0.45">
      <c r="B33" s="25" t="s">
        <v>191</v>
      </c>
      <c r="C33" s="28"/>
      <c r="D33" s="44">
        <f>SteadyAt-12</f>
        <v>60</v>
      </c>
      <c r="E33" s="42" t="s">
        <v>131</v>
      </c>
      <c r="F33" s="26" t="s">
        <v>192</v>
      </c>
      <c r="G33" s="28"/>
      <c r="H33" s="28"/>
      <c r="I33" s="28"/>
      <c r="J33" s="28"/>
      <c r="K33" s="28"/>
      <c r="L33" s="28"/>
      <c r="M33" s="28"/>
      <c r="N33" s="28"/>
      <c r="O33" s="28"/>
      <c r="P33" s="28"/>
      <c r="Q33" s="28"/>
      <c r="R33" s="28"/>
      <c r="S33" s="28"/>
      <c r="T33" s="28"/>
      <c r="U33" s="28"/>
      <c r="V33" s="28"/>
      <c r="W33" s="28"/>
    </row>
    <row r="34" spans="2:23" x14ac:dyDescent="0.45">
      <c r="B34" s="25" t="s">
        <v>193</v>
      </c>
      <c r="C34" s="28"/>
      <c r="D34" s="44">
        <f>SteadyAt-0.5</f>
        <v>71.5</v>
      </c>
      <c r="E34" s="42" t="s">
        <v>131</v>
      </c>
      <c r="F34" s="26" t="s">
        <v>194</v>
      </c>
      <c r="G34" s="28"/>
      <c r="H34" s="28"/>
      <c r="I34" s="28"/>
      <c r="J34" s="28"/>
      <c r="K34" s="28"/>
      <c r="L34" s="28"/>
      <c r="M34" s="28"/>
      <c r="N34" s="28"/>
      <c r="O34" s="28"/>
      <c r="P34" s="28"/>
      <c r="Q34" s="28"/>
      <c r="R34" s="28"/>
      <c r="S34" s="28"/>
      <c r="T34" s="28"/>
      <c r="U34" s="28"/>
      <c r="V34" s="28"/>
      <c r="W34" s="28"/>
    </row>
    <row r="35" spans="2:23" x14ac:dyDescent="0.45">
      <c r="B35" s="25" t="s">
        <v>195</v>
      </c>
      <c r="C35" s="28"/>
      <c r="D35" s="26" t="s">
        <v>196</v>
      </c>
      <c r="E35" s="28"/>
      <c r="F35" s="28"/>
      <c r="G35" s="28"/>
      <c r="H35" s="28"/>
      <c r="I35" s="28"/>
      <c r="J35" s="28"/>
      <c r="K35" s="28"/>
      <c r="L35" s="28"/>
      <c r="M35" s="28"/>
      <c r="N35" s="28"/>
      <c r="O35" s="28"/>
      <c r="P35" s="28"/>
      <c r="Q35" s="28"/>
      <c r="R35" s="28"/>
      <c r="S35" s="28"/>
      <c r="T35" s="28"/>
      <c r="U35" s="28"/>
      <c r="V35" s="28"/>
      <c r="W35" s="28"/>
    </row>
    <row r="37" spans="2:23" ht="18" customHeight="1" x14ac:dyDescent="0.45">
      <c r="B37" s="36" t="s">
        <v>197</v>
      </c>
      <c r="C37" s="5"/>
      <c r="D37" s="37" t="s">
        <v>198</v>
      </c>
      <c r="E37" s="36" t="s">
        <v>199</v>
      </c>
      <c r="F37" s="36" t="s">
        <v>200</v>
      </c>
      <c r="G37" s="36" t="s">
        <v>201</v>
      </c>
      <c r="H37" s="37" t="s">
        <v>202</v>
      </c>
      <c r="I37" s="5"/>
      <c r="J37" s="37" t="s">
        <v>203</v>
      </c>
      <c r="K37" s="5"/>
      <c r="L37" s="37" t="s">
        <v>204</v>
      </c>
      <c r="M37" s="5"/>
      <c r="N37" s="37" t="s">
        <v>205</v>
      </c>
      <c r="O37" s="5"/>
      <c r="P37" s="5"/>
      <c r="Q37" s="5"/>
      <c r="R37" s="5"/>
      <c r="S37" s="5"/>
      <c r="T37" s="5"/>
      <c r="U37" s="5"/>
      <c r="V37" s="5"/>
      <c r="W37" s="5"/>
    </row>
    <row r="38" spans="2:23" x14ac:dyDescent="0.45">
      <c r="B38" s="25" t="str">
        <f>"Regimen 1  "&amp;Dose_1&amp;" mg every "&amp;Tau_1&amp;" h"</f>
        <v>Regimen 1  100 mg every 12 h</v>
      </c>
      <c r="C38" s="28"/>
      <c r="D38" s="45">
        <f>Bioav*Dose_1</f>
        <v>80</v>
      </c>
      <c r="E38" s="46" t="s">
        <v>206</v>
      </c>
      <c r="F38" s="46" t="s">
        <v>182</v>
      </c>
      <c r="G38" s="46" t="s">
        <v>207</v>
      </c>
      <c r="H38" s="47">
        <v>0</v>
      </c>
      <c r="I38" s="46" t="s">
        <v>131</v>
      </c>
      <c r="J38" s="47">
        <f>Tau_1</f>
        <v>12</v>
      </c>
      <c r="K38" s="46" t="s">
        <v>131</v>
      </c>
      <c r="L38" s="47">
        <f>DoseUntil</f>
        <v>71.5</v>
      </c>
      <c r="M38" s="46" t="s">
        <v>131</v>
      </c>
      <c r="N38" s="47">
        <v>0</v>
      </c>
      <c r="O38" s="46" t="s">
        <v>131</v>
      </c>
      <c r="P38" s="28"/>
      <c r="Q38" s="28"/>
      <c r="R38" s="28"/>
      <c r="S38" s="28"/>
      <c r="T38" s="28"/>
      <c r="U38" s="28"/>
      <c r="V38" s="28"/>
      <c r="W38" s="28"/>
    </row>
    <row r="39" spans="2:23" x14ac:dyDescent="0.45">
      <c r="B39" s="25" t="str">
        <f>"Regimen 2  "&amp;Dose_2&amp;" mg every "&amp;Tau_2&amp;" h"</f>
        <v>Regimen 2  150 mg every 12 h</v>
      </c>
      <c r="C39" s="28"/>
      <c r="D39" s="45">
        <f>Bioav*Dose_2</f>
        <v>120</v>
      </c>
      <c r="E39" s="46" t="s">
        <v>206</v>
      </c>
      <c r="F39" s="46" t="s">
        <v>182</v>
      </c>
      <c r="G39" s="46" t="s">
        <v>207</v>
      </c>
      <c r="H39" s="47">
        <v>0</v>
      </c>
      <c r="I39" s="46" t="s">
        <v>131</v>
      </c>
      <c r="J39" s="47">
        <f>Tau_2</f>
        <v>12</v>
      </c>
      <c r="K39" s="46" t="s">
        <v>131</v>
      </c>
      <c r="L39" s="47">
        <f>DoseUntil</f>
        <v>71.5</v>
      </c>
      <c r="M39" s="46" t="s">
        <v>131</v>
      </c>
      <c r="N39" s="47">
        <v>0</v>
      </c>
      <c r="O39" s="46" t="s">
        <v>131</v>
      </c>
      <c r="P39" s="28"/>
      <c r="Q39" s="28"/>
      <c r="R39" s="28"/>
      <c r="S39" s="28"/>
      <c r="T39" s="28"/>
      <c r="U39" s="28"/>
      <c r="V39" s="28"/>
      <c r="W39" s="28"/>
    </row>
    <row r="40" spans="2:23" x14ac:dyDescent="0.45">
      <c r="B40" s="25" t="str">
        <f>"Regimen 3  "&amp;Dose_3&amp;" mg every "&amp;Tau_3&amp;" h"</f>
        <v>Regimen 3  200 mg every 12 h</v>
      </c>
      <c r="C40" s="28"/>
      <c r="D40" s="45">
        <f>Bioav*Dose_3</f>
        <v>160</v>
      </c>
      <c r="E40" s="46" t="s">
        <v>206</v>
      </c>
      <c r="F40" s="46" t="s">
        <v>182</v>
      </c>
      <c r="G40" s="46" t="s">
        <v>207</v>
      </c>
      <c r="H40" s="47">
        <v>0</v>
      </c>
      <c r="I40" s="46" t="s">
        <v>131</v>
      </c>
      <c r="J40" s="47">
        <f>Tau_3</f>
        <v>12</v>
      </c>
      <c r="K40" s="46" t="s">
        <v>131</v>
      </c>
      <c r="L40" s="47">
        <f>DoseUntil</f>
        <v>71.5</v>
      </c>
      <c r="M40" s="46" t="s">
        <v>131</v>
      </c>
      <c r="N40" s="47">
        <v>0</v>
      </c>
      <c r="O40" s="46" t="s">
        <v>131</v>
      </c>
      <c r="P40" s="28"/>
      <c r="Q40" s="28"/>
      <c r="R40" s="28"/>
      <c r="S40" s="28"/>
      <c r="T40" s="28"/>
      <c r="U40" s="28"/>
      <c r="V40" s="28"/>
      <c r="W40" s="28"/>
    </row>
    <row r="41" spans="2:23" x14ac:dyDescent="0.45">
      <c r="B41" s="25" t="str">
        <f>"Regimen 4  "&amp;Dose_4&amp;" mg every "&amp;Tau_4&amp;" h"</f>
        <v>Regimen 4  100 mg every 8 h</v>
      </c>
      <c r="C41" s="28"/>
      <c r="D41" s="45">
        <f>Bioav*Dose_4</f>
        <v>80</v>
      </c>
      <c r="E41" s="46" t="s">
        <v>206</v>
      </c>
      <c r="F41" s="46" t="s">
        <v>182</v>
      </c>
      <c r="G41" s="46" t="s">
        <v>207</v>
      </c>
      <c r="H41" s="47">
        <v>0</v>
      </c>
      <c r="I41" s="46" t="s">
        <v>131</v>
      </c>
      <c r="J41" s="47">
        <f>Tau_4</f>
        <v>8</v>
      </c>
      <c r="K41" s="46" t="s">
        <v>131</v>
      </c>
      <c r="L41" s="47">
        <f>DoseUntil</f>
        <v>71.5</v>
      </c>
      <c r="M41" s="46" t="s">
        <v>131</v>
      </c>
      <c r="N41" s="47">
        <v>0</v>
      </c>
      <c r="O41" s="46" t="s">
        <v>131</v>
      </c>
      <c r="P41" s="28"/>
      <c r="Q41" s="28"/>
      <c r="R41" s="28"/>
      <c r="S41" s="28"/>
      <c r="T41" s="28"/>
      <c r="U41" s="28"/>
      <c r="V41" s="28"/>
      <c r="W41" s="28"/>
    </row>
    <row r="42" spans="2:23" x14ac:dyDescent="0.45">
      <c r="B42" s="48" t="s">
        <v>208</v>
      </c>
    </row>
    <row r="43" spans="2:23" ht="8" customHeight="1" x14ac:dyDescent="0.45"/>
    <row r="44" spans="2:23" ht="22.05" customHeight="1" x14ac:dyDescent="0.5">
      <c r="B44" s="7" t="s">
        <v>209</v>
      </c>
      <c r="C44" s="8"/>
      <c r="D44" s="8"/>
      <c r="E44" s="8"/>
      <c r="F44" s="8"/>
      <c r="G44" s="8"/>
      <c r="H44" s="8"/>
      <c r="I44" s="8"/>
      <c r="J44" s="8"/>
      <c r="K44" s="8"/>
      <c r="L44" s="8"/>
      <c r="M44" s="8"/>
      <c r="N44" s="8"/>
      <c r="O44" s="8"/>
      <c r="P44" s="8"/>
      <c r="Q44" s="8"/>
      <c r="R44" s="8"/>
      <c r="S44" s="8"/>
      <c r="T44" s="8"/>
      <c r="U44" s="8"/>
      <c r="V44" s="8"/>
      <c r="W44" s="8"/>
    </row>
    <row r="45" spans="2:23" ht="18" customHeight="1" x14ac:dyDescent="0.45">
      <c r="B45" s="13" t="s">
        <v>210</v>
      </c>
    </row>
    <row r="46" spans="2:23" x14ac:dyDescent="0.45">
      <c r="D46" s="49" t="s">
        <v>211</v>
      </c>
      <c r="I46" s="49" t="s">
        <v>212</v>
      </c>
      <c r="N46" s="49" t="s">
        <v>213</v>
      </c>
      <c r="S46" s="49" t="s">
        <v>214</v>
      </c>
    </row>
    <row r="47" spans="2:23" x14ac:dyDescent="0.45">
      <c r="C47" s="50" t="s">
        <v>215</v>
      </c>
      <c r="D47" s="51" t="str">
        <f t="array" aca="1" ref="D47:G75" ca="1">_xll.VosePKPDModel(PK_Name,PK_ODE,PK_Out,PK_Lim,PK_Step,PK_Times,PK_Unit,PK_Init,PK_Par,PK_Dose_1)</f>
        <v>Gut</v>
      </c>
      <c r="E47" s="51" t="str">
        <f ca="1"/>
        <v>Cent</v>
      </c>
      <c r="F47" s="51" t="str">
        <f ca="1"/>
        <v>Conc</v>
      </c>
      <c r="G47" s="51" t="str">
        <f ca="1"/>
        <v>Inhib</v>
      </c>
      <c r="I47" s="51" t="str">
        <f t="array" aca="1" ref="I47:L75" ca="1">_xll.VosePKPDModel(PK_Name,PK_ODE,PK_Out,PK_Lim,PK_Step,PK_Times,PK_Unit,PK_Init,PK_Par,PK_Dose_2)</f>
        <v>Gut</v>
      </c>
      <c r="J47" s="51" t="str">
        <f ca="1"/>
        <v>Cent</v>
      </c>
      <c r="K47" s="51" t="str">
        <f ca="1"/>
        <v>Conc</v>
      </c>
      <c r="L47" s="51" t="str">
        <f ca="1"/>
        <v>Inhib</v>
      </c>
      <c r="N47" s="51" t="str">
        <f t="array" aca="1" ref="N47:Q75" ca="1">_xll.VosePKPDModel(PK_Name,PK_ODE,PK_Out,PK_Lim,PK_Step,PK_Times,PK_Unit,PK_Init,PK_Par,PK_Dose_3)</f>
        <v>Gut</v>
      </c>
      <c r="O47" s="51" t="str">
        <f ca="1"/>
        <v>Cent</v>
      </c>
      <c r="P47" s="51" t="str">
        <f ca="1"/>
        <v>Conc</v>
      </c>
      <c r="Q47" s="51" t="str">
        <f ca="1"/>
        <v>Inhib</v>
      </c>
      <c r="S47" s="51" t="str">
        <f t="array" aca="1" ref="S47:V75" ca="1">_xll.VosePKPDModel(PK_Name,PK_ODE,PK_Out,PK_Lim,PK_Step,PK_Times,PK_Unit,PK_Init,PK_Par,PK_Dose_4)</f>
        <v>Gut</v>
      </c>
      <c r="T47" s="51" t="str">
        <f ca="1"/>
        <v>Cent</v>
      </c>
      <c r="U47" s="51" t="str">
        <f ca="1"/>
        <v>Conc</v>
      </c>
      <c r="V47" s="51" t="str">
        <f ca="1"/>
        <v>Inhib</v>
      </c>
    </row>
    <row r="48" spans="2:23" x14ac:dyDescent="0.45">
      <c r="C48" s="52">
        <f>ProfileFrom</f>
        <v>60</v>
      </c>
      <c r="D48" s="51">
        <f ca="1"/>
        <v>80.000000000006551</v>
      </c>
      <c r="E48" s="51">
        <f ca="1"/>
        <v>23.605264091766685</v>
      </c>
      <c r="F48" s="51">
        <f ca="1"/>
        <v>0.51070479329010465</v>
      </c>
      <c r="G48" s="51">
        <f ca="1"/>
        <v>0.50529570719421335</v>
      </c>
      <c r="I48" s="51">
        <f ca="1"/>
        <v>120.00000000000983</v>
      </c>
      <c r="J48" s="51">
        <f ca="1"/>
        <v>35.407896137650035</v>
      </c>
      <c r="K48" s="51">
        <f ca="1"/>
        <v>0.76605718993515726</v>
      </c>
      <c r="L48" s="51">
        <f ca="1"/>
        <v>0.60507313257657169</v>
      </c>
      <c r="N48" s="51">
        <f ca="1"/>
        <v>160.0000000000131</v>
      </c>
      <c r="O48" s="51">
        <f ca="1"/>
        <v>47.21052818353337</v>
      </c>
      <c r="P48" s="51">
        <f ca="1"/>
        <v>1.0214095865802093</v>
      </c>
      <c r="Q48" s="51">
        <f ca="1"/>
        <v>0.67135740144513689</v>
      </c>
      <c r="S48" s="51">
        <f ca="1"/>
        <v>3.4751737322437351E-3</v>
      </c>
      <c r="T48" s="51">
        <f ca="1"/>
        <v>79.947818912859276</v>
      </c>
      <c r="U48" s="51">
        <f ca="1"/>
        <v>1.729687673612073</v>
      </c>
      <c r="V48" s="51">
        <f ca="1"/>
        <v>0.77575334612223745</v>
      </c>
    </row>
    <row r="49" spans="3:22" x14ac:dyDescent="0.45">
      <c r="C49" s="52">
        <f t="shared" ref="C49:C72" si="0">C48+0.5</f>
        <v>60.5</v>
      </c>
      <c r="D49" s="51">
        <f ca="1"/>
        <v>22.794276057063723</v>
      </c>
      <c r="E49" s="51">
        <f ca="1"/>
        <v>77.568371836301637</v>
      </c>
      <c r="F49" s="51">
        <f ca="1"/>
        <v>1.6782078417129687</v>
      </c>
      <c r="G49" s="51">
        <f ca="1"/>
        <v>0.77045349372776384</v>
      </c>
      <c r="I49" s="51">
        <f ca="1"/>
        <v>34.191414085595589</v>
      </c>
      <c r="J49" s="51">
        <f ca="1"/>
        <v>116.35255775445246</v>
      </c>
      <c r="K49" s="51">
        <f ca="1"/>
        <v>2.5173117625694532</v>
      </c>
      <c r="L49" s="51">
        <f ca="1"/>
        <v>0.83428957981650032</v>
      </c>
      <c r="N49" s="51">
        <f ca="1"/>
        <v>45.588552114127445</v>
      </c>
      <c r="O49" s="51">
        <f ca="1"/>
        <v>155.13674367260327</v>
      </c>
      <c r="P49" s="51">
        <f ca="1"/>
        <v>3.3564156834259373</v>
      </c>
      <c r="Q49" s="51">
        <f ca="1"/>
        <v>0.87034592713931369</v>
      </c>
      <c r="S49" s="51">
        <f ca="1"/>
        <v>9.901758674876705E-4</v>
      </c>
      <c r="T49" s="51">
        <f ca="1"/>
        <v>75.031535138132369</v>
      </c>
      <c r="U49" s="51">
        <f ca="1"/>
        <v>1.623322852648128</v>
      </c>
      <c r="V49" s="51">
        <f ca="1"/>
        <v>0.76452003077326702</v>
      </c>
    </row>
    <row r="50" spans="3:22" x14ac:dyDescent="0.45">
      <c r="C50" s="52">
        <f t="shared" si="0"/>
        <v>61</v>
      </c>
      <c r="D50" s="51">
        <f ca="1"/>
        <v>6.4947377620698283</v>
      </c>
      <c r="E50" s="51">
        <f ca="1"/>
        <v>88.585495318974168</v>
      </c>
      <c r="F50" s="51">
        <f ca="1"/>
        <v>1.9165655973812183</v>
      </c>
      <c r="G50" s="51">
        <f ca="1"/>
        <v>0.79309479513329173</v>
      </c>
      <c r="I50" s="51">
        <f ca="1"/>
        <v>9.7421066431047425</v>
      </c>
      <c r="J50" s="51">
        <f ca="1"/>
        <v>132.87824297846132</v>
      </c>
      <c r="K50" s="51">
        <f ca="1"/>
        <v>2.8748483960718292</v>
      </c>
      <c r="L50" s="51">
        <f ca="1"/>
        <v>0.85184519678514226</v>
      </c>
      <c r="N50" s="51">
        <f ca="1"/>
        <v>12.989475524139657</v>
      </c>
      <c r="O50" s="51">
        <f ca="1"/>
        <v>177.17099063794834</v>
      </c>
      <c r="P50" s="51">
        <f ca="1"/>
        <v>3.8331311947624367</v>
      </c>
      <c r="Q50" s="51">
        <f ca="1"/>
        <v>0.88461000197631612</v>
      </c>
      <c r="S50" s="51">
        <f ca="1"/>
        <v>2.8212927585693327E-4</v>
      </c>
      <c r="T50" s="51">
        <f ca="1"/>
        <v>70.415998322837609</v>
      </c>
      <c r="U50" s="51">
        <f ca="1"/>
        <v>1.5234647546402289</v>
      </c>
      <c r="V50" s="51">
        <f ca="1"/>
        <v>0.75289908121532867</v>
      </c>
    </row>
    <row r="51" spans="3:22" x14ac:dyDescent="0.45">
      <c r="C51" s="52">
        <f t="shared" si="0"/>
        <v>61.5</v>
      </c>
      <c r="D51" s="51">
        <f ca="1"/>
        <v>1.8505355683355478</v>
      </c>
      <c r="E51" s="51">
        <f ca="1"/>
        <v>87.634237455012553</v>
      </c>
      <c r="F51" s="51">
        <f ca="1"/>
        <v>1.8959849358435426</v>
      </c>
      <c r="G51" s="51">
        <f ca="1"/>
        <v>0.79131755274414217</v>
      </c>
      <c r="I51" s="51">
        <f ca="1"/>
        <v>2.7758033525033232</v>
      </c>
      <c r="J51" s="51">
        <f ca="1"/>
        <v>131.45135618251891</v>
      </c>
      <c r="K51" s="51">
        <f ca="1"/>
        <v>2.8439774037653156</v>
      </c>
      <c r="L51" s="51">
        <f ca="1"/>
        <v>0.85047745853874479</v>
      </c>
      <c r="N51" s="51">
        <f ca="1"/>
        <v>3.7010711366710956</v>
      </c>
      <c r="O51" s="51">
        <f ca="1"/>
        <v>175.26847491002511</v>
      </c>
      <c r="P51" s="51">
        <f ca="1"/>
        <v>3.7919698716870851</v>
      </c>
      <c r="Q51" s="51">
        <f ca="1"/>
        <v>0.88350337608417084</v>
      </c>
      <c r="S51" s="51">
        <f ca="1"/>
        <v>8.0386657470773692E-5</v>
      </c>
      <c r="T51" s="51">
        <f ca="1"/>
        <v>66.08393626170195</v>
      </c>
      <c r="U51" s="51">
        <f ca="1"/>
        <v>1.4297396918385017</v>
      </c>
      <c r="V51" s="51">
        <f ca="1"/>
        <v>0.74089769614282019</v>
      </c>
    </row>
    <row r="52" spans="3:22" x14ac:dyDescent="0.45">
      <c r="C52" s="52">
        <f t="shared" si="0"/>
        <v>62</v>
      </c>
      <c r="D52" s="51">
        <f ca="1"/>
        <v>0.52727023247565408</v>
      </c>
      <c r="E52" s="51">
        <f ca="1"/>
        <v>83.524500964720545</v>
      </c>
      <c r="F52" s="51">
        <f ca="1"/>
        <v>1.8070699329614759</v>
      </c>
      <c r="G52" s="51">
        <f ca="1"/>
        <v>0.78327488349771268</v>
      </c>
      <c r="I52" s="51">
        <f ca="1"/>
        <v>0.79090534871348162</v>
      </c>
      <c r="J52" s="51">
        <f ca="1"/>
        <v>125.2867514470808</v>
      </c>
      <c r="K52" s="51">
        <f ca="1"/>
        <v>2.7106048994422136</v>
      </c>
      <c r="L52" s="51">
        <f ca="1"/>
        <v>0.84426610696106952</v>
      </c>
      <c r="N52" s="51">
        <f ca="1"/>
        <v>1.0545404649513082</v>
      </c>
      <c r="O52" s="51">
        <f ca="1"/>
        <v>167.04900192944109</v>
      </c>
      <c r="P52" s="51">
        <f ca="1"/>
        <v>3.6141398659229518</v>
      </c>
      <c r="Q52" s="51">
        <f ca="1"/>
        <v>0.87846791400033464</v>
      </c>
      <c r="S52" s="51">
        <f ca="1"/>
        <v>2.2904445771166131E-5</v>
      </c>
      <c r="T52" s="51">
        <f ca="1"/>
        <v>62.018259232853083</v>
      </c>
      <c r="U52" s="51">
        <f ca="1"/>
        <v>1.3417779245593631</v>
      </c>
      <c r="V52" s="51">
        <f ca="1"/>
        <v>0.72852318765867352</v>
      </c>
    </row>
    <row r="53" spans="3:22" x14ac:dyDescent="0.45">
      <c r="C53" s="52">
        <f t="shared" si="0"/>
        <v>62.5</v>
      </c>
      <c r="D53" s="51">
        <f ca="1"/>
        <v>0.15023429044651546</v>
      </c>
      <c r="E53" s="51">
        <f ca="1"/>
        <v>78.750995095726125</v>
      </c>
      <c r="F53" s="51">
        <f ca="1"/>
        <v>1.7037941416542226</v>
      </c>
      <c r="G53" s="51">
        <f ca="1"/>
        <v>0.77311855470099045</v>
      </c>
      <c r="I53" s="51">
        <f ca="1"/>
        <v>0.22535143566977353</v>
      </c>
      <c r="J53" s="51">
        <f ca="1"/>
        <v>118.12649264358923</v>
      </c>
      <c r="K53" s="51">
        <f ca="1"/>
        <v>2.5556912124813347</v>
      </c>
      <c r="L53" s="51">
        <f ca="1"/>
        <v>0.83637090097399547</v>
      </c>
      <c r="N53" s="51">
        <f ca="1"/>
        <v>0.30046858089303091</v>
      </c>
      <c r="O53" s="51">
        <f ca="1"/>
        <v>157.50199019145225</v>
      </c>
      <c r="P53" s="51">
        <f ca="1"/>
        <v>3.4075882833084452</v>
      </c>
      <c r="Q53" s="51">
        <f ca="1"/>
        <v>0.87204383784858108</v>
      </c>
      <c r="S53" s="51">
        <f ca="1"/>
        <v>6.526128248024553E-6</v>
      </c>
      <c r="T53" s="51">
        <f ca="1"/>
        <v>58.202678153659889</v>
      </c>
      <c r="U53" s="51">
        <f ca="1"/>
        <v>1.259227035115569</v>
      </c>
      <c r="V53" s="51">
        <f ca="1"/>
        <v>0.71578426773827208</v>
      </c>
    </row>
    <row r="54" spans="3:22" x14ac:dyDescent="0.45">
      <c r="C54" s="52">
        <f t="shared" si="0"/>
        <v>63</v>
      </c>
      <c r="D54" s="51">
        <f ca="1"/>
        <v>4.2806023620933595E-2</v>
      </c>
      <c r="E54" s="51">
        <f ca="1"/>
        <v>74.010003356666274</v>
      </c>
      <c r="F54" s="51">
        <f ca="1"/>
        <v>1.6012218003038385</v>
      </c>
      <c r="G54" s="51">
        <f ca="1"/>
        <v>0.76204320746734133</v>
      </c>
      <c r="I54" s="51">
        <f ca="1"/>
        <v>6.4209035431400441E-2</v>
      </c>
      <c r="J54" s="51">
        <f ca="1"/>
        <v>111.01500503499936</v>
      </c>
      <c r="K54" s="51">
        <f ca="1"/>
        <v>2.4018327004557567</v>
      </c>
      <c r="L54" s="51">
        <f ca="1"/>
        <v>0.82769509768034843</v>
      </c>
      <c r="N54" s="51">
        <f ca="1"/>
        <v>8.561204724186719E-2</v>
      </c>
      <c r="O54" s="51">
        <f ca="1"/>
        <v>148.02000671333255</v>
      </c>
      <c r="P54" s="51">
        <f ca="1"/>
        <v>3.2024436006076771</v>
      </c>
      <c r="Q54" s="51">
        <f ca="1"/>
        <v>0.86495405360990896</v>
      </c>
      <c r="S54" s="51">
        <f ca="1"/>
        <v>1.8594796108657628E-6</v>
      </c>
      <c r="T54" s="51">
        <f ca="1"/>
        <v>54.621834651486438</v>
      </c>
      <c r="U54" s="51">
        <f ca="1"/>
        <v>1.1817547419240024</v>
      </c>
      <c r="V54" s="51">
        <f ca="1"/>
        <v>0.70269148792291936</v>
      </c>
    </row>
    <row r="55" spans="3:22" x14ac:dyDescent="0.45">
      <c r="C55" s="52">
        <f t="shared" si="0"/>
        <v>63.5</v>
      </c>
      <c r="D55" s="51">
        <f ca="1"/>
        <v>1.2196653991508393E-2</v>
      </c>
      <c r="E55" s="51">
        <f ca="1"/>
        <v>69.486280545119627</v>
      </c>
      <c r="F55" s="51">
        <f ca="1"/>
        <v>1.5033501173439994</v>
      </c>
      <c r="G55" s="51">
        <f ca="1"/>
        <v>0.75041806438562519</v>
      </c>
      <c r="I55" s="51">
        <f ca="1"/>
        <v>1.829498098726259E-2</v>
      </c>
      <c r="J55" s="51">
        <f ca="1"/>
        <v>104.22942081767926</v>
      </c>
      <c r="K55" s="51">
        <f ca="1"/>
        <v>2.2550251760159954</v>
      </c>
      <c r="L55" s="51">
        <f ca="1"/>
        <v>0.81851345521167129</v>
      </c>
      <c r="N55" s="51">
        <f ca="1"/>
        <v>2.4393307983016786E-2</v>
      </c>
      <c r="O55" s="51">
        <f ca="1"/>
        <v>138.97256109023925</v>
      </c>
      <c r="P55" s="51">
        <f ca="1"/>
        <v>3.0067002346879987</v>
      </c>
      <c r="Q55" s="51">
        <f ca="1"/>
        <v>0.85741581357481322</v>
      </c>
      <c r="S55" s="51">
        <f ca="1"/>
        <v>5.2981864465690197E-7</v>
      </c>
      <c r="T55" s="51">
        <f ca="1"/>
        <v>51.261294898868591</v>
      </c>
      <c r="U55" s="51">
        <f ca="1"/>
        <v>1.1090487661284387</v>
      </c>
      <c r="V55" s="51">
        <f ca="1"/>
        <v>0.68925739820610965</v>
      </c>
    </row>
    <row r="56" spans="3:22" x14ac:dyDescent="0.45">
      <c r="C56" s="52">
        <f t="shared" si="0"/>
        <v>64</v>
      </c>
      <c r="D56" s="51">
        <f ca="1"/>
        <v>3.4751737256863485E-3</v>
      </c>
      <c r="E56" s="51">
        <f ca="1"/>
        <v>65.219671324925358</v>
      </c>
      <c r="F56" s="51">
        <f ca="1"/>
        <v>1.4110411403557277</v>
      </c>
      <c r="G56" s="51">
        <f ca="1"/>
        <v>0.73836251379343498</v>
      </c>
      <c r="I56" s="51">
        <f ca="1"/>
        <v>5.212760588529518E-3</v>
      </c>
      <c r="J56" s="51">
        <f ca="1"/>
        <v>97.82950698738783</v>
      </c>
      <c r="K56" s="51">
        <f ca="1"/>
        <v>2.116561710533587</v>
      </c>
      <c r="L56" s="51">
        <f ca="1"/>
        <v>0.80890953269432475</v>
      </c>
      <c r="N56" s="51">
        <f ca="1"/>
        <v>6.950347451372697E-3</v>
      </c>
      <c r="O56" s="51">
        <f ca="1"/>
        <v>130.43934264985072</v>
      </c>
      <c r="P56" s="51">
        <f ca="1"/>
        <v>2.8220822807114554</v>
      </c>
      <c r="Q56" s="51">
        <f ca="1"/>
        <v>0.84949198793085878</v>
      </c>
      <c r="S56" s="51">
        <f ca="1"/>
        <v>80.000000150960403</v>
      </c>
      <c r="T56" s="51">
        <f ca="1"/>
        <v>48.107507290705229</v>
      </c>
      <c r="U56" s="51">
        <f ca="1"/>
        <v>1.040815915936784</v>
      </c>
      <c r="V56" s="51">
        <f ca="1"/>
        <v>0.67549660226866859</v>
      </c>
    </row>
    <row r="57" spans="3:22" x14ac:dyDescent="0.45">
      <c r="C57" s="52">
        <f t="shared" si="0"/>
        <v>64.5</v>
      </c>
      <c r="D57" s="51">
        <f ca="1"/>
        <v>9.9017586561928484E-4</v>
      </c>
      <c r="E57" s="51">
        <f ca="1"/>
        <v>61.20951867409385</v>
      </c>
      <c r="F57" s="51">
        <f ca="1"/>
        <v>1.3242806545317629</v>
      </c>
      <c r="G57" s="51">
        <f ca="1"/>
        <v>0.72591936511636435</v>
      </c>
      <c r="I57" s="51">
        <f ca="1"/>
        <v>1.485263798428926E-3</v>
      </c>
      <c r="J57" s="51">
        <f ca="1"/>
        <v>91.814278011140615</v>
      </c>
      <c r="K57" s="51">
        <f ca="1"/>
        <v>1.9864209817976408</v>
      </c>
      <c r="L57" s="51">
        <f ca="1"/>
        <v>0.79890774584820778</v>
      </c>
      <c r="N57" s="51">
        <f ca="1"/>
        <v>1.9803517312385697E-3</v>
      </c>
      <c r="O57" s="51">
        <f ca="1"/>
        <v>122.4190373481877</v>
      </c>
      <c r="P57" s="51">
        <f ca="1"/>
        <v>2.6485613090635258</v>
      </c>
      <c r="Q57" s="51">
        <f ca="1"/>
        <v>0.84119731174975454</v>
      </c>
      <c r="S57" s="51">
        <f ca="1"/>
        <v>22.794276100074775</v>
      </c>
      <c r="T57" s="51">
        <f ca="1"/>
        <v>100.56314483266905</v>
      </c>
      <c r="U57" s="51">
        <f ca="1"/>
        <v>2.1757045333072282</v>
      </c>
      <c r="V57" s="51">
        <f ca="1"/>
        <v>0.81313332852114684</v>
      </c>
    </row>
    <row r="58" spans="3:22" x14ac:dyDescent="0.45">
      <c r="C58" s="52">
        <f t="shared" si="0"/>
        <v>65</v>
      </c>
      <c r="D58" s="51">
        <f ca="1"/>
        <v>2.8212927532457715E-4</v>
      </c>
      <c r="E58" s="51">
        <f ca="1"/>
        <v>57.444364382353136</v>
      </c>
      <c r="F58" s="51">
        <f ca="1"/>
        <v>1.2428207591121019</v>
      </c>
      <c r="G58" s="51">
        <f ca="1"/>
        <v>0.71310876498009457</v>
      </c>
      <c r="I58" s="51">
        <f ca="1"/>
        <v>4.2319391298686513E-4</v>
      </c>
      <c r="J58" s="51">
        <f ca="1"/>
        <v>86.166546573529601</v>
      </c>
      <c r="K58" s="51">
        <f ca="1"/>
        <v>1.8642311386681507</v>
      </c>
      <c r="L58" s="51">
        <f ca="1"/>
        <v>0.78851475567584872</v>
      </c>
      <c r="N58" s="51">
        <f ca="1"/>
        <v>5.642585506491543E-4</v>
      </c>
      <c r="O58" s="51">
        <f ca="1"/>
        <v>114.88872876470627</v>
      </c>
      <c r="P58" s="51">
        <f ca="1"/>
        <v>2.4856415182242038</v>
      </c>
      <c r="Q58" s="51">
        <f ca="1"/>
        <v>0.83253180365156854</v>
      </c>
      <c r="S58" s="51">
        <f ca="1"/>
        <v>6.4947377743249017</v>
      </c>
      <c r="T58" s="51">
        <f ca="1"/>
        <v>110.16554328384535</v>
      </c>
      <c r="U58" s="51">
        <f ca="1"/>
        <v>2.38345441896971</v>
      </c>
      <c r="V58" s="51">
        <f ca="1"/>
        <v>0.82659687744304433</v>
      </c>
    </row>
    <row r="59" spans="3:22" x14ac:dyDescent="0.45">
      <c r="C59" s="52">
        <f t="shared" si="0"/>
        <v>65.5</v>
      </c>
      <c r="D59" s="51">
        <f ca="1"/>
        <v>8.0386657319090257E-5</v>
      </c>
      <c r="E59" s="51">
        <f ca="1"/>
        <v>53.910366108338536</v>
      </c>
      <c r="F59" s="51">
        <f ca="1"/>
        <v>1.1663619721651801</v>
      </c>
      <c r="G59" s="51">
        <f ca="1"/>
        <v>0.69994514496131521</v>
      </c>
      <c r="I59" s="51">
        <f ca="1"/>
        <v>1.2057998597863526E-4</v>
      </c>
      <c r="J59" s="51">
        <f ca="1"/>
        <v>80.865549162507719</v>
      </c>
      <c r="K59" s="51">
        <f ca="1"/>
        <v>1.7495429582477682</v>
      </c>
      <c r="L59" s="51">
        <f ca="1"/>
        <v>0.7777326286805103</v>
      </c>
      <c r="N59" s="51">
        <f ca="1"/>
        <v>1.6077331463818051E-4</v>
      </c>
      <c r="O59" s="51">
        <f ca="1"/>
        <v>107.82073221667707</v>
      </c>
      <c r="P59" s="51">
        <f ca="1"/>
        <v>2.3327239443303602</v>
      </c>
      <c r="Q59" s="51">
        <f ca="1"/>
        <v>0.82349144857523449</v>
      </c>
      <c r="S59" s="51">
        <f ca="1"/>
        <v>1.8505355718273673</v>
      </c>
      <c r="T59" s="51">
        <f ca="1"/>
        <v>107.88659958061255</v>
      </c>
      <c r="U59" s="51">
        <f ca="1"/>
        <v>2.3341489984349217</v>
      </c>
      <c r="V59" s="51">
        <f ca="1"/>
        <v>0.82358019981443786</v>
      </c>
    </row>
    <row r="60" spans="3:22" x14ac:dyDescent="0.45">
      <c r="C60" s="52">
        <f t="shared" si="0"/>
        <v>66</v>
      </c>
      <c r="D60" s="51">
        <f ca="1"/>
        <v>2.2904445727947203E-5</v>
      </c>
      <c r="E60" s="51">
        <f ca="1"/>
        <v>50.593652975939065</v>
      </c>
      <c r="F60" s="51">
        <f ca="1"/>
        <v>1.0946041944042673</v>
      </c>
      <c r="G60" s="51">
        <f ca="1"/>
        <v>0.68644256565072159</v>
      </c>
      <c r="I60" s="51">
        <f ca="1"/>
        <v>3.4356668591920767E-5</v>
      </c>
      <c r="J60" s="51">
        <f ca="1"/>
        <v>75.890479463908548</v>
      </c>
      <c r="K60" s="51">
        <f ca="1"/>
        <v>1.6419062916064</v>
      </c>
      <c r="L60" s="51">
        <f ca="1"/>
        <v>0.76656308356748559</v>
      </c>
      <c r="N60" s="51">
        <f ca="1"/>
        <v>4.5808891455894406E-5</v>
      </c>
      <c r="O60" s="51">
        <f ca="1"/>
        <v>101.18730595187813</v>
      </c>
      <c r="P60" s="51">
        <f ca="1"/>
        <v>2.1892083888085345</v>
      </c>
      <c r="Q60" s="51">
        <f ca="1"/>
        <v>0.81407167920462753</v>
      </c>
      <c r="S60" s="51">
        <f ca="1"/>
        <v>0.527270233470573</v>
      </c>
      <c r="T60" s="51">
        <f ca="1"/>
        <v>102.53086147950636</v>
      </c>
      <c r="U60" s="51">
        <f ca="1"/>
        <v>2.2182764918106308</v>
      </c>
      <c r="V60" s="51">
        <f ca="1"/>
        <v>0.81605991829515756</v>
      </c>
    </row>
    <row r="61" spans="3:22" x14ac:dyDescent="0.45">
      <c r="C61" s="52">
        <f t="shared" si="0"/>
        <v>66.5</v>
      </c>
      <c r="D61" s="51">
        <f ca="1"/>
        <v>6.5261282357102415E-6</v>
      </c>
      <c r="E61" s="51">
        <f ca="1"/>
        <v>47.480956712767963</v>
      </c>
      <c r="F61" s="51">
        <f ca="1"/>
        <v>1.0272603639994153</v>
      </c>
      <c r="G61" s="51">
        <f ca="1"/>
        <v>0.67261639744865964</v>
      </c>
      <c r="I61" s="51">
        <f ca="1"/>
        <v>9.7891923535653563E-6</v>
      </c>
      <c r="J61" s="51">
        <f ca="1"/>
        <v>71.221435069151909</v>
      </c>
      <c r="K61" s="51">
        <f ca="1"/>
        <v>1.5408905459991222</v>
      </c>
      <c r="L61" s="51">
        <f ca="1"/>
        <v>0.75500890972316981</v>
      </c>
      <c r="N61" s="51">
        <f ca="1"/>
        <v>1.3052256471420483E-5</v>
      </c>
      <c r="O61" s="51">
        <f ca="1"/>
        <v>94.961913425535926</v>
      </c>
      <c r="P61" s="51">
        <f ca="1"/>
        <v>2.0545207279988307</v>
      </c>
      <c r="Q61" s="51">
        <f ca="1"/>
        <v>0.80426856806454972</v>
      </c>
      <c r="S61" s="51">
        <f ca="1"/>
        <v>0.15023429072999625</v>
      </c>
      <c r="T61" s="51">
        <f ca="1"/>
        <v>96.58801271103772</v>
      </c>
      <c r="U61" s="51">
        <f ca="1"/>
        <v>2.0897017239090196</v>
      </c>
      <c r="V61" s="51">
        <f ca="1"/>
        <v>0.80692757185747399</v>
      </c>
    </row>
    <row r="62" spans="3:22" x14ac:dyDescent="0.45">
      <c r="C62" s="52">
        <f t="shared" si="0"/>
        <v>67</v>
      </c>
      <c r="D62" s="51">
        <f ca="1"/>
        <v>1.8594796073570669E-6</v>
      </c>
      <c r="E62" s="51">
        <f ca="1"/>
        <v>44.559753904807593</v>
      </c>
      <c r="F62" s="51">
        <f ca="1"/>
        <v>0.96405953428625712</v>
      </c>
      <c r="G62" s="51">
        <f ca="1"/>
        <v>0.65848383327952931</v>
      </c>
      <c r="I62" s="51">
        <f ca="1"/>
        <v>2.7892194110355992E-6</v>
      </c>
      <c r="J62" s="51">
        <f ca="1"/>
        <v>66.83963085721139</v>
      </c>
      <c r="K62" s="51">
        <f ca="1"/>
        <v>1.4460893014293856</v>
      </c>
      <c r="L62" s="51">
        <f ca="1"/>
        <v>0.74307448294754286</v>
      </c>
      <c r="N62" s="51">
        <f ca="1"/>
        <v>3.7189592147141339E-6</v>
      </c>
      <c r="O62" s="51">
        <f ca="1"/>
        <v>89.119507809615186</v>
      </c>
      <c r="P62" s="51">
        <f ca="1"/>
        <v>1.9281190685725142</v>
      </c>
      <c r="Q62" s="51">
        <f ca="1"/>
        <v>0.79407929105636943</v>
      </c>
      <c r="S62" s="51">
        <f ca="1"/>
        <v>4.2806023701705283E-2</v>
      </c>
      <c r="T62" s="51">
        <f ca="1"/>
        <v>90.749620452367722</v>
      </c>
      <c r="U62" s="51">
        <f ca="1"/>
        <v>1.9633868943007122</v>
      </c>
      <c r="V62" s="51">
        <f ca="1"/>
        <v>0.79702741735096527</v>
      </c>
    </row>
    <row r="63" spans="3:22" x14ac:dyDescent="0.45">
      <c r="C63" s="52">
        <f t="shared" si="0"/>
        <v>67.5</v>
      </c>
      <c r="D63" s="51">
        <f ca="1"/>
        <v>5.298186436571745E-7</v>
      </c>
      <c r="E63" s="51">
        <f ca="1"/>
        <v>41.818271265877897</v>
      </c>
      <c r="F63" s="51">
        <f ca="1"/>
        <v>0.9047469877720522</v>
      </c>
      <c r="G63" s="51">
        <f ca="1"/>
        <v>0.64406401697076654</v>
      </c>
      <c r="I63" s="51">
        <f ca="1"/>
        <v>7.9472796548576164E-7</v>
      </c>
      <c r="J63" s="51">
        <f ca="1"/>
        <v>62.727406898816888</v>
      </c>
      <c r="K63" s="51">
        <f ca="1"/>
        <v>1.3571204816580793</v>
      </c>
      <c r="L63" s="51">
        <f ca="1"/>
        <v>0.73076598694685191</v>
      </c>
      <c r="N63" s="51">
        <f ca="1"/>
        <v>1.059637287314349E-6</v>
      </c>
      <c r="O63" s="51">
        <f ca="1"/>
        <v>83.636542531755794</v>
      </c>
      <c r="P63" s="51">
        <f ca="1"/>
        <v>1.8094939755441044</v>
      </c>
      <c r="Q63" s="51">
        <f ca="1"/>
        <v>0.78350235796471268</v>
      </c>
      <c r="S63" s="51">
        <f ca="1"/>
        <v>1.2196654014522542E-2</v>
      </c>
      <c r="T63" s="51">
        <f ca="1"/>
        <v>85.196013335194877</v>
      </c>
      <c r="U63" s="51">
        <f ca="1"/>
        <v>1.8432334504009056</v>
      </c>
      <c r="V63" s="51">
        <f ca="1"/>
        <v>0.7866196388095883</v>
      </c>
    </row>
    <row r="64" spans="3:22" x14ac:dyDescent="0.45">
      <c r="C64" s="52">
        <f t="shared" si="0"/>
        <v>68</v>
      </c>
      <c r="D64" s="51">
        <f ca="1"/>
        <v>1.5096040529624647E-7</v>
      </c>
      <c r="E64" s="51">
        <f ca="1"/>
        <v>39.245454045639356</v>
      </c>
      <c r="F64" s="51">
        <f ca="1"/>
        <v>0.84908355263626656</v>
      </c>
      <c r="G64" s="51">
        <f ca="1"/>
        <v>0.62937803294470407</v>
      </c>
      <c r="I64" s="51">
        <f ca="1"/>
        <v>2.2644060794436978E-7</v>
      </c>
      <c r="J64" s="51">
        <f ca="1"/>
        <v>58.868181068459009</v>
      </c>
      <c r="K64" s="51">
        <f ca="1"/>
        <v>1.2736253289543993</v>
      </c>
      <c r="L64" s="51">
        <f ca="1"/>
        <v>0.71809153160055306</v>
      </c>
      <c r="N64" s="51">
        <f ca="1"/>
        <v>3.0192081059249295E-7</v>
      </c>
      <c r="O64" s="51">
        <f ca="1"/>
        <v>78.490908091278712</v>
      </c>
      <c r="P64" s="51">
        <f ca="1"/>
        <v>1.6981671052725331</v>
      </c>
      <c r="Q64" s="51">
        <f ca="1"/>
        <v>0.77253776621408909</v>
      </c>
      <c r="S64" s="51">
        <f ca="1"/>
        <v>3.4751737322437351E-3</v>
      </c>
      <c r="T64" s="51">
        <f ca="1"/>
        <v>79.962882171625623</v>
      </c>
      <c r="U64" s="51">
        <f ca="1"/>
        <v>1.7300135703453032</v>
      </c>
      <c r="V64" s="51">
        <f ca="1"/>
        <v>0.77578611778466533</v>
      </c>
    </row>
    <row r="65" spans="2:23" x14ac:dyDescent="0.45">
      <c r="C65" s="52">
        <f t="shared" si="0"/>
        <v>68.5</v>
      </c>
      <c r="D65" s="51">
        <f ca="1"/>
        <v>4.3012914400107317E-8</v>
      </c>
      <c r="E65" s="51">
        <f ca="1"/>
        <v>36.830925970746755</v>
      </c>
      <c r="F65" s="51">
        <f ca="1"/>
        <v>0.79684473604911055</v>
      </c>
      <c r="G65" s="51">
        <f ca="1"/>
        <v>0.61444883408073192</v>
      </c>
      <c r="I65" s="51">
        <f ca="1"/>
        <v>6.4519371600160979E-8</v>
      </c>
      <c r="J65" s="51">
        <f ca="1"/>
        <v>55.246388956120114</v>
      </c>
      <c r="K65" s="51">
        <f ca="1"/>
        <v>1.1952671040736653</v>
      </c>
      <c r="L65" s="51">
        <f ca="1"/>
        <v>0.70506122675387373</v>
      </c>
      <c r="N65" s="51">
        <f ca="1"/>
        <v>8.6025828800214634E-8</v>
      </c>
      <c r="O65" s="51">
        <f ca="1"/>
        <v>73.661851941493509</v>
      </c>
      <c r="P65" s="51">
        <f ca="1"/>
        <v>1.5936894720982211</v>
      </c>
      <c r="Q65" s="51">
        <f ca="1"/>
        <v>0.76118712604552674</v>
      </c>
      <c r="S65" s="51">
        <f ca="1"/>
        <v>9.901758674876705E-4</v>
      </c>
      <c r="T65" s="51">
        <f ca="1"/>
        <v>75.045671648472734</v>
      </c>
      <c r="U65" s="51">
        <f ca="1"/>
        <v>1.6236286989866038</v>
      </c>
      <c r="V65" s="51">
        <f ca="1"/>
        <v>0.76455394474627314</v>
      </c>
    </row>
    <row r="66" spans="2:23" x14ac:dyDescent="0.45">
      <c r="C66" s="52">
        <f t="shared" si="0"/>
        <v>69</v>
      </c>
      <c r="D66" s="51">
        <f ca="1"/>
        <v>1.2255603060685222E-8</v>
      </c>
      <c r="E66" s="51">
        <f ca="1"/>
        <v>34.564948684324946</v>
      </c>
      <c r="F66" s="51">
        <f ca="1"/>
        <v>0.74781984663616985</v>
      </c>
      <c r="G66" s="51">
        <f ca="1"/>
        <v>0.59930113201205848</v>
      </c>
      <c r="I66" s="51">
        <f ca="1"/>
        <v>1.838340459102783E-8</v>
      </c>
      <c r="J66" s="51">
        <f ca="1"/>
        <v>51.847423026487405</v>
      </c>
      <c r="K66" s="51">
        <f ca="1"/>
        <v>1.1217297699542543</v>
      </c>
      <c r="L66" s="51">
        <f ca="1"/>
        <v>0.69168722849916975</v>
      </c>
      <c r="N66" s="51">
        <f ca="1"/>
        <v>2.4511206121370444E-8</v>
      </c>
      <c r="O66" s="51">
        <f ca="1"/>
        <v>69.129897368649893</v>
      </c>
      <c r="P66" s="51">
        <f ca="1"/>
        <v>1.4956396932723397</v>
      </c>
      <c r="Q66" s="51">
        <f ca="1"/>
        <v>0.74945377079560505</v>
      </c>
      <c r="S66" s="51">
        <f ca="1"/>
        <v>2.8212927585693327E-4</v>
      </c>
      <c r="T66" s="51">
        <f ca="1"/>
        <v>70.429265101806493</v>
      </c>
      <c r="U66" s="51">
        <f ca="1"/>
        <v>1.5237517841597714</v>
      </c>
      <c r="V66" s="51">
        <f ca="1"/>
        <v>0.752934127636808</v>
      </c>
    </row>
    <row r="67" spans="2:23" x14ac:dyDescent="0.45">
      <c r="C67" s="52">
        <f t="shared" si="0"/>
        <v>69.5</v>
      </c>
      <c r="D67" s="51">
        <f ca="1"/>
        <v>3.491969992637891E-9</v>
      </c>
      <c r="E67" s="51">
        <f ca="1"/>
        <v>32.4383828357116</v>
      </c>
      <c r="F67" s="51">
        <f ca="1"/>
        <v>0.70181115264690497</v>
      </c>
      <c r="G67" s="51">
        <f ca="1"/>
        <v>0.5839612580572372</v>
      </c>
      <c r="I67" s="51">
        <f ca="1"/>
        <v>5.2379549889568328E-9</v>
      </c>
      <c r="J67" s="51">
        <f ca="1"/>
        <v>48.65757425356734</v>
      </c>
      <c r="K67" s="51">
        <f ca="1"/>
        <v>1.0527167289703561</v>
      </c>
      <c r="L67" s="51">
        <f ca="1"/>
        <v>0.67798376183429021</v>
      </c>
      <c r="N67" s="51">
        <f ca="1"/>
        <v>6.983939985275782E-9</v>
      </c>
      <c r="O67" s="51">
        <f ca="1"/>
        <v>64.8767656714232</v>
      </c>
      <c r="P67" s="51">
        <f ca="1"/>
        <v>1.4036223052938099</v>
      </c>
      <c r="Q67" s="51">
        <f ca="1"/>
        <v>0.73734285493002316</v>
      </c>
      <c r="S67" s="51">
        <f ca="1"/>
        <v>8.0386657470773692E-5</v>
      </c>
      <c r="T67" s="51">
        <f ca="1"/>
        <v>66.09638681844973</v>
      </c>
      <c r="U67" s="51">
        <f ca="1"/>
        <v>1.4300090622206971</v>
      </c>
      <c r="V67" s="51">
        <f ca="1"/>
        <v>0.74093385891945374</v>
      </c>
    </row>
    <row r="68" spans="2:23" x14ac:dyDescent="0.45">
      <c r="C68" s="52">
        <f t="shared" si="0"/>
        <v>70</v>
      </c>
      <c r="D68" s="51">
        <f ca="1"/>
        <v>9.9496159993955371E-10</v>
      </c>
      <c r="E68" s="51">
        <f ca="1"/>
        <v>30.442651323292839</v>
      </c>
      <c r="F68" s="51">
        <f ca="1"/>
        <v>0.65863308670576304</v>
      </c>
      <c r="G68" s="51">
        <f ca="1"/>
        <v>0.56845699839143649</v>
      </c>
      <c r="I68" s="51">
        <f ca="1"/>
        <v>1.4924423999093315E-9</v>
      </c>
      <c r="J68" s="51">
        <f ca="1"/>
        <v>45.663976984939247</v>
      </c>
      <c r="K68" s="51">
        <f ca="1"/>
        <v>0.98794963005864433</v>
      </c>
      <c r="L68" s="51">
        <f ca="1"/>
        <v>0.66396711965290545</v>
      </c>
      <c r="N68" s="51">
        <f ca="1"/>
        <v>1.9899231998791074E-9</v>
      </c>
      <c r="O68" s="51">
        <f ca="1"/>
        <v>60.885302646585679</v>
      </c>
      <c r="P68" s="51">
        <f ca="1"/>
        <v>1.3172661734115261</v>
      </c>
      <c r="Q68" s="51">
        <f ca="1"/>
        <v>0.72486143894850708</v>
      </c>
      <c r="S68" s="51">
        <f ca="1"/>
        <v>2.2904445771166131E-5</v>
      </c>
      <c r="T68" s="51">
        <f ca="1"/>
        <v>62.029943784445699</v>
      </c>
      <c r="U68" s="51">
        <f ca="1"/>
        <v>1.3420307222608672</v>
      </c>
      <c r="V68" s="51">
        <f ca="1"/>
        <v>0.72856044475397719</v>
      </c>
    </row>
    <row r="69" spans="2:23" x14ac:dyDescent="0.45">
      <c r="C69" s="52">
        <f t="shared" si="0"/>
        <v>70.5</v>
      </c>
      <c r="D69" s="51">
        <f ca="1"/>
        <v>2.8349286718997661E-10</v>
      </c>
      <c r="E69" s="51">
        <f ca="1"/>
        <v>28.569704730164112</v>
      </c>
      <c r="F69" s="51">
        <f ca="1"/>
        <v>0.6181114980055189</v>
      </c>
      <c r="G69" s="51">
        <f ca="1"/>
        <v>0.55281740605306606</v>
      </c>
      <c r="I69" s="51">
        <f ca="1"/>
        <v>4.252393007849652E-10</v>
      </c>
      <c r="J69" s="51">
        <f ca="1"/>
        <v>42.85455709524615</v>
      </c>
      <c r="K69" s="51">
        <f ca="1"/>
        <v>0.92716724700827791</v>
      </c>
      <c r="L69" s="51">
        <f ca="1"/>
        <v>0.64965563703333795</v>
      </c>
      <c r="N69" s="51">
        <f ca="1"/>
        <v>5.6698573437995322E-10</v>
      </c>
      <c r="O69" s="51">
        <f ca="1"/>
        <v>57.139409460328224</v>
      </c>
      <c r="P69" s="51">
        <f ca="1"/>
        <v>1.2362229960110378</v>
      </c>
      <c r="Q69" s="51">
        <f ca="1"/>
        <v>0.71201855916622059</v>
      </c>
      <c r="S69" s="51">
        <f ca="1"/>
        <v>6.526128248024553E-6</v>
      </c>
      <c r="T69" s="51">
        <f ca="1"/>
        <v>58.213643827620167</v>
      </c>
      <c r="U69" s="51">
        <f ca="1"/>
        <v>1.2594642797501301</v>
      </c>
      <c r="V69" s="51">
        <f ca="1"/>
        <v>0.71582259114063551</v>
      </c>
    </row>
    <row r="70" spans="2:23" x14ac:dyDescent="0.45">
      <c r="C70" s="52">
        <f t="shared" si="0"/>
        <v>71</v>
      </c>
      <c r="D70" s="51">
        <f ca="1"/>
        <v>8.0775183436703732E-11</v>
      </c>
      <c r="E70" s="51">
        <f ca="1"/>
        <v>26.811988866768701</v>
      </c>
      <c r="F70" s="51">
        <f ca="1"/>
        <v>0.58008295008551525</v>
      </c>
      <c r="G70" s="51">
        <f ca="1"/>
        <v>0.53707259247040928</v>
      </c>
      <c r="I70" s="51">
        <f ca="1"/>
        <v>1.2116277515505571E-10</v>
      </c>
      <c r="J70" s="51">
        <f ca="1"/>
        <v>40.217983300153044</v>
      </c>
      <c r="K70" s="51">
        <f ca="1"/>
        <v>0.87012442512827259</v>
      </c>
      <c r="L70" s="51">
        <f ca="1"/>
        <v>0.63506963978604392</v>
      </c>
      <c r="N70" s="51">
        <f ca="1"/>
        <v>1.6155036687340746E-10</v>
      </c>
      <c r="O70" s="51">
        <f ca="1"/>
        <v>53.623977733537401</v>
      </c>
      <c r="P70" s="51">
        <f ca="1"/>
        <v>1.1601659001710305</v>
      </c>
      <c r="Q70" s="51">
        <f ca="1"/>
        <v>0.69882528008285805</v>
      </c>
      <c r="S70" s="51">
        <f ca="1"/>
        <v>1.8594796108657628E-6</v>
      </c>
      <c r="T70" s="51">
        <f ca="1"/>
        <v>54.632125675874477</v>
      </c>
      <c r="U70" s="51">
        <f ca="1"/>
        <v>1.1819773903748905</v>
      </c>
      <c r="V70" s="51">
        <f ca="1"/>
        <v>0.70273084355280391</v>
      </c>
    </row>
    <row r="71" spans="2:23" x14ac:dyDescent="0.45">
      <c r="C71" s="52">
        <f t="shared" si="0"/>
        <v>71.5</v>
      </c>
      <c r="D71" s="51">
        <f ca="1"/>
        <v>2.3015147872700447E-11</v>
      </c>
      <c r="E71" s="51">
        <f ca="1"/>
        <v>25.162414304865408</v>
      </c>
      <c r="F71" s="51">
        <f ca="1"/>
        <v>0.54439406169272342</v>
      </c>
      <c r="G71" s="51">
        <f ca="1"/>
        <v>0.52125350158577632</v>
      </c>
      <c r="I71" s="51">
        <f ca="1"/>
        <v>3.4522721809050695E-11</v>
      </c>
      <c r="J71" s="51">
        <f ca="1"/>
        <v>37.743621457298104</v>
      </c>
      <c r="K71" s="51">
        <f ca="1"/>
        <v>0.81659109253908502</v>
      </c>
      <c r="L71" s="51">
        <f ca="1"/>
        <v>0.62023136656975608</v>
      </c>
      <c r="N71" s="51">
        <f ca="1"/>
        <v>4.6030295745400895E-11</v>
      </c>
      <c r="O71" s="51">
        <f ca="1"/>
        <v>50.324828609730815</v>
      </c>
      <c r="P71" s="51">
        <f ca="1"/>
        <v>1.0887881233854468</v>
      </c>
      <c r="Q71" s="51">
        <f ca="1"/>
        <v>0.68529472706871575</v>
      </c>
      <c r="S71" s="51">
        <f ca="1"/>
        <v>5.2981864465690197E-7</v>
      </c>
      <c r="T71" s="51">
        <f ca="1"/>
        <v>51.270952780667621</v>
      </c>
      <c r="U71" s="51">
        <f ca="1"/>
        <v>1.1092577164078603</v>
      </c>
      <c r="V71" s="51">
        <f ca="1"/>
        <v>0.68929774584764092</v>
      </c>
    </row>
    <row r="72" spans="2:23" x14ac:dyDescent="0.45">
      <c r="C72" s="52">
        <f t="shared" si="0"/>
        <v>72</v>
      </c>
      <c r="D72" s="51">
        <f ca="1"/>
        <v>6.5576704263054264E-12</v>
      </c>
      <c r="E72" s="51">
        <f ca="1"/>
        <v>23.614327784293899</v>
      </c>
      <c r="F72" s="51">
        <f ca="1"/>
        <v>0.51090088816117074</v>
      </c>
      <c r="G72" s="51">
        <f ca="1"/>
        <v>0.5053916700879546</v>
      </c>
      <c r="I72" s="51">
        <f ca="1"/>
        <v>9.8365056394581429E-12</v>
      </c>
      <c r="J72" s="51">
        <f ca="1"/>
        <v>35.421491676440866</v>
      </c>
      <c r="K72" s="51">
        <f ca="1"/>
        <v>0.76635133224175656</v>
      </c>
      <c r="L72" s="51">
        <f ca="1"/>
        <v>0.60516486438650818</v>
      </c>
      <c r="N72" s="51">
        <f ca="1"/>
        <v>1.3115340852610853E-11</v>
      </c>
      <c r="O72" s="51">
        <f ca="1"/>
        <v>47.228655568587797</v>
      </c>
      <c r="P72" s="51">
        <f ca="1"/>
        <v>1.0218017763223415</v>
      </c>
      <c r="Q72" s="51">
        <f ca="1"/>
        <v>0.67144209726951187</v>
      </c>
      <c r="S72" s="51">
        <f ca="1"/>
        <v>1.5096040558109743E-7</v>
      </c>
      <c r="T72" s="51">
        <f ca="1"/>
        <v>48.116570983232549</v>
      </c>
      <c r="U72" s="51">
        <f ca="1"/>
        <v>1.0410120108078524</v>
      </c>
      <c r="V72" s="51">
        <f ca="1"/>
        <v>0.67553789555612709</v>
      </c>
    </row>
    <row r="73" spans="2:23" x14ac:dyDescent="0.45">
      <c r="C73" s="50" t="s">
        <v>216</v>
      </c>
      <c r="D73" s="51">
        <f ca="1"/>
        <v>80.000000000006551</v>
      </c>
      <c r="E73" s="51">
        <f ca="1"/>
        <v>88.944527896278444</v>
      </c>
      <c r="F73" s="51">
        <f ca="1"/>
        <v>1.924333341790422</v>
      </c>
      <c r="G73" s="51">
        <f ca="1"/>
        <v>0.79375773480443113</v>
      </c>
      <c r="I73" s="51">
        <f ca="1"/>
        <v>120.00000000000983</v>
      </c>
      <c r="J73" s="51">
        <f ca="1"/>
        <v>133.41679184441779</v>
      </c>
      <c r="K73" s="51">
        <f ca="1"/>
        <v>2.8865000126856355</v>
      </c>
      <c r="L73" s="51">
        <f ca="1"/>
        <v>0.85235493928036954</v>
      </c>
      <c r="N73" s="51">
        <f ca="1"/>
        <v>160.0000000000131</v>
      </c>
      <c r="O73" s="51">
        <f ca="1"/>
        <v>177.88905579255689</v>
      </c>
      <c r="P73" s="51">
        <f ca="1"/>
        <v>3.8486666835808441</v>
      </c>
      <c r="Q73" s="51">
        <f ca="1"/>
        <v>0.88502222948292686</v>
      </c>
      <c r="S73" s="51">
        <f ca="1"/>
        <v>80.000000150960403</v>
      </c>
      <c r="T73" s="51">
        <f ca="1"/>
        <v>110.23995867414116</v>
      </c>
      <c r="U73" s="51">
        <f ca="1"/>
        <v>2.3850644114006729</v>
      </c>
      <c r="V73" s="51">
        <f ca="1"/>
        <v>0.82669364398791556</v>
      </c>
    </row>
    <row r="74" spans="2:23" x14ac:dyDescent="0.45">
      <c r="C74" s="50" t="s">
        <v>217</v>
      </c>
      <c r="D74" s="51">
        <f ca="1"/>
        <v>12</v>
      </c>
      <c r="E74" s="51">
        <f ca="1"/>
        <v>61.15</v>
      </c>
      <c r="F74" s="51">
        <f ca="1"/>
        <v>61.15</v>
      </c>
      <c r="G74" s="51">
        <f ca="1"/>
        <v>61.15</v>
      </c>
      <c r="I74" s="51">
        <f ca="1"/>
        <v>12</v>
      </c>
      <c r="J74" s="51">
        <f ca="1"/>
        <v>61.15</v>
      </c>
      <c r="K74" s="51">
        <f ca="1"/>
        <v>61.15</v>
      </c>
      <c r="L74" s="51">
        <f ca="1"/>
        <v>61.15</v>
      </c>
      <c r="N74" s="51">
        <f ca="1"/>
        <v>12</v>
      </c>
      <c r="O74" s="51">
        <f ca="1"/>
        <v>61.15</v>
      </c>
      <c r="P74" s="51">
        <f ca="1"/>
        <v>61.15</v>
      </c>
      <c r="Q74" s="51">
        <f ca="1"/>
        <v>61.15</v>
      </c>
      <c r="S74" s="51">
        <f ca="1"/>
        <v>8</v>
      </c>
      <c r="T74" s="51">
        <f ca="1"/>
        <v>65.064999999999998</v>
      </c>
      <c r="U74" s="51">
        <f ca="1"/>
        <v>65.064999999999998</v>
      </c>
      <c r="V74" s="51">
        <f ca="1"/>
        <v>65.064999999999998</v>
      </c>
    </row>
    <row r="75" spans="2:23" x14ac:dyDescent="0.45">
      <c r="C75" s="50" t="s">
        <v>218</v>
      </c>
      <c r="D75" s="51" t="str">
        <f ca="1"/>
        <v xml:space="preserve"> </v>
      </c>
      <c r="E75" s="51" t="str">
        <f ca="1"/>
        <v xml:space="preserve"> </v>
      </c>
      <c r="F75" s="51">
        <f ca="1"/>
        <v>47.7</v>
      </c>
      <c r="G75" s="51">
        <f ca="1"/>
        <v>0</v>
      </c>
      <c r="I75" s="51" t="str">
        <f ca="1"/>
        <v xml:space="preserve"> </v>
      </c>
      <c r="J75" s="51" t="str">
        <f ca="1"/>
        <v xml:space="preserve"> </v>
      </c>
      <c r="K75" s="51">
        <f ca="1"/>
        <v>67.305000000000007</v>
      </c>
      <c r="L75" s="51">
        <f ca="1"/>
        <v>22.140000000000004</v>
      </c>
      <c r="N75" s="51" t="str">
        <f ca="1"/>
        <v xml:space="preserve"> </v>
      </c>
      <c r="O75" s="51" t="str">
        <f ca="1"/>
        <v xml:space="preserve"> </v>
      </c>
      <c r="P75" s="51">
        <f ca="1"/>
        <v>71.88</v>
      </c>
      <c r="Q75" s="51">
        <f ca="1"/>
        <v>36.74</v>
      </c>
      <c r="S75" s="51" t="str">
        <f ca="1"/>
        <v xml:space="preserve"> </v>
      </c>
      <c r="T75" s="51" t="str">
        <f ca="1"/>
        <v xml:space="preserve"> </v>
      </c>
      <c r="U75" s="51">
        <f ca="1"/>
        <v>70.240000000000009</v>
      </c>
      <c r="V75" s="51">
        <f ca="1"/>
        <v>17.550000000000004</v>
      </c>
    </row>
    <row r="76" spans="2:23" ht="8" customHeight="1" x14ac:dyDescent="0.45"/>
    <row r="77" spans="2:23" ht="22.05" customHeight="1" x14ac:dyDescent="0.5">
      <c r="B77" s="7" t="s">
        <v>219</v>
      </c>
      <c r="C77" s="8"/>
      <c r="D77" s="8"/>
      <c r="E77" s="8"/>
      <c r="F77" s="8"/>
      <c r="G77" s="8"/>
      <c r="H77" s="8"/>
      <c r="I77" s="8"/>
      <c r="J77" s="8"/>
      <c r="K77" s="8"/>
      <c r="L77" s="8"/>
      <c r="M77" s="8"/>
      <c r="N77" s="8"/>
      <c r="O77" s="8"/>
      <c r="P77" s="8"/>
      <c r="Q77" s="8"/>
      <c r="R77" s="8"/>
      <c r="S77" s="8"/>
      <c r="T77" s="8"/>
      <c r="U77" s="8"/>
      <c r="V77" s="8"/>
      <c r="W77" s="8"/>
    </row>
    <row r="78" spans="2:23" ht="18" customHeight="1" x14ac:dyDescent="0.45">
      <c r="B78" s="13" t="s">
        <v>220</v>
      </c>
    </row>
    <row r="79" spans="2:23" ht="18" customHeight="1" x14ac:dyDescent="0.45">
      <c r="B79" s="36" t="s">
        <v>152</v>
      </c>
      <c r="C79" s="36" t="s">
        <v>98</v>
      </c>
      <c r="D79" s="37" t="s">
        <v>153</v>
      </c>
      <c r="E79" s="5"/>
      <c r="F79" s="36" t="s">
        <v>154</v>
      </c>
      <c r="G79" s="5"/>
      <c r="H79" s="5"/>
      <c r="I79" s="5"/>
      <c r="J79" s="5"/>
      <c r="K79" s="5"/>
      <c r="L79" s="5"/>
      <c r="M79" s="5"/>
      <c r="N79" s="5"/>
      <c r="O79" s="5"/>
      <c r="P79" s="5"/>
      <c r="Q79" s="5"/>
      <c r="R79" s="5"/>
      <c r="S79" s="5"/>
      <c r="T79" s="5"/>
      <c r="U79" s="5"/>
      <c r="V79" s="5"/>
      <c r="W79" s="5"/>
    </row>
    <row r="80" spans="2:23" x14ac:dyDescent="0.45">
      <c r="B80" s="25" t="s">
        <v>221</v>
      </c>
      <c r="C80" s="26" t="s">
        <v>112</v>
      </c>
      <c r="D80" s="41">
        <f>CL_T/V_T</f>
        <v>0.1</v>
      </c>
      <c r="E80" s="28"/>
      <c r="F80" s="26" t="s">
        <v>222</v>
      </c>
      <c r="G80" s="28"/>
      <c r="H80" s="28"/>
      <c r="I80" s="28"/>
      <c r="J80" s="28"/>
      <c r="K80" s="28"/>
      <c r="L80" s="28"/>
      <c r="M80" s="28"/>
      <c r="N80" s="28"/>
      <c r="O80" s="28"/>
      <c r="P80" s="28"/>
      <c r="Q80" s="28"/>
      <c r="R80" s="28"/>
      <c r="S80" s="28"/>
      <c r="T80" s="28"/>
      <c r="U80" s="28"/>
      <c r="V80" s="28"/>
      <c r="W80" s="28"/>
    </row>
    <row r="81" spans="2:23" x14ac:dyDescent="0.45">
      <c r="B81" s="25" t="s">
        <v>111</v>
      </c>
      <c r="C81" s="26" t="s">
        <v>112</v>
      </c>
      <c r="D81" s="41">
        <f>KA_T</f>
        <v>1</v>
      </c>
      <c r="E81" s="28"/>
      <c r="F81" s="26" t="s">
        <v>223</v>
      </c>
      <c r="G81" s="28"/>
      <c r="H81" s="28"/>
      <c r="I81" s="28"/>
      <c r="J81" s="28"/>
      <c r="K81" s="28"/>
      <c r="L81" s="28"/>
      <c r="M81" s="28"/>
      <c r="N81" s="28"/>
      <c r="O81" s="28"/>
      <c r="P81" s="28"/>
      <c r="Q81" s="28"/>
      <c r="R81" s="28"/>
      <c r="S81" s="28"/>
      <c r="T81" s="28"/>
      <c r="U81" s="28"/>
      <c r="V81" s="28"/>
      <c r="W81" s="28"/>
    </row>
    <row r="82" spans="2:23" ht="6" customHeight="1" x14ac:dyDescent="0.45"/>
    <row r="83" spans="2:23" ht="18" customHeight="1" x14ac:dyDescent="0.45">
      <c r="B83" s="53" t="s">
        <v>224</v>
      </c>
      <c r="C83" s="54"/>
      <c r="D83" s="55" t="s">
        <v>225</v>
      </c>
      <c r="E83" s="55" t="s">
        <v>226</v>
      </c>
      <c r="F83" s="55" t="s">
        <v>226</v>
      </c>
      <c r="G83" s="55" t="s">
        <v>227</v>
      </c>
      <c r="H83" s="55" t="s">
        <v>228</v>
      </c>
      <c r="I83" s="55" t="s">
        <v>229</v>
      </c>
      <c r="J83" s="55" t="s">
        <v>230</v>
      </c>
      <c r="K83" s="54"/>
      <c r="L83" s="55" t="s">
        <v>70</v>
      </c>
      <c r="M83" s="55" t="s">
        <v>70</v>
      </c>
      <c r="N83" s="55" t="s">
        <v>231</v>
      </c>
      <c r="O83" s="5"/>
      <c r="P83" s="5"/>
      <c r="Q83" s="5"/>
      <c r="R83" s="5"/>
      <c r="S83" s="5"/>
      <c r="T83" s="5"/>
      <c r="U83" s="5"/>
      <c r="V83" s="5"/>
      <c r="W83" s="5"/>
    </row>
    <row r="84" spans="2:23" x14ac:dyDescent="0.45">
      <c r="B84" s="56"/>
      <c r="C84" s="56"/>
      <c r="D84" s="56" t="s">
        <v>119</v>
      </c>
      <c r="E84" s="56" t="s">
        <v>232</v>
      </c>
      <c r="F84" s="56" t="s">
        <v>233</v>
      </c>
      <c r="G84" s="56" t="s">
        <v>234</v>
      </c>
      <c r="H84" s="56" t="s">
        <v>119</v>
      </c>
      <c r="I84" s="56" t="s">
        <v>119</v>
      </c>
      <c r="J84" s="56" t="s">
        <v>145</v>
      </c>
      <c r="K84" s="56"/>
      <c r="L84" s="56" t="s">
        <v>235</v>
      </c>
      <c r="M84" s="56" t="s">
        <v>236</v>
      </c>
      <c r="N84" s="56" t="s">
        <v>237</v>
      </c>
    </row>
    <row r="85" spans="2:23" x14ac:dyDescent="0.45">
      <c r="B85" s="25" t="str">
        <f>"Regimen 1  "&amp;Dose_1&amp;" mg every "&amp;Tau_1&amp;" h"</f>
        <v>Regimen 1  100 mg every 12 h</v>
      </c>
      <c r="C85" s="28"/>
      <c r="D85" s="41">
        <f>Bioav*Dose_1*KaTyp/(V_T*(KaTyp-KeTyp))</f>
        <v>1.7777777777777777</v>
      </c>
      <c r="E85" s="41">
        <f>1/(1-EXP(-KeTyp*Tau_1))</f>
        <v>1.4310127606933329</v>
      </c>
      <c r="F85" s="41">
        <f>1/(1-EXP(-KaTyp*Tau_1))</f>
        <v>1.0000061442501049</v>
      </c>
      <c r="G85" s="57">
        <f>LN(KaTyp*F85/(KeTyp*E85))/(KaTyp-KeTyp)</f>
        <v>2.1602320215164901</v>
      </c>
      <c r="H85" s="41">
        <f>D85*(EXP(-KeTyp*Tau_1)*E85-EXP(-KaTyp*Tau_1)*F85)</f>
        <v>0.7662339847879609</v>
      </c>
      <c r="I85" s="41">
        <f>D85*(EXP(-KeTyp*G85)*E85-EXP(-KaTyp*G85)*F85)</f>
        <v>1.8447851944728642</v>
      </c>
      <c r="J85" s="47">
        <f>IF(AND(H85&gt;=MEC,I85&lt;=MTC),1,0)</f>
        <v>0</v>
      </c>
      <c r="K85" s="28"/>
      <c r="L85" s="41">
        <f ca="1">Trough_raw_1</f>
        <v>0.51090088816117074</v>
      </c>
      <c r="M85" s="41">
        <f ca="1">Cmax_raw_1</f>
        <v>1.924333341790422</v>
      </c>
      <c r="N85" s="58" t="str">
        <f>IF(TypicalOnly=1,MAX(ABS(L85/H85-1),ABS(M85/I85-1)),"–")</f>
        <v>–</v>
      </c>
      <c r="O85" s="28"/>
      <c r="P85" s="28"/>
      <c r="Q85" s="28"/>
      <c r="R85" s="28"/>
      <c r="S85" s="28"/>
      <c r="T85" s="28"/>
      <c r="U85" s="28"/>
      <c r="V85" s="28"/>
      <c r="W85" s="28"/>
    </row>
    <row r="86" spans="2:23" x14ac:dyDescent="0.45">
      <c r="B86" s="25" t="str">
        <f>"Regimen 2  "&amp;Dose_2&amp;" mg every "&amp;Tau_2&amp;" h"</f>
        <v>Regimen 2  150 mg every 12 h</v>
      </c>
      <c r="C86" s="28"/>
      <c r="D86" s="41">
        <f>Bioav*Dose_2*KaTyp/(V_T*(KaTyp-KeTyp))</f>
        <v>2.6666666666666665</v>
      </c>
      <c r="E86" s="41">
        <f>1/(1-EXP(-KeTyp*Tau_2))</f>
        <v>1.4310127606933329</v>
      </c>
      <c r="F86" s="41">
        <f>1/(1-EXP(-KaTyp*Tau_2))</f>
        <v>1.0000061442501049</v>
      </c>
      <c r="G86" s="57">
        <f>LN(KaTyp*F86/(KeTyp*E86))/(KaTyp-KeTyp)</f>
        <v>2.1602320215164901</v>
      </c>
      <c r="H86" s="41">
        <f>D86*(EXP(-KeTyp*Tau_2)*E86-EXP(-KaTyp*Tau_2)*F86)</f>
        <v>1.1493509771819412</v>
      </c>
      <c r="I86" s="41">
        <f>D86*(EXP(-KeTyp*G86)*E86-EXP(-KaTyp*G86)*F86)</f>
        <v>2.7671777917092961</v>
      </c>
      <c r="J86" s="47">
        <f>IF(AND(H86&gt;=MEC,I86&lt;=MTC),1,0)</f>
        <v>1</v>
      </c>
      <c r="K86" s="28"/>
      <c r="L86" s="41">
        <f ca="1">Trough_raw_2</f>
        <v>0.76635133224175656</v>
      </c>
      <c r="M86" s="41">
        <f ca="1">Cmax_raw_2</f>
        <v>2.8865000126856355</v>
      </c>
      <c r="N86" s="58" t="str">
        <f>IF(TypicalOnly=1,MAX(ABS(L86/H86-1),ABS(M86/I86-1)),"–")</f>
        <v>–</v>
      </c>
      <c r="O86" s="28"/>
      <c r="P86" s="28"/>
      <c r="Q86" s="28"/>
      <c r="R86" s="28"/>
      <c r="S86" s="28"/>
      <c r="T86" s="28"/>
      <c r="U86" s="28"/>
      <c r="V86" s="28"/>
      <c r="W86" s="28"/>
    </row>
    <row r="87" spans="2:23" x14ac:dyDescent="0.45">
      <c r="B87" s="25" t="str">
        <f>"Regimen 3  "&amp;Dose_3&amp;" mg every "&amp;Tau_3&amp;" h"</f>
        <v>Regimen 3  200 mg every 12 h</v>
      </c>
      <c r="C87" s="28"/>
      <c r="D87" s="41">
        <f>Bioav*Dose_3*KaTyp/(V_T*(KaTyp-KeTyp))</f>
        <v>3.5555555555555554</v>
      </c>
      <c r="E87" s="41">
        <f>1/(1-EXP(-KeTyp*Tau_3))</f>
        <v>1.4310127606933329</v>
      </c>
      <c r="F87" s="41">
        <f>1/(1-EXP(-KaTyp*Tau_3))</f>
        <v>1.0000061442501049</v>
      </c>
      <c r="G87" s="57">
        <f>LN(KaTyp*F87/(KeTyp*E87))/(KaTyp-KeTyp)</f>
        <v>2.1602320215164901</v>
      </c>
      <c r="H87" s="41">
        <f>D87*(EXP(-KeTyp*Tau_3)*E87-EXP(-KaTyp*Tau_3)*F87)</f>
        <v>1.5324679695759218</v>
      </c>
      <c r="I87" s="41">
        <f>D87*(EXP(-KeTyp*G87)*E87-EXP(-KaTyp*G87)*F87)</f>
        <v>3.6895703889457283</v>
      </c>
      <c r="J87" s="47">
        <f>IF(AND(H87&gt;=MEC,I87&lt;=MTC),1,0)</f>
        <v>1</v>
      </c>
      <c r="K87" s="28"/>
      <c r="L87" s="41">
        <f ca="1">Trough_raw_3</f>
        <v>1.0218017763223415</v>
      </c>
      <c r="M87" s="41">
        <f ca="1">Cmax_raw_3</f>
        <v>3.8486666835808441</v>
      </c>
      <c r="N87" s="58" t="str">
        <f>IF(TypicalOnly=1,MAX(ABS(L87/H87-1),ABS(M87/I87-1)),"–")</f>
        <v>–</v>
      </c>
      <c r="O87" s="28"/>
      <c r="P87" s="28"/>
      <c r="Q87" s="28"/>
      <c r="R87" s="28"/>
      <c r="S87" s="28"/>
      <c r="T87" s="28"/>
      <c r="U87" s="28"/>
      <c r="V87" s="28"/>
      <c r="W87" s="28"/>
    </row>
    <row r="88" spans="2:23" x14ac:dyDescent="0.45">
      <c r="B88" s="25" t="str">
        <f>"Regimen 4  "&amp;Dose_4&amp;" mg every "&amp;Tau_4&amp;" h"</f>
        <v>Regimen 4  100 mg every 8 h</v>
      </c>
      <c r="C88" s="28"/>
      <c r="D88" s="41">
        <f>Bioav*Dose_4*KaTyp/(V_T*(KaTyp-KeTyp))</f>
        <v>1.7777777777777777</v>
      </c>
      <c r="E88" s="41">
        <f>1/(1-EXP(-KeTyp*Tau_4))</f>
        <v>1.8159662209160941</v>
      </c>
      <c r="F88" s="41">
        <f>1/(1-EXP(-KaTyp*Tau_4))</f>
        <v>1.0003355752008412</v>
      </c>
      <c r="G88" s="57">
        <f>LN(KaTyp*F88/(KeTyp*E88))/(KaTyp-KeTyp)</f>
        <v>1.895892147459052</v>
      </c>
      <c r="H88" s="41">
        <f>D88*(EXP(-KeTyp*Tau_4)*E88-EXP(-KaTyp*Tau_4)*F88)</f>
        <v>1.450010036827116</v>
      </c>
      <c r="I88" s="41">
        <f>D88*(EXP(-KeTyp*G88)*E88-EXP(-KaTyp*G88)*F88)</f>
        <v>2.4037549896323962</v>
      </c>
      <c r="J88" s="47">
        <f>IF(AND(H88&gt;=MEC,I88&lt;=MTC),1,0)</f>
        <v>1</v>
      </c>
      <c r="K88" s="28"/>
      <c r="L88" s="41">
        <f ca="1">Trough_raw_4</f>
        <v>1.0410120108078524</v>
      </c>
      <c r="M88" s="41">
        <f ca="1">Cmax_raw_4</f>
        <v>2.3850644114006729</v>
      </c>
      <c r="N88" s="58" t="str">
        <f>IF(TypicalOnly=1,MAX(ABS(L88/H88-1),ABS(M88/I88-1)),"–")</f>
        <v>–</v>
      </c>
      <c r="O88" s="28"/>
      <c r="P88" s="28"/>
      <c r="Q88" s="28"/>
      <c r="R88" s="28"/>
      <c r="S88" s="28"/>
      <c r="T88" s="28"/>
      <c r="U88" s="28"/>
      <c r="V88" s="28"/>
      <c r="W88" s="28"/>
    </row>
    <row r="89" spans="2:23" x14ac:dyDescent="0.45">
      <c r="B89" s="48" t="s">
        <v>238</v>
      </c>
    </row>
    <row r="90" spans="2:23" x14ac:dyDescent="0.45">
      <c r="B90" s="48" t="s">
        <v>239</v>
      </c>
    </row>
    <row r="91" spans="2:23" ht="8" customHeight="1" x14ac:dyDescent="0.45"/>
    <row r="92" spans="2:23" ht="22.05" customHeight="1" x14ac:dyDescent="0.5">
      <c r="B92" s="7" t="s">
        <v>240</v>
      </c>
      <c r="C92" s="8"/>
      <c r="D92" s="8"/>
      <c r="E92" s="8"/>
      <c r="F92" s="8"/>
      <c r="G92" s="8"/>
      <c r="H92" s="8"/>
      <c r="I92" s="8"/>
      <c r="J92" s="8"/>
      <c r="K92" s="8"/>
      <c r="L92" s="8"/>
      <c r="M92" s="8"/>
      <c r="N92" s="8"/>
      <c r="O92" s="8"/>
      <c r="P92" s="8"/>
      <c r="Q92" s="8"/>
      <c r="R92" s="8"/>
      <c r="S92" s="8"/>
      <c r="T92" s="8"/>
      <c r="U92" s="8"/>
      <c r="V92" s="8"/>
      <c r="W92" s="8"/>
    </row>
    <row r="93" spans="2:23" ht="18" customHeight="1" x14ac:dyDescent="0.45">
      <c r="B93" s="13" t="s">
        <v>241</v>
      </c>
    </row>
    <row r="94" spans="2:23" ht="18" customHeight="1" x14ac:dyDescent="0.45">
      <c r="B94" s="36" t="s">
        <v>242</v>
      </c>
      <c r="C94" s="36" t="s">
        <v>98</v>
      </c>
      <c r="D94" s="37" t="s">
        <v>153</v>
      </c>
      <c r="E94" s="5"/>
      <c r="F94" s="36" t="s">
        <v>243</v>
      </c>
      <c r="G94" s="5"/>
      <c r="H94" s="5"/>
      <c r="I94" s="5"/>
      <c r="J94" s="5"/>
      <c r="K94" s="5"/>
      <c r="L94" s="5"/>
      <c r="M94" s="5"/>
      <c r="N94" s="5"/>
      <c r="O94" s="5"/>
      <c r="P94" s="5"/>
      <c r="Q94" s="5"/>
      <c r="R94" s="5"/>
      <c r="S94" s="5"/>
      <c r="T94" s="5"/>
      <c r="U94" s="5"/>
      <c r="V94" s="5"/>
      <c r="W94" s="5"/>
    </row>
    <row r="95" spans="2:23" x14ac:dyDescent="0.45">
      <c r="B95" s="25" t="s">
        <v>244</v>
      </c>
      <c r="C95" s="26" t="s">
        <v>119</v>
      </c>
      <c r="D95" s="59" cm="1">
        <f t="array" aca="1" ref="D95" ca="1">_xll.VoseOutput("Trough regimen 1","mg/L")+Trough_raw_1</f>
        <v>0.51090088816117074</v>
      </c>
      <c r="E95" s="28"/>
      <c r="F95" s="26" t="s">
        <v>245</v>
      </c>
      <c r="G95" s="28"/>
      <c r="H95" s="28"/>
      <c r="I95" s="28"/>
      <c r="J95" s="28"/>
      <c r="K95" s="28"/>
      <c r="L95" s="28"/>
      <c r="M95" s="28"/>
      <c r="N95" s="28"/>
      <c r="O95" s="28"/>
      <c r="P95" s="28"/>
      <c r="Q95" s="28"/>
      <c r="R95" s="28"/>
      <c r="S95" s="28"/>
      <c r="T95" s="28"/>
      <c r="U95" s="28"/>
      <c r="V95" s="28"/>
      <c r="W95" s="28"/>
    </row>
    <row r="96" spans="2:23" x14ac:dyDescent="0.45">
      <c r="B96" s="25" t="s">
        <v>246</v>
      </c>
      <c r="C96" s="26" t="s">
        <v>119</v>
      </c>
      <c r="D96" s="59" cm="1">
        <f t="array" aca="1" ref="D96" ca="1">_xll.VoseOutput("Trough regimen 2","mg/L")+Trough_raw_2</f>
        <v>0.76635133224175656</v>
      </c>
      <c r="E96" s="28"/>
      <c r="F96" s="26"/>
      <c r="G96" s="28"/>
      <c r="H96" s="28"/>
      <c r="I96" s="28"/>
      <c r="J96" s="28"/>
      <c r="K96" s="28"/>
      <c r="L96" s="28"/>
      <c r="M96" s="28"/>
      <c r="N96" s="28"/>
      <c r="O96" s="28"/>
      <c r="P96" s="28"/>
      <c r="Q96" s="28"/>
      <c r="R96" s="28"/>
      <c r="S96" s="28"/>
      <c r="T96" s="28"/>
      <c r="U96" s="28"/>
      <c r="V96" s="28"/>
      <c r="W96" s="28"/>
    </row>
    <row r="97" spans="2:23" x14ac:dyDescent="0.45">
      <c r="B97" s="25" t="s">
        <v>247</v>
      </c>
      <c r="C97" s="26" t="s">
        <v>119</v>
      </c>
      <c r="D97" s="59" cm="1">
        <f t="array" aca="1" ref="D97" ca="1">_xll.VoseOutput("Trough regimen 3","mg/L")+Trough_raw_3</f>
        <v>1.0218017763223415</v>
      </c>
      <c r="E97" s="28"/>
      <c r="F97" s="26"/>
      <c r="G97" s="28"/>
      <c r="H97" s="28"/>
      <c r="I97" s="28"/>
      <c r="J97" s="28"/>
      <c r="K97" s="28"/>
      <c r="L97" s="28"/>
      <c r="M97" s="28"/>
      <c r="N97" s="28"/>
      <c r="O97" s="28"/>
      <c r="P97" s="28"/>
      <c r="Q97" s="28"/>
      <c r="R97" s="28"/>
      <c r="S97" s="28"/>
      <c r="T97" s="28"/>
      <c r="U97" s="28"/>
      <c r="V97" s="28"/>
      <c r="W97" s="28"/>
    </row>
    <row r="98" spans="2:23" x14ac:dyDescent="0.45">
      <c r="B98" s="25" t="s">
        <v>248</v>
      </c>
      <c r="C98" s="26" t="s">
        <v>119</v>
      </c>
      <c r="D98" s="59" cm="1">
        <f t="array" aca="1" ref="D98" ca="1">_xll.VoseOutput("Trough regimen 4","mg/L")+Trough_raw_4</f>
        <v>1.0410120108078524</v>
      </c>
      <c r="E98" s="28"/>
      <c r="F98" s="26"/>
      <c r="G98" s="28"/>
      <c r="H98" s="28"/>
      <c r="I98" s="28"/>
      <c r="J98" s="28"/>
      <c r="K98" s="28"/>
      <c r="L98" s="28"/>
      <c r="M98" s="28"/>
      <c r="N98" s="28"/>
      <c r="O98" s="28"/>
      <c r="P98" s="28"/>
      <c r="Q98" s="28"/>
      <c r="R98" s="28"/>
      <c r="S98" s="28"/>
      <c r="T98" s="28"/>
      <c r="U98" s="28"/>
      <c r="V98" s="28"/>
      <c r="W98" s="28"/>
    </row>
    <row r="99" spans="2:23" x14ac:dyDescent="0.45">
      <c r="B99" s="25" t="s">
        <v>249</v>
      </c>
      <c r="C99" s="26" t="s">
        <v>119</v>
      </c>
      <c r="D99" s="59" cm="1">
        <f t="array" aca="1" ref="D99" ca="1">_xll.VoseOutput("Peak regimen 1","mg/L")+Cmax_raw_1</f>
        <v>1.924333341790422</v>
      </c>
      <c r="E99" s="28"/>
      <c r="F99" s="26" t="s">
        <v>250</v>
      </c>
      <c r="G99" s="28"/>
      <c r="H99" s="28"/>
      <c r="I99" s="28"/>
      <c r="J99" s="28"/>
      <c r="K99" s="28"/>
      <c r="L99" s="28"/>
      <c r="M99" s="28"/>
      <c r="N99" s="28"/>
      <c r="O99" s="28"/>
      <c r="P99" s="28"/>
      <c r="Q99" s="28"/>
      <c r="R99" s="28"/>
      <c r="S99" s="28"/>
      <c r="T99" s="28"/>
      <c r="U99" s="28"/>
      <c r="V99" s="28"/>
      <c r="W99" s="28"/>
    </row>
    <row r="100" spans="2:23" x14ac:dyDescent="0.45">
      <c r="B100" s="25" t="s">
        <v>251</v>
      </c>
      <c r="C100" s="26" t="s">
        <v>119</v>
      </c>
      <c r="D100" s="59" cm="1">
        <f t="array" aca="1" ref="D100" ca="1">_xll.VoseOutput("Peak regimen 2","mg/L")+Cmax_raw_2</f>
        <v>2.8865000126856355</v>
      </c>
      <c r="E100" s="28"/>
      <c r="F100" s="26"/>
      <c r="G100" s="28"/>
      <c r="H100" s="28"/>
      <c r="I100" s="28"/>
      <c r="J100" s="28"/>
      <c r="K100" s="28"/>
      <c r="L100" s="28"/>
      <c r="M100" s="28"/>
      <c r="N100" s="28"/>
      <c r="O100" s="28"/>
      <c r="P100" s="28"/>
      <c r="Q100" s="28"/>
      <c r="R100" s="28"/>
      <c r="S100" s="28"/>
      <c r="T100" s="28"/>
      <c r="U100" s="28"/>
      <c r="V100" s="28"/>
      <c r="W100" s="28"/>
    </row>
    <row r="101" spans="2:23" x14ac:dyDescent="0.45">
      <c r="B101" s="25" t="s">
        <v>252</v>
      </c>
      <c r="C101" s="26" t="s">
        <v>119</v>
      </c>
      <c r="D101" s="59" cm="1">
        <f t="array" aca="1" ref="D101" ca="1">_xll.VoseOutput("Peak regimen 3","mg/L")+Cmax_raw_3</f>
        <v>3.8486666835808441</v>
      </c>
      <c r="E101" s="28"/>
      <c r="F101" s="26"/>
      <c r="G101" s="28"/>
      <c r="H101" s="28"/>
      <c r="I101" s="28"/>
      <c r="J101" s="28"/>
      <c r="K101" s="28"/>
      <c r="L101" s="28"/>
      <c r="M101" s="28"/>
      <c r="N101" s="28"/>
      <c r="O101" s="28"/>
      <c r="P101" s="28"/>
      <c r="Q101" s="28"/>
      <c r="R101" s="28"/>
      <c r="S101" s="28"/>
      <c r="T101" s="28"/>
      <c r="U101" s="28"/>
      <c r="V101" s="28"/>
      <c r="W101" s="28"/>
    </row>
    <row r="102" spans="2:23" x14ac:dyDescent="0.45">
      <c r="B102" s="25" t="s">
        <v>253</v>
      </c>
      <c r="C102" s="26" t="s">
        <v>119</v>
      </c>
      <c r="D102" s="59" cm="1">
        <f t="array" aca="1" ref="D102" ca="1">_xll.VoseOutput("Peak regimen 4","mg/L")+Cmax_raw_4</f>
        <v>2.3850644114006729</v>
      </c>
      <c r="E102" s="28"/>
      <c r="F102" s="26"/>
      <c r="G102" s="28"/>
      <c r="H102" s="28"/>
      <c r="I102" s="28"/>
      <c r="J102" s="28"/>
      <c r="K102" s="28"/>
      <c r="L102" s="28"/>
      <c r="M102" s="28"/>
      <c r="N102" s="28"/>
      <c r="O102" s="28"/>
      <c r="P102" s="28"/>
      <c r="Q102" s="28"/>
      <c r="R102" s="28"/>
      <c r="S102" s="28"/>
      <c r="T102" s="28"/>
      <c r="U102" s="28"/>
      <c r="V102" s="28"/>
      <c r="W102" s="28"/>
    </row>
    <row r="103" spans="2:23" x14ac:dyDescent="0.45">
      <c r="B103" s="25" t="s">
        <v>254</v>
      </c>
      <c r="C103" s="26" t="s">
        <v>145</v>
      </c>
      <c r="D103" s="60" cm="1">
        <f t="array" aca="1" ref="D103" ca="1">_xll.VoseOutput("In window regimen 1","1 = yes")+IF(AND(Trough_1&gt;=MEC,Cmax_1&lt;=MTC),1,0)</f>
        <v>0</v>
      </c>
      <c r="E103" s="28"/>
      <c r="F103" s="26"/>
      <c r="G103" s="28"/>
      <c r="H103" s="28"/>
      <c r="I103" s="28"/>
      <c r="J103" s="28"/>
      <c r="K103" s="28"/>
      <c r="L103" s="28"/>
      <c r="M103" s="28"/>
      <c r="N103" s="28"/>
      <c r="O103" s="28"/>
      <c r="P103" s="28"/>
      <c r="Q103" s="28"/>
      <c r="R103" s="28"/>
      <c r="S103" s="28"/>
      <c r="T103" s="28"/>
      <c r="U103" s="28"/>
      <c r="V103" s="28"/>
      <c r="W103" s="28"/>
    </row>
    <row r="104" spans="2:23" x14ac:dyDescent="0.45">
      <c r="B104" s="25" t="s">
        <v>255</v>
      </c>
      <c r="C104" s="26" t="s">
        <v>145</v>
      </c>
      <c r="D104" s="60" cm="1">
        <f t="array" aca="1" ref="D104" ca="1">_xll.VoseOutput("In window regimen 2","1 = yes")+IF(AND(Trough_2&gt;=MEC,Cmax_2&lt;=MTC),1,0)</f>
        <v>0</v>
      </c>
      <c r="E104" s="28"/>
      <c r="F104" s="26"/>
      <c r="G104" s="28"/>
      <c r="H104" s="28"/>
      <c r="I104" s="28"/>
      <c r="J104" s="28"/>
      <c r="K104" s="28"/>
      <c r="L104" s="28"/>
      <c r="M104" s="28"/>
      <c r="N104" s="28"/>
      <c r="O104" s="28"/>
      <c r="P104" s="28"/>
      <c r="Q104" s="28"/>
      <c r="R104" s="28"/>
      <c r="S104" s="28"/>
      <c r="T104" s="28"/>
      <c r="U104" s="28"/>
      <c r="V104" s="28"/>
      <c r="W104" s="28"/>
    </row>
    <row r="105" spans="2:23" x14ac:dyDescent="0.45">
      <c r="B105" s="25" t="s">
        <v>256</v>
      </c>
      <c r="C105" s="26" t="s">
        <v>145</v>
      </c>
      <c r="D105" s="60" cm="1">
        <f t="array" aca="1" ref="D105" ca="1">_xll.VoseOutput("In window regimen 3","1 = yes")+IF(AND(Trough_3&gt;=MEC,Cmax_3&lt;=MTC),1,0)</f>
        <v>1</v>
      </c>
      <c r="E105" s="28"/>
      <c r="F105" s="26"/>
      <c r="G105" s="28"/>
      <c r="H105" s="28"/>
      <c r="I105" s="28"/>
      <c r="J105" s="28"/>
      <c r="K105" s="28"/>
      <c r="L105" s="28"/>
      <c r="M105" s="28"/>
      <c r="N105" s="28"/>
      <c r="O105" s="28"/>
      <c r="P105" s="28"/>
      <c r="Q105" s="28"/>
      <c r="R105" s="28"/>
      <c r="S105" s="28"/>
      <c r="T105" s="28"/>
      <c r="U105" s="28"/>
      <c r="V105" s="28"/>
      <c r="W105" s="28"/>
    </row>
    <row r="106" spans="2:23" x14ac:dyDescent="0.45">
      <c r="B106" s="25" t="s">
        <v>257</v>
      </c>
      <c r="C106" s="26" t="s">
        <v>145</v>
      </c>
      <c r="D106" s="60" cm="1">
        <f t="array" aca="1" ref="D106" ca="1">_xll.VoseOutput("In window regimen 4","1 = yes")+IF(AND(Trough_4&gt;=MEC,Cmax_4&lt;=MTC),1,0)</f>
        <v>1</v>
      </c>
      <c r="E106" s="28"/>
      <c r="F106" s="26"/>
      <c r="G106" s="28"/>
      <c r="H106" s="28"/>
      <c r="I106" s="28"/>
      <c r="J106" s="28"/>
      <c r="K106" s="28"/>
      <c r="L106" s="28"/>
      <c r="M106" s="28"/>
      <c r="N106" s="28"/>
      <c r="O106" s="28"/>
      <c r="P106" s="28"/>
      <c r="Q106" s="28"/>
      <c r="R106" s="28"/>
      <c r="S106" s="28"/>
      <c r="T106" s="28"/>
      <c r="U106" s="28"/>
      <c r="V106" s="28"/>
      <c r="W106" s="28"/>
    </row>
    <row r="107" spans="2:23" x14ac:dyDescent="0.45">
      <c r="B107" s="25" t="s">
        <v>258</v>
      </c>
      <c r="C107" s="26" t="s">
        <v>145</v>
      </c>
      <c r="D107" s="60" cm="1">
        <f t="array" aca="1" ref="D107" ca="1">_xll.VoseOutput("Effective regimen 1","1 = yes")+IF(Trough_1&gt;=MEC,1,0)</f>
        <v>0</v>
      </c>
      <c r="E107" s="28"/>
      <c r="F107" s="26"/>
      <c r="G107" s="28"/>
      <c r="H107" s="28"/>
      <c r="I107" s="28"/>
      <c r="J107" s="28"/>
      <c r="K107" s="28"/>
      <c r="L107" s="28"/>
      <c r="M107" s="28"/>
      <c r="N107" s="28"/>
      <c r="O107" s="28"/>
      <c r="P107" s="28"/>
      <c r="Q107" s="28"/>
      <c r="R107" s="28"/>
      <c r="S107" s="28"/>
      <c r="T107" s="28"/>
      <c r="U107" s="28"/>
      <c r="V107" s="28"/>
      <c r="W107" s="28"/>
    </row>
    <row r="108" spans="2:23" x14ac:dyDescent="0.45">
      <c r="B108" s="25" t="s">
        <v>259</v>
      </c>
      <c r="C108" s="26" t="s">
        <v>145</v>
      </c>
      <c r="D108" s="60" cm="1">
        <f t="array" aca="1" ref="D108" ca="1">_xll.VoseOutput("Effective regimen 2","1 = yes")+IF(Trough_2&gt;=MEC,1,0)</f>
        <v>0</v>
      </c>
      <c r="E108" s="28"/>
      <c r="F108" s="26"/>
      <c r="G108" s="28"/>
      <c r="H108" s="28"/>
      <c r="I108" s="28"/>
      <c r="J108" s="28"/>
      <c r="K108" s="28"/>
      <c r="L108" s="28"/>
      <c r="M108" s="28"/>
      <c r="N108" s="28"/>
      <c r="O108" s="28"/>
      <c r="P108" s="28"/>
      <c r="Q108" s="28"/>
      <c r="R108" s="28"/>
      <c r="S108" s="28"/>
      <c r="T108" s="28"/>
      <c r="U108" s="28"/>
      <c r="V108" s="28"/>
      <c r="W108" s="28"/>
    </row>
    <row r="109" spans="2:23" x14ac:dyDescent="0.45">
      <c r="B109" s="25" t="s">
        <v>260</v>
      </c>
      <c r="C109" s="26" t="s">
        <v>145</v>
      </c>
      <c r="D109" s="60" cm="1">
        <f t="array" aca="1" ref="D109" ca="1">_xll.VoseOutput("Effective regimen 3","1 = yes")+IF(Trough_3&gt;=MEC,1,0)</f>
        <v>1</v>
      </c>
      <c r="E109" s="28"/>
      <c r="F109" s="26"/>
      <c r="G109" s="28"/>
      <c r="H109" s="28"/>
      <c r="I109" s="28"/>
      <c r="J109" s="28"/>
      <c r="K109" s="28"/>
      <c r="L109" s="28"/>
      <c r="M109" s="28"/>
      <c r="N109" s="28"/>
      <c r="O109" s="28"/>
      <c r="P109" s="28"/>
      <c r="Q109" s="28"/>
      <c r="R109" s="28"/>
      <c r="S109" s="28"/>
      <c r="T109" s="28"/>
      <c r="U109" s="28"/>
      <c r="V109" s="28"/>
      <c r="W109" s="28"/>
    </row>
    <row r="110" spans="2:23" x14ac:dyDescent="0.45">
      <c r="B110" s="25" t="s">
        <v>261</v>
      </c>
      <c r="C110" s="26" t="s">
        <v>145</v>
      </c>
      <c r="D110" s="60" cm="1">
        <f t="array" aca="1" ref="D110" ca="1">_xll.VoseOutput("Effective regimen 4","1 = yes")+IF(Trough_4&gt;=MEC,1,0)</f>
        <v>1</v>
      </c>
      <c r="E110" s="28"/>
      <c r="F110" s="26"/>
      <c r="G110" s="28"/>
      <c r="H110" s="28"/>
      <c r="I110" s="28"/>
      <c r="J110" s="28"/>
      <c r="K110" s="28"/>
      <c r="L110" s="28"/>
      <c r="M110" s="28"/>
      <c r="N110" s="28"/>
      <c r="O110" s="28"/>
      <c r="P110" s="28"/>
      <c r="Q110" s="28"/>
      <c r="R110" s="28"/>
      <c r="S110" s="28"/>
      <c r="T110" s="28"/>
      <c r="U110" s="28"/>
      <c r="V110" s="28"/>
      <c r="W110" s="28"/>
    </row>
    <row r="111" spans="2:23" x14ac:dyDescent="0.45">
      <c r="B111" s="25" t="s">
        <v>262</v>
      </c>
      <c r="C111" s="26" t="s">
        <v>145</v>
      </c>
      <c r="D111" s="60" cm="1">
        <f t="array" aca="1" ref="D111" ca="1">_xll.VoseOutput("Above limit regimen 1","1 = yes")+IF(Cmax_1&gt;MTC,1,0)</f>
        <v>0</v>
      </c>
      <c r="E111" s="28"/>
      <c r="F111" s="26"/>
      <c r="G111" s="28"/>
      <c r="H111" s="28"/>
      <c r="I111" s="28"/>
      <c r="J111" s="28"/>
      <c r="K111" s="28"/>
      <c r="L111" s="28"/>
      <c r="M111" s="28"/>
      <c r="N111" s="28"/>
      <c r="O111" s="28"/>
      <c r="P111" s="28"/>
      <c r="Q111" s="28"/>
      <c r="R111" s="28"/>
      <c r="S111" s="28"/>
      <c r="T111" s="28"/>
      <c r="U111" s="28"/>
      <c r="V111" s="28"/>
      <c r="W111" s="28"/>
    </row>
    <row r="112" spans="2:23" x14ac:dyDescent="0.45">
      <c r="B112" s="25" t="s">
        <v>263</v>
      </c>
      <c r="C112" s="26" t="s">
        <v>145</v>
      </c>
      <c r="D112" s="60" cm="1">
        <f t="array" aca="1" ref="D112" ca="1">_xll.VoseOutput("Above limit regimen 2","1 = yes")+IF(Cmax_2&gt;MTC,1,0)</f>
        <v>0</v>
      </c>
      <c r="E112" s="28"/>
      <c r="F112" s="26"/>
      <c r="G112" s="28"/>
      <c r="H112" s="28"/>
      <c r="I112" s="28"/>
      <c r="J112" s="28"/>
      <c r="K112" s="28"/>
      <c r="L112" s="28"/>
      <c r="M112" s="28"/>
      <c r="N112" s="28"/>
      <c r="O112" s="28"/>
      <c r="P112" s="28"/>
      <c r="Q112" s="28"/>
      <c r="R112" s="28"/>
      <c r="S112" s="28"/>
      <c r="T112" s="28"/>
      <c r="U112" s="28"/>
      <c r="V112" s="28"/>
      <c r="W112" s="28"/>
    </row>
    <row r="113" spans="2:23" x14ac:dyDescent="0.45">
      <c r="B113" s="25" t="s">
        <v>264</v>
      </c>
      <c r="C113" s="26" t="s">
        <v>145</v>
      </c>
      <c r="D113" s="60" cm="1">
        <f t="array" aca="1" ref="D113" ca="1">_xll.VoseOutput("Above limit regimen 3","1 = yes")+IF(Cmax_3&gt;MTC,1,0)</f>
        <v>0</v>
      </c>
      <c r="E113" s="28"/>
      <c r="F113" s="26"/>
      <c r="G113" s="28"/>
      <c r="H113" s="28"/>
      <c r="I113" s="28"/>
      <c r="J113" s="28"/>
      <c r="K113" s="28"/>
      <c r="L113" s="28"/>
      <c r="M113" s="28"/>
      <c r="N113" s="28"/>
      <c r="O113" s="28"/>
      <c r="P113" s="28"/>
      <c r="Q113" s="28"/>
      <c r="R113" s="28"/>
      <c r="S113" s="28"/>
      <c r="T113" s="28"/>
      <c r="U113" s="28"/>
      <c r="V113" s="28"/>
      <c r="W113" s="28"/>
    </row>
    <row r="114" spans="2:23" x14ac:dyDescent="0.45">
      <c r="B114" s="25" t="s">
        <v>265</v>
      </c>
      <c r="C114" s="26" t="s">
        <v>145</v>
      </c>
      <c r="D114" s="60" cm="1">
        <f t="array" aca="1" ref="D114" ca="1">_xll.VoseOutput("Above limit regimen 4","1 = yes")+IF(Cmax_4&gt;MTC,1,0)</f>
        <v>0</v>
      </c>
      <c r="E114" s="28"/>
      <c r="F114" s="26"/>
      <c r="G114" s="28"/>
      <c r="H114" s="28"/>
      <c r="I114" s="28"/>
      <c r="J114" s="28"/>
      <c r="K114" s="28"/>
      <c r="L114" s="28"/>
      <c r="M114" s="28"/>
      <c r="N114" s="28"/>
      <c r="O114" s="28"/>
      <c r="P114" s="28"/>
      <c r="Q114" s="28"/>
      <c r="R114" s="28"/>
      <c r="S114" s="28"/>
      <c r="T114" s="28"/>
      <c r="U114" s="28"/>
      <c r="V114" s="28"/>
      <c r="W114" s="28"/>
    </row>
    <row r="115" spans="2:23" x14ac:dyDescent="0.45">
      <c r="B115" s="25" t="s">
        <v>266</v>
      </c>
      <c r="C115" s="26" t="s">
        <v>131</v>
      </c>
      <c r="D115" s="61" cm="1">
        <f t="array" aca="1" ref="D115" ca="1">_xll.VoseOutput("Hours inhibited regimen 1","hours")+Inh_raw_1</f>
        <v>0</v>
      </c>
      <c r="E115" s="28"/>
      <c r="F115" s="26" t="s">
        <v>267</v>
      </c>
      <c r="G115" s="28"/>
      <c r="H115" s="28"/>
      <c r="I115" s="28"/>
      <c r="J115" s="28"/>
      <c r="K115" s="28"/>
      <c r="L115" s="28"/>
      <c r="M115" s="28"/>
      <c r="N115" s="28"/>
      <c r="O115" s="28"/>
      <c r="P115" s="28"/>
      <c r="Q115" s="28"/>
      <c r="R115" s="28"/>
      <c r="S115" s="28"/>
      <c r="T115" s="28"/>
      <c r="U115" s="28"/>
      <c r="V115" s="28"/>
      <c r="W115" s="28"/>
    </row>
    <row r="116" spans="2:23" x14ac:dyDescent="0.45">
      <c r="B116" s="25" t="s">
        <v>268</v>
      </c>
      <c r="C116" s="26" t="s">
        <v>131</v>
      </c>
      <c r="D116" s="61" cm="1">
        <f t="array" aca="1" ref="D116" ca="1">_xll.VoseOutput("Hours inhibited regimen 2","hours")+Inh_raw_2</f>
        <v>22.140000000000004</v>
      </c>
      <c r="E116" s="28"/>
      <c r="F116" s="26"/>
      <c r="G116" s="28"/>
      <c r="H116" s="28"/>
      <c r="I116" s="28"/>
      <c r="J116" s="28"/>
      <c r="K116" s="28"/>
      <c r="L116" s="28"/>
      <c r="M116" s="28"/>
      <c r="N116" s="28"/>
      <c r="O116" s="28"/>
      <c r="P116" s="28"/>
      <c r="Q116" s="28"/>
      <c r="R116" s="28"/>
      <c r="S116" s="28"/>
      <c r="T116" s="28"/>
      <c r="U116" s="28"/>
      <c r="V116" s="28"/>
      <c r="W116" s="28"/>
    </row>
    <row r="117" spans="2:23" x14ac:dyDescent="0.45">
      <c r="B117" s="25" t="s">
        <v>269</v>
      </c>
      <c r="C117" s="26" t="s">
        <v>131</v>
      </c>
      <c r="D117" s="61" cm="1">
        <f t="array" aca="1" ref="D117" ca="1">_xll.VoseOutput("Hours inhibited regimen 3","hours")+Inh_raw_3</f>
        <v>36.74</v>
      </c>
      <c r="E117" s="28"/>
      <c r="F117" s="26"/>
      <c r="G117" s="28"/>
      <c r="H117" s="28"/>
      <c r="I117" s="28"/>
      <c r="J117" s="28"/>
      <c r="K117" s="28"/>
      <c r="L117" s="28"/>
      <c r="M117" s="28"/>
      <c r="N117" s="28"/>
      <c r="O117" s="28"/>
      <c r="P117" s="28"/>
      <c r="Q117" s="28"/>
      <c r="R117" s="28"/>
      <c r="S117" s="28"/>
      <c r="T117" s="28"/>
      <c r="U117" s="28"/>
      <c r="V117" s="28"/>
      <c r="W117" s="28"/>
    </row>
    <row r="118" spans="2:23" x14ac:dyDescent="0.45">
      <c r="B118" s="25" t="s">
        <v>270</v>
      </c>
      <c r="C118" s="26" t="s">
        <v>131</v>
      </c>
      <c r="D118" s="61" cm="1">
        <f t="array" aca="1" ref="D118" ca="1">_xll.VoseOutput("Hours inhibited regimen 4","hours")+Inh_raw_4</f>
        <v>17.550000000000004</v>
      </c>
      <c r="E118" s="28"/>
      <c r="F118" s="26"/>
      <c r="G118" s="28"/>
      <c r="H118" s="28"/>
      <c r="I118" s="28"/>
      <c r="J118" s="28"/>
      <c r="K118" s="28"/>
      <c r="L118" s="28"/>
      <c r="M118" s="28"/>
      <c r="N118" s="28"/>
      <c r="O118" s="28"/>
      <c r="P118" s="28"/>
      <c r="Q118" s="28"/>
      <c r="R118" s="28"/>
      <c r="S118" s="28"/>
      <c r="T118" s="28"/>
      <c r="U118" s="28"/>
      <c r="V118" s="28"/>
      <c r="W118" s="28"/>
    </row>
    <row r="119" spans="2:23" ht="8" customHeight="1" x14ac:dyDescent="0.45"/>
    <row r="120" spans="2:23" ht="18" customHeight="1" x14ac:dyDescent="0.45">
      <c r="B120" s="36" t="s">
        <v>271</v>
      </c>
      <c r="C120" s="5"/>
      <c r="D120" s="5"/>
      <c r="E120" s="5"/>
      <c r="F120" s="5"/>
      <c r="G120" s="5"/>
      <c r="H120" s="5"/>
      <c r="I120" s="5"/>
      <c r="J120" s="5"/>
      <c r="K120" s="5"/>
      <c r="L120" s="5"/>
      <c r="M120" s="5"/>
      <c r="N120" s="5"/>
      <c r="O120" s="5"/>
      <c r="P120" s="5"/>
      <c r="Q120" s="5"/>
      <c r="R120" s="5"/>
      <c r="S120" s="5"/>
      <c r="T120" s="5"/>
      <c r="U120" s="5"/>
      <c r="V120" s="5"/>
      <c r="W120" s="5"/>
    </row>
    <row r="121" spans="2:23" x14ac:dyDescent="0.45">
      <c r="D121" s="62" cm="1">
        <f t="array" aca="1" ref="D121" ca="1">_xll.VoseOutput("Conc at 60 h","mg/L")+INDEX(CHOOSE(ChartReg,Profile_1,Profile_2,Profile_3,Profile_4),1)</f>
        <v>1.729687673612073</v>
      </c>
      <c r="E121" s="62" cm="1">
        <f t="array" aca="1" ref="E121" ca="1">_xll.VoseOutput("Conc at 60.5 h","mg/L")+INDEX(CHOOSE(ChartReg,Profile_1,Profile_2,Profile_3,Profile_4),2)</f>
        <v>1.623322852648128</v>
      </c>
      <c r="F121" s="62" cm="1">
        <f t="array" aca="1" ref="F121" ca="1">_xll.VoseOutput("Conc at 61 h","mg/L")+INDEX(CHOOSE(ChartReg,Profile_1,Profile_2,Profile_3,Profile_4),3)</f>
        <v>1.5234647546402289</v>
      </c>
      <c r="G121" s="62" cm="1">
        <f t="array" aca="1" ref="G121" ca="1">_xll.VoseOutput("Conc at 61.5 h","mg/L")+INDEX(CHOOSE(ChartReg,Profile_1,Profile_2,Profile_3,Profile_4),4)</f>
        <v>1.4297396918385017</v>
      </c>
      <c r="H121" s="62" cm="1">
        <f t="array" aca="1" ref="H121" ca="1">_xll.VoseOutput("Conc at 62 h","mg/L")+INDEX(CHOOSE(ChartReg,Profile_1,Profile_2,Profile_3,Profile_4),5)</f>
        <v>1.3417779245593631</v>
      </c>
      <c r="I121" s="62" cm="1">
        <f t="array" aca="1" ref="I121" ca="1">_xll.VoseOutput("Conc at 62.5 h","mg/L")+INDEX(CHOOSE(ChartReg,Profile_1,Profile_2,Profile_3,Profile_4),6)</f>
        <v>1.259227035115569</v>
      </c>
      <c r="J121" s="62" cm="1">
        <f t="array" aca="1" ref="J121" ca="1">_xll.VoseOutput("Conc at 63 h","mg/L")+INDEX(CHOOSE(ChartReg,Profile_1,Profile_2,Profile_3,Profile_4),7)</f>
        <v>1.1817547419240024</v>
      </c>
      <c r="K121" s="62" cm="1">
        <f t="array" aca="1" ref="K121" ca="1">_xll.VoseOutput("Conc at 63.5 h","mg/L")+INDEX(CHOOSE(ChartReg,Profile_1,Profile_2,Profile_3,Profile_4),8)</f>
        <v>1.1090487661284387</v>
      </c>
      <c r="L121" s="62" cm="1">
        <f t="array" aca="1" ref="L121" ca="1">_xll.VoseOutput("Conc at 64 h","mg/L")+INDEX(CHOOSE(ChartReg,Profile_1,Profile_2,Profile_3,Profile_4),9)</f>
        <v>1.040815915936784</v>
      </c>
      <c r="M121" s="62" cm="1">
        <f t="array" aca="1" ref="M121" ca="1">_xll.VoseOutput("Conc at 64.5 h","mg/L")+INDEX(CHOOSE(ChartReg,Profile_1,Profile_2,Profile_3,Profile_4),10)</f>
        <v>2.1757045333072282</v>
      </c>
      <c r="N121" s="62" cm="1">
        <f t="array" aca="1" ref="N121" ca="1">_xll.VoseOutput("Conc at 65 h","mg/L")+INDEX(CHOOSE(ChartReg,Profile_1,Profile_2,Profile_3,Profile_4),11)</f>
        <v>2.38345441896971</v>
      </c>
      <c r="O121" s="62" cm="1">
        <f t="array" aca="1" ref="O121" ca="1">_xll.VoseOutput("Conc at 65.5 h","mg/L")+INDEX(CHOOSE(ChartReg,Profile_1,Profile_2,Profile_3,Profile_4),12)</f>
        <v>2.3341489984349217</v>
      </c>
      <c r="P121" s="62" cm="1">
        <f t="array" aca="1" ref="P121" ca="1">_xll.VoseOutput("Conc at 66 h","mg/L")+INDEX(CHOOSE(ChartReg,Profile_1,Profile_2,Profile_3,Profile_4),13)</f>
        <v>2.2182764918106308</v>
      </c>
    </row>
    <row r="122" spans="2:23" x14ac:dyDescent="0.45">
      <c r="D122" s="62" cm="1">
        <f t="array" aca="1" ref="D122" ca="1">_xll.VoseOutput("Conc at 66.5 h","mg/L")+INDEX(CHOOSE(ChartReg,Profile_1,Profile_2,Profile_3,Profile_4),14)</f>
        <v>2.0897017239090196</v>
      </c>
      <c r="E122" s="62" cm="1">
        <f t="array" aca="1" ref="E122" ca="1">_xll.VoseOutput("Conc at 67 h","mg/L")+INDEX(CHOOSE(ChartReg,Profile_1,Profile_2,Profile_3,Profile_4),15)</f>
        <v>1.9633868943007122</v>
      </c>
      <c r="F122" s="62" cm="1">
        <f t="array" aca="1" ref="F122" ca="1">_xll.VoseOutput("Conc at 67.5 h","mg/L")+INDEX(CHOOSE(ChartReg,Profile_1,Profile_2,Profile_3,Profile_4),16)</f>
        <v>1.8432334504009056</v>
      </c>
      <c r="G122" s="62" cm="1">
        <f t="array" aca="1" ref="G122" ca="1">_xll.VoseOutput("Conc at 68 h","mg/L")+INDEX(CHOOSE(ChartReg,Profile_1,Profile_2,Profile_3,Profile_4),17)</f>
        <v>1.7300135703453032</v>
      </c>
      <c r="H122" s="62" cm="1">
        <f t="array" aca="1" ref="H122" ca="1">_xll.VoseOutput("Conc at 68.5 h","mg/L")+INDEX(CHOOSE(ChartReg,Profile_1,Profile_2,Profile_3,Profile_4),18)</f>
        <v>1.6236286989866038</v>
      </c>
      <c r="I122" s="62" cm="1">
        <f t="array" aca="1" ref="I122" ca="1">_xll.VoseOutput("Conc at 69 h","mg/L")+INDEX(CHOOSE(ChartReg,Profile_1,Profile_2,Profile_3,Profile_4),19)</f>
        <v>1.5237517841597714</v>
      </c>
      <c r="J122" s="62" cm="1">
        <f t="array" aca="1" ref="J122" ca="1">_xll.VoseOutput("Conc at 69.5 h","mg/L")+INDEX(CHOOSE(ChartReg,Profile_1,Profile_2,Profile_3,Profile_4),20)</f>
        <v>1.4300090622206971</v>
      </c>
      <c r="K122" s="62" cm="1">
        <f t="array" aca="1" ref="K122" ca="1">_xll.VoseOutput("Conc at 70 h","mg/L")+INDEX(CHOOSE(ChartReg,Profile_1,Profile_2,Profile_3,Profile_4),21)</f>
        <v>1.3420307222608672</v>
      </c>
      <c r="L122" s="62" cm="1">
        <f t="array" aca="1" ref="L122" ca="1">_xll.VoseOutput("Conc at 70.5 h","mg/L")+INDEX(CHOOSE(ChartReg,Profile_1,Profile_2,Profile_3,Profile_4),22)</f>
        <v>1.2594642797501301</v>
      </c>
      <c r="M122" s="62" cm="1">
        <f t="array" aca="1" ref="M122" ca="1">_xll.VoseOutput("Conc at 71 h","mg/L")+INDEX(CHOOSE(ChartReg,Profile_1,Profile_2,Profile_3,Profile_4),23)</f>
        <v>1.1819773903748905</v>
      </c>
      <c r="N122" s="62" cm="1">
        <f t="array" aca="1" ref="N122" ca="1">_xll.VoseOutput("Conc at 71.5 h","mg/L")+INDEX(CHOOSE(ChartReg,Profile_1,Profile_2,Profile_3,Profile_4),24)</f>
        <v>1.1092577164078603</v>
      </c>
      <c r="O122" s="62" cm="1">
        <f t="array" aca="1" ref="O122" ca="1">_xll.VoseOutput("Conc at 72 h","mg/L")+INDEX(CHOOSE(ChartReg,Profile_1,Profile_2,Profile_3,Profile_4),25)</f>
        <v>1.0410120108078524</v>
      </c>
    </row>
    <row r="123" spans="2:23" ht="8" customHeight="1" x14ac:dyDescent="0.45"/>
    <row r="124" spans="2:23" ht="22.05" customHeight="1" x14ac:dyDescent="0.5">
      <c r="B124" s="7" t="s">
        <v>272</v>
      </c>
      <c r="C124" s="8"/>
      <c r="D124" s="8"/>
      <c r="E124" s="8"/>
      <c r="F124" s="8"/>
      <c r="G124" s="8"/>
      <c r="H124" s="8"/>
      <c r="I124" s="8"/>
      <c r="J124" s="8"/>
      <c r="K124" s="8"/>
      <c r="L124" s="8"/>
      <c r="M124" s="8"/>
      <c r="N124" s="8"/>
      <c r="O124" s="8"/>
      <c r="P124" s="8"/>
      <c r="Q124" s="8"/>
      <c r="R124" s="8"/>
      <c r="S124" s="8"/>
      <c r="T124" s="8"/>
      <c r="U124" s="8"/>
      <c r="V124" s="8"/>
      <c r="W124" s="8"/>
    </row>
    <row r="125" spans="2:23" ht="18" customHeight="1" x14ac:dyDescent="0.45">
      <c r="B125" s="13" t="s">
        <v>273</v>
      </c>
    </row>
    <row r="126" spans="2:23" x14ac:dyDescent="0.45">
      <c r="B126" s="25" t="s">
        <v>274</v>
      </c>
      <c r="C126" s="28"/>
      <c r="D126" s="63" t="str">
        <f ca="1">IF(AND(ISNUMBER(Trough_1),ISNUMBER(Trough_2),ISNUMBER(Trough_3),ISNUMBER(Trough_4)),"OK","CHECK")</f>
        <v>OK</v>
      </c>
      <c r="E126" s="28"/>
      <c r="F126" s="28"/>
      <c r="G126" s="28"/>
      <c r="H126" s="28"/>
      <c r="I126" s="28"/>
      <c r="J126" s="28"/>
      <c r="K126" s="28"/>
      <c r="L126" s="28"/>
      <c r="M126" s="28"/>
      <c r="N126" s="28"/>
      <c r="O126" s="28"/>
      <c r="P126" s="28"/>
      <c r="Q126" s="28"/>
      <c r="R126" s="28"/>
      <c r="S126" s="28"/>
      <c r="T126" s="28"/>
      <c r="U126" s="28"/>
      <c r="V126" s="28"/>
      <c r="W126" s="28"/>
    </row>
    <row r="127" spans="2:23" x14ac:dyDescent="0.45">
      <c r="B127" s="25" t="s">
        <v>275</v>
      </c>
      <c r="C127" s="28"/>
      <c r="D127" s="63" t="str">
        <f>IF(MEC&lt;MTC,"OK","CHECK")</f>
        <v>OK</v>
      </c>
      <c r="E127" s="28"/>
      <c r="F127" s="28"/>
      <c r="G127" s="28"/>
      <c r="H127" s="28"/>
      <c r="I127" s="28"/>
      <c r="J127" s="28"/>
      <c r="K127" s="28"/>
      <c r="L127" s="28"/>
      <c r="M127" s="28"/>
      <c r="N127" s="28"/>
      <c r="O127" s="28"/>
      <c r="P127" s="28"/>
      <c r="Q127" s="28"/>
      <c r="R127" s="28"/>
      <c r="S127" s="28"/>
      <c r="T127" s="28"/>
      <c r="U127" s="28"/>
      <c r="V127" s="28"/>
      <c r="W127" s="28"/>
    </row>
    <row r="128" spans="2:23" x14ac:dyDescent="0.45">
      <c r="B128" s="25" t="s">
        <v>276</v>
      </c>
      <c r="C128" s="28"/>
      <c r="D128" s="63" t="str">
        <f>IF(AND(ChartReg&gt;=1,ChartReg&lt;=4,ChartReg=INT(ChartReg)),"OK","CHECK")</f>
        <v>OK</v>
      </c>
      <c r="E128" s="28"/>
      <c r="F128" s="28"/>
      <c r="G128" s="28"/>
      <c r="H128" s="28"/>
      <c r="I128" s="28"/>
      <c r="J128" s="28"/>
      <c r="K128" s="28"/>
      <c r="L128" s="28"/>
      <c r="M128" s="28"/>
      <c r="N128" s="28"/>
      <c r="O128" s="28"/>
      <c r="P128" s="28"/>
      <c r="Q128" s="28"/>
      <c r="R128" s="28"/>
      <c r="S128" s="28"/>
      <c r="T128" s="28"/>
      <c r="U128" s="28"/>
      <c r="V128" s="28"/>
      <c r="W128" s="28"/>
    </row>
    <row r="129" spans="2:23" x14ac:dyDescent="0.45">
      <c r="B129" s="25" t="s">
        <v>277</v>
      </c>
      <c r="C129" s="28"/>
      <c r="D129" s="63" t="str">
        <f>IF(AND(MOD(SteadyAt,Tau_1)=0,MOD(SteadyAt,Tau_2)=0,MOD(SteadyAt,Tau_3)=0,MOD(SteadyAt,Tau_4)=0),"OK","CHECK")</f>
        <v>OK</v>
      </c>
      <c r="E129" s="28"/>
      <c r="F129" s="28"/>
      <c r="G129" s="28"/>
      <c r="H129" s="28"/>
      <c r="I129" s="28"/>
      <c r="J129" s="28"/>
      <c r="K129" s="28"/>
      <c r="L129" s="28"/>
      <c r="M129" s="28"/>
      <c r="N129" s="28"/>
      <c r="O129" s="28"/>
      <c r="P129" s="28"/>
      <c r="Q129" s="28"/>
      <c r="R129" s="28"/>
      <c r="S129" s="28"/>
      <c r="T129" s="28"/>
      <c r="U129" s="28"/>
      <c r="V129" s="28"/>
      <c r="W129" s="28"/>
    </row>
    <row r="130" spans="2:23" x14ac:dyDescent="0.45">
      <c r="B130" s="25" t="s">
        <v>278</v>
      </c>
      <c r="C130" s="28"/>
      <c r="D130" s="63" t="str">
        <f>IF(TypicalOnly=0,"OK","CHECK")</f>
        <v>OK</v>
      </c>
      <c r="E130" s="28"/>
      <c r="F130" s="28"/>
      <c r="G130" s="28"/>
      <c r="H130" s="28"/>
      <c r="I130" s="28"/>
      <c r="J130" s="28"/>
      <c r="K130" s="28"/>
      <c r="L130" s="28"/>
      <c r="M130" s="28"/>
      <c r="N130" s="28"/>
      <c r="O130" s="28"/>
      <c r="P130" s="28"/>
      <c r="Q130" s="28"/>
      <c r="R130" s="28"/>
      <c r="S130" s="28"/>
      <c r="T130" s="28"/>
      <c r="U130" s="28"/>
      <c r="V130" s="28"/>
      <c r="W130" s="28"/>
    </row>
    <row r="131" spans="2:23" x14ac:dyDescent="0.45">
      <c r="B131" s="25" t="s">
        <v>279</v>
      </c>
      <c r="C131" s="28"/>
      <c r="D131" s="63" t="str">
        <f>IF(TypicalOnly=0,"OK",IF(MAX(SolverDiff)&lt;0.01,"OK","CHECK"))</f>
        <v>OK</v>
      </c>
      <c r="E131" s="28"/>
      <c r="F131" s="28"/>
      <c r="G131" s="28"/>
      <c r="H131" s="28"/>
      <c r="I131" s="28"/>
      <c r="J131" s="28"/>
      <c r="K131" s="28"/>
      <c r="L131" s="28"/>
      <c r="M131" s="28"/>
      <c r="N131" s="28"/>
      <c r="O131" s="28"/>
      <c r="P131" s="28"/>
      <c r="Q131" s="28"/>
      <c r="R131" s="28"/>
      <c r="S131" s="28"/>
      <c r="T131" s="28"/>
      <c r="U131" s="28"/>
      <c r="V131" s="28"/>
      <c r="W131" s="28"/>
    </row>
    <row r="132" spans="2:23" ht="14" customHeight="1" x14ac:dyDescent="0.45"/>
  </sheetData>
  <conditionalFormatting sqref="D126:D131">
    <cfRule type="expression" dxfId="6" priority="1">
      <formula>D126="CHECK"</formula>
    </cfRule>
  </conditionalFormatting>
  <hyperlinks>
    <hyperlink ref="B4" location="'Inputs'!A1" display="◂  Inputs" xr:uid="{00000000-0004-0000-0200-000000000000}"/>
    <hyperlink ref="W4" location="'Results'!A1" display="Next:  Results  ▸" xr:uid="{00000000-0004-0000-0200-000001000000}"/>
  </hyperlinks>
  <printOptions horizontalCentered="1"/>
  <pageMargins left="0.4" right="0.4" top="0.5" bottom="0.6" header="0.25" footer="0.25"/>
  <pageSetup paperSize="9" scale="59" fitToHeight="0" orientation="landscape" r:id="rId1"/>
  <headerFooter>
    <oddFooter>&amp;L&amp;K3F5876&amp;8&amp;F · &amp;A&amp;R&amp;K3F5876&amp;8Page &amp;P of &amp;N</oddFooter>
  </headerFooter>
  <rowBreaks count="2" manualBreakCount="2">
    <brk id="43"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48"/>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280</v>
      </c>
      <c r="C3" s="1"/>
      <c r="D3" s="1"/>
      <c r="E3" s="1"/>
      <c r="F3" s="1"/>
      <c r="G3" s="1"/>
      <c r="H3" s="1"/>
      <c r="I3" s="1"/>
      <c r="J3" s="1"/>
      <c r="K3" s="1"/>
      <c r="L3" s="1"/>
      <c r="M3" s="1"/>
      <c r="N3" s="1"/>
      <c r="O3" s="1"/>
      <c r="P3" s="1"/>
      <c r="Q3" s="1"/>
      <c r="R3" s="1"/>
    </row>
    <row r="4" spans="1:18" ht="20" customHeight="1" x14ac:dyDescent="0.45">
      <c r="A4" s="5"/>
      <c r="B4" s="22" t="s">
        <v>281</v>
      </c>
      <c r="C4" s="5"/>
      <c r="D4" s="5"/>
      <c r="E4" s="5"/>
      <c r="F4" s="5"/>
      <c r="G4" s="5"/>
      <c r="H4" s="5"/>
      <c r="I4" s="5"/>
      <c r="J4" s="5"/>
      <c r="K4" s="5"/>
      <c r="L4" s="5"/>
      <c r="M4" s="5"/>
      <c r="N4" s="5"/>
      <c r="O4" s="5"/>
      <c r="P4" s="5"/>
      <c r="Q4" s="5"/>
      <c r="R4" s="5"/>
    </row>
    <row r="5" spans="1:18" ht="8" customHeight="1" x14ac:dyDescent="0.45"/>
    <row r="6" spans="1:18" ht="26" customHeight="1" x14ac:dyDescent="0.45">
      <c r="B6" s="64" t="str" cm="1">
        <f t="array" aca="1" ref="B6" ca="1">IF(ISNUMBER(_xll.VoseSimMean(Win_2)),"✔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5"/>
      <c r="D6" s="65"/>
      <c r="E6" s="65"/>
      <c r="F6" s="65"/>
      <c r="G6" s="65"/>
    </row>
    <row r="7" spans="1:18" x14ac:dyDescent="0.45">
      <c r="B7" s="66"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282</v>
      </c>
      <c r="C9" s="8"/>
      <c r="D9" s="8"/>
      <c r="E9" s="8"/>
      <c r="F9" s="8"/>
      <c r="G9" s="8"/>
      <c r="I9" s="67" t="s">
        <v>283</v>
      </c>
      <c r="J9" s="8"/>
      <c r="K9" s="8"/>
      <c r="L9" s="8"/>
      <c r="M9" s="8"/>
      <c r="N9" s="8"/>
      <c r="O9" s="8"/>
      <c r="P9" s="8"/>
      <c r="Q9" s="8"/>
      <c r="R9" s="8"/>
    </row>
    <row r="10" spans="1:18" ht="18" customHeight="1" x14ac:dyDescent="0.45">
      <c r="B10" s="13" t="s">
        <v>284</v>
      </c>
    </row>
    <row r="11" spans="1:18" ht="18" customHeight="1" x14ac:dyDescent="0.45">
      <c r="B11" s="68" t="s">
        <v>224</v>
      </c>
      <c r="C11" s="69" t="s">
        <v>285</v>
      </c>
      <c r="D11" s="69" t="s">
        <v>228</v>
      </c>
      <c r="E11" s="69" t="s">
        <v>286</v>
      </c>
      <c r="F11" s="69" t="s">
        <v>287</v>
      </c>
      <c r="G11" s="69" t="s">
        <v>288</v>
      </c>
    </row>
    <row r="12" spans="1:18" x14ac:dyDescent="0.45">
      <c r="B12" s="56"/>
      <c r="C12" s="56" t="s">
        <v>289</v>
      </c>
      <c r="D12" s="56" t="s">
        <v>290</v>
      </c>
      <c r="E12" s="56" t="s">
        <v>291</v>
      </c>
      <c r="F12" s="56" t="s">
        <v>292</v>
      </c>
      <c r="G12" s="56" t="s">
        <v>293</v>
      </c>
    </row>
    <row r="13" spans="1:18" x14ac:dyDescent="0.45">
      <c r="B13" s="25" t="str">
        <f>"1  "&amp;Dose_1&amp;" mg every "&amp;Tau_1&amp;" h"</f>
        <v>1  100 mg every 12 h</v>
      </c>
      <c r="C13" s="70" t="str">
        <f>IF(TypWin_1=1,"yes","no")</f>
        <v>no</v>
      </c>
      <c r="D13" s="71" cm="1">
        <f t="array" aca="1" ref="D13" ca="1">_xll.VoseSimMean(Eff_1)</f>
        <v>0.48409999999999997</v>
      </c>
      <c r="E13" s="71" cm="1">
        <f t="array" aca="1" ref="E13" ca="1">_xll.VoseSimMean(Tox_1)</f>
        <v>5.0000000000000001E-3</v>
      </c>
      <c r="F13" s="71" cm="1">
        <f t="array" aca="1" ref="F13" ca="1">_xll.VoseSimMean(Win_1)</f>
        <v>0.47910000000000003</v>
      </c>
      <c r="G13" s="72" cm="1">
        <f t="array" aca="1" ref="G13" ca="1">_xll.VoseSimMean(T80_1)</f>
        <v>8.5534745000000019</v>
      </c>
    </row>
    <row r="14" spans="1:18" x14ac:dyDescent="0.45">
      <c r="B14" s="25" t="str">
        <f>"2  "&amp;Dose_2&amp;" mg every "&amp;Tau_2&amp;" h"</f>
        <v>2  150 mg every 12 h</v>
      </c>
      <c r="C14" s="70" t="str">
        <f>IF(TypWin_2=1,"yes","no")</f>
        <v>yes</v>
      </c>
      <c r="D14" s="71" cm="1">
        <f t="array" aca="1" ref="D14" ca="1">_xll.VoseSimMean(Eff_2)</f>
        <v>0.70550000000000002</v>
      </c>
      <c r="E14" s="71" cm="1">
        <f t="array" aca="1" ref="E14" ca="1">_xll.VoseSimMean(Tox_2)</f>
        <v>0.1164</v>
      </c>
      <c r="F14" s="71" cm="1">
        <f t="array" aca="1" ref="F14" ca="1">_xll.VoseSimMean(Win_2)</f>
        <v>0.58940000000000003</v>
      </c>
      <c r="G14" s="72" cm="1">
        <f t="array" aca="1" ref="G14" ca="1">_xll.VoseSimMean(T80_2)</f>
        <v>30.009217499999988</v>
      </c>
    </row>
    <row r="15" spans="1:18" x14ac:dyDescent="0.45">
      <c r="B15" s="25" t="str">
        <f>"3  "&amp;Dose_3&amp;" mg every "&amp;Tau_3&amp;" h"</f>
        <v>3  200 mg every 12 h</v>
      </c>
      <c r="C15" s="70" t="str">
        <f>IF(TypWin_3=1,"yes","no")</f>
        <v>yes</v>
      </c>
      <c r="D15" s="71" cm="1">
        <f t="array" aca="1" ref="D15" ca="1">_xll.VoseSimMean(Eff_3)</f>
        <v>0.81889999999999996</v>
      </c>
      <c r="E15" s="71" cm="1">
        <f t="array" aca="1" ref="E15" ca="1">_xll.VoseSimMean(Tox_3)</f>
        <v>0.40870000000000001</v>
      </c>
      <c r="F15" s="71" cm="1">
        <f t="array" aca="1" ref="F15" ca="1">_xll.VoseSimMean(Win_3)</f>
        <v>0.41830000000000001</v>
      </c>
      <c r="G15" s="72" cm="1">
        <f t="array" aca="1" ref="G15" ca="1">_xll.VoseSimMean(T80_3)</f>
        <v>46.10186949999995</v>
      </c>
    </row>
    <row r="16" spans="1:18" x14ac:dyDescent="0.45">
      <c r="B16" s="25" t="str">
        <f>"4  "&amp;Dose_4&amp;" mg every "&amp;Tau_4&amp;" h"</f>
        <v>4  100 mg every 8 h</v>
      </c>
      <c r="C16" s="70" t="str">
        <f>IF(TypWin_4=1,"yes","no")</f>
        <v>yes</v>
      </c>
      <c r="D16" s="71" cm="1">
        <f t="array" aca="1" ref="D16" ca="1">_xll.VoseSimMean(Eff_4)</f>
        <v>0.84860000000000002</v>
      </c>
      <c r="E16" s="71" cm="1">
        <f t="array" aca="1" ref="E16" ca="1">_xll.VoseSimMean(Tox_4)</f>
        <v>6.7299999999999999E-2</v>
      </c>
      <c r="F16" s="71" cm="1">
        <f t="array" aca="1" ref="F16" ca="1">_xll.VoseSimMean(Win_4)</f>
        <v>0.78129999999999999</v>
      </c>
      <c r="G16" s="72" cm="1">
        <f t="array" aca="1" ref="G16" ca="1">_xll.VoseSimMean(T80_4)</f>
        <v>27.755999499999941</v>
      </c>
    </row>
    <row r="17" spans="2:18" x14ac:dyDescent="0.45">
      <c r="B17" s="48" t="str">
        <f>"Window: trough at least "&amp;TEXT(MEC,"0.0")&amp;" mg/L and peak at most "&amp;TEXT(MTC,"0.0")&amp;" mg/L. Hours at 80% inhibition: of the 72 simulated."</f>
        <v>Window: trough at least 0.8 mg/L and peak at most 4.0 mg/L. Hours at 80% inhibition: of the 72 simulated.</v>
      </c>
    </row>
    <row r="18" spans="2:18" ht="8" customHeight="1" x14ac:dyDescent="0.45"/>
    <row r="25" spans="2:18" ht="22.05" customHeight="1" x14ac:dyDescent="0.5">
      <c r="B25" s="7" t="s">
        <v>294</v>
      </c>
      <c r="C25" s="8"/>
      <c r="D25" s="8"/>
      <c r="E25" s="8"/>
      <c r="F25" s="8"/>
      <c r="G25" s="8"/>
      <c r="I25" s="67" t="s">
        <v>295</v>
      </c>
      <c r="J25" s="8"/>
      <c r="K25" s="8"/>
      <c r="L25" s="8"/>
      <c r="M25" s="8"/>
      <c r="N25" s="8"/>
      <c r="O25" s="8"/>
      <c r="P25" s="8"/>
      <c r="Q25" s="8"/>
      <c r="R25" s="8"/>
    </row>
    <row r="26" spans="2:18" ht="18" customHeight="1" x14ac:dyDescent="0.45">
      <c r="B26" s="13" t="s">
        <v>296</v>
      </c>
    </row>
    <row r="27" spans="2:18" ht="18" customHeight="1" x14ac:dyDescent="0.45">
      <c r="B27" s="68" t="s">
        <v>224</v>
      </c>
      <c r="C27" s="69" t="s">
        <v>228</v>
      </c>
      <c r="D27" s="69" t="s">
        <v>228</v>
      </c>
      <c r="E27" s="69" t="s">
        <v>228</v>
      </c>
      <c r="F27" s="69" t="s">
        <v>229</v>
      </c>
      <c r="G27" s="69" t="s">
        <v>229</v>
      </c>
    </row>
    <row r="28" spans="2:18" x14ac:dyDescent="0.45">
      <c r="B28" s="56"/>
      <c r="C28" s="56" t="s">
        <v>297</v>
      </c>
      <c r="D28" s="56" t="s">
        <v>298</v>
      </c>
      <c r="E28" s="56" t="s">
        <v>299</v>
      </c>
      <c r="F28" s="56" t="s">
        <v>297</v>
      </c>
      <c r="G28" s="56" t="s">
        <v>299</v>
      </c>
    </row>
    <row r="29" spans="2:18" x14ac:dyDescent="0.45">
      <c r="B29" s="25" t="str">
        <f>"1  "&amp;Dose_1&amp;" mg every "&amp;Tau_1&amp;" h"</f>
        <v>1  100 mg every 12 h</v>
      </c>
      <c r="C29" s="39">
        <f>TypTrough_1</f>
        <v>0.7662339847879609</v>
      </c>
      <c r="D29" s="73" cm="1">
        <f t="array" aca="1" ref="D29" ca="1">_xll.VoseSimPercentile(Trough_1,0.1)</f>
        <v>0.2855130379942768</v>
      </c>
      <c r="E29" s="73" cm="1">
        <f t="array" aca="1" ref="E29" ca="1">_xll.VoseSimPercentile(Trough_1,0.9)</f>
        <v>1.6354187913443223</v>
      </c>
      <c r="F29" s="39">
        <f>TypPeak_1</f>
        <v>1.8447851944728642</v>
      </c>
      <c r="G29" s="73" cm="1">
        <f t="array" aca="1" ref="G29" ca="1">_xll.VoseSimPercentile(Cmax_1,0.9)</f>
        <v>2.7318266589873827</v>
      </c>
    </row>
    <row r="30" spans="2:18" x14ac:dyDescent="0.45">
      <c r="B30" s="25" t="str">
        <f>"2  "&amp;Dose_2&amp;" mg every "&amp;Tau_2&amp;" h"</f>
        <v>2  150 mg every 12 h</v>
      </c>
      <c r="C30" s="39">
        <f>TypTrough_2</f>
        <v>1.1493509771819412</v>
      </c>
      <c r="D30" s="73" cm="1">
        <f t="array" aca="1" ref="D30" ca="1">_xll.VoseSimPercentile(Trough_2,0.1)</f>
        <v>0.42826955699141572</v>
      </c>
      <c r="E30" s="73" cm="1">
        <f t="array" aca="1" ref="E30" ca="1">_xll.VoseSimPercentile(Trough_2,0.9)</f>
        <v>2.4531281870164818</v>
      </c>
      <c r="F30" s="39">
        <f>TypPeak_2</f>
        <v>2.7671777917092961</v>
      </c>
      <c r="G30" s="73" cm="1">
        <f t="array" aca="1" ref="G30" ca="1">_xll.VoseSimPercentile(Cmax_2,0.9)</f>
        <v>4.0977399884810808</v>
      </c>
    </row>
    <row r="31" spans="2:18" x14ac:dyDescent="0.45">
      <c r="B31" s="25" t="str">
        <f>"3  "&amp;Dose_3&amp;" mg every "&amp;Tau_3&amp;" h"</f>
        <v>3  200 mg every 12 h</v>
      </c>
      <c r="C31" s="39">
        <f>TypTrough_3</f>
        <v>1.5324679695759218</v>
      </c>
      <c r="D31" s="73" cm="1">
        <f t="array" aca="1" ref="D31" ca="1">_xll.VoseSimPercentile(Trough_3,0.1)</f>
        <v>0.57102607598855359</v>
      </c>
      <c r="E31" s="73" cm="1">
        <f t="array" aca="1" ref="E31" ca="1">_xll.VoseSimPercentile(Trough_3,0.9)</f>
        <v>3.2708375826886447</v>
      </c>
      <c r="F31" s="39">
        <f>TypPeak_3</f>
        <v>3.6895703889457283</v>
      </c>
      <c r="G31" s="73" cm="1">
        <f t="array" aca="1" ref="G31" ca="1">_xll.VoseSimPercentile(Cmax_3,0.9)</f>
        <v>5.4636533179747655</v>
      </c>
    </row>
    <row r="32" spans="2:18" x14ac:dyDescent="0.45">
      <c r="B32" s="25" t="str">
        <f>"4  "&amp;Dose_4&amp;" mg every "&amp;Tau_4&amp;" h"</f>
        <v>4  100 mg every 8 h</v>
      </c>
      <c r="C32" s="39">
        <f>TypTrough_4</f>
        <v>1.450010036827116</v>
      </c>
      <c r="D32" s="73" cm="1">
        <f t="array" aca="1" ref="D32" ca="1">_xll.VoseSimPercentile(Trough_4,0.1)</f>
        <v>0.66769862296048599</v>
      </c>
      <c r="E32" s="73" cm="1">
        <f t="array" aca="1" ref="E32" ca="1">_xll.VoseSimPercentile(Trough_4,0.9)</f>
        <v>2.7751944430093882</v>
      </c>
      <c r="F32" s="39">
        <f>TypPeak_4</f>
        <v>2.4037549896323962</v>
      </c>
      <c r="G32" s="73" cm="1">
        <f t="array" aca="1" ref="G32" ca="1">_xll.VoseSimPercentile(Cmax_4,0.9)</f>
        <v>3.7252110346185572</v>
      </c>
    </row>
    <row r="33" spans="2:18" ht="8" customHeight="1" x14ac:dyDescent="0.45"/>
    <row r="41" spans="2:18" ht="22.05" customHeight="1" x14ac:dyDescent="0.5">
      <c r="B41" s="7" t="s">
        <v>300</v>
      </c>
      <c r="C41" s="8"/>
      <c r="D41" s="8"/>
      <c r="E41" s="8"/>
      <c r="F41" s="8"/>
      <c r="G41" s="8"/>
      <c r="I41" s="67" t="s">
        <v>301</v>
      </c>
      <c r="J41" s="8"/>
      <c r="K41" s="8"/>
      <c r="L41" s="8"/>
      <c r="M41" s="8"/>
      <c r="N41" s="8"/>
      <c r="O41" s="8"/>
      <c r="P41" s="8"/>
      <c r="Q41" s="8"/>
      <c r="R41" s="8"/>
    </row>
    <row r="42" spans="2:18" ht="18" customHeight="1" x14ac:dyDescent="0.45">
      <c r="B42" s="13" t="s">
        <v>302</v>
      </c>
    </row>
    <row r="43" spans="2:18" ht="18" customHeight="1" x14ac:dyDescent="0.45">
      <c r="B43" s="23" t="s">
        <v>303</v>
      </c>
      <c r="C43" s="24" t="s">
        <v>304</v>
      </c>
      <c r="D43" s="24" t="s">
        <v>305</v>
      </c>
      <c r="E43" s="74" t="s">
        <v>306</v>
      </c>
      <c r="F43" s="5"/>
      <c r="G43" s="5"/>
    </row>
    <row r="44" spans="2:18" x14ac:dyDescent="0.45">
      <c r="B44" s="25" t="str">
        <f t="array" aca="1" ref="B44:E46" ca="1">_xll.VoseSimSensitivityMean(Trough_2,10,1,FALSE)</f>
        <v>Clearance variation</v>
      </c>
      <c r="C44" s="73">
        <f ca="1"/>
        <v>0.31759405081136011</v>
      </c>
      <c r="D44" s="73">
        <f ca="1"/>
        <v>3.0688127024433176</v>
      </c>
      <c r="E44" s="75">
        <f ca="1"/>
        <v>1</v>
      </c>
      <c r="F44" s="28"/>
      <c r="G44" s="28"/>
    </row>
    <row r="45" spans="2:18" x14ac:dyDescent="0.45">
      <c r="B45" s="25" t="str">
        <f ca="1"/>
        <v>Volume of distribution variation</v>
      </c>
      <c r="C45" s="73">
        <f ca="1"/>
        <v>1.0607040503414049</v>
      </c>
      <c r="D45" s="73">
        <f ca="1"/>
        <v>1.5848773556041469</v>
      </c>
      <c r="E45" s="75">
        <f ca="1"/>
        <v>2</v>
      </c>
      <c r="F45" s="28"/>
      <c r="G45" s="28"/>
    </row>
    <row r="46" spans="2:18" x14ac:dyDescent="0.45">
      <c r="B46" s="25" t="str">
        <f ca="1"/>
        <v>Absorption rate constant variation</v>
      </c>
      <c r="C46" s="73">
        <f ca="1"/>
        <v>1.2753343728420423</v>
      </c>
      <c r="D46" s="73">
        <f ca="1"/>
        <v>1.4715659208189111</v>
      </c>
      <c r="E46" s="75">
        <f ca="1"/>
        <v>3</v>
      </c>
      <c r="F46" s="28"/>
      <c r="G46" s="28"/>
    </row>
    <row r="55" spans="2:7" ht="22.05" customHeight="1" x14ac:dyDescent="0.5">
      <c r="B55" s="7" t="s">
        <v>307</v>
      </c>
      <c r="C55" s="8"/>
      <c r="D55" s="8"/>
      <c r="E55" s="8"/>
      <c r="F55" s="8"/>
      <c r="G55" s="8"/>
    </row>
    <row r="56" spans="2:7" ht="58.05" customHeight="1" x14ac:dyDescent="0.45">
      <c r="B56" s="82" t="s">
        <v>308</v>
      </c>
      <c r="C56" s="83"/>
      <c r="D56" s="83"/>
      <c r="E56" s="83"/>
      <c r="F56" s="83"/>
      <c r="G56" s="83"/>
    </row>
    <row r="57" spans="2:7" ht="45" customHeight="1" x14ac:dyDescent="0.45">
      <c r="B57" s="82" t="s">
        <v>309</v>
      </c>
      <c r="C57" s="83"/>
      <c r="D57" s="83"/>
      <c r="E57" s="83"/>
      <c r="F57" s="83"/>
      <c r="G57" s="83"/>
    </row>
    <row r="58" spans="2:7" ht="45" customHeight="1" x14ac:dyDescent="0.45">
      <c r="B58" s="82" t="s">
        <v>310</v>
      </c>
      <c r="C58" s="83"/>
      <c r="D58" s="83"/>
      <c r="E58" s="83"/>
      <c r="F58" s="83"/>
      <c r="G58" s="83"/>
    </row>
    <row r="59" spans="2:7" ht="32" customHeight="1" x14ac:dyDescent="0.45">
      <c r="B59" s="82" t="s">
        <v>311</v>
      </c>
      <c r="C59" s="83"/>
      <c r="D59" s="83"/>
      <c r="E59" s="83"/>
      <c r="F59" s="83"/>
      <c r="G59" s="83"/>
    </row>
    <row r="60" spans="2:7" ht="32" customHeight="1" x14ac:dyDescent="0.45">
      <c r="B60" s="82" t="s">
        <v>312</v>
      </c>
      <c r="C60" s="83"/>
      <c r="D60" s="83"/>
      <c r="E60" s="83"/>
      <c r="F60" s="83"/>
      <c r="G60" s="83"/>
    </row>
    <row r="61" spans="2:7" ht="14" customHeight="1" x14ac:dyDescent="0.45"/>
    <row r="62" spans="2:7" ht="14" customHeight="1" x14ac:dyDescent="0.45"/>
    <row r="63" spans="2:7" ht="22.05" customHeight="1" x14ac:dyDescent="0.5">
      <c r="B63" s="7" t="s">
        <v>313</v>
      </c>
      <c r="C63" s="8"/>
      <c r="D63" s="8"/>
      <c r="E63" s="8"/>
      <c r="F63" s="8"/>
      <c r="G63" s="8"/>
    </row>
    <row r="64" spans="2:7" ht="18" customHeight="1" x14ac:dyDescent="0.45">
      <c r="B64" s="13" t="s">
        <v>314</v>
      </c>
    </row>
    <row r="65" spans="2:7" ht="28.05" hidden="1" customHeight="1" outlineLevel="1" x14ac:dyDescent="0.45">
      <c r="B65" s="24" t="s">
        <v>315</v>
      </c>
      <c r="C65" s="24" t="s">
        <v>316</v>
      </c>
      <c r="D65" s="24" t="s">
        <v>317</v>
      </c>
      <c r="E65" s="24" t="s">
        <v>318</v>
      </c>
      <c r="F65" s="24" t="s">
        <v>319</v>
      </c>
      <c r="G65" s="24" t="s">
        <v>320</v>
      </c>
    </row>
    <row r="66" spans="2:7" hidden="1" outlineLevel="1" x14ac:dyDescent="0.45">
      <c r="B66" s="76">
        <v>0.01</v>
      </c>
      <c r="C66" s="76">
        <f t="shared" ref="C66:C97" si="0">1-B66</f>
        <v>0.99</v>
      </c>
      <c r="D66" s="77" cm="1">
        <f t="array" aca="1" ref="D66" ca="1">IF(ISNUMBER(_xll.VoseSimPercentile(Trough_1,$B66)),_xll.VoseSimPercentile(Trough_1,$B66),NA())</f>
        <v>8.3165459708153394E-2</v>
      </c>
      <c r="E66" s="77" cm="1">
        <f t="array" aca="1" ref="E66" ca="1">IF(ISNUMBER(_xll.VoseSimPercentile(Trough_2,$B66)),_xll.VoseSimPercentile(Trough_2,$B66),NA())</f>
        <v>0.12474818956223079</v>
      </c>
      <c r="F66" s="77" cm="1">
        <f t="array" aca="1" ref="F66" ca="1">IF(ISNUMBER(_xll.VoseSimPercentile(Trough_3,$B66)),_xll.VoseSimPercentile(Trough_3,$B66),NA())</f>
        <v>0.16633091941630679</v>
      </c>
      <c r="G66" s="77" cm="1">
        <f t="array" aca="1" ref="G66" ca="1">IF(ISNUMBER(_xll.VoseSimPercentile(Trough_4,$B66)),_xll.VoseSimPercentile(Trough_4,$B66),NA())</f>
        <v>0.2766866740638691</v>
      </c>
    </row>
    <row r="67" spans="2:7" hidden="1" outlineLevel="1" x14ac:dyDescent="0.45">
      <c r="B67" s="76">
        <v>0.03</v>
      </c>
      <c r="C67" s="76">
        <f t="shared" si="0"/>
        <v>0.97</v>
      </c>
      <c r="D67" s="77" cm="1">
        <f t="array" aca="1" ref="D67" ca="1">IF(ISNUMBER(_xll.VoseSimPercentile(Trough_1,$B67)),_xll.VoseSimPercentile(Trough_1,$B67),NA())</f>
        <v>0.14536770007154426</v>
      </c>
      <c r="E67" s="77" cm="1">
        <f t="array" aca="1" ref="E67" ca="1">IF(ISNUMBER(_xll.VoseSimPercentile(Trough_2,$B67)),_xll.VoseSimPercentile(Trough_2,$B67),NA())</f>
        <v>0.21805155010731589</v>
      </c>
      <c r="F67" s="77" cm="1">
        <f t="array" aca="1" ref="F67" ca="1">IF(ISNUMBER(_xll.VoseSimPercentile(Trough_3,$B67)),_xll.VoseSimPercentile(Trough_3,$B67),NA())</f>
        <v>0.29073540014308852</v>
      </c>
      <c r="G67" s="77" cm="1">
        <f t="array" aca="1" ref="G67" ca="1">IF(ISNUMBER(_xll.VoseSimPercentile(Trough_4,$B67)),_xll.VoseSimPercentile(Trough_4,$B67),NA())</f>
        <v>0.4148830949166305</v>
      </c>
    </row>
    <row r="68" spans="2:7" hidden="1" outlineLevel="1" x14ac:dyDescent="0.45">
      <c r="B68" s="76">
        <v>0.05</v>
      </c>
      <c r="C68" s="76">
        <f t="shared" si="0"/>
        <v>0.95</v>
      </c>
      <c r="D68" s="77" cm="1">
        <f t="array" aca="1" ref="D68" ca="1">IF(ISNUMBER(_xll.VoseSimPercentile(Trough_1,$B68)),_xll.VoseSimPercentile(Trough_1,$B68),NA())</f>
        <v>0.19405966535011948</v>
      </c>
      <c r="E68" s="77" cm="1">
        <f t="array" aca="1" ref="E68" ca="1">IF(ISNUMBER(_xll.VoseSimPercentile(Trough_2,$B68)),_xll.VoseSimPercentile(Trough_2,$B68),NA())</f>
        <v>0.29108949802518064</v>
      </c>
      <c r="F68" s="77" cm="1">
        <f t="array" aca="1" ref="F68" ca="1">IF(ISNUMBER(_xll.VoseSimPercentile(Trough_3,$B68)),_xll.VoseSimPercentile(Trough_3,$B68),NA())</f>
        <v>0.38811933070023896</v>
      </c>
      <c r="G68" s="77" cm="1">
        <f t="array" aca="1" ref="G68" ca="1">IF(ISNUMBER(_xll.VoseSimPercentile(Trough_4,$B68)),_xll.VoseSimPercentile(Trough_4,$B68),NA())</f>
        <v>0.50543658869847585</v>
      </c>
    </row>
    <row r="69" spans="2:7" hidden="1" outlineLevel="1" x14ac:dyDescent="0.45">
      <c r="B69" s="76">
        <v>7.0000000000000007E-2</v>
      </c>
      <c r="C69" s="76">
        <f t="shared" si="0"/>
        <v>0.92999999999999994</v>
      </c>
      <c r="D69" s="77" cm="1">
        <f t="array" aca="1" ref="D69" ca="1">IF(ISNUMBER(_xll.VoseSimPercentile(Trough_1,$B69)),_xll.VoseSimPercentile(Trough_1,$B69),NA())</f>
        <v>0.23302219487001893</v>
      </c>
      <c r="E69" s="77" cm="1">
        <f t="array" aca="1" ref="E69" ca="1">IF(ISNUMBER(_xll.VoseSimPercentile(Trough_2,$B69)),_xll.VoseSimPercentile(Trough_2,$B69),NA())</f>
        <v>0.34953329230502694</v>
      </c>
      <c r="F69" s="77" cm="1">
        <f t="array" aca="1" ref="F69" ca="1">IF(ISNUMBER(_xll.VoseSimPercentile(Trough_3,$B69)),_xll.VoseSimPercentile(Trough_3,$B69),NA())</f>
        <v>0.46604438974003787</v>
      </c>
      <c r="G69" s="77" cm="1">
        <f t="array" aca="1" ref="G69" ca="1">IF(ISNUMBER(_xll.VoseSimPercentile(Trough_4,$B69)),_xll.VoseSimPercentile(Trough_4,$B69),NA())</f>
        <v>0.57944398029875177</v>
      </c>
    </row>
    <row r="70" spans="2:7" hidden="1" outlineLevel="1" x14ac:dyDescent="0.45">
      <c r="B70" s="76">
        <v>0.09</v>
      </c>
      <c r="C70" s="76">
        <f t="shared" si="0"/>
        <v>0.91</v>
      </c>
      <c r="D70" s="77" cm="1">
        <f t="array" aca="1" ref="D70" ca="1">IF(ISNUMBER(_xll.VoseSimPercentile(Trough_1,$B70)),_xll.VoseSimPercentile(Trough_1,$B70),NA())</f>
        <v>0.26853480422125092</v>
      </c>
      <c r="E70" s="77" cm="1">
        <f t="array" aca="1" ref="E70" ca="1">IF(ISNUMBER(_xll.VoseSimPercentile(Trough_2,$B70)),_xll.VoseSimPercentile(Trough_2,$B70),NA())</f>
        <v>0.40280220633187669</v>
      </c>
      <c r="F70" s="77" cm="1">
        <f t="array" aca="1" ref="F70" ca="1">IF(ISNUMBER(_xll.VoseSimPercentile(Trough_3,$B70)),_xll.VoseSimPercentile(Trough_3,$B70),NA())</f>
        <v>0.53706960844250184</v>
      </c>
      <c r="G70" s="77" cm="1">
        <f t="array" aca="1" ref="G70" ca="1">IF(ISNUMBER(_xll.VoseSimPercentile(Trough_4,$B70)),_xll.VoseSimPercentile(Trough_4,$B70),NA())</f>
        <v>0.64004352275946108</v>
      </c>
    </row>
    <row r="71" spans="2:7" hidden="1" outlineLevel="1" x14ac:dyDescent="0.45">
      <c r="B71" s="76">
        <v>0.11</v>
      </c>
      <c r="C71" s="76">
        <f t="shared" si="0"/>
        <v>0.89</v>
      </c>
      <c r="D71" s="77" cm="1">
        <f t="array" aca="1" ref="D71" ca="1">IF(ISNUMBER(_xll.VoseSimPercentile(Trough_1,$B71)),_xll.VoseSimPercentile(Trough_1,$B71),NA())</f>
        <v>0.3010649408997263</v>
      </c>
      <c r="E71" s="77" cm="1">
        <f t="array" aca="1" ref="E71" ca="1">IF(ISNUMBER(_xll.VoseSimPercentile(Trough_2,$B71)),_xll.VoseSimPercentile(Trough_2,$B71),NA())</f>
        <v>0.45159741134959108</v>
      </c>
      <c r="F71" s="77" cm="1">
        <f t="array" aca="1" ref="F71" ca="1">IF(ISNUMBER(_xll.VoseSimPercentile(Trough_3,$B71)),_xll.VoseSimPercentile(Trough_3,$B71),NA())</f>
        <v>0.60212988179945259</v>
      </c>
      <c r="G71" s="77" cm="1">
        <f t="array" aca="1" ref="G71" ca="1">IF(ISNUMBER(_xll.VoseSimPercentile(Trough_4,$B71)),_xll.VoseSimPercentile(Trough_4,$B71),NA())</f>
        <v>0.6975062030666116</v>
      </c>
    </row>
    <row r="72" spans="2:7" hidden="1" outlineLevel="1" x14ac:dyDescent="0.45">
      <c r="B72" s="76">
        <v>0.13</v>
      </c>
      <c r="C72" s="76">
        <f t="shared" si="0"/>
        <v>0.87</v>
      </c>
      <c r="D72" s="77" cm="1">
        <f t="array" aca="1" ref="D72" ca="1">IF(ISNUMBER(_xll.VoseSimPercentile(Trough_1,$B72)),_xll.VoseSimPercentile(Trough_1,$B72),NA())</f>
        <v>0.33030673487837137</v>
      </c>
      <c r="E72" s="77" cm="1">
        <f t="array" aca="1" ref="E72" ca="1">IF(ISNUMBER(_xll.VoseSimPercentile(Trough_2,$B72)),_xll.VoseSimPercentile(Trough_2,$B72),NA())</f>
        <v>0.4954601023175581</v>
      </c>
      <c r="F72" s="77" cm="1">
        <f t="array" aca="1" ref="F72" ca="1">IF(ISNUMBER(_xll.VoseSimPercentile(Trough_3,$B72)),_xll.VoseSimPercentile(Trough_3,$B72),NA())</f>
        <v>0.66061346975674273</v>
      </c>
      <c r="G72" s="77" cm="1">
        <f t="array" aca="1" ref="G72" ca="1">IF(ISNUMBER(_xll.VoseSimPercentile(Trough_4,$B72)),_xll.VoseSimPercentile(Trough_4,$B72),NA())</f>
        <v>0.75267837916462332</v>
      </c>
    </row>
    <row r="73" spans="2:7" hidden="1" outlineLevel="1" x14ac:dyDescent="0.45">
      <c r="B73" s="76">
        <v>0.15</v>
      </c>
      <c r="C73" s="76">
        <f t="shared" si="0"/>
        <v>0.85</v>
      </c>
      <c r="D73" s="77" cm="1">
        <f t="array" aca="1" ref="D73" ca="1">IF(ISNUMBER(_xll.VoseSimPercentile(Trough_1,$B73)),_xll.VoseSimPercentile(Trough_1,$B73),NA())</f>
        <v>0.35926165677933053</v>
      </c>
      <c r="E73" s="77" cm="1">
        <f t="array" aca="1" ref="E73" ca="1">IF(ISNUMBER(_xll.VoseSimPercentile(Trough_2,$B73)),_xll.VoseSimPercentile(Trough_2,$B73),NA())</f>
        <v>0.53889248516899479</v>
      </c>
      <c r="F73" s="77" cm="1">
        <f t="array" aca="1" ref="F73" ca="1">IF(ISNUMBER(_xll.VoseSimPercentile(Trough_3,$B73)),_xll.VoseSimPercentile(Trough_3,$B73),NA())</f>
        <v>0.71852331355866106</v>
      </c>
      <c r="G73" s="77" cm="1">
        <f t="array" aca="1" ref="G73" ca="1">IF(ISNUMBER(_xll.VoseSimPercentile(Trough_4,$B73)),_xll.VoseSimPercentile(Trough_4,$B73),NA())</f>
        <v>0.79706180983924257</v>
      </c>
    </row>
    <row r="74" spans="2:7" hidden="1" outlineLevel="1" x14ac:dyDescent="0.45">
      <c r="B74" s="76">
        <v>0.17</v>
      </c>
      <c r="C74" s="76">
        <f t="shared" si="0"/>
        <v>0.83</v>
      </c>
      <c r="D74" s="77" cm="1">
        <f t="array" aca="1" ref="D74" ca="1">IF(ISNUMBER(_xll.VoseSimPercentile(Trough_1,$B74)),_xll.VoseSimPercentile(Trough_1,$B74),NA())</f>
        <v>0.38728616878116828</v>
      </c>
      <c r="E74" s="77" cm="1">
        <f t="array" aca="1" ref="E74" ca="1">IF(ISNUMBER(_xll.VoseSimPercentile(Trough_2,$B74)),_xll.VoseSimPercentile(Trough_2,$B74),NA())</f>
        <v>0.58092925317175459</v>
      </c>
      <c r="F74" s="77" cm="1">
        <f t="array" aca="1" ref="F74" ca="1">IF(ISNUMBER(_xll.VoseSimPercentile(Trough_3,$B74)),_xll.VoseSimPercentile(Trough_3,$B74),NA())</f>
        <v>0.77457233756233657</v>
      </c>
      <c r="G74" s="77" cm="1">
        <f t="array" aca="1" ref="G74" ca="1">IF(ISNUMBER(_xll.VoseSimPercentile(Trough_4,$B74)),_xll.VoseSimPercentile(Trough_4,$B74),NA())</f>
        <v>0.83844094802274893</v>
      </c>
    </row>
    <row r="75" spans="2:7" hidden="1" outlineLevel="1" x14ac:dyDescent="0.45">
      <c r="B75" s="76">
        <v>0.19</v>
      </c>
      <c r="C75" s="76">
        <f t="shared" si="0"/>
        <v>0.81</v>
      </c>
      <c r="D75" s="77" cm="1">
        <f t="array" aca="1" ref="D75" ca="1">IF(ISNUMBER(_xll.VoseSimPercentile(Trough_1,$B75)),_xll.VoseSimPercentile(Trough_1,$B75),NA())</f>
        <v>0.41116237487113111</v>
      </c>
      <c r="E75" s="77" cm="1">
        <f t="array" aca="1" ref="E75" ca="1">IF(ISNUMBER(_xll.VoseSimPercentile(Trough_2,$B75)),_xll.VoseSimPercentile(Trough_2,$B75),NA())</f>
        <v>0.61674356230669669</v>
      </c>
      <c r="F75" s="77" cm="1">
        <f t="array" aca="1" ref="F75" ca="1">IF(ISNUMBER(_xll.VoseSimPercentile(Trough_3,$B75)),_xll.VoseSimPercentile(Trough_3,$B75),NA())</f>
        <v>0.82232474974226222</v>
      </c>
      <c r="G75" s="77" cm="1">
        <f t="array" aca="1" ref="G75" ca="1">IF(ISNUMBER(_xll.VoseSimPercentile(Trough_4,$B75)),_xll.VoseSimPercentile(Trough_4,$B75),NA())</f>
        <v>0.88101036216328843</v>
      </c>
    </row>
    <row r="76" spans="2:7" hidden="1" outlineLevel="1" x14ac:dyDescent="0.45">
      <c r="B76" s="76">
        <v>0.21</v>
      </c>
      <c r="C76" s="76">
        <f t="shared" si="0"/>
        <v>0.79</v>
      </c>
      <c r="D76" s="77" cm="1">
        <f t="array" aca="1" ref="D76" ca="1">IF(ISNUMBER(_xll.VoseSimPercentile(Trough_1,$B76)),_xll.VoseSimPercentile(Trough_1,$B76),NA())</f>
        <v>0.43508747587099883</v>
      </c>
      <c r="E76" s="77" cm="1">
        <f t="array" aca="1" ref="E76" ca="1">IF(ISNUMBER(_xll.VoseSimPercentile(Trough_2,$B76)),_xll.VoseSimPercentile(Trough_2,$B76),NA())</f>
        <v>0.65263121380649636</v>
      </c>
      <c r="F76" s="77" cm="1">
        <f t="array" aca="1" ref="F76" ca="1">IF(ISNUMBER(_xll.VoseSimPercentile(Trough_3,$B76)),_xll.VoseSimPercentile(Trough_3,$B76),NA())</f>
        <v>0.87017495174199766</v>
      </c>
      <c r="G76" s="77" cm="1">
        <f t="array" aca="1" ref="G76" ca="1">IF(ISNUMBER(_xll.VoseSimPercentile(Trough_4,$B76)),_xll.VoseSimPercentile(Trough_4,$B76),NA())</f>
        <v>0.91992398479220949</v>
      </c>
    </row>
    <row r="77" spans="2:7" hidden="1" outlineLevel="1" x14ac:dyDescent="0.45">
      <c r="B77" s="76">
        <v>0.23</v>
      </c>
      <c r="C77" s="76">
        <f t="shared" si="0"/>
        <v>0.77</v>
      </c>
      <c r="D77" s="77" cm="1">
        <f t="array" aca="1" ref="D77" ca="1">IF(ISNUMBER(_xll.VoseSimPercentile(Trough_1,$B77)),_xll.VoseSimPercentile(Trough_1,$B77),NA())</f>
        <v>0.46064971362858614</v>
      </c>
      <c r="E77" s="77" cm="1">
        <f t="array" aca="1" ref="E77" ca="1">IF(ISNUMBER(_xll.VoseSimPercentile(Trough_2,$B77)),_xll.VoseSimPercentile(Trough_2,$B77),NA())</f>
        <v>0.6909745704428768</v>
      </c>
      <c r="F77" s="77" cm="1">
        <f t="array" aca="1" ref="F77" ca="1">IF(ISNUMBER(_xll.VoseSimPercentile(Trough_3,$B77)),_xll.VoseSimPercentile(Trough_3,$B77),NA())</f>
        <v>0.92129942725717229</v>
      </c>
      <c r="G77" s="77" cm="1">
        <f t="array" aca="1" ref="G77" ca="1">IF(ISNUMBER(_xll.VoseSimPercentile(Trough_4,$B77)),_xll.VoseSimPercentile(Trough_4,$B77),NA())</f>
        <v>0.95992526573494918</v>
      </c>
    </row>
    <row r="78" spans="2:7" hidden="1" outlineLevel="1" x14ac:dyDescent="0.45">
      <c r="B78" s="76">
        <v>0.25</v>
      </c>
      <c r="C78" s="76">
        <f t="shared" si="0"/>
        <v>0.75</v>
      </c>
      <c r="D78" s="77" cm="1">
        <f t="array" aca="1" ref="D78" ca="1">IF(ISNUMBER(_xll.VoseSimPercentile(Trough_1,$B78)),_xll.VoseSimPercentile(Trough_1,$B78),NA())</f>
        <v>0.48129788465450535</v>
      </c>
      <c r="E78" s="77" cm="1">
        <f t="array" aca="1" ref="E78" ca="1">IF(ISNUMBER(_xll.VoseSimPercentile(Trough_2,$B78)),_xll.VoseSimPercentile(Trough_2,$B78),NA())</f>
        <v>0.72194682698176027</v>
      </c>
      <c r="F78" s="77" cm="1">
        <f t="array" aca="1" ref="F78" ca="1">IF(ISNUMBER(_xll.VoseSimPercentile(Trough_3,$B78)),_xll.VoseSimPercentile(Trough_3,$B78),NA())</f>
        <v>0.9625957693090107</v>
      </c>
      <c r="G78" s="77" cm="1">
        <f t="array" aca="1" ref="G78" ca="1">IF(ISNUMBER(_xll.VoseSimPercentile(Trough_4,$B78)),_xll.VoseSimPercentile(Trough_4,$B78),NA())</f>
        <v>0.99569814434180881</v>
      </c>
    </row>
    <row r="79" spans="2:7" hidden="1" outlineLevel="1" x14ac:dyDescent="0.45">
      <c r="B79" s="76">
        <v>0.27</v>
      </c>
      <c r="C79" s="76">
        <f t="shared" si="0"/>
        <v>0.73</v>
      </c>
      <c r="D79" s="77" cm="1">
        <f t="array" aca="1" ref="D79" ca="1">IF(ISNUMBER(_xll.VoseSimPercentile(Trough_1,$B79)),_xll.VoseSimPercentile(Trough_1,$B79),NA())</f>
        <v>0.50619464188567198</v>
      </c>
      <c r="E79" s="77" cm="1">
        <f t="array" aca="1" ref="E79" ca="1">IF(ISNUMBER(_xll.VoseSimPercentile(Trough_2,$B79)),_xll.VoseSimPercentile(Trough_2,$B79),NA())</f>
        <v>0.75929196282850764</v>
      </c>
      <c r="F79" s="77" cm="1">
        <f t="array" aca="1" ref="F79" ca="1">IF(ISNUMBER(_xll.VoseSimPercentile(Trough_3,$B79)),_xll.VoseSimPercentile(Trough_3,$B79),NA())</f>
        <v>1.012389283771344</v>
      </c>
      <c r="G79" s="77" cm="1">
        <f t="array" aca="1" ref="G79" ca="1">IF(ISNUMBER(_xll.VoseSimPercentile(Trough_4,$B79)),_xll.VoseSimPercentile(Trough_4,$B79),NA())</f>
        <v>1.0392675967503142</v>
      </c>
    </row>
    <row r="80" spans="2:7" hidden="1" outlineLevel="1" x14ac:dyDescent="0.45">
      <c r="B80" s="76">
        <v>0.28999999999999998</v>
      </c>
      <c r="C80" s="76">
        <f t="shared" si="0"/>
        <v>0.71</v>
      </c>
      <c r="D80" s="77" cm="1">
        <f t="array" aca="1" ref="D80" ca="1">IF(ISNUMBER(_xll.VoseSimPercentile(Trough_1,$B80)),_xll.VoseSimPercentile(Trough_1,$B80),NA())</f>
        <v>0.52785362555579252</v>
      </c>
      <c r="E80" s="77" cm="1">
        <f t="array" aca="1" ref="E80" ca="1">IF(ISNUMBER(_xll.VoseSimPercentile(Trough_2,$B80)),_xll.VoseSimPercentile(Trough_2,$B80),NA())</f>
        <v>0.79178043833368994</v>
      </c>
      <c r="F80" s="77" cm="1">
        <f t="array" aca="1" ref="F80" ca="1">IF(ISNUMBER(_xll.VoseSimPercentile(Trough_3,$B80)),_xll.VoseSimPercentile(Trough_3,$B80),NA())</f>
        <v>1.055707251111585</v>
      </c>
      <c r="G80" s="77" cm="1">
        <f t="array" aca="1" ref="G80" ca="1">IF(ISNUMBER(_xll.VoseSimPercentile(Trough_4,$B80)),_xll.VoseSimPercentile(Trough_4,$B80),NA())</f>
        <v>1.0735320928550793</v>
      </c>
    </row>
    <row r="81" spans="2:7" hidden="1" outlineLevel="1" x14ac:dyDescent="0.45">
      <c r="B81" s="76">
        <v>0.31</v>
      </c>
      <c r="C81" s="76">
        <f t="shared" si="0"/>
        <v>0.69</v>
      </c>
      <c r="D81" s="77" cm="1">
        <f t="array" aca="1" ref="D81" ca="1">IF(ISNUMBER(_xll.VoseSimPercentile(Trough_1,$B81)),_xll.VoseSimPercentile(Trough_1,$B81),NA())</f>
        <v>0.54934508430338769</v>
      </c>
      <c r="E81" s="77" cm="1">
        <f t="array" aca="1" ref="E81" ca="1">IF(ISNUMBER(_xll.VoseSimPercentile(Trough_2,$B81)),_xll.VoseSimPercentile(Trough_2,$B81),NA())</f>
        <v>0.82401762645508159</v>
      </c>
      <c r="F81" s="77" cm="1">
        <f t="array" aca="1" ref="F81" ca="1">IF(ISNUMBER(_xll.VoseSimPercentile(Trough_3,$B81)),_xll.VoseSimPercentile(Trough_3,$B81),NA())</f>
        <v>1.0986901686067754</v>
      </c>
      <c r="G81" s="77" cm="1">
        <f t="array" aca="1" ref="G81" ca="1">IF(ISNUMBER(_xll.VoseSimPercentile(Trough_4,$B81)),_xll.VoseSimPercentile(Trough_4,$B81),NA())</f>
        <v>1.1105642867800298</v>
      </c>
    </row>
    <row r="82" spans="2:7" hidden="1" outlineLevel="1" x14ac:dyDescent="0.45">
      <c r="B82" s="76">
        <v>0.33</v>
      </c>
      <c r="C82" s="76">
        <f t="shared" si="0"/>
        <v>0.66999999999999993</v>
      </c>
      <c r="D82" s="77" cm="1">
        <f t="array" aca="1" ref="D82" ca="1">IF(ISNUMBER(_xll.VoseSimPercentile(Trough_1,$B82)),_xll.VoseSimPercentile(Trough_1,$B82),NA())</f>
        <v>0.57085496058827967</v>
      </c>
      <c r="E82" s="77" cm="1">
        <f t="array" aca="1" ref="E82" ca="1">IF(ISNUMBER(_xll.VoseSimPercentile(Trough_2,$B82)),_xll.VoseSimPercentile(Trough_2,$B82),NA())</f>
        <v>0.85628244088242045</v>
      </c>
      <c r="F82" s="77" cm="1">
        <f t="array" aca="1" ref="F82" ca="1">IF(ISNUMBER(_xll.VoseSimPercentile(Trough_3,$B82)),_xll.VoseSimPercentile(Trough_3,$B82),NA())</f>
        <v>1.1417099211765593</v>
      </c>
      <c r="G82" s="77" cm="1">
        <f t="array" aca="1" ref="G82" ca="1">IF(ISNUMBER(_xll.VoseSimPercentile(Trough_4,$B82)),_xll.VoseSimPercentile(Trough_4,$B82),NA())</f>
        <v>1.1411971292781842</v>
      </c>
    </row>
    <row r="83" spans="2:7" hidden="1" outlineLevel="1" x14ac:dyDescent="0.45">
      <c r="B83" s="76">
        <v>0.35</v>
      </c>
      <c r="C83" s="76">
        <f t="shared" si="0"/>
        <v>0.65</v>
      </c>
      <c r="D83" s="77" cm="1">
        <f t="array" aca="1" ref="D83" ca="1">IF(ISNUMBER(_xll.VoseSimPercentile(Trough_1,$B83)),_xll.VoseSimPercentile(Trough_1,$B83),NA())</f>
        <v>0.59399824528016543</v>
      </c>
      <c r="E83" s="77" cm="1">
        <f t="array" aca="1" ref="E83" ca="1">IF(ISNUMBER(_xll.VoseSimPercentile(Trough_2,$B83)),_xll.VoseSimPercentile(Trough_2,$B83),NA())</f>
        <v>0.89099736792025142</v>
      </c>
      <c r="F83" s="77" cm="1">
        <f t="array" aca="1" ref="F83" ca="1">IF(ISNUMBER(_xll.VoseSimPercentile(Trough_3,$B83)),_xll.VoseSimPercentile(Trough_3,$B83),NA())</f>
        <v>1.1879964905603309</v>
      </c>
      <c r="G83" s="77" cm="1">
        <f t="array" aca="1" ref="G83" ca="1">IF(ISNUMBER(_xll.VoseSimPercentile(Trough_4,$B83)),_xll.VoseSimPercentile(Trough_4,$B83),NA())</f>
        <v>1.1765026186252765</v>
      </c>
    </row>
    <row r="84" spans="2:7" hidden="1" outlineLevel="1" x14ac:dyDescent="0.45">
      <c r="B84" s="76">
        <v>0.37</v>
      </c>
      <c r="C84" s="76">
        <f t="shared" si="0"/>
        <v>0.63</v>
      </c>
      <c r="D84" s="77" cm="1">
        <f t="array" aca="1" ref="D84" ca="1">IF(ISNUMBER(_xll.VoseSimPercentile(Trough_1,$B84)),_xll.VoseSimPercentile(Trough_1,$B84),NA())</f>
        <v>0.61883386388541683</v>
      </c>
      <c r="E84" s="77" cm="1">
        <f t="array" aca="1" ref="E84" ca="1">IF(ISNUMBER(_xll.VoseSimPercentile(Trough_2,$B84)),_xll.VoseSimPercentile(Trough_2,$B84),NA())</f>
        <v>0.92825079582812653</v>
      </c>
      <c r="F84" s="77" cm="1">
        <f t="array" aca="1" ref="F84" ca="1">IF(ISNUMBER(_xll.VoseSimPercentile(Trough_3,$B84)),_xll.VoseSimPercentile(Trough_3,$B84),NA())</f>
        <v>1.2376677277708337</v>
      </c>
      <c r="G84" s="77" cm="1">
        <f t="array" aca="1" ref="G84" ca="1">IF(ISNUMBER(_xll.VoseSimPercentile(Trough_4,$B84)),_xll.VoseSimPercentile(Trough_4,$B84),NA())</f>
        <v>1.2151801321518843</v>
      </c>
    </row>
    <row r="85" spans="2:7" hidden="1" outlineLevel="1" x14ac:dyDescent="0.45">
      <c r="B85" s="76">
        <v>0.39</v>
      </c>
      <c r="C85" s="76">
        <f t="shared" si="0"/>
        <v>0.61</v>
      </c>
      <c r="D85" s="77" cm="1">
        <f t="array" aca="1" ref="D85" ca="1">IF(ISNUMBER(_xll.VoseSimPercentile(Trough_1,$B85)),_xll.VoseSimPercentile(Trough_1,$B85),NA())</f>
        <v>0.64414483344234419</v>
      </c>
      <c r="E85" s="77" cm="1">
        <f t="array" aca="1" ref="E85" ca="1">IF(ISNUMBER(_xll.VoseSimPercentile(Trough_2,$B85)),_xll.VoseSimPercentile(Trough_2,$B85),NA())</f>
        <v>0.966217250163521</v>
      </c>
      <c r="F85" s="77" cm="1">
        <f t="array" aca="1" ref="F85" ca="1">IF(ISNUMBER(_xll.VoseSimPercentile(Trough_3,$B85)),_xll.VoseSimPercentile(Trough_3,$B85),NA())</f>
        <v>1.2882896668846884</v>
      </c>
      <c r="G85" s="77" cm="1">
        <f t="array" aca="1" ref="G85" ca="1">IF(ISNUMBER(_xll.VoseSimPercentile(Trough_4,$B85)),_xll.VoseSimPercentile(Trough_4,$B85),NA())</f>
        <v>1.2532640335068603</v>
      </c>
    </row>
    <row r="86" spans="2:7" hidden="1" outlineLevel="1" x14ac:dyDescent="0.45">
      <c r="B86" s="76">
        <v>0.41</v>
      </c>
      <c r="C86" s="76">
        <f t="shared" si="0"/>
        <v>0.59000000000000008</v>
      </c>
      <c r="D86" s="77" cm="1">
        <f t="array" aca="1" ref="D86" ca="1">IF(ISNUMBER(_xll.VoseSimPercentile(Trough_1,$B86)),_xll.VoseSimPercentile(Trough_1,$B86),NA())</f>
        <v>0.66703783965597152</v>
      </c>
      <c r="E86" s="77" cm="1">
        <f t="array" aca="1" ref="E86" ca="1">IF(ISNUMBER(_xll.VoseSimPercentile(Trough_2,$B86)),_xll.VoseSimPercentile(Trough_2,$B86),NA())</f>
        <v>1.0005567594839522</v>
      </c>
      <c r="F86" s="77" cm="1">
        <f t="array" aca="1" ref="F86" ca="1">IF(ISNUMBER(_xll.VoseSimPercentile(Trough_3,$B86)),_xll.VoseSimPercentile(Trough_3,$B86),NA())</f>
        <v>1.334075679311943</v>
      </c>
      <c r="G86" s="77" cm="1">
        <f t="array" aca="1" ref="G86" ca="1">IF(ISNUMBER(_xll.VoseSimPercentile(Trough_4,$B86)),_xll.VoseSimPercentile(Trough_4,$B86),NA())</f>
        <v>1.2918534760161648</v>
      </c>
    </row>
    <row r="87" spans="2:7" hidden="1" outlineLevel="1" x14ac:dyDescent="0.45">
      <c r="B87" s="76">
        <v>0.43</v>
      </c>
      <c r="C87" s="76">
        <f t="shared" si="0"/>
        <v>0.57000000000000006</v>
      </c>
      <c r="D87" s="77" cm="1">
        <f t="array" aca="1" ref="D87" ca="1">IF(ISNUMBER(_xll.VoseSimPercentile(Trough_1,$B87)),_xll.VoseSimPercentile(Trough_1,$B87),NA())</f>
        <v>0.69246949278762349</v>
      </c>
      <c r="E87" s="77" cm="1">
        <f t="array" aca="1" ref="E87" ca="1">IF(ISNUMBER(_xll.VoseSimPercentile(Trough_2,$B87)),_xll.VoseSimPercentile(Trough_2,$B87),NA())</f>
        <v>1.0387042391814374</v>
      </c>
      <c r="F87" s="77" cm="1">
        <f t="array" aca="1" ref="F87" ca="1">IF(ISNUMBER(_xll.VoseSimPercentile(Trough_3,$B87)),_xll.VoseSimPercentile(Trough_3,$B87),NA())</f>
        <v>1.384938985575247</v>
      </c>
      <c r="G87" s="77" cm="1">
        <f t="array" aca="1" ref="G87" ca="1">IF(ISNUMBER(_xll.VoseSimPercentile(Trough_4,$B87)),_xll.VoseSimPercentile(Trough_4,$B87),NA())</f>
        <v>1.3269246495775033</v>
      </c>
    </row>
    <row r="88" spans="2:7" hidden="1" outlineLevel="1" x14ac:dyDescent="0.45">
      <c r="B88" s="76">
        <v>0.45</v>
      </c>
      <c r="C88" s="76">
        <f t="shared" si="0"/>
        <v>0.55000000000000004</v>
      </c>
      <c r="D88" s="77" cm="1">
        <f t="array" aca="1" ref="D88" ca="1">IF(ISNUMBER(_xll.VoseSimPercentile(Trough_1,$B88)),_xll.VoseSimPercentile(Trough_1,$B88),NA())</f>
        <v>0.71635319905421668</v>
      </c>
      <c r="E88" s="77" cm="1">
        <f t="array" aca="1" ref="E88" ca="1">IF(ISNUMBER(_xll.VoseSimPercentile(Trough_2,$B88)),_xll.VoseSimPercentile(Trough_2,$B88),NA())</f>
        <v>1.0745297985813287</v>
      </c>
      <c r="F88" s="77" cm="1">
        <f t="array" aca="1" ref="F88" ca="1">IF(ISNUMBER(_xll.VoseSimPercentile(Trough_3,$B88)),_xll.VoseSimPercentile(Trough_3,$B88),NA())</f>
        <v>1.4327063981084334</v>
      </c>
      <c r="G88" s="77" cm="1">
        <f t="array" aca="1" ref="G88" ca="1">IF(ISNUMBER(_xll.VoseSimPercentile(Trough_4,$B88)),_xll.VoseSimPercentile(Trough_4,$B88),NA())</f>
        <v>1.3654731890900986</v>
      </c>
    </row>
    <row r="89" spans="2:7" hidden="1" outlineLevel="1" x14ac:dyDescent="0.45">
      <c r="B89" s="76">
        <v>0.47</v>
      </c>
      <c r="C89" s="76">
        <f t="shared" si="0"/>
        <v>0.53</v>
      </c>
      <c r="D89" s="77" cm="1">
        <f t="array" aca="1" ref="D89" ca="1">IF(ISNUMBER(_xll.VoseSimPercentile(Trough_1,$B89)),_xll.VoseSimPercentile(Trough_1,$B89),NA())</f>
        <v>0.74139196608870062</v>
      </c>
      <c r="E89" s="77" cm="1">
        <f t="array" aca="1" ref="E89" ca="1">IF(ISNUMBER(_xll.VoseSimPercentile(Trough_2,$B89)),_xll.VoseSimPercentile(Trough_2,$B89),NA())</f>
        <v>1.1120879491330438</v>
      </c>
      <c r="F89" s="77" cm="1">
        <f t="array" aca="1" ref="F89" ca="1">IF(ISNUMBER(_xll.VoseSimPercentile(Trough_3,$B89)),_xll.VoseSimPercentile(Trough_3,$B89),NA())</f>
        <v>1.4827839321774012</v>
      </c>
      <c r="G89" s="77" cm="1">
        <f t="array" aca="1" ref="G89" ca="1">IF(ISNUMBER(_xll.VoseSimPercentile(Trough_4,$B89)),_xll.VoseSimPercentile(Trough_4,$B89),NA())</f>
        <v>1.4112975488682331</v>
      </c>
    </row>
    <row r="90" spans="2:7" hidden="1" outlineLevel="1" x14ac:dyDescent="0.45">
      <c r="B90" s="76">
        <v>0.49</v>
      </c>
      <c r="C90" s="76">
        <f t="shared" si="0"/>
        <v>0.51</v>
      </c>
      <c r="D90" s="77" cm="1">
        <f t="array" aca="1" ref="D90" ca="1">IF(ISNUMBER(_xll.VoseSimPercentile(Trough_1,$B90)),_xll.VoseSimPercentile(Trough_1,$B90),NA())</f>
        <v>0.76560107312731451</v>
      </c>
      <c r="E90" s="77" cm="1">
        <f t="array" aca="1" ref="E90" ca="1">IF(ISNUMBER(_xll.VoseSimPercentile(Trough_2,$B90)),_xll.VoseSimPercentile(Trough_2,$B90),NA())</f>
        <v>1.1484016096909744</v>
      </c>
      <c r="F90" s="77" cm="1">
        <f t="array" aca="1" ref="F90" ca="1">IF(ISNUMBER(_xll.VoseSimPercentile(Trough_3,$B90)),_xll.VoseSimPercentile(Trough_3,$B90),NA())</f>
        <v>1.531202146254629</v>
      </c>
      <c r="G90" s="77" cm="1">
        <f t="array" aca="1" ref="G90" ca="1">IF(ISNUMBER(_xll.VoseSimPercentile(Trough_4,$B90)),_xll.VoseSimPercentile(Trough_4,$B90),NA())</f>
        <v>1.4490714211845612</v>
      </c>
    </row>
    <row r="91" spans="2:7" hidden="1" outlineLevel="1" x14ac:dyDescent="0.45">
      <c r="B91" s="76">
        <v>0.51</v>
      </c>
      <c r="C91" s="76">
        <f t="shared" si="0"/>
        <v>0.49</v>
      </c>
      <c r="D91" s="77" cm="1">
        <f t="array" aca="1" ref="D91" ca="1">IF(ISNUMBER(_xll.VoseSimPercentile(Trough_1,$B91)),_xll.VoseSimPercentile(Trough_1,$B91),NA())</f>
        <v>0.79106039964157415</v>
      </c>
      <c r="E91" s="77" cm="1">
        <f t="array" aca="1" ref="E91" ca="1">IF(ISNUMBER(_xll.VoseSimPercentile(Trough_2,$B91)),_xll.VoseSimPercentile(Trough_2,$B91),NA())</f>
        <v>1.1865905994623669</v>
      </c>
      <c r="F91" s="77" cm="1">
        <f t="array" aca="1" ref="F91" ca="1">IF(ISNUMBER(_xll.VoseSimPercentile(Trough_3,$B91)),_xll.VoseSimPercentile(Trough_3,$B91),NA())</f>
        <v>1.5821207992831483</v>
      </c>
      <c r="G91" s="77" cm="1">
        <f t="array" aca="1" ref="G91" ca="1">IF(ISNUMBER(_xll.VoseSimPercentile(Trough_4,$B91)),_xll.VoseSimPercentile(Trough_4,$B91),NA())</f>
        <v>1.4938876207778728</v>
      </c>
    </row>
    <row r="92" spans="2:7" hidden="1" outlineLevel="1" x14ac:dyDescent="0.45">
      <c r="B92" s="76">
        <v>0.53</v>
      </c>
      <c r="C92" s="76">
        <f t="shared" si="0"/>
        <v>0.47</v>
      </c>
      <c r="D92" s="77" cm="1">
        <f t="array" aca="1" ref="D92" ca="1">IF(ISNUMBER(_xll.VoseSimPercentile(Trough_1,$B92)),_xll.VoseSimPercentile(Trough_1,$B92),NA())</f>
        <v>0.81965666014946836</v>
      </c>
      <c r="E92" s="77" cm="1">
        <f t="array" aca="1" ref="E92" ca="1">IF(ISNUMBER(_xll.VoseSimPercentile(Trough_2,$B92)),_xll.VoseSimPercentile(Trough_2,$B92),NA())</f>
        <v>1.2294849902242009</v>
      </c>
      <c r="F92" s="77" cm="1">
        <f t="array" aca="1" ref="F92" ca="1">IF(ISNUMBER(_xll.VoseSimPercentile(Trough_3,$B92)),_xll.VoseSimPercentile(Trough_3,$B92),NA())</f>
        <v>1.6393133202989367</v>
      </c>
      <c r="G92" s="77" cm="1">
        <f t="array" aca="1" ref="G92" ca="1">IF(ISNUMBER(_xll.VoseSimPercentile(Trough_4,$B92)),_xll.VoseSimPercentile(Trough_4,$B92),NA())</f>
        <v>1.5312304757827508</v>
      </c>
    </row>
    <row r="93" spans="2:7" hidden="1" outlineLevel="1" x14ac:dyDescent="0.45">
      <c r="B93" s="76">
        <v>0.55000000000000004</v>
      </c>
      <c r="C93" s="76">
        <f t="shared" si="0"/>
        <v>0.44999999999999996</v>
      </c>
      <c r="D93" s="77" cm="1">
        <f t="array" aca="1" ref="D93" ca="1">IF(ISNUMBER(_xll.VoseSimPercentile(Trough_1,$B93)),_xll.VoseSimPercentile(Trough_1,$B93),NA())</f>
        <v>0.84866327994253221</v>
      </c>
      <c r="E93" s="77" cm="1">
        <f t="array" aca="1" ref="E93" ca="1">IF(ISNUMBER(_xll.VoseSimPercentile(Trough_2,$B93)),_xll.VoseSimPercentile(Trough_2,$B93),NA())</f>
        <v>1.2729949199138</v>
      </c>
      <c r="F93" s="77" cm="1">
        <f t="array" aca="1" ref="F93" ca="1">IF(ISNUMBER(_xll.VoseSimPercentile(Trough_3,$B93)),_xll.VoseSimPercentile(Trough_3,$B93),NA())</f>
        <v>1.6973265598850644</v>
      </c>
      <c r="G93" s="77" cm="1">
        <f t="array" aca="1" ref="G93" ca="1">IF(ISNUMBER(_xll.VoseSimPercentile(Trough_4,$B93)),_xll.VoseSimPercentile(Trough_4,$B93),NA())</f>
        <v>1.5720811478585943</v>
      </c>
    </row>
    <row r="94" spans="2:7" hidden="1" outlineLevel="1" x14ac:dyDescent="0.45">
      <c r="B94" s="76">
        <v>0.56999999999999995</v>
      </c>
      <c r="C94" s="76">
        <f t="shared" si="0"/>
        <v>0.43000000000000005</v>
      </c>
      <c r="D94" s="77" cm="1">
        <f t="array" aca="1" ref="D94" ca="1">IF(ISNUMBER(_xll.VoseSimPercentile(Trough_1,$B94)),_xll.VoseSimPercentile(Trough_1,$B94),NA())</f>
        <v>0.87452761295257953</v>
      </c>
      <c r="E94" s="77" cm="1">
        <f t="array" aca="1" ref="E94" ca="1">IF(ISNUMBER(_xll.VoseSimPercentile(Trough_2,$B94)),_xll.VoseSimPercentile(Trough_2,$B94),NA())</f>
        <v>1.3117914194288645</v>
      </c>
      <c r="F94" s="77" cm="1">
        <f t="array" aca="1" ref="F94" ca="1">IF(ISNUMBER(_xll.VoseSimPercentile(Trough_3,$B94)),_xll.VoseSimPercentile(Trough_3,$B94),NA())</f>
        <v>1.7490552259051591</v>
      </c>
      <c r="G94" s="77" cm="1">
        <f t="array" aca="1" ref="G94" ca="1">IF(ISNUMBER(_xll.VoseSimPercentile(Trough_4,$B94)),_xll.VoseSimPercentile(Trough_4,$B94),NA())</f>
        <v>1.6148459264961921</v>
      </c>
    </row>
    <row r="95" spans="2:7" hidden="1" outlineLevel="1" x14ac:dyDescent="0.45">
      <c r="B95" s="76">
        <v>0.59</v>
      </c>
      <c r="C95" s="76">
        <f t="shared" si="0"/>
        <v>0.41000000000000003</v>
      </c>
      <c r="D95" s="77" cm="1">
        <f t="array" aca="1" ref="D95" ca="1">IF(ISNUMBER(_xll.VoseSimPercentile(Trough_1,$B95)),_xll.VoseSimPercentile(Trough_1,$B95),NA())</f>
        <v>0.90371161938379641</v>
      </c>
      <c r="E95" s="77" cm="1">
        <f t="array" aca="1" ref="E95" ca="1">IF(ISNUMBER(_xll.VoseSimPercentile(Trough_2,$B95)),_xll.VoseSimPercentile(Trough_2,$B95),NA())</f>
        <v>1.3555674290757023</v>
      </c>
      <c r="F95" s="77" cm="1">
        <f t="array" aca="1" ref="F95" ca="1">IF(ISNUMBER(_xll.VoseSimPercentile(Trough_3,$B95)),_xll.VoseSimPercentile(Trough_3,$B95),NA())</f>
        <v>1.8074232387675928</v>
      </c>
      <c r="G95" s="77" cm="1">
        <f t="array" aca="1" ref="G95" ca="1">IF(ISNUMBER(_xll.VoseSimPercentile(Trough_4,$B95)),_xll.VoseSimPercentile(Trough_4,$B95),NA())</f>
        <v>1.6583025805846032</v>
      </c>
    </row>
    <row r="96" spans="2:7" hidden="1" outlineLevel="1" x14ac:dyDescent="0.45">
      <c r="B96" s="76">
        <v>0.61</v>
      </c>
      <c r="C96" s="76">
        <f t="shared" si="0"/>
        <v>0.39</v>
      </c>
      <c r="D96" s="77" cm="1">
        <f t="array" aca="1" ref="D96" ca="1">IF(ISNUMBER(_xll.VoseSimPercentile(Trough_1,$B96)),_xll.VoseSimPercentile(Trough_1,$B96),NA())</f>
        <v>0.93032097956115445</v>
      </c>
      <c r="E96" s="77" cm="1">
        <f t="array" aca="1" ref="E96" ca="1">IF(ISNUMBER(_xll.VoseSimPercentile(Trough_2,$B96)),_xll.VoseSimPercentile(Trough_2,$B96),NA())</f>
        <v>1.3954814693417295</v>
      </c>
      <c r="F96" s="77" cm="1">
        <f t="array" aca="1" ref="F96" ca="1">IF(ISNUMBER(_xll.VoseSimPercentile(Trough_3,$B96)),_xll.VoseSimPercentile(Trough_3,$B96),NA())</f>
        <v>1.8606419591223089</v>
      </c>
      <c r="G96" s="77" cm="1">
        <f t="array" aca="1" ref="G96" ca="1">IF(ISNUMBER(_xll.VoseSimPercentile(Trough_4,$B96)),_xll.VoseSimPercentile(Trough_4,$B96),NA())</f>
        <v>1.6991183212398306</v>
      </c>
    </row>
    <row r="97" spans="2:7" hidden="1" outlineLevel="1" x14ac:dyDescent="0.45">
      <c r="B97" s="76">
        <v>0.63</v>
      </c>
      <c r="C97" s="76">
        <f t="shared" si="0"/>
        <v>0.37</v>
      </c>
      <c r="D97" s="77" cm="1">
        <f t="array" aca="1" ref="D97" ca="1">IF(ISNUMBER(_xll.VoseSimPercentile(Trough_1,$B97)),_xll.VoseSimPercentile(Trough_1,$B97),NA())</f>
        <v>0.95839957427694167</v>
      </c>
      <c r="E97" s="77" cm="1">
        <f t="array" aca="1" ref="E97" ca="1">IF(ISNUMBER(_xll.VoseSimPercentile(Trough_2,$B97)),_xll.VoseSimPercentile(Trough_2,$B97),NA())</f>
        <v>1.437599361415417</v>
      </c>
      <c r="F97" s="77" cm="1">
        <f t="array" aca="1" ref="F97" ca="1">IF(ISNUMBER(_xll.VoseSimPercentile(Trough_3,$B97)),_xll.VoseSimPercentile(Trough_3,$B97),NA())</f>
        <v>1.9167991485538833</v>
      </c>
      <c r="G97" s="77" cm="1">
        <f t="array" aca="1" ref="G97" ca="1">IF(ISNUMBER(_xll.VoseSimPercentile(Trough_4,$B97)),_xll.VoseSimPercentile(Trough_4,$B97),NA())</f>
        <v>1.7471295793903403</v>
      </c>
    </row>
    <row r="98" spans="2:7" hidden="1" outlineLevel="1" x14ac:dyDescent="0.45">
      <c r="B98" s="76">
        <v>0.65</v>
      </c>
      <c r="C98" s="76">
        <f t="shared" ref="C98:C129" si="1">1-B98</f>
        <v>0.35</v>
      </c>
      <c r="D98" s="77" cm="1">
        <f t="array" aca="1" ref="D98" ca="1">IF(ISNUMBER(_xll.VoseSimPercentile(Trough_1,$B98)),_xll.VoseSimPercentile(Trough_1,$B98),NA())</f>
        <v>0.98843060253976311</v>
      </c>
      <c r="E98" s="77" cm="1">
        <f t="array" aca="1" ref="E98" ca="1">IF(ISNUMBER(_xll.VoseSimPercentile(Trough_2,$B98)),_xll.VoseSimPercentile(Trough_2,$B98),NA())</f>
        <v>1.4826459038096433</v>
      </c>
      <c r="F98" s="77" cm="1">
        <f t="array" aca="1" ref="F98" ca="1">IF(ISNUMBER(_xll.VoseSimPercentile(Trough_3,$B98)),_xll.VoseSimPercentile(Trough_3,$B98),NA())</f>
        <v>1.9768612050795262</v>
      </c>
      <c r="G98" s="77" cm="1">
        <f t="array" aca="1" ref="G98" ca="1">IF(ISNUMBER(_xll.VoseSimPercentile(Trough_4,$B98)),_xll.VoseSimPercentile(Trough_4,$B98),NA())</f>
        <v>1.7939305009329973</v>
      </c>
    </row>
    <row r="99" spans="2:7" hidden="1" outlineLevel="1" x14ac:dyDescent="0.45">
      <c r="B99" s="76">
        <v>0.67</v>
      </c>
      <c r="C99" s="76">
        <f t="shared" si="1"/>
        <v>0.32999999999999996</v>
      </c>
      <c r="D99" s="77" cm="1">
        <f t="array" aca="1" ref="D99" ca="1">IF(ISNUMBER(_xll.VoseSimPercentile(Trough_1,$B99)),_xll.VoseSimPercentile(Trough_1,$B99),NA())</f>
        <v>1.0230207760868215</v>
      </c>
      <c r="E99" s="77" cm="1">
        <f t="array" aca="1" ref="E99" ca="1">IF(ISNUMBER(_xll.VoseSimPercentile(Trough_2,$B99)),_xll.VoseSimPercentile(Trough_2,$B99),NA())</f>
        <v>1.5345311641302313</v>
      </c>
      <c r="F99" s="77" cm="1">
        <f t="array" aca="1" ref="F99" ca="1">IF(ISNUMBER(_xll.VoseSimPercentile(Trough_3,$B99)),_xll.VoseSimPercentile(Trough_3,$B99),NA())</f>
        <v>2.046041552173643</v>
      </c>
      <c r="G99" s="77" cm="1">
        <f t="array" aca="1" ref="G99" ca="1">IF(ISNUMBER(_xll.VoseSimPercentile(Trough_4,$B99)),_xll.VoseSimPercentile(Trough_4,$B99),NA())</f>
        <v>1.8417196253713519</v>
      </c>
    </row>
    <row r="100" spans="2:7" hidden="1" outlineLevel="1" x14ac:dyDescent="0.45">
      <c r="B100" s="76">
        <v>0.69</v>
      </c>
      <c r="C100" s="76">
        <f t="shared" si="1"/>
        <v>0.31000000000000005</v>
      </c>
      <c r="D100" s="77" cm="1">
        <f t="array" aca="1" ref="D100" ca="1">IF(ISNUMBER(_xll.VoseSimPercentile(Trough_1,$B100)),_xll.VoseSimPercentile(Trough_1,$B100),NA())</f>
        <v>1.059792501645513</v>
      </c>
      <c r="E100" s="77" cm="1">
        <f t="array" aca="1" ref="E100" ca="1">IF(ISNUMBER(_xll.VoseSimPercentile(Trough_2,$B100)),_xll.VoseSimPercentile(Trough_2,$B100),NA())</f>
        <v>1.5896887524682572</v>
      </c>
      <c r="F100" s="77" cm="1">
        <f t="array" aca="1" ref="F100" ca="1">IF(ISNUMBER(_xll.VoseSimPercentile(Trough_3,$B100)),_xll.VoseSimPercentile(Trough_3,$B100),NA())</f>
        <v>2.1195850032910259</v>
      </c>
      <c r="G100" s="77" cm="1">
        <f t="array" aca="1" ref="G100" ca="1">IF(ISNUMBER(_xll.VoseSimPercentile(Trough_4,$B100)),_xll.VoseSimPercentile(Trough_4,$B100),NA())</f>
        <v>1.9019798221350797</v>
      </c>
    </row>
    <row r="101" spans="2:7" hidden="1" outlineLevel="1" x14ac:dyDescent="0.45">
      <c r="B101" s="76">
        <v>0.71</v>
      </c>
      <c r="C101" s="76">
        <f t="shared" si="1"/>
        <v>0.29000000000000004</v>
      </c>
      <c r="D101" s="77" cm="1">
        <f t="array" aca="1" ref="D101" ca="1">IF(ISNUMBER(_xll.VoseSimPercentile(Trough_1,$B101)),_xll.VoseSimPercentile(Trough_1,$B101),NA())</f>
        <v>1.0964758078456776</v>
      </c>
      <c r="E101" s="77" cm="1">
        <f t="array" aca="1" ref="E101" ca="1">IF(ISNUMBER(_xll.VoseSimPercentile(Trough_2,$B101)),_xll.VoseSimPercentile(Trough_2,$B101),NA())</f>
        <v>1.64471371176853</v>
      </c>
      <c r="F101" s="77" cm="1">
        <f t="array" aca="1" ref="F101" ca="1">IF(ISNUMBER(_xll.VoseSimPercentile(Trough_3,$B101)),_xll.VoseSimPercentile(Trough_3,$B101),NA())</f>
        <v>2.1929516156913551</v>
      </c>
      <c r="G101" s="77" cm="1">
        <f t="array" aca="1" ref="G101" ca="1">IF(ISNUMBER(_xll.VoseSimPercentile(Trough_4,$B101)),_xll.VoseSimPercentile(Trough_4,$B101),NA())</f>
        <v>1.9572412372009487</v>
      </c>
    </row>
    <row r="102" spans="2:7" hidden="1" outlineLevel="1" x14ac:dyDescent="0.45">
      <c r="B102" s="76">
        <v>0.73</v>
      </c>
      <c r="C102" s="76">
        <f t="shared" si="1"/>
        <v>0.27</v>
      </c>
      <c r="D102" s="77" cm="1">
        <f t="array" aca="1" ref="D102" ca="1">IF(ISNUMBER(_xll.VoseSimPercentile(Trough_1,$B102)),_xll.VoseSimPercentile(Trough_1,$B102),NA())</f>
        <v>1.1337673925729201</v>
      </c>
      <c r="E102" s="77" cm="1">
        <f t="array" aca="1" ref="E102" ca="1">IF(ISNUMBER(_xll.VoseSimPercentile(Trough_2,$B102)),_xll.VoseSimPercentile(Trough_2,$B102),NA())</f>
        <v>1.7006510888593895</v>
      </c>
      <c r="F102" s="77" cm="1">
        <f t="array" aca="1" ref="F102" ca="1">IF(ISNUMBER(_xll.VoseSimPercentile(Trough_3,$B102)),_xll.VoseSimPercentile(Trough_3,$B102),NA())</f>
        <v>2.2675347851458403</v>
      </c>
      <c r="G102" s="77" cm="1">
        <f t="array" aca="1" ref="G102" ca="1">IF(ISNUMBER(_xll.VoseSimPercentile(Trough_4,$B102)),_xll.VoseSimPercentile(Trough_4,$B102),NA())</f>
        <v>2.0126288965339918</v>
      </c>
    </row>
    <row r="103" spans="2:7" hidden="1" outlineLevel="1" x14ac:dyDescent="0.45">
      <c r="B103" s="76">
        <v>0.75</v>
      </c>
      <c r="C103" s="76">
        <f t="shared" si="1"/>
        <v>0.25</v>
      </c>
      <c r="D103" s="77" cm="1">
        <f t="array" aca="1" ref="D103" ca="1">IF(ISNUMBER(_xll.VoseSimPercentile(Trough_1,$B103)),_xll.VoseSimPercentile(Trough_1,$B103),NA())</f>
        <v>1.1699898520813898</v>
      </c>
      <c r="E103" s="77" cm="1">
        <f t="array" aca="1" ref="E103" ca="1">IF(ISNUMBER(_xll.VoseSimPercentile(Trough_2,$B103)),_xll.VoseSimPercentile(Trough_2,$B103),NA())</f>
        <v>1.7549847781220906</v>
      </c>
      <c r="F103" s="77" cm="1">
        <f t="array" aca="1" ref="F103" ca="1">IF(ISNUMBER(_xll.VoseSimPercentile(Trough_3,$B103)),_xll.VoseSimPercentile(Trough_3,$B103),NA())</f>
        <v>2.3399797041627797</v>
      </c>
      <c r="G103" s="77" cm="1">
        <f t="array" aca="1" ref="G103" ca="1">IF(ISNUMBER(_xll.VoseSimPercentile(Trough_4,$B103)),_xll.VoseSimPercentile(Trough_4,$B103),NA())</f>
        <v>2.0738725377087071</v>
      </c>
    </row>
    <row r="104" spans="2:7" hidden="1" outlineLevel="1" x14ac:dyDescent="0.45">
      <c r="B104" s="76">
        <v>0.77</v>
      </c>
      <c r="C104" s="76">
        <f t="shared" si="1"/>
        <v>0.22999999999999998</v>
      </c>
      <c r="D104" s="77" cm="1">
        <f t="array" aca="1" ref="D104" ca="1">IF(ISNUMBER(_xll.VoseSimPercentile(Trough_1,$B104)),_xll.VoseSimPercentile(Trough_1,$B104),NA())</f>
        <v>1.2176664779709203</v>
      </c>
      <c r="E104" s="77" cm="1">
        <f t="array" aca="1" ref="E104" ca="1">IF(ISNUMBER(_xll.VoseSimPercentile(Trough_2,$B104)),_xll.VoseSimPercentile(Trough_2,$B104),NA())</f>
        <v>1.8264997169563735</v>
      </c>
      <c r="F104" s="77" cm="1">
        <f t="array" aca="1" ref="F104" ca="1">IF(ISNUMBER(_xll.VoseSimPercentile(Trough_3,$B104)),_xll.VoseSimPercentile(Trough_3,$B104),NA())</f>
        <v>2.4353329559418406</v>
      </c>
      <c r="G104" s="77" cm="1">
        <f t="array" aca="1" ref="G104" ca="1">IF(ISNUMBER(_xll.VoseSimPercentile(Trough_4,$B104)),_xll.VoseSimPercentile(Trough_4,$B104),NA())</f>
        <v>2.1397816330926278</v>
      </c>
    </row>
    <row r="105" spans="2:7" hidden="1" outlineLevel="1" x14ac:dyDescent="0.45">
      <c r="B105" s="76">
        <v>0.79</v>
      </c>
      <c r="C105" s="76">
        <f t="shared" si="1"/>
        <v>0.20999999999999996</v>
      </c>
      <c r="D105" s="77" cm="1">
        <f t="array" aca="1" ref="D105" ca="1">IF(ISNUMBER(_xll.VoseSimPercentile(Trough_1,$B105)),_xll.VoseSimPercentile(Trough_1,$B105),NA())</f>
        <v>1.2620046291998173</v>
      </c>
      <c r="E105" s="77" cm="1">
        <f t="array" aca="1" ref="E105" ca="1">IF(ISNUMBER(_xll.VoseSimPercentile(Trough_2,$B105)),_xll.VoseSimPercentile(Trough_2,$B105),NA())</f>
        <v>1.8930069437997301</v>
      </c>
      <c r="F105" s="77" cm="1">
        <f t="array" aca="1" ref="F105" ca="1">IF(ISNUMBER(_xll.VoseSimPercentile(Trough_3,$B105)),_xll.VoseSimPercentile(Trough_3,$B105),NA())</f>
        <v>2.5240092583996345</v>
      </c>
      <c r="G105" s="77" cm="1">
        <f t="array" aca="1" ref="G105" ca="1">IF(ISNUMBER(_xll.VoseSimPercentile(Trough_4,$B105)),_xll.VoseSimPercentile(Trough_4,$B105),NA())</f>
        <v>2.2162846611488742</v>
      </c>
    </row>
    <row r="106" spans="2:7" hidden="1" outlineLevel="1" x14ac:dyDescent="0.45">
      <c r="B106" s="76">
        <v>0.81</v>
      </c>
      <c r="C106" s="76">
        <f t="shared" si="1"/>
        <v>0.18999999999999995</v>
      </c>
      <c r="D106" s="77" cm="1">
        <f t="array" aca="1" ref="D106" ca="1">IF(ISNUMBER(_xll.VoseSimPercentile(Trough_1,$B106)),_xll.VoseSimPercentile(Trough_1,$B106),NA())</f>
        <v>1.3182841954308731</v>
      </c>
      <c r="E106" s="77" cm="1">
        <f t="array" aca="1" ref="E106" ca="1">IF(ISNUMBER(_xll.VoseSimPercentile(Trough_2,$B106)),_xll.VoseSimPercentile(Trough_2,$B106),NA())</f>
        <v>1.9774262931462987</v>
      </c>
      <c r="F106" s="77" cm="1">
        <f t="array" aca="1" ref="F106" ca="1">IF(ISNUMBER(_xll.VoseSimPercentile(Trough_3,$B106)),_xll.VoseSimPercentile(Trough_3,$B106),NA())</f>
        <v>2.6365683908617461</v>
      </c>
      <c r="G106" s="77" cm="1">
        <f t="array" aca="1" ref="G106" ca="1">IF(ISNUMBER(_xll.VoseSimPercentile(Trough_4,$B106)),_xll.VoseSimPercentile(Trough_4,$B106),NA())</f>
        <v>2.2923760854780837</v>
      </c>
    </row>
    <row r="107" spans="2:7" hidden="1" outlineLevel="1" x14ac:dyDescent="0.45">
      <c r="B107" s="76">
        <v>0.83</v>
      </c>
      <c r="C107" s="76">
        <f t="shared" si="1"/>
        <v>0.17000000000000004</v>
      </c>
      <c r="D107" s="77" cm="1">
        <f t="array" aca="1" ref="D107" ca="1">IF(ISNUMBER(_xll.VoseSimPercentile(Trough_1,$B107)),_xll.VoseSimPercentile(Trough_1,$B107),NA())</f>
        <v>1.368510839778345</v>
      </c>
      <c r="E107" s="77" cm="1">
        <f t="array" aca="1" ref="E107" ca="1">IF(ISNUMBER(_xll.VoseSimPercentile(Trough_2,$B107)),_xll.VoseSimPercentile(Trough_2,$B107),NA())</f>
        <v>2.0527662596675258</v>
      </c>
      <c r="F107" s="77" cm="1">
        <f t="array" aca="1" ref="F107" ca="1">IF(ISNUMBER(_xll.VoseSimPercentile(Trough_3,$B107)),_xll.VoseSimPercentile(Trough_3,$B107),NA())</f>
        <v>2.73702167955669</v>
      </c>
      <c r="G107" s="77" cm="1">
        <f t="array" aca="1" ref="G107" ca="1">IF(ISNUMBER(_xll.VoseSimPercentile(Trough_4,$B107)),_xll.VoseSimPercentile(Trough_4,$B107),NA())</f>
        <v>2.3697571807729827</v>
      </c>
    </row>
    <row r="108" spans="2:7" hidden="1" outlineLevel="1" x14ac:dyDescent="0.45">
      <c r="B108" s="76">
        <v>0.85</v>
      </c>
      <c r="C108" s="76">
        <f t="shared" si="1"/>
        <v>0.15000000000000002</v>
      </c>
      <c r="D108" s="77" cm="1">
        <f t="array" aca="1" ref="D108" ca="1">IF(ISNUMBER(_xll.VoseSimPercentile(Trough_1,$B108)),_xll.VoseSimPercentile(Trough_1,$B108),NA())</f>
        <v>1.4295561877588607</v>
      </c>
      <c r="E108" s="77" cm="1">
        <f t="array" aca="1" ref="E108" ca="1">IF(ISNUMBER(_xll.VoseSimPercentile(Trough_2,$B108)),_xll.VoseSimPercentile(Trough_2,$B108),NA())</f>
        <v>2.1443342816382933</v>
      </c>
      <c r="F108" s="77" cm="1">
        <f t="array" aca="1" ref="F108" ca="1">IF(ISNUMBER(_xll.VoseSimPercentile(Trough_3,$B108)),_xll.VoseSimPercentile(Trough_3,$B108),NA())</f>
        <v>2.8591123755177215</v>
      </c>
      <c r="G108" s="77" cm="1">
        <f t="array" aca="1" ref="G108" ca="1">IF(ISNUMBER(_xll.VoseSimPercentile(Trough_4,$B108)),_xll.VoseSimPercentile(Trough_4,$B108),NA())</f>
        <v>2.4643570099968675</v>
      </c>
    </row>
    <row r="109" spans="2:7" hidden="1" outlineLevel="1" x14ac:dyDescent="0.45">
      <c r="B109" s="76">
        <v>0.87</v>
      </c>
      <c r="C109" s="76">
        <f t="shared" si="1"/>
        <v>0.13</v>
      </c>
      <c r="D109" s="77" cm="1">
        <f t="array" aca="1" ref="D109" ca="1">IF(ISNUMBER(_xll.VoseSimPercentile(Trough_1,$B109)),_xll.VoseSimPercentile(Trough_1,$B109),NA())</f>
        <v>1.4982251296252105</v>
      </c>
      <c r="E109" s="77" cm="1">
        <f t="array" aca="1" ref="E109" ca="1">IF(ISNUMBER(_xll.VoseSimPercentile(Trough_2,$B109)),_xll.VoseSimPercentile(Trough_2,$B109),NA())</f>
        <v>2.2473376944378152</v>
      </c>
      <c r="F109" s="77" cm="1">
        <f t="array" aca="1" ref="F109" ca="1">IF(ISNUMBER(_xll.VoseSimPercentile(Trough_3,$B109)),_xll.VoseSimPercentile(Trough_3,$B109),NA())</f>
        <v>2.996450259250421</v>
      </c>
      <c r="G109" s="77" cm="1">
        <f t="array" aca="1" ref="G109" ca="1">IF(ISNUMBER(_xll.VoseSimPercentile(Trough_4,$B109)),_xll.VoseSimPercentile(Trough_4,$B109),NA())</f>
        <v>2.5693507946341909</v>
      </c>
    </row>
    <row r="110" spans="2:7" hidden="1" outlineLevel="1" x14ac:dyDescent="0.45">
      <c r="B110" s="76">
        <v>0.89</v>
      </c>
      <c r="C110" s="76">
        <f t="shared" si="1"/>
        <v>0.10999999999999999</v>
      </c>
      <c r="D110" s="77" cm="1">
        <f t="array" aca="1" ref="D110" ca="1">IF(ISNUMBER(_xll.VoseSimPercentile(Trough_1,$B110)),_xll.VoseSimPercentile(Trough_1,$B110),NA())</f>
        <v>1.5824328372985283</v>
      </c>
      <c r="E110" s="77" cm="1">
        <f t="array" aca="1" ref="E110" ca="1">IF(ISNUMBER(_xll.VoseSimPercentile(Trough_2,$B110)),_xll.VoseSimPercentile(Trough_2,$B110),NA())</f>
        <v>2.3736492559478033</v>
      </c>
      <c r="F110" s="77" cm="1">
        <f t="array" aca="1" ref="F110" ca="1">IF(ISNUMBER(_xll.VoseSimPercentile(Trough_3,$B110)),_xll.VoseSimPercentile(Trough_3,$B110),NA())</f>
        <v>3.1648656745970567</v>
      </c>
      <c r="G110" s="77" cm="1">
        <f t="array" aca="1" ref="G110" ca="1">IF(ISNUMBER(_xll.VoseSimPercentile(Trough_4,$B110)),_xll.VoseSimPercentile(Trough_4,$B110),NA())</f>
        <v>2.7018649072852319</v>
      </c>
    </row>
    <row r="111" spans="2:7" hidden="1" outlineLevel="1" x14ac:dyDescent="0.45">
      <c r="B111" s="76">
        <v>0.91</v>
      </c>
      <c r="C111" s="76">
        <f t="shared" si="1"/>
        <v>8.9999999999999969E-2</v>
      </c>
      <c r="D111" s="77" cm="1">
        <f t="array" aca="1" ref="D111" ca="1">IF(ISNUMBER(_xll.VoseSimPercentile(Trough_1,$B111)),_xll.VoseSimPercentile(Trough_1,$B111),NA())</f>
        <v>1.6825267744437467</v>
      </c>
      <c r="E111" s="77" cm="1">
        <f t="array" aca="1" ref="E111" ca="1">IF(ISNUMBER(_xll.VoseSimPercentile(Trough_2,$B111)),_xll.VoseSimPercentile(Trough_2,$B111),NA())</f>
        <v>2.5237901616656058</v>
      </c>
      <c r="F111" s="77" cm="1">
        <f t="array" aca="1" ref="F111" ca="1">IF(ISNUMBER(_xll.VoseSimPercentile(Trough_3,$B111)),_xll.VoseSimPercentile(Trough_3,$B111),NA())</f>
        <v>3.3650535488874933</v>
      </c>
      <c r="G111" s="77" cm="1">
        <f t="array" aca="1" ref="G111" ca="1">IF(ISNUMBER(_xll.VoseSimPercentile(Trough_4,$B111)),_xll.VoseSimPercentile(Trough_4,$B111),NA())</f>
        <v>2.8448418338267585</v>
      </c>
    </row>
    <row r="112" spans="2:7" hidden="1" outlineLevel="1" x14ac:dyDescent="0.45">
      <c r="B112" s="76">
        <v>0.93</v>
      </c>
      <c r="C112" s="76">
        <f t="shared" si="1"/>
        <v>6.9999999999999951E-2</v>
      </c>
      <c r="D112" s="77" cm="1">
        <f t="array" aca="1" ref="D112" ca="1">IF(ISNUMBER(_xll.VoseSimPercentile(Trough_1,$B112)),_xll.VoseSimPercentile(Trough_1,$B112),NA())</f>
        <v>1.799266221773917</v>
      </c>
      <c r="E112" s="77" cm="1">
        <f t="array" aca="1" ref="E112" ca="1">IF(ISNUMBER(_xll.VoseSimPercentile(Trough_2,$B112)),_xll.VoseSimPercentile(Trough_2,$B112),NA())</f>
        <v>2.6988993326608792</v>
      </c>
      <c r="F112" s="77" cm="1">
        <f t="array" aca="1" ref="F112" ca="1">IF(ISNUMBER(_xll.VoseSimPercentile(Trough_3,$B112)),_xll.VoseSimPercentile(Trough_3,$B112),NA())</f>
        <v>3.5985324435478341</v>
      </c>
      <c r="G112" s="77" cm="1">
        <f t="array" aca="1" ref="G112" ca="1">IF(ISNUMBER(_xll.VoseSimPercentile(Trough_4,$B112)),_xll.VoseSimPercentile(Trough_4,$B112),NA())</f>
        <v>3.0179625576493816</v>
      </c>
    </row>
    <row r="113" spans="2:8" hidden="1" outlineLevel="1" x14ac:dyDescent="0.45">
      <c r="B113" s="76">
        <v>0.95</v>
      </c>
      <c r="C113" s="76">
        <f t="shared" si="1"/>
        <v>5.0000000000000044E-2</v>
      </c>
      <c r="D113" s="77" cm="1">
        <f t="array" aca="1" ref="D113" ca="1">IF(ISNUMBER(_xll.VoseSimPercentile(Trough_1,$B113)),_xll.VoseSimPercentile(Trough_1,$B113),NA())</f>
        <v>1.9458791923983254</v>
      </c>
      <c r="E113" s="77" cm="1">
        <f t="array" aca="1" ref="E113" ca="1">IF(ISNUMBER(_xll.VoseSimPercentile(Trough_2,$B113)),_xll.VoseSimPercentile(Trough_2,$B113),NA())</f>
        <v>2.9188187885974819</v>
      </c>
      <c r="F113" s="77" cm="1">
        <f t="array" aca="1" ref="F113" ca="1">IF(ISNUMBER(_xll.VoseSimPercentile(Trough_3,$B113)),_xll.VoseSimPercentile(Trough_3,$B113),NA())</f>
        <v>3.8917583847966508</v>
      </c>
      <c r="G113" s="77" cm="1">
        <f t="array" aca="1" ref="G113" ca="1">IF(ISNUMBER(_xll.VoseSimPercentile(Trough_4,$B113)),_xll.VoseSimPercentile(Trough_4,$B113),NA())</f>
        <v>3.2364405687693942</v>
      </c>
    </row>
    <row r="114" spans="2:8" hidden="1" outlineLevel="1" x14ac:dyDescent="0.45">
      <c r="B114" s="76">
        <v>0.97</v>
      </c>
      <c r="C114" s="76">
        <f t="shared" si="1"/>
        <v>3.0000000000000027E-2</v>
      </c>
      <c r="D114" s="77" cm="1">
        <f t="array" aca="1" ref="D114" ca="1">IF(ISNUMBER(_xll.VoseSimPercentile(Trough_1,$B114)),_xll.VoseSimPercentile(Trough_1,$B114),NA())</f>
        <v>2.1640608453834314</v>
      </c>
      <c r="E114" s="77" cm="1">
        <f t="array" aca="1" ref="E114" ca="1">IF(ISNUMBER(_xll.VoseSimPercentile(Trough_2,$B114)),_xll.VoseSimPercentile(Trough_2,$B114),NA())</f>
        <v>3.2460912680751579</v>
      </c>
      <c r="F114" s="77" cm="1">
        <f t="array" aca="1" ref="F114" ca="1">IF(ISNUMBER(_xll.VoseSimPercentile(Trough_3,$B114)),_xll.VoseSimPercentile(Trough_3,$B114),NA())</f>
        <v>4.3281216907668627</v>
      </c>
      <c r="G114" s="77" cm="1">
        <f t="array" aca="1" ref="G114" ca="1">IF(ISNUMBER(_xll.VoseSimPercentile(Trough_4,$B114)),_xll.VoseSimPercentile(Trough_4,$B114),NA())</f>
        <v>3.5673158334126027</v>
      </c>
    </row>
    <row r="115" spans="2:8" hidden="1" outlineLevel="1" x14ac:dyDescent="0.45">
      <c r="B115" s="76">
        <v>0.99</v>
      </c>
      <c r="C115" s="76">
        <f t="shared" si="1"/>
        <v>1.0000000000000009E-2</v>
      </c>
      <c r="D115" s="77" cm="1">
        <f t="array" aca="1" ref="D115" ca="1">IF(ISNUMBER(_xll.VoseSimPercentile(Trough_1,$B115)),_xll.VoseSimPercentile(Trough_1,$B115),NA())</f>
        <v>2.5862439336123435</v>
      </c>
      <c r="E115" s="77" cm="1">
        <f t="array" aca="1" ref="E115" ca="1">IF(ISNUMBER(_xll.VoseSimPercentile(Trough_2,$B115)),_xll.VoseSimPercentile(Trough_2,$B115),NA())</f>
        <v>3.8793659004185135</v>
      </c>
      <c r="F115" s="77" cm="1">
        <f t="array" aca="1" ref="F115" ca="1">IF(ISNUMBER(_xll.VoseSimPercentile(Trough_3,$B115)),_xll.VoseSimPercentile(Trough_3,$B115),NA())</f>
        <v>5.172487867224687</v>
      </c>
      <c r="G115" s="77" cm="1">
        <f t="array" aca="1" ref="G115" ca="1">IF(ISNUMBER(_xll.VoseSimPercentile(Trough_4,$B115)),_xll.VoseSimPercentile(Trough_4,$B115),NA())</f>
        <v>4.2295896795050956</v>
      </c>
    </row>
    <row r="116" spans="2:8" hidden="1" outlineLevel="1" x14ac:dyDescent="0.45"/>
    <row r="117" spans="2:8" hidden="1" outlineLevel="1" x14ac:dyDescent="0.45">
      <c r="B117" s="78" t="s">
        <v>321</v>
      </c>
      <c r="D117" s="79" cm="1">
        <f t="array" aca="1" ref="D117" ca="1">_xll.VoseSimMean(Trough_2)</f>
        <v>1.3277421905636517</v>
      </c>
    </row>
    <row r="118" spans="2:8" ht="18" hidden="1" customHeight="1" outlineLevel="1" x14ac:dyDescent="0.45">
      <c r="B118" s="23" t="s">
        <v>322</v>
      </c>
      <c r="C118" s="5"/>
      <c r="D118" s="5"/>
      <c r="E118" s="5"/>
      <c r="F118" s="24" t="s">
        <v>323</v>
      </c>
      <c r="G118" s="24" t="s">
        <v>324</v>
      </c>
    </row>
    <row r="119" spans="2:8" hidden="1" outlineLevel="1" x14ac:dyDescent="0.45">
      <c r="B119" s="80" t="str">
        <f ca="1">B44</f>
        <v>Clearance variation</v>
      </c>
      <c r="F119" s="81">
        <f ca="1">IFERROR(D44-$D$117,NA())</f>
        <v>1.7410705118796659</v>
      </c>
      <c r="G119" s="81">
        <f ca="1">IFERROR(C44-$D$117,NA())</f>
        <v>-1.0101481397522916</v>
      </c>
    </row>
    <row r="120" spans="2:8" hidden="1" outlineLevel="1" x14ac:dyDescent="0.45">
      <c r="B120" s="80" t="str">
        <f ca="1">B45</f>
        <v>Volume of distribution variation</v>
      </c>
      <c r="F120" s="81">
        <f ca="1">IFERROR(D45-$D$117,NA())</f>
        <v>0.25713516504049516</v>
      </c>
      <c r="G120" s="81">
        <f ca="1">IFERROR(C45-$D$117,NA())</f>
        <v>-0.26703814022224681</v>
      </c>
    </row>
    <row r="121" spans="2:8" hidden="1" outlineLevel="1" x14ac:dyDescent="0.45">
      <c r="B121" s="80" t="str">
        <f ca="1">B46</f>
        <v>Absorption rate constant variation</v>
      </c>
      <c r="F121" s="81">
        <f ca="1">IFERROR(D46-$D$117,NA())</f>
        <v>0.14382373025525941</v>
      </c>
      <c r="G121" s="81">
        <f ca="1">IFERROR(C46-$D$117,NA())</f>
        <v>-5.2407817721609407E-2</v>
      </c>
    </row>
    <row r="122" spans="2:8" hidden="1" outlineLevel="1" x14ac:dyDescent="0.45"/>
    <row r="123" spans="2:8" ht="28.05" hidden="1" customHeight="1" outlineLevel="1" x14ac:dyDescent="0.45">
      <c r="B123" s="23" t="s">
        <v>325</v>
      </c>
      <c r="C123" s="24" t="s">
        <v>326</v>
      </c>
      <c r="D123" s="24" t="s">
        <v>327</v>
      </c>
      <c r="E123" s="24" t="s">
        <v>328</v>
      </c>
      <c r="F123" s="24" t="s">
        <v>329</v>
      </c>
      <c r="G123" s="24" t="s">
        <v>330</v>
      </c>
      <c r="H123" s="24" t="s">
        <v>331</v>
      </c>
    </row>
    <row r="124" spans="2:8" hidden="1" outlineLevel="1" x14ac:dyDescent="0.45">
      <c r="B124" s="80" t="s">
        <v>332</v>
      </c>
      <c r="C124" s="77" cm="1">
        <f t="array" aca="1" ref="C124" ca="1">IF(ISNUMBER(_xll.VoseSimPercentile(Patient!D121,0.1)),_xll.VoseSimPercentile(Patient!D121,0.1),NA())</f>
        <v>1.274413095222553</v>
      </c>
      <c r="D124" s="77" cm="1">
        <f t="array" aca="1" ref="D124" ca="1">IF(ISNUMBER(_xll.VoseSimPercentile(Patient!D121,0.5)),_xll.VoseSimPercentile(Patient!D121,0.5),NA())</f>
        <v>2.1190562339284793</v>
      </c>
      <c r="E124" s="77" cm="1">
        <f t="array" aca="1" ref="E124" ca="1">IF(ISNUMBER(_xll.VoseSimPercentile(Patient!D121,0.9)),_xll.VoseSimPercentile(Patient!D121,0.9),NA())</f>
        <v>3.4095919061323565</v>
      </c>
      <c r="F124" s="77" cm="1">
        <f t="array" aca="1" ref="F124" ca="1">IF(ISNUMBER(_xll.VoseSimMean(Patient!D121)),_xll.VoseSimMean(Patient!D121),NA())</f>
        <v>2.252353105489151</v>
      </c>
      <c r="G124" s="77">
        <f t="shared" ref="G124:G148" si="2">MEC</f>
        <v>0.8</v>
      </c>
      <c r="H124" s="77">
        <f t="shared" ref="H124:H148" si="3">MTC</f>
        <v>4</v>
      </c>
    </row>
    <row r="125" spans="2:8" hidden="1" outlineLevel="1" x14ac:dyDescent="0.45">
      <c r="B125" s="80" t="s">
        <v>333</v>
      </c>
      <c r="C125" s="77" cm="1">
        <f t="array" aca="1" ref="C125" ca="1">IF(ISNUMBER(_xll.VoseSimPercentile(Patient!E121,0.1)),_xll.VoseSimPercentile(Patient!E121,0.1),NA())</f>
        <v>1.1851514502890641</v>
      </c>
      <c r="D125" s="77" cm="1">
        <f t="array" aca="1" ref="D125" ca="1">IF(ISNUMBER(_xll.VoseSimPercentile(Patient!E121,0.5)),_xll.VoseSimPercentile(Patient!E121,0.5),NA())</f>
        <v>2.0346442336139599</v>
      </c>
      <c r="E125" s="77" cm="1">
        <f t="array" aca="1" ref="E125" ca="1">IF(ISNUMBER(_xll.VoseSimPercentile(Patient!E121,0.9)),_xll.VoseSimPercentile(Patient!E121,0.9),NA())</f>
        <v>3.3240977040404505</v>
      </c>
      <c r="F125" s="77" cm="1">
        <f t="array" aca="1" ref="F125" ca="1">IF(ISNUMBER(_xll.VoseSimMean(Patient!E121)),_xll.VoseSimMean(Patient!E121),NA())</f>
        <v>2.165151888715878</v>
      </c>
      <c r="G125" s="77">
        <f t="shared" si="2"/>
        <v>0.8</v>
      </c>
      <c r="H125" s="77">
        <f t="shared" si="3"/>
        <v>4</v>
      </c>
    </row>
    <row r="126" spans="2:8" hidden="1" outlineLevel="1" x14ac:dyDescent="0.45">
      <c r="B126" s="80" t="s">
        <v>334</v>
      </c>
      <c r="C126" s="77" cm="1">
        <f t="array" aca="1" ref="C126" ca="1">IF(ISNUMBER(_xll.VoseSimPercentile(Patient!F121,0.1)),_xll.VoseSimPercentile(Patient!F121,0.1),NA())</f>
        <v>1.0982287348791901</v>
      </c>
      <c r="D126" s="77" cm="1">
        <f t="array" aca="1" ref="D126" ca="1">IF(ISNUMBER(_xll.VoseSimPercentile(Patient!F121,0.5)),_xll.VoseSimPercentile(Patient!F121,0.5),NA())</f>
        <v>1.9467093707383194</v>
      </c>
      <c r="E126" s="77" cm="1">
        <f t="array" aca="1" ref="E126" ca="1">IF(ISNUMBER(_xll.VoseSimPercentile(Patient!F121,0.9)),_xll.VoseSimPercentile(Patient!F121,0.9),NA())</f>
        <v>3.2389917830707544</v>
      </c>
      <c r="F126" s="77" cm="1">
        <f t="array" aca="1" ref="F126" ca="1">IF(ISNUMBER(_xll.VoseSimMean(Patient!F121)),_xll.VoseSimMean(Patient!F121),NA())</f>
        <v>2.0779963497244918</v>
      </c>
      <c r="G126" s="77">
        <f t="shared" si="2"/>
        <v>0.8</v>
      </c>
      <c r="H126" s="77">
        <f t="shared" si="3"/>
        <v>4</v>
      </c>
    </row>
    <row r="127" spans="2:8" hidden="1" outlineLevel="1" x14ac:dyDescent="0.45">
      <c r="B127" s="80" t="s">
        <v>335</v>
      </c>
      <c r="C127" s="77" cm="1">
        <f t="array" aca="1" ref="C127" ca="1">IF(ISNUMBER(_xll.VoseSimPercentile(Patient!G121,0.1)),_xll.VoseSimPercentile(Patient!G121,0.1),NA())</f>
        <v>1.0173476005961575</v>
      </c>
      <c r="D127" s="77" cm="1">
        <f t="array" aca="1" ref="D127" ca="1">IF(ISNUMBER(_xll.VoseSimPercentile(Patient!G121,0.5)),_xll.VoseSimPercentile(Patient!G121,0.5),NA())</f>
        <v>1.8571277129792119</v>
      </c>
      <c r="E127" s="77" cm="1">
        <f t="array" aca="1" ref="E127" ca="1">IF(ISNUMBER(_xll.VoseSimPercentile(Patient!G121,0.9)),_xll.VoseSimPercentile(Patient!G121,0.9),NA())</f>
        <v>3.1549295040451595</v>
      </c>
      <c r="F127" s="77" cm="1">
        <f t="array" aca="1" ref="F127" ca="1">IF(ISNUMBER(_xll.VoseSimMean(Patient!G121)),_xll.VoseSimMean(Patient!G121),NA())</f>
        <v>1.9923401682567141</v>
      </c>
      <c r="G127" s="77">
        <f t="shared" si="2"/>
        <v>0.8</v>
      </c>
      <c r="H127" s="77">
        <f t="shared" si="3"/>
        <v>4</v>
      </c>
    </row>
    <row r="128" spans="2:8" hidden="1" outlineLevel="1" x14ac:dyDescent="0.45">
      <c r="B128" s="80" t="s">
        <v>336</v>
      </c>
      <c r="C128" s="77" cm="1">
        <f t="array" aca="1" ref="C128" ca="1">IF(ISNUMBER(_xll.VoseSimPercentile(Patient!H121,0.1)),_xll.VoseSimPercentile(Patient!H121,0.1),NA())</f>
        <v>0.9371908016227587</v>
      </c>
      <c r="D128" s="77" cm="1">
        <f t="array" aca="1" ref="D128" ca="1">IF(ISNUMBER(_xll.VoseSimPercentile(Patient!H121,0.5)),_xll.VoseSimPercentile(Patient!H121,0.5),NA())</f>
        <v>1.773982343639269</v>
      </c>
      <c r="E128" s="77" cm="1">
        <f t="array" aca="1" ref="E128" ca="1">IF(ISNUMBER(_xll.VoseSimPercentile(Patient!H121,0.9)),_xll.VoseSimPercentile(Patient!H121,0.9),NA())</f>
        <v>3.0717942515471757</v>
      </c>
      <c r="F128" s="77" cm="1">
        <f t="array" aca="1" ref="F128" ca="1">IF(ISNUMBER(_xll.VoseSimMean(Patient!H121)),_xll.VoseSimMean(Patient!H121),NA())</f>
        <v>1.9090506822118158</v>
      </c>
      <c r="G128" s="77">
        <f t="shared" si="2"/>
        <v>0.8</v>
      </c>
      <c r="H128" s="77">
        <f t="shared" si="3"/>
        <v>4</v>
      </c>
    </row>
    <row r="129" spans="2:8" hidden="1" outlineLevel="1" x14ac:dyDescent="0.45">
      <c r="B129" s="80" t="s">
        <v>337</v>
      </c>
      <c r="C129" s="77" cm="1">
        <f t="array" aca="1" ref="C129" ca="1">IF(ISNUMBER(_xll.VoseSimPercentile(Patient!I121,0.1)),_xll.VoseSimPercentile(Patient!I121,0.1),NA())</f>
        <v>0.86275093978289419</v>
      </c>
      <c r="D129" s="77" cm="1">
        <f t="array" aca="1" ref="D129" ca="1">IF(ISNUMBER(_xll.VoseSimPercentile(Patient!I121,0.5)),_xll.VoseSimPercentile(Patient!I121,0.5),NA())</f>
        <v>1.6947336863201798</v>
      </c>
      <c r="E129" s="77" cm="1">
        <f t="array" aca="1" ref="E129" ca="1">IF(ISNUMBER(_xll.VoseSimPercentile(Patient!I121,0.9)),_xll.VoseSimPercentile(Patient!I121,0.9),NA())</f>
        <v>2.9874880231325727</v>
      </c>
      <c r="F129" s="77" cm="1">
        <f t="array" aca="1" ref="F129" ca="1">IF(ISNUMBER(_xll.VoseSimMean(Patient!I121)),_xll.VoseSimMean(Patient!I121),NA())</f>
        <v>1.82862705984982</v>
      </c>
      <c r="G129" s="77">
        <f t="shared" si="2"/>
        <v>0.8</v>
      </c>
      <c r="H129" s="77">
        <f t="shared" si="3"/>
        <v>4</v>
      </c>
    </row>
    <row r="130" spans="2:8" hidden="1" outlineLevel="1" x14ac:dyDescent="0.45">
      <c r="B130" s="80" t="s">
        <v>338</v>
      </c>
      <c r="C130" s="77" cm="1">
        <f t="array" aca="1" ref="C130" ca="1">IF(ISNUMBER(_xll.VoseSimPercentile(Patient!J121,0.1)),_xll.VoseSimPercentile(Patient!J121,0.1),NA())</f>
        <v>0.79271804679630553</v>
      </c>
      <c r="D130" s="77" cm="1">
        <f t="array" aca="1" ref="D130" ca="1">IF(ISNUMBER(_xll.VoseSimPercentile(Patient!J121,0.5)),_xll.VoseSimPercentile(Patient!J121,0.5),NA())</f>
        <v>1.6160240242399915</v>
      </c>
      <c r="E130" s="77" cm="1">
        <f t="array" aca="1" ref="E130" ca="1">IF(ISNUMBER(_xll.VoseSimPercentile(Patient!J121,0.9)),_xll.VoseSimPercentile(Patient!J121,0.9),NA())</f>
        <v>2.9041044110078977</v>
      </c>
      <c r="F130" s="77" cm="1">
        <f t="array" aca="1" ref="F130" ca="1">IF(ISNUMBER(_xll.VoseSimMean(Patient!J121)),_xll.VoseSimMean(Patient!J121),NA())</f>
        <v>1.751334115655369</v>
      </c>
      <c r="G130" s="77">
        <f t="shared" si="2"/>
        <v>0.8</v>
      </c>
      <c r="H130" s="77">
        <f t="shared" si="3"/>
        <v>4</v>
      </c>
    </row>
    <row r="131" spans="2:8" hidden="1" outlineLevel="1" x14ac:dyDescent="0.45">
      <c r="B131" s="80" t="s">
        <v>339</v>
      </c>
      <c r="C131" s="77" cm="1">
        <f t="array" aca="1" ref="C131" ca="1">IF(ISNUMBER(_xll.VoseSimPercentile(Patient!K121,0.1)),_xll.VoseSimPercentile(Patient!K121,0.1),NA())</f>
        <v>0.72942518691231528</v>
      </c>
      <c r="D131" s="77" cm="1">
        <f t="array" aca="1" ref="D131" ca="1">IF(ISNUMBER(_xll.VoseSimPercentile(Patient!K121,0.5)),_xll.VoseSimPercentile(Patient!K121,0.5),NA())</f>
        <v>1.5405256657553226</v>
      </c>
      <c r="E131" s="77" cm="1">
        <f t="array" aca="1" ref="E131" ca="1">IF(ISNUMBER(_xll.VoseSimPercentile(Patient!K121,0.9)),_xll.VoseSimPercentile(Patient!K121,0.9),NA())</f>
        <v>2.8197897638416061</v>
      </c>
      <c r="F131" s="77" cm="1">
        <f t="array" aca="1" ref="F131" ca="1">IF(ISNUMBER(_xll.VoseSimMean(Patient!K121)),_xll.VoseSimMean(Patient!K121),NA())</f>
        <v>1.6772862482221189</v>
      </c>
      <c r="G131" s="77">
        <f t="shared" si="2"/>
        <v>0.8</v>
      </c>
      <c r="H131" s="77">
        <f t="shared" si="3"/>
        <v>4</v>
      </c>
    </row>
    <row r="132" spans="2:8" hidden="1" outlineLevel="1" x14ac:dyDescent="0.45">
      <c r="B132" s="80" t="s">
        <v>340</v>
      </c>
      <c r="C132" s="77" cm="1">
        <f t="array" aca="1" ref="C132" ca="1">IF(ISNUMBER(_xll.VoseSimPercentile(Patient!L121,0.1)),_xll.VoseSimPercentile(Patient!L121,0.1),NA())</f>
        <v>0.6676948668338536</v>
      </c>
      <c r="D132" s="77" cm="1">
        <f t="array" aca="1" ref="D132" ca="1">IF(ISNUMBER(_xll.VoseSimPercentile(Patient!L121,0.5)),_xll.VoseSimPercentile(Patient!L121,0.5),NA())</f>
        <v>1.4674687124521699</v>
      </c>
      <c r="E132" s="77" cm="1">
        <f t="array" aca="1" ref="E132" ca="1">IF(ISNUMBER(_xll.VoseSimPercentile(Patient!L121,0.9)),_xll.VoseSimPercentile(Patient!L121,0.9),NA())</f>
        <v>2.7397142045586351</v>
      </c>
      <c r="F132" s="77" cm="1">
        <f t="array" aca="1" ref="F132" ca="1">IF(ISNUMBER(_xll.VoseSimMean(Patient!L121)),_xll.VoseSimMean(Patient!L121),NA())</f>
        <v>1.6065010936464543</v>
      </c>
      <c r="G132" s="77">
        <f t="shared" si="2"/>
        <v>0.8</v>
      </c>
      <c r="H132" s="77">
        <f t="shared" si="3"/>
        <v>4</v>
      </c>
    </row>
    <row r="133" spans="2:8" hidden="1" outlineLevel="1" x14ac:dyDescent="0.45">
      <c r="B133" s="80" t="s">
        <v>341</v>
      </c>
      <c r="C133" s="77" cm="1">
        <f t="array" aca="1" ref="C133" ca="1">IF(ISNUMBER(_xll.VoseSimPercentile(Patient!M121,0.1)),_xll.VoseSimPercentile(Patient!M121,0.1),NA())</f>
        <v>1.242568993559831</v>
      </c>
      <c r="D133" s="77" cm="1">
        <f t="array" aca="1" ref="D133" ca="1">IF(ISNUMBER(_xll.VoseSimPercentile(Patient!M121,0.5)),_xll.VoseSimPercentile(Patient!M121,0.5),NA())</f>
        <v>2.0484927440885321</v>
      </c>
      <c r="E133" s="77" cm="1">
        <f t="array" aca="1" ref="E133" ca="1">IF(ISNUMBER(_xll.VoseSimPercentile(Patient!M121,0.9)),_xll.VoseSimPercentile(Patient!M121,0.9),NA())</f>
        <v>3.3417943813132664</v>
      </c>
      <c r="F133" s="77" cm="1">
        <f t="array" aca="1" ref="F133" ca="1">IF(ISNUMBER(_xll.VoseSimMean(Patient!M121)),_xll.VoseSimMean(Patient!M121),NA())</f>
        <v>2.1939697729375549</v>
      </c>
      <c r="G133" s="77">
        <f t="shared" si="2"/>
        <v>0.8</v>
      </c>
      <c r="H133" s="77">
        <f t="shared" si="3"/>
        <v>4</v>
      </c>
    </row>
    <row r="134" spans="2:8" hidden="1" outlineLevel="1" x14ac:dyDescent="0.45">
      <c r="B134" s="80" t="s">
        <v>342</v>
      </c>
      <c r="C134" s="77" cm="1">
        <f t="array" aca="1" ref="C134" ca="1">IF(ISNUMBER(_xll.VoseSimPercentile(Patient!N121,0.1)),_xll.VoseSimPercentile(Patient!N121,0.1),NA())</f>
        <v>1.4763427942515732</v>
      </c>
      <c r="D134" s="77" cm="1">
        <f t="array" aca="1" ref="D134" ca="1">IF(ISNUMBER(_xll.VoseSimPercentile(Patient!N121,0.5)),_xll.VoseSimPercentile(Patient!N121,0.5),NA())</f>
        <v>2.3085838781804959</v>
      </c>
      <c r="E134" s="77" cm="1">
        <f t="array" aca="1" ref="E134" ca="1">IF(ISNUMBER(_xll.VoseSimPercentile(Patient!N121,0.9)),_xll.VoseSimPercentile(Patient!N121,0.9),NA())</f>
        <v>3.5977845823093157</v>
      </c>
      <c r="F134" s="77" cm="1">
        <f t="array" aca="1" ref="F134" ca="1">IF(ISNUMBER(_xll.VoseSimMean(Patient!N121)),_xll.VoseSimMean(Patient!N121),NA())</f>
        <v>2.4441307465844653</v>
      </c>
      <c r="G134" s="77">
        <f t="shared" si="2"/>
        <v>0.8</v>
      </c>
      <c r="H134" s="77">
        <f t="shared" si="3"/>
        <v>4</v>
      </c>
    </row>
    <row r="135" spans="2:8" hidden="1" outlineLevel="1" x14ac:dyDescent="0.45">
      <c r="B135" s="80" t="s">
        <v>343</v>
      </c>
      <c r="C135" s="77" cm="1">
        <f t="array" aca="1" ref="C135" ca="1">IF(ISNUMBER(_xll.VoseSimPercentile(Patient!O121,0.1)),_xll.VoseSimPercentile(Patient!O121,0.1),NA())</f>
        <v>1.5627668543742923</v>
      </c>
      <c r="D135" s="77" cm="1">
        <f t="array" aca="1" ref="D135" ca="1">IF(ISNUMBER(_xll.VoseSimPercentile(Patient!O121,0.5)),_xll.VoseSimPercentile(Patient!O121,0.5),NA())</f>
        <v>2.3902096488624509</v>
      </c>
      <c r="E135" s="77" cm="1">
        <f t="array" aca="1" ref="E135" ca="1">IF(ISNUMBER(_xll.VoseSimPercentile(Patient!O121,0.9)),_xll.VoseSimPercentile(Patient!O121,0.9),NA())</f>
        <v>3.6903672965928087</v>
      </c>
      <c r="F135" s="77" cm="1">
        <f t="array" aca="1" ref="F135" ca="1">IF(ISNUMBER(_xll.VoseSimMean(Patient!O121)),_xll.VoseSimMean(Patient!O121),NA())</f>
        <v>2.532112118622424</v>
      </c>
      <c r="G135" s="77">
        <f t="shared" si="2"/>
        <v>0.8</v>
      </c>
      <c r="H135" s="77">
        <f t="shared" si="3"/>
        <v>4</v>
      </c>
    </row>
    <row r="136" spans="2:8" hidden="1" outlineLevel="1" x14ac:dyDescent="0.45">
      <c r="B136" s="80" t="s">
        <v>344</v>
      </c>
      <c r="C136" s="77" cm="1">
        <f t="array" aca="1" ref="C136" ca="1">IF(ISNUMBER(_xll.VoseSimPercentile(Patient!P121,0.1)),_xll.VoseSimPercentile(Patient!P121,0.1),NA())</f>
        <v>1.5652790014686555</v>
      </c>
      <c r="D136" s="77" cm="1">
        <f t="array" aca="1" ref="D136" ca="1">IF(ISNUMBER(_xll.VoseSimPercentile(Patient!P121,0.5)),_xll.VoseSimPercentile(Patient!P121,0.5),NA())</f>
        <v>2.3884119615519896</v>
      </c>
      <c r="E136" s="77" cm="1">
        <f t="array" aca="1" ref="E136" ca="1">IF(ISNUMBER(_xll.VoseSimPercentile(Patient!P121,0.9)),_xll.VoseSimPercentile(Patient!P121,0.9),NA())</f>
        <v>3.6946822461213458</v>
      </c>
      <c r="F136" s="77" cm="1">
        <f t="array" aca="1" ref="F136" ca="1">IF(ISNUMBER(_xll.VoseSimMean(Patient!P121)),_xll.VoseSimMean(Patient!P121),NA())</f>
        <v>2.5361206709771125</v>
      </c>
      <c r="G136" s="77">
        <f t="shared" si="2"/>
        <v>0.8</v>
      </c>
      <c r="H136" s="77">
        <f t="shared" si="3"/>
        <v>4</v>
      </c>
    </row>
    <row r="137" spans="2:8" hidden="1" outlineLevel="1" x14ac:dyDescent="0.45">
      <c r="B137" s="80" t="s">
        <v>345</v>
      </c>
      <c r="C137" s="77" cm="1">
        <f t="array" aca="1" ref="C137" ca="1">IF(ISNUMBER(_xll.VoseSimPercentile(Patient!D122,0.1)),_xll.VoseSimPercentile(Patient!D122,0.1),NA())</f>
        <v>1.5216738340772962</v>
      </c>
      <c r="D137" s="77" cm="1">
        <f t="array" aca="1" ref="D137" ca="1">IF(ISNUMBER(_xll.VoseSimPercentile(Patient!D122,0.5)),_xll.VoseSimPercentile(Patient!D122,0.5),NA())</f>
        <v>2.3494746109964364</v>
      </c>
      <c r="E137" s="77" cm="1">
        <f t="array" aca="1" ref="E137" ca="1">IF(ISNUMBER(_xll.VoseSimPercentile(Patient!D122,0.9)),_xll.VoseSimPercentile(Patient!D122,0.9),NA())</f>
        <v>3.6735433273735887</v>
      </c>
      <c r="F137" s="77" cm="1">
        <f t="array" aca="1" ref="F137" ca="1">IF(ISNUMBER(_xll.VoseSimMean(Patient!D122)),_xll.VoseSimMean(Patient!D122),NA())</f>
        <v>2.4949140614142258</v>
      </c>
      <c r="G137" s="77">
        <f t="shared" si="2"/>
        <v>0.8</v>
      </c>
      <c r="H137" s="77">
        <f t="shared" si="3"/>
        <v>4</v>
      </c>
    </row>
    <row r="138" spans="2:8" hidden="1" outlineLevel="1" x14ac:dyDescent="0.45">
      <c r="B138" s="80" t="s">
        <v>346</v>
      </c>
      <c r="C138" s="77" cm="1">
        <f t="array" aca="1" ref="C138" ca="1">IF(ISNUMBER(_xll.VoseSimPercentile(Patient!E122,0.1)),_xll.VoseSimPercentile(Patient!E122,0.1),NA())</f>
        <v>1.4467887118284115</v>
      </c>
      <c r="D138" s="77" cm="1">
        <f t="array" aca="1" ref="D138" ca="1">IF(ISNUMBER(_xll.VoseSimPercentile(Patient!E122,0.5)),_xll.VoseSimPercentile(Patient!E122,0.5),NA())</f>
        <v>2.284548487271735</v>
      </c>
      <c r="E138" s="77" cm="1">
        <f t="array" aca="1" ref="E138" ca="1">IF(ISNUMBER(_xll.VoseSimPercentile(Patient!E122,0.9)),_xll.VoseSimPercentile(Patient!E122,0.9),NA())</f>
        <v>3.6018581604046931</v>
      </c>
      <c r="F138" s="77" cm="1">
        <f t="array" aca="1" ref="F138" ca="1">IF(ISNUMBER(_xll.VoseSimMean(Patient!E122)),_xll.VoseSimMean(Patient!E122),NA())</f>
        <v>2.4291182033165395</v>
      </c>
      <c r="G138" s="77">
        <f t="shared" si="2"/>
        <v>0.8</v>
      </c>
      <c r="H138" s="77">
        <f t="shared" si="3"/>
        <v>4</v>
      </c>
    </row>
    <row r="139" spans="2:8" hidden="1" outlineLevel="1" x14ac:dyDescent="0.45">
      <c r="B139" s="80" t="s">
        <v>347</v>
      </c>
      <c r="C139" s="77" cm="1">
        <f t="array" aca="1" ref="C139" ca="1">IF(ISNUMBER(_xll.VoseSimPercentile(Patient!F122,0.1)),_xll.VoseSimPercentile(Patient!F122,0.1),NA())</f>
        <v>1.3644209794345599</v>
      </c>
      <c r="D139" s="77" cm="1">
        <f t="array" aca="1" ref="D139" ca="1">IF(ISNUMBER(_xll.VoseSimPercentile(Patient!F122,0.5)),_xll.VoseSimPercentile(Patient!F122,0.5),NA())</f>
        <v>2.2079253847067446</v>
      </c>
      <c r="E139" s="77" cm="1">
        <f t="array" aca="1" ref="E139" ca="1">IF(ISNUMBER(_xll.VoseSimPercentile(Patient!F122,0.9)),_xll.VoseSimPercentile(Patient!F122,0.9),NA())</f>
        <v>3.5268363986224349</v>
      </c>
      <c r="F139" s="77" cm="1">
        <f t="array" aca="1" ref="F139" ca="1">IF(ISNUMBER(_xll.VoseSimMean(Patient!F122)),_xll.VoseSimMean(Patient!F122),NA())</f>
        <v>2.3502809207130873</v>
      </c>
      <c r="G139" s="77">
        <f t="shared" si="2"/>
        <v>0.8</v>
      </c>
      <c r="H139" s="77">
        <f t="shared" si="3"/>
        <v>4</v>
      </c>
    </row>
    <row r="140" spans="2:8" hidden="1" outlineLevel="1" x14ac:dyDescent="0.45">
      <c r="B140" s="80" t="s">
        <v>348</v>
      </c>
      <c r="C140" s="77" cm="1">
        <f t="array" aca="1" ref="C140" ca="1">IF(ISNUMBER(_xll.VoseSimPercentile(Patient!G122,0.1)),_xll.VoseSimPercentile(Patient!G122,0.1),NA())</f>
        <v>1.2746902107025933</v>
      </c>
      <c r="D140" s="77" cm="1">
        <f t="array" aca="1" ref="D140" ca="1">IF(ISNUMBER(_xll.VoseSimPercentile(Patient!G122,0.5)),_xll.VoseSimPercentile(Patient!G122,0.5),NA())</f>
        <v>2.1237213350496775</v>
      </c>
      <c r="E140" s="77" cm="1">
        <f t="array" aca="1" ref="E140" ca="1">IF(ISNUMBER(_xll.VoseSimPercentile(Patient!G122,0.9)),_xll.VoseSimPercentile(Patient!G122,0.9),NA())</f>
        <v>3.4482302962290308</v>
      </c>
      <c r="F140" s="77" cm="1">
        <f t="array" aca="1" ref="F140" ca="1">IF(ISNUMBER(_xll.VoseSimMean(Patient!G122)),_xll.VoseSimMean(Patient!G122),NA())</f>
        <v>2.2651057394539298</v>
      </c>
      <c r="G140" s="77">
        <f t="shared" si="2"/>
        <v>0.8</v>
      </c>
      <c r="H140" s="77">
        <f t="shared" si="3"/>
        <v>4</v>
      </c>
    </row>
    <row r="141" spans="2:8" hidden="1" outlineLevel="1" x14ac:dyDescent="0.45">
      <c r="B141" s="80" t="s">
        <v>349</v>
      </c>
      <c r="C141" s="77" cm="1">
        <f t="array" aca="1" ref="C141" ca="1">IF(ISNUMBER(_xll.VoseSimPercentile(Patient!H122,0.1)),_xll.VoseSimPercentile(Patient!H122,0.1),NA())</f>
        <v>1.1851798587086479</v>
      </c>
      <c r="D141" s="77" cm="1">
        <f t="array" aca="1" ref="D141" ca="1">IF(ISNUMBER(_xll.VoseSimPercentile(Patient!H122,0.5)),_xll.VoseSimPercentile(Patient!H122,0.5),NA())</f>
        <v>2.0393448112653014</v>
      </c>
      <c r="E141" s="77" cm="1">
        <f t="array" aca="1" ref="E141" ca="1">IF(ISNUMBER(_xll.VoseSimPercentile(Patient!H122,0.9)),_xll.VoseSimPercentile(Patient!H122,0.9),NA())</f>
        <v>3.3657635256992182</v>
      </c>
      <c r="F141" s="77" cm="1">
        <f t="array" aca="1" ref="F141" ca="1">IF(ISNUMBER(_xll.VoseSimMean(Patient!H122)),_xll.VoseSimMean(Patient!H122),NA())</f>
        <v>2.1775805057242281</v>
      </c>
      <c r="G141" s="77">
        <f t="shared" si="2"/>
        <v>0.8</v>
      </c>
      <c r="H141" s="77">
        <f t="shared" si="3"/>
        <v>4</v>
      </c>
    </row>
    <row r="142" spans="2:8" hidden="1" outlineLevel="1" x14ac:dyDescent="0.45">
      <c r="B142" s="80" t="s">
        <v>350</v>
      </c>
      <c r="C142" s="77" cm="1">
        <f t="array" aca="1" ref="C142" ca="1">IF(ISNUMBER(_xll.VoseSimPercentile(Patient!I122,0.1)),_xll.VoseSimPercentile(Patient!I122,0.1),NA())</f>
        <v>1.098610045149687</v>
      </c>
      <c r="D142" s="77" cm="1">
        <f t="array" aca="1" ref="D142" ca="1">IF(ISNUMBER(_xll.VoseSimPercentile(Patient!I122,0.5)),_xll.VoseSimPercentile(Patient!I122,0.5),NA())</f>
        <v>1.9499761677881968</v>
      </c>
      <c r="E142" s="77" cm="1">
        <f t="array" aca="1" ref="E142" ca="1">IF(ISNUMBER(_xll.VoseSimPercentile(Patient!I122,0.9)),_xll.VoseSimPercentile(Patient!I122,0.9),NA())</f>
        <v>3.2791638686860631</v>
      </c>
      <c r="F142" s="77" cm="1">
        <f t="array" aca="1" ref="F142" ca="1">IF(ISNUMBER(_xll.VoseSimMean(Patient!I122)),_xll.VoseSimMean(Patient!I122),NA())</f>
        <v>2.0901102207629196</v>
      </c>
      <c r="G142" s="77">
        <f t="shared" si="2"/>
        <v>0.8</v>
      </c>
      <c r="H142" s="77">
        <f t="shared" si="3"/>
        <v>4</v>
      </c>
    </row>
    <row r="143" spans="2:8" hidden="1" outlineLevel="1" x14ac:dyDescent="0.45">
      <c r="B143" s="80" t="s">
        <v>351</v>
      </c>
      <c r="C143" s="77" cm="1">
        <f t="array" aca="1" ref="C143" ca="1">IF(ISNUMBER(_xll.VoseSimPercentile(Patient!J122,0.1)),_xll.VoseSimPercentile(Patient!J122,0.1),NA())</f>
        <v>1.0173508156624278</v>
      </c>
      <c r="D143" s="77" cm="1">
        <f t="array" aca="1" ref="D143" ca="1">IF(ISNUMBER(_xll.VoseSimPercentile(Patient!J122,0.5)),_xll.VoseSimPercentile(Patient!J122,0.5),NA())</f>
        <v>1.8602112151361714</v>
      </c>
      <c r="E143" s="77" cm="1">
        <f t="array" aca="1" ref="E143" ca="1">IF(ISNUMBER(_xll.VoseSimPercentile(Patient!J122,0.9)),_xll.VoseSimPercentile(Patient!J122,0.9),NA())</f>
        <v>3.191071532840021</v>
      </c>
      <c r="F143" s="77" cm="1">
        <f t="array" aca="1" ref="F143" ca="1">IF(ISNUMBER(_xll.VoseSimMean(Patient!J122)),_xll.VoseSimMean(Patient!J122),NA())</f>
        <v>2.0041482674224698</v>
      </c>
      <c r="G143" s="77">
        <f t="shared" si="2"/>
        <v>0.8</v>
      </c>
      <c r="H143" s="77">
        <f t="shared" si="3"/>
        <v>4</v>
      </c>
    </row>
    <row r="144" spans="2:8" hidden="1" outlineLevel="1" x14ac:dyDescent="0.45">
      <c r="B144" s="80" t="s">
        <v>352</v>
      </c>
      <c r="C144" s="77" cm="1">
        <f t="array" aca="1" ref="C144" ca="1">IF(ISNUMBER(_xll.VoseSimPercentile(Patient!K122,0.1)),_xll.VoseSimPercentile(Patient!K122,0.1),NA())</f>
        <v>0.93719735101963664</v>
      </c>
      <c r="D144" s="77" cm="1">
        <f t="array" aca="1" ref="D144" ca="1">IF(ISNUMBER(_xll.VoseSimPercentile(Patient!K122,0.5)),_xll.VoseSimPercentile(Patient!K122,0.5),NA())</f>
        <v>1.7789034044871714</v>
      </c>
      <c r="E144" s="77" cm="1">
        <f t="array" aca="1" ref="E144" ca="1">IF(ISNUMBER(_xll.VoseSimPercentile(Patient!K122,0.9)),_xll.VoseSimPercentile(Patient!K122,0.9),NA())</f>
        <v>3.1051262741153378</v>
      </c>
      <c r="F144" s="77" cm="1">
        <f t="array" aca="1" ref="F144" ca="1">IF(ISNUMBER(_xll.VoseSimMean(Patient!K122)),_xll.VoseSimMean(Patient!K122),NA())</f>
        <v>1.9205616972860249</v>
      </c>
      <c r="G144" s="77">
        <f t="shared" si="2"/>
        <v>0.8</v>
      </c>
      <c r="H144" s="77">
        <f t="shared" si="3"/>
        <v>4</v>
      </c>
    </row>
    <row r="145" spans="2:8" hidden="1" outlineLevel="1" x14ac:dyDescent="0.45">
      <c r="B145" s="80" t="s">
        <v>353</v>
      </c>
      <c r="C145" s="77" cm="1">
        <f t="array" aca="1" ref="C145" ca="1">IF(ISNUMBER(_xll.VoseSimPercentile(Patient!L122,0.1)),_xll.VoseSimPercentile(Patient!L122,0.1),NA())</f>
        <v>0.86284095599948996</v>
      </c>
      <c r="D145" s="77" cm="1">
        <f t="array" aca="1" ref="D145" ca="1">IF(ISNUMBER(_xll.VoseSimPercentile(Patient!L122,0.5)),_xll.VoseSimPercentile(Patient!L122,0.5),NA())</f>
        <v>1.6976762997860018</v>
      </c>
      <c r="E145" s="77" cm="1">
        <f t="array" aca="1" ref="E145" ca="1">IF(ISNUMBER(_xll.VoseSimPercentile(Patient!L122,0.9)),_xll.VoseSimPercentile(Patient!L122,0.9),NA())</f>
        <v>3.0191325099332236</v>
      </c>
      <c r="F145" s="77" cm="1">
        <f t="array" aca="1" ref="F145" ca="1">IF(ISNUMBER(_xll.VoseSimMean(Patient!L122)),_xll.VoseSimMean(Patient!L122),NA())</f>
        <v>1.8398494024542784</v>
      </c>
      <c r="G145" s="77">
        <f t="shared" si="2"/>
        <v>0.8</v>
      </c>
      <c r="H145" s="77">
        <f t="shared" si="3"/>
        <v>4</v>
      </c>
    </row>
    <row r="146" spans="2:8" hidden="1" outlineLevel="1" x14ac:dyDescent="0.45">
      <c r="B146" s="80" t="s">
        <v>354</v>
      </c>
      <c r="C146" s="77" cm="1">
        <f t="array" aca="1" ref="C146" ca="1">IF(ISNUMBER(_xll.VoseSimPercentile(Patient!M122,0.1)),_xll.VoseSimPercentile(Patient!M122,0.1),NA())</f>
        <v>0.79271933508561276</v>
      </c>
      <c r="D146" s="77" cm="1">
        <f t="array" aca="1" ref="D146" ca="1">IF(ISNUMBER(_xll.VoseSimPercentile(Patient!M122,0.5)),_xll.VoseSimPercentile(Patient!M122,0.5),NA())</f>
        <v>1.6190839802037642</v>
      </c>
      <c r="E146" s="77" cm="1">
        <f t="array" aca="1" ref="E146" ca="1">IF(ISNUMBER(_xll.VoseSimPercentile(Patient!M122,0.9)),_xll.VoseSimPercentile(Patient!M122,0.9),NA())</f>
        <v>2.9339580854777059</v>
      </c>
      <c r="F146" s="77" cm="1">
        <f t="array" aca="1" ref="F146" ca="1">IF(ISNUMBER(_xll.VoseSimMean(Patient!M122)),_xll.VoseSimMean(Patient!M122),NA())</f>
        <v>1.7622759310114358</v>
      </c>
      <c r="G146" s="77">
        <f t="shared" si="2"/>
        <v>0.8</v>
      </c>
      <c r="H146" s="77">
        <f t="shared" si="3"/>
        <v>4</v>
      </c>
    </row>
    <row r="147" spans="2:8" hidden="1" outlineLevel="1" x14ac:dyDescent="0.45">
      <c r="B147" s="80" t="s">
        <v>355</v>
      </c>
      <c r="C147" s="77" cm="1">
        <f t="array" aca="1" ref="C147" ca="1">IF(ISNUMBER(_xll.VoseSimPercentile(Patient!N122,0.1)),_xll.VoseSimPercentile(Patient!N122,0.1),NA())</f>
        <v>0.72942840542703102</v>
      </c>
      <c r="D147" s="77" cm="1">
        <f t="array" aca="1" ref="D147" ca="1">IF(ISNUMBER(_xll.VoseSimPercentile(Patient!N122,0.5)),_xll.VoseSimPercentile(Patient!N122,0.5),NA())</f>
        <v>1.5437807427070915</v>
      </c>
      <c r="E147" s="77" cm="1">
        <f t="array" aca="1" ref="E147" ca="1">IF(ISNUMBER(_xll.VoseSimPercentile(Patient!N122,0.9)),_xll.VoseSimPercentile(Patient!N122,0.9),NA())</f>
        <v>2.8493779671705104</v>
      </c>
      <c r="F147" s="77" cm="1">
        <f t="array" aca="1" ref="F147" ca="1">IF(ISNUMBER(_xll.VoseSimMean(Patient!N122)),_xll.VoseSimMean(Patient!N122),NA())</f>
        <v>1.6879554245287522</v>
      </c>
      <c r="G147" s="77">
        <f t="shared" si="2"/>
        <v>0.8</v>
      </c>
      <c r="H147" s="77">
        <f t="shared" si="3"/>
        <v>4</v>
      </c>
    </row>
    <row r="148" spans="2:8" hidden="1" outlineLevel="1" x14ac:dyDescent="0.45">
      <c r="B148" s="80" t="s">
        <v>356</v>
      </c>
      <c r="C148" s="77" cm="1">
        <f t="array" aca="1" ref="C148" ca="1">IF(ISNUMBER(_xll.VoseSimPercentile(Patient!O122,0.1)),_xll.VoseSimPercentile(Patient!O122,0.1),NA())</f>
        <v>0.66769862296048599</v>
      </c>
      <c r="D148" s="77" cm="1">
        <f t="array" aca="1" ref="D148" ca="1">IF(ISNUMBER(_xll.VoseSimPercentile(Patient!O122,0.5)),_xll.VoseSimPercentile(Patient!O122,0.5),NA())</f>
        <v>1.4704949395288678</v>
      </c>
      <c r="E148" s="77" cm="1">
        <f t="array" aca="1" ref="E148" ca="1">IF(ISNUMBER(_xll.VoseSimPercentile(Patient!O122,0.9)),_xll.VoseSimPercentile(Patient!O122,0.9),NA())</f>
        <v>2.7751944430093882</v>
      </c>
      <c r="F148" s="77" cm="1">
        <f t="array" aca="1" ref="F148" ca="1">IF(ISNUMBER(_xll.VoseSimMean(Patient!O122)),_xll.VoseSimMean(Patient!O122),NA())</f>
        <v>1.6169052710933733</v>
      </c>
      <c r="G148" s="77">
        <f t="shared" si="2"/>
        <v>0.8</v>
      </c>
      <c r="H148" s="77">
        <f t="shared" si="3"/>
        <v>4</v>
      </c>
    </row>
  </sheetData>
  <mergeCells count="5">
    <mergeCell ref="B59:G59"/>
    <mergeCell ref="B60:G60"/>
    <mergeCell ref="B57:G57"/>
    <mergeCell ref="B58:G58"/>
    <mergeCell ref="B56:G56"/>
  </mergeCells>
  <conditionalFormatting sqref="B7">
    <cfRule type="expression" dxfId="5" priority="2">
      <formula>LEFT($B$7,1)="✗"</formula>
    </cfRule>
  </conditionalFormatting>
  <conditionalFormatting sqref="B6:G6">
    <cfRule type="expression" dxfId="4" priority="1">
      <formula>LEFT($B$6,1)&lt;&gt;"✔"</formula>
    </cfRule>
  </conditionalFormatting>
  <conditionalFormatting sqref="C124:F148">
    <cfRule type="expression" dxfId="3" priority="6">
      <formula>ISNA(C124)</formula>
    </cfRule>
  </conditionalFormatting>
  <conditionalFormatting sqref="D66:G115">
    <cfRule type="expression" dxfId="2" priority="4">
      <formula>ISNA(D66)</formula>
    </cfRule>
  </conditionalFormatting>
  <conditionalFormatting sqref="F13:F16">
    <cfRule type="expression" dxfId="1" priority="3">
      <formula>AND(ISNUMBER(F13),F13=MAX($F$13:$F$16))</formula>
    </cfRule>
  </conditionalFormatting>
  <conditionalFormatting sqref="F119:G121">
    <cfRule type="expression" dxfId="0" priority="5">
      <formula>ISNA(F119)</formula>
    </cfRule>
  </conditionalFormatting>
  <hyperlinks>
    <hyperlink ref="B4" location="'Patient'!A1" display="◂  Patient"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5F31B-D1F0-40A6-9A8E-3F85ED74CC3E}">
  <dimension ref="A1:B1"/>
  <sheetViews>
    <sheetView workbookViewId="0"/>
  </sheetViews>
  <sheetFormatPr defaultRowHeight="14.25" x14ac:dyDescent="0.45"/>
  <sheetData>
    <row r="1" spans="1:2" x14ac:dyDescent="0.45">
      <c r="A1" s="86" t="s">
        <v>357</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A51E7-954F-4D90-99E2-75333E929556}">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3EA29-5467-450A-B9FD-EE6A6E0ABA30}">
  <dimension ref="B3:B522"/>
  <sheetViews>
    <sheetView workbookViewId="0"/>
  </sheetViews>
  <sheetFormatPr defaultRowHeight="14.25" x14ac:dyDescent="0.45"/>
  <sheetData>
    <row r="3" spans="2:2" x14ac:dyDescent="0.45">
      <c r="B3">
        <v>9</v>
      </c>
    </row>
    <row r="4" spans="2:2" x14ac:dyDescent="0.45">
      <c r="B4">
        <v>51</v>
      </c>
    </row>
    <row r="5" spans="2:2" x14ac:dyDescent="0.45">
      <c r="B5">
        <v>205</v>
      </c>
    </row>
    <row r="6" spans="2:2" x14ac:dyDescent="0.45">
      <c r="B6">
        <v>432</v>
      </c>
    </row>
    <row r="7" spans="2:2" x14ac:dyDescent="0.45">
      <c r="B7">
        <v>538</v>
      </c>
    </row>
    <row r="8" spans="2:2" x14ac:dyDescent="0.45">
      <c r="B8">
        <v>471</v>
      </c>
    </row>
    <row r="9" spans="2:2" x14ac:dyDescent="0.45">
      <c r="B9">
        <v>216</v>
      </c>
    </row>
    <row r="10" spans="2:2" x14ac:dyDescent="0.45">
      <c r="B10">
        <v>65</v>
      </c>
    </row>
    <row r="11" spans="2:2" x14ac:dyDescent="0.45">
      <c r="B11">
        <v>9</v>
      </c>
    </row>
    <row r="12" spans="2:2" x14ac:dyDescent="0.45">
      <c r="B12">
        <v>4</v>
      </c>
    </row>
    <row r="13" spans="2:2" x14ac:dyDescent="0.45">
      <c r="B13">
        <v>4</v>
      </c>
    </row>
    <row r="14" spans="2:2" x14ac:dyDescent="0.45">
      <c r="B14">
        <v>28</v>
      </c>
    </row>
    <row r="15" spans="2:2" x14ac:dyDescent="0.45">
      <c r="B15">
        <v>139</v>
      </c>
    </row>
    <row r="16" spans="2:2" x14ac:dyDescent="0.45">
      <c r="B16">
        <v>277</v>
      </c>
    </row>
    <row r="17" spans="2:2" x14ac:dyDescent="0.45">
      <c r="B17">
        <v>431</v>
      </c>
    </row>
    <row r="18" spans="2:2" x14ac:dyDescent="0.45">
      <c r="B18">
        <v>529</v>
      </c>
    </row>
    <row r="19" spans="2:2" x14ac:dyDescent="0.45">
      <c r="B19">
        <v>352</v>
      </c>
    </row>
    <row r="20" spans="2:2" x14ac:dyDescent="0.45">
      <c r="B20">
        <v>164</v>
      </c>
    </row>
    <row r="21" spans="2:2" x14ac:dyDescent="0.45">
      <c r="B21">
        <v>64</v>
      </c>
    </row>
    <row r="22" spans="2:2" x14ac:dyDescent="0.45">
      <c r="B22">
        <v>12</v>
      </c>
    </row>
    <row r="23" spans="2:2" x14ac:dyDescent="0.45">
      <c r="B23">
        <v>6</v>
      </c>
    </row>
    <row r="24" spans="2:2" x14ac:dyDescent="0.45">
      <c r="B24">
        <v>28</v>
      </c>
    </row>
    <row r="25" spans="2:2" x14ac:dyDescent="0.45">
      <c r="B25">
        <v>116</v>
      </c>
    </row>
    <row r="26" spans="2:2" x14ac:dyDescent="0.45">
      <c r="B26">
        <v>262</v>
      </c>
    </row>
    <row r="27" spans="2:2" x14ac:dyDescent="0.45">
      <c r="B27">
        <v>453</v>
      </c>
    </row>
    <row r="28" spans="2:2" x14ac:dyDescent="0.45">
      <c r="B28">
        <v>493</v>
      </c>
    </row>
    <row r="29" spans="2:2" x14ac:dyDescent="0.45">
      <c r="B29">
        <v>375</v>
      </c>
    </row>
    <row r="30" spans="2:2" x14ac:dyDescent="0.45">
      <c r="B30">
        <v>188</v>
      </c>
    </row>
    <row r="31" spans="2:2" x14ac:dyDescent="0.45">
      <c r="B31">
        <v>60</v>
      </c>
    </row>
    <row r="32" spans="2:2" x14ac:dyDescent="0.45">
      <c r="B32">
        <v>19</v>
      </c>
    </row>
    <row r="33" spans="2:2" x14ac:dyDescent="0.45">
      <c r="B33">
        <v>328</v>
      </c>
    </row>
    <row r="34" spans="2:2" x14ac:dyDescent="0.45">
      <c r="B34">
        <v>658</v>
      </c>
    </row>
    <row r="35" spans="2:2" x14ac:dyDescent="0.45">
      <c r="B35">
        <v>443</v>
      </c>
    </row>
    <row r="36" spans="2:2" x14ac:dyDescent="0.45">
      <c r="B36">
        <v>301</v>
      </c>
    </row>
    <row r="37" spans="2:2" x14ac:dyDescent="0.45">
      <c r="B37">
        <v>159</v>
      </c>
    </row>
    <row r="38" spans="2:2" x14ac:dyDescent="0.45">
      <c r="B38">
        <v>65</v>
      </c>
    </row>
    <row r="39" spans="2:2" x14ac:dyDescent="0.45">
      <c r="B39">
        <v>30</v>
      </c>
    </row>
    <row r="40" spans="2:2" x14ac:dyDescent="0.45">
      <c r="B40">
        <v>9</v>
      </c>
    </row>
    <row r="41" spans="2:2" x14ac:dyDescent="0.45">
      <c r="B41">
        <v>4</v>
      </c>
    </row>
    <row r="42" spans="2:2" x14ac:dyDescent="0.45">
      <c r="B42">
        <v>3</v>
      </c>
    </row>
    <row r="43" spans="2:2" x14ac:dyDescent="0.45">
      <c r="B43">
        <v>328</v>
      </c>
    </row>
    <row r="44" spans="2:2" x14ac:dyDescent="0.45">
      <c r="B44">
        <v>658</v>
      </c>
    </row>
    <row r="45" spans="2:2" x14ac:dyDescent="0.45">
      <c r="B45">
        <v>443</v>
      </c>
    </row>
    <row r="46" spans="2:2" x14ac:dyDescent="0.45">
      <c r="B46">
        <v>301</v>
      </c>
    </row>
    <row r="47" spans="2:2" x14ac:dyDescent="0.45">
      <c r="B47">
        <v>159</v>
      </c>
    </row>
    <row r="48" spans="2:2" x14ac:dyDescent="0.45">
      <c r="B48">
        <v>65</v>
      </c>
    </row>
    <row r="49" spans="2:2" x14ac:dyDescent="0.45">
      <c r="B49">
        <v>30</v>
      </c>
    </row>
    <row r="50" spans="2:2" x14ac:dyDescent="0.45">
      <c r="B50">
        <v>9</v>
      </c>
    </row>
    <row r="51" spans="2:2" x14ac:dyDescent="0.45">
      <c r="B51">
        <v>4</v>
      </c>
    </row>
    <row r="52" spans="2:2" x14ac:dyDescent="0.45">
      <c r="B52">
        <v>3</v>
      </c>
    </row>
    <row r="53" spans="2:2" x14ac:dyDescent="0.45">
      <c r="B53">
        <v>328</v>
      </c>
    </row>
    <row r="54" spans="2:2" x14ac:dyDescent="0.45">
      <c r="B54">
        <v>658</v>
      </c>
    </row>
    <row r="55" spans="2:2" x14ac:dyDescent="0.45">
      <c r="B55">
        <v>443</v>
      </c>
    </row>
    <row r="56" spans="2:2" x14ac:dyDescent="0.45">
      <c r="B56">
        <v>301</v>
      </c>
    </row>
    <row r="57" spans="2:2" x14ac:dyDescent="0.45">
      <c r="B57">
        <v>159</v>
      </c>
    </row>
    <row r="58" spans="2:2" x14ac:dyDescent="0.45">
      <c r="B58">
        <v>65</v>
      </c>
    </row>
    <row r="59" spans="2:2" x14ac:dyDescent="0.45">
      <c r="B59">
        <v>30</v>
      </c>
    </row>
    <row r="60" spans="2:2" x14ac:dyDescent="0.45">
      <c r="B60">
        <v>9</v>
      </c>
    </row>
    <row r="61" spans="2:2" x14ac:dyDescent="0.45">
      <c r="B61">
        <v>4</v>
      </c>
    </row>
    <row r="62" spans="2:2" x14ac:dyDescent="0.45">
      <c r="B62">
        <v>3</v>
      </c>
    </row>
    <row r="63" spans="2:2" x14ac:dyDescent="0.45">
      <c r="B63">
        <v>190</v>
      </c>
    </row>
    <row r="64" spans="2:2" x14ac:dyDescent="0.45">
      <c r="B64">
        <v>603</v>
      </c>
    </row>
    <row r="65" spans="2:2" x14ac:dyDescent="0.45">
      <c r="B65">
        <v>550</v>
      </c>
    </row>
    <row r="66" spans="2:2" x14ac:dyDescent="0.45">
      <c r="B66">
        <v>338</v>
      </c>
    </row>
    <row r="67" spans="2:2" x14ac:dyDescent="0.45">
      <c r="B67">
        <v>194</v>
      </c>
    </row>
    <row r="68" spans="2:2" x14ac:dyDescent="0.45">
      <c r="B68">
        <v>75</v>
      </c>
    </row>
    <row r="69" spans="2:2" x14ac:dyDescent="0.45">
      <c r="B69">
        <v>35</v>
      </c>
    </row>
    <row r="70" spans="2:2" x14ac:dyDescent="0.45">
      <c r="B70">
        <v>8</v>
      </c>
    </row>
    <row r="71" spans="2:2" x14ac:dyDescent="0.45">
      <c r="B71">
        <v>4</v>
      </c>
    </row>
    <row r="72" spans="2:2" x14ac:dyDescent="0.45">
      <c r="B72">
        <v>3</v>
      </c>
    </row>
    <row r="73" spans="2:2" x14ac:dyDescent="0.45">
      <c r="B73">
        <v>49</v>
      </c>
    </row>
    <row r="74" spans="2:2" x14ac:dyDescent="0.45">
      <c r="B74">
        <v>459</v>
      </c>
    </row>
    <row r="75" spans="2:2" x14ac:dyDescent="0.45">
      <c r="B75">
        <v>647</v>
      </c>
    </row>
    <row r="76" spans="2:2" x14ac:dyDescent="0.45">
      <c r="B76">
        <v>487</v>
      </c>
    </row>
    <row r="77" spans="2:2" x14ac:dyDescent="0.45">
      <c r="B77">
        <v>215</v>
      </c>
    </row>
    <row r="78" spans="2:2" x14ac:dyDescent="0.45">
      <c r="B78">
        <v>93</v>
      </c>
    </row>
    <row r="79" spans="2:2" x14ac:dyDescent="0.45">
      <c r="B79">
        <v>33</v>
      </c>
    </row>
    <row r="80" spans="2:2" x14ac:dyDescent="0.45">
      <c r="B80">
        <v>11</v>
      </c>
    </row>
    <row r="81" spans="2:2" x14ac:dyDescent="0.45">
      <c r="B81">
        <v>2</v>
      </c>
    </row>
    <row r="82" spans="2:2" x14ac:dyDescent="0.45">
      <c r="B82">
        <v>4</v>
      </c>
    </row>
    <row r="83" spans="2:2" x14ac:dyDescent="0.45">
      <c r="B83">
        <v>49</v>
      </c>
    </row>
    <row r="84" spans="2:2" x14ac:dyDescent="0.45">
      <c r="B84">
        <v>459</v>
      </c>
    </row>
    <row r="85" spans="2:2" x14ac:dyDescent="0.45">
      <c r="B85">
        <v>647</v>
      </c>
    </row>
    <row r="86" spans="2:2" x14ac:dyDescent="0.45">
      <c r="B86">
        <v>487</v>
      </c>
    </row>
    <row r="87" spans="2:2" x14ac:dyDescent="0.45">
      <c r="B87">
        <v>215</v>
      </c>
    </row>
    <row r="88" spans="2:2" x14ac:dyDescent="0.45">
      <c r="B88">
        <v>93</v>
      </c>
    </row>
    <row r="89" spans="2:2" x14ac:dyDescent="0.45">
      <c r="B89">
        <v>33</v>
      </c>
    </row>
    <row r="90" spans="2:2" x14ac:dyDescent="0.45">
      <c r="B90">
        <v>11</v>
      </c>
    </row>
    <row r="91" spans="2:2" x14ac:dyDescent="0.45">
      <c r="B91">
        <v>2</v>
      </c>
    </row>
    <row r="92" spans="2:2" x14ac:dyDescent="0.45">
      <c r="B92">
        <v>4</v>
      </c>
    </row>
    <row r="93" spans="2:2" x14ac:dyDescent="0.45">
      <c r="B93">
        <v>49</v>
      </c>
    </row>
    <row r="94" spans="2:2" x14ac:dyDescent="0.45">
      <c r="B94">
        <v>459</v>
      </c>
    </row>
    <row r="95" spans="2:2" x14ac:dyDescent="0.45">
      <c r="B95">
        <v>647</v>
      </c>
    </row>
    <row r="96" spans="2:2" x14ac:dyDescent="0.45">
      <c r="B96">
        <v>487</v>
      </c>
    </row>
    <row r="97" spans="2:2" x14ac:dyDescent="0.45">
      <c r="B97">
        <v>215</v>
      </c>
    </row>
    <row r="98" spans="2:2" x14ac:dyDescent="0.45">
      <c r="B98">
        <v>93</v>
      </c>
    </row>
    <row r="99" spans="2:2" x14ac:dyDescent="0.45">
      <c r="B99">
        <v>33</v>
      </c>
    </row>
    <row r="100" spans="2:2" x14ac:dyDescent="0.45">
      <c r="B100">
        <v>11</v>
      </c>
    </row>
    <row r="101" spans="2:2" x14ac:dyDescent="0.45">
      <c r="B101">
        <v>2</v>
      </c>
    </row>
    <row r="102" spans="2:2" x14ac:dyDescent="0.45">
      <c r="B102">
        <v>4</v>
      </c>
    </row>
    <row r="103" spans="2:2" x14ac:dyDescent="0.45">
      <c r="B103">
        <v>88</v>
      </c>
    </row>
    <row r="104" spans="2:2" x14ac:dyDescent="0.45">
      <c r="B104">
        <v>532</v>
      </c>
    </row>
    <row r="105" spans="2:2" x14ac:dyDescent="0.45">
      <c r="B105">
        <v>642</v>
      </c>
    </row>
    <row r="106" spans="2:2" x14ac:dyDescent="0.45">
      <c r="B106">
        <v>422</v>
      </c>
    </row>
    <row r="107" spans="2:2" x14ac:dyDescent="0.45">
      <c r="B107">
        <v>195</v>
      </c>
    </row>
    <row r="108" spans="2:2" x14ac:dyDescent="0.45">
      <c r="B108">
        <v>74</v>
      </c>
    </row>
    <row r="109" spans="2:2" x14ac:dyDescent="0.45">
      <c r="B109">
        <v>31</v>
      </c>
    </row>
    <row r="110" spans="2:2" x14ac:dyDescent="0.45">
      <c r="B110">
        <v>10</v>
      </c>
    </row>
    <row r="111" spans="2:2" x14ac:dyDescent="0.45">
      <c r="B111">
        <v>2</v>
      </c>
    </row>
    <row r="112" spans="2:2" x14ac:dyDescent="0.45">
      <c r="B112">
        <v>4</v>
      </c>
    </row>
    <row r="113" spans="2:2" x14ac:dyDescent="0.45">
      <c r="B113">
        <v>1050</v>
      </c>
    </row>
    <row r="114" spans="2:2" x14ac:dyDescent="0.45">
      <c r="B114">
        <v>0</v>
      </c>
    </row>
    <row r="115" spans="2:2" x14ac:dyDescent="0.45">
      <c r="B115">
        <v>0</v>
      </c>
    </row>
    <row r="116" spans="2:2" x14ac:dyDescent="0.45">
      <c r="B116">
        <v>0</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950</v>
      </c>
    </row>
    <row r="123" spans="2:2" x14ac:dyDescent="0.45">
      <c r="B123">
        <v>814</v>
      </c>
    </row>
    <row r="124" spans="2:2" x14ac:dyDescent="0.45">
      <c r="B124">
        <v>0</v>
      </c>
    </row>
    <row r="125" spans="2:2" x14ac:dyDescent="0.45">
      <c r="B125">
        <v>0</v>
      </c>
    </row>
    <row r="126" spans="2:2" x14ac:dyDescent="0.45">
      <c r="B126">
        <v>0</v>
      </c>
    </row>
    <row r="127" spans="2:2" x14ac:dyDescent="0.45">
      <c r="B127">
        <v>0</v>
      </c>
    </row>
    <row r="128" spans="2:2" x14ac:dyDescent="0.45">
      <c r="B128">
        <v>0</v>
      </c>
    </row>
    <row r="129" spans="2:2" x14ac:dyDescent="0.45">
      <c r="B129">
        <v>0</v>
      </c>
    </row>
    <row r="130" spans="2:2" x14ac:dyDescent="0.45">
      <c r="B130">
        <v>0</v>
      </c>
    </row>
    <row r="131" spans="2:2" x14ac:dyDescent="0.45">
      <c r="B131">
        <v>0</v>
      </c>
    </row>
    <row r="132" spans="2:2" x14ac:dyDescent="0.45">
      <c r="B132">
        <v>1186</v>
      </c>
    </row>
    <row r="133" spans="2:2" x14ac:dyDescent="0.45">
      <c r="B133">
        <v>1173</v>
      </c>
    </row>
    <row r="134" spans="2:2" x14ac:dyDescent="0.45">
      <c r="B134">
        <v>0</v>
      </c>
    </row>
    <row r="135" spans="2:2" x14ac:dyDescent="0.45">
      <c r="B135">
        <v>0</v>
      </c>
    </row>
    <row r="136" spans="2:2" x14ac:dyDescent="0.45">
      <c r="B136">
        <v>0</v>
      </c>
    </row>
    <row r="137" spans="2:2" x14ac:dyDescent="0.45">
      <c r="B137">
        <v>0</v>
      </c>
    </row>
    <row r="138" spans="2:2" x14ac:dyDescent="0.45">
      <c r="B138">
        <v>0</v>
      </c>
    </row>
    <row r="139" spans="2:2" x14ac:dyDescent="0.45">
      <c r="B139">
        <v>0</v>
      </c>
    </row>
    <row r="140" spans="2:2" x14ac:dyDescent="0.45">
      <c r="B140">
        <v>0</v>
      </c>
    </row>
    <row r="141" spans="2:2" x14ac:dyDescent="0.45">
      <c r="B141">
        <v>0</v>
      </c>
    </row>
    <row r="142" spans="2:2" x14ac:dyDescent="0.45">
      <c r="B142">
        <v>827</v>
      </c>
    </row>
    <row r="143" spans="2:2" x14ac:dyDescent="0.45">
      <c r="B143">
        <v>425</v>
      </c>
    </row>
    <row r="144" spans="2:2" x14ac:dyDescent="0.45">
      <c r="B144">
        <v>0</v>
      </c>
    </row>
    <row r="145" spans="2:2" x14ac:dyDescent="0.45">
      <c r="B145">
        <v>0</v>
      </c>
    </row>
    <row r="146" spans="2:2" x14ac:dyDescent="0.45">
      <c r="B146">
        <v>0</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1575</v>
      </c>
    </row>
    <row r="153" spans="2:2" x14ac:dyDescent="0.45">
      <c r="B153">
        <v>1036</v>
      </c>
    </row>
    <row r="154" spans="2:2" x14ac:dyDescent="0.45">
      <c r="B154">
        <v>0</v>
      </c>
    </row>
    <row r="155" spans="2:2" x14ac:dyDescent="0.45">
      <c r="B155">
        <v>0</v>
      </c>
    </row>
    <row r="156" spans="2:2" x14ac:dyDescent="0.45">
      <c r="B156">
        <v>0</v>
      </c>
    </row>
    <row r="157" spans="2:2" x14ac:dyDescent="0.45">
      <c r="B157">
        <v>0</v>
      </c>
    </row>
    <row r="158" spans="2:2" x14ac:dyDescent="0.45">
      <c r="B158">
        <v>0</v>
      </c>
    </row>
    <row r="159" spans="2:2" x14ac:dyDescent="0.45">
      <c r="B159">
        <v>0</v>
      </c>
    </row>
    <row r="160" spans="2:2" x14ac:dyDescent="0.45">
      <c r="B160">
        <v>0</v>
      </c>
    </row>
    <row r="161" spans="2:2" x14ac:dyDescent="0.45">
      <c r="B161">
        <v>0</v>
      </c>
    </row>
    <row r="162" spans="2:2" x14ac:dyDescent="0.45">
      <c r="B162">
        <v>964</v>
      </c>
    </row>
    <row r="163" spans="2:2" x14ac:dyDescent="0.45">
      <c r="B163">
        <v>587</v>
      </c>
    </row>
    <row r="164" spans="2:2" x14ac:dyDescent="0.45">
      <c r="B164">
        <v>0</v>
      </c>
    </row>
    <row r="165" spans="2:2" x14ac:dyDescent="0.45">
      <c r="B165">
        <v>0</v>
      </c>
    </row>
    <row r="166" spans="2:2" x14ac:dyDescent="0.45">
      <c r="B166">
        <v>0</v>
      </c>
    </row>
    <row r="167" spans="2:2" x14ac:dyDescent="0.45">
      <c r="B167">
        <v>0</v>
      </c>
    </row>
    <row r="168" spans="2:2" x14ac:dyDescent="0.45">
      <c r="B168">
        <v>0</v>
      </c>
    </row>
    <row r="169" spans="2:2" x14ac:dyDescent="0.45">
      <c r="B169">
        <v>0</v>
      </c>
    </row>
    <row r="170" spans="2:2" x14ac:dyDescent="0.45">
      <c r="B170">
        <v>0</v>
      </c>
    </row>
    <row r="171" spans="2:2" x14ac:dyDescent="0.45">
      <c r="B171">
        <v>0</v>
      </c>
    </row>
    <row r="172" spans="2:2" x14ac:dyDescent="0.45">
      <c r="B172">
        <v>1413</v>
      </c>
    </row>
    <row r="173" spans="2:2" x14ac:dyDescent="0.45">
      <c r="B173">
        <v>358</v>
      </c>
    </row>
    <row r="174" spans="2:2" x14ac:dyDescent="0.45">
      <c r="B174">
        <v>0</v>
      </c>
    </row>
    <row r="175" spans="2:2" x14ac:dyDescent="0.45">
      <c r="B175">
        <v>0</v>
      </c>
    </row>
    <row r="176" spans="2:2" x14ac:dyDescent="0.45">
      <c r="B176">
        <v>0</v>
      </c>
    </row>
    <row r="177" spans="2:2" x14ac:dyDescent="0.45">
      <c r="B177">
        <v>0</v>
      </c>
    </row>
    <row r="178" spans="2:2" x14ac:dyDescent="0.45">
      <c r="B178">
        <v>0</v>
      </c>
    </row>
    <row r="179" spans="2:2" x14ac:dyDescent="0.45">
      <c r="B179">
        <v>0</v>
      </c>
    </row>
    <row r="180" spans="2:2" x14ac:dyDescent="0.45">
      <c r="B180">
        <v>0</v>
      </c>
    </row>
    <row r="181" spans="2:2" x14ac:dyDescent="0.45">
      <c r="B181">
        <v>0</v>
      </c>
    </row>
    <row r="182" spans="2:2" x14ac:dyDescent="0.45">
      <c r="B182">
        <v>1642</v>
      </c>
    </row>
    <row r="183" spans="2:2" x14ac:dyDescent="0.45">
      <c r="B183">
        <v>294</v>
      </c>
    </row>
    <row r="184" spans="2:2" x14ac:dyDescent="0.45">
      <c r="B184">
        <v>0</v>
      </c>
    </row>
    <row r="185" spans="2:2" x14ac:dyDescent="0.45">
      <c r="B185">
        <v>0</v>
      </c>
    </row>
    <row r="186" spans="2:2" x14ac:dyDescent="0.45">
      <c r="B186">
        <v>0</v>
      </c>
    </row>
    <row r="187" spans="2:2" x14ac:dyDescent="0.45">
      <c r="B187">
        <v>0</v>
      </c>
    </row>
    <row r="188" spans="2:2" x14ac:dyDescent="0.45">
      <c r="B188">
        <v>0</v>
      </c>
    </row>
    <row r="189" spans="2:2" x14ac:dyDescent="0.45">
      <c r="B189">
        <v>0</v>
      </c>
    </row>
    <row r="190" spans="2:2" x14ac:dyDescent="0.45">
      <c r="B190">
        <v>0</v>
      </c>
    </row>
    <row r="191" spans="2:2" x14ac:dyDescent="0.45">
      <c r="B191">
        <v>0</v>
      </c>
    </row>
    <row r="192" spans="2:2" x14ac:dyDescent="0.45">
      <c r="B192">
        <v>1706</v>
      </c>
    </row>
    <row r="193" spans="2:2" x14ac:dyDescent="0.45">
      <c r="B193">
        <v>1986</v>
      </c>
    </row>
    <row r="194" spans="2:2" x14ac:dyDescent="0.45">
      <c r="B194">
        <v>0</v>
      </c>
    </row>
    <row r="195" spans="2:2" x14ac:dyDescent="0.45">
      <c r="B195">
        <v>0</v>
      </c>
    </row>
    <row r="196" spans="2:2" x14ac:dyDescent="0.45">
      <c r="B196">
        <v>0</v>
      </c>
    </row>
    <row r="197" spans="2:2" x14ac:dyDescent="0.45">
      <c r="B197">
        <v>0</v>
      </c>
    </row>
    <row r="198" spans="2:2" x14ac:dyDescent="0.45">
      <c r="B198">
        <v>0</v>
      </c>
    </row>
    <row r="199" spans="2:2" x14ac:dyDescent="0.45">
      <c r="B199">
        <v>0</v>
      </c>
    </row>
    <row r="200" spans="2:2" x14ac:dyDescent="0.45">
      <c r="B200">
        <v>0</v>
      </c>
    </row>
    <row r="201" spans="2:2" x14ac:dyDescent="0.45">
      <c r="B201">
        <v>0</v>
      </c>
    </row>
    <row r="202" spans="2:2" x14ac:dyDescent="0.45">
      <c r="B202">
        <v>14</v>
      </c>
    </row>
    <row r="203" spans="2:2" x14ac:dyDescent="0.45">
      <c r="B203">
        <v>1772</v>
      </c>
    </row>
    <row r="204" spans="2:2" x14ac:dyDescent="0.45">
      <c r="B204">
        <v>0</v>
      </c>
    </row>
    <row r="205" spans="2:2" x14ac:dyDescent="0.45">
      <c r="B205">
        <v>0</v>
      </c>
    </row>
    <row r="206" spans="2:2" x14ac:dyDescent="0.45">
      <c r="B206">
        <v>0</v>
      </c>
    </row>
    <row r="207" spans="2:2" x14ac:dyDescent="0.45">
      <c r="B207">
        <v>0</v>
      </c>
    </row>
    <row r="208" spans="2:2" x14ac:dyDescent="0.45">
      <c r="B208">
        <v>0</v>
      </c>
    </row>
    <row r="209" spans="2:2" x14ac:dyDescent="0.45">
      <c r="B209">
        <v>0</v>
      </c>
    </row>
    <row r="210" spans="2:2" x14ac:dyDescent="0.45">
      <c r="B210">
        <v>0</v>
      </c>
    </row>
    <row r="211" spans="2:2" x14ac:dyDescent="0.45">
      <c r="B211">
        <v>0</v>
      </c>
    </row>
    <row r="212" spans="2:2" x14ac:dyDescent="0.45">
      <c r="B212">
        <v>228</v>
      </c>
    </row>
    <row r="213" spans="2:2" x14ac:dyDescent="0.45">
      <c r="B213">
        <v>1165</v>
      </c>
    </row>
    <row r="214" spans="2:2" x14ac:dyDescent="0.45">
      <c r="B214">
        <v>0</v>
      </c>
    </row>
    <row r="215" spans="2:2" x14ac:dyDescent="0.45">
      <c r="B215">
        <v>0</v>
      </c>
    </row>
    <row r="216" spans="2:2" x14ac:dyDescent="0.45">
      <c r="B216">
        <v>0</v>
      </c>
    </row>
    <row r="217" spans="2:2" x14ac:dyDescent="0.45">
      <c r="B217">
        <v>0</v>
      </c>
    </row>
    <row r="218" spans="2:2" x14ac:dyDescent="0.45">
      <c r="B218">
        <v>0</v>
      </c>
    </row>
    <row r="219" spans="2:2" x14ac:dyDescent="0.45">
      <c r="B219">
        <v>0</v>
      </c>
    </row>
    <row r="220" spans="2:2" x14ac:dyDescent="0.45">
      <c r="B220">
        <v>0</v>
      </c>
    </row>
    <row r="221" spans="2:2" x14ac:dyDescent="0.45">
      <c r="B221">
        <v>0</v>
      </c>
    </row>
    <row r="222" spans="2:2" x14ac:dyDescent="0.45">
      <c r="B222">
        <v>835</v>
      </c>
    </row>
    <row r="223" spans="2:2" x14ac:dyDescent="0.45">
      <c r="B223">
        <v>1869</v>
      </c>
    </row>
    <row r="224" spans="2:2" x14ac:dyDescent="0.45">
      <c r="B224">
        <v>0</v>
      </c>
    </row>
    <row r="225" spans="2:2" x14ac:dyDescent="0.45">
      <c r="B225">
        <v>0</v>
      </c>
    </row>
    <row r="226" spans="2:2" x14ac:dyDescent="0.45">
      <c r="B226">
        <v>0</v>
      </c>
    </row>
    <row r="227" spans="2:2" x14ac:dyDescent="0.45">
      <c r="B227">
        <v>0</v>
      </c>
    </row>
    <row r="228" spans="2:2" x14ac:dyDescent="0.45">
      <c r="B228">
        <v>0</v>
      </c>
    </row>
    <row r="229" spans="2:2" x14ac:dyDescent="0.45">
      <c r="B229">
        <v>0</v>
      </c>
    </row>
    <row r="230" spans="2:2" x14ac:dyDescent="0.45">
      <c r="B230">
        <v>0</v>
      </c>
    </row>
    <row r="231" spans="2:2" x14ac:dyDescent="0.45">
      <c r="B231">
        <v>0</v>
      </c>
    </row>
    <row r="232" spans="2:2" x14ac:dyDescent="0.45">
      <c r="B232">
        <v>131</v>
      </c>
    </row>
    <row r="233" spans="2:2" x14ac:dyDescent="0.45">
      <c r="B233">
        <v>1314</v>
      </c>
    </row>
    <row r="234" spans="2:2" x14ac:dyDescent="0.45">
      <c r="B234">
        <v>177</v>
      </c>
    </row>
    <row r="235" spans="2:2" x14ac:dyDescent="0.45">
      <c r="B235">
        <v>119</v>
      </c>
    </row>
    <row r="236" spans="2:2" x14ac:dyDescent="0.45">
      <c r="B236">
        <v>130</v>
      </c>
    </row>
    <row r="237" spans="2:2" x14ac:dyDescent="0.45">
      <c r="B237">
        <v>80</v>
      </c>
    </row>
    <row r="238" spans="2:2" x14ac:dyDescent="0.45">
      <c r="B238">
        <v>53</v>
      </c>
    </row>
    <row r="239" spans="2:2" x14ac:dyDescent="0.45">
      <c r="B239">
        <v>46</v>
      </c>
    </row>
    <row r="240" spans="2:2" x14ac:dyDescent="0.45">
      <c r="B240">
        <v>40</v>
      </c>
    </row>
    <row r="241" spans="2:2" x14ac:dyDescent="0.45">
      <c r="B241">
        <v>26</v>
      </c>
    </row>
    <row r="242" spans="2:2" x14ac:dyDescent="0.45">
      <c r="B242">
        <v>15</v>
      </c>
    </row>
    <row r="243" spans="2:2" x14ac:dyDescent="0.45">
      <c r="B243">
        <v>336</v>
      </c>
    </row>
    <row r="244" spans="2:2" x14ac:dyDescent="0.45">
      <c r="B244">
        <v>179</v>
      </c>
    </row>
    <row r="245" spans="2:2" x14ac:dyDescent="0.45">
      <c r="B245">
        <v>241</v>
      </c>
    </row>
    <row r="246" spans="2:2" x14ac:dyDescent="0.45">
      <c r="B246">
        <v>251</v>
      </c>
    </row>
    <row r="247" spans="2:2" x14ac:dyDescent="0.45">
      <c r="B247">
        <v>206</v>
      </c>
    </row>
    <row r="248" spans="2:2" x14ac:dyDescent="0.45">
      <c r="B248">
        <v>193</v>
      </c>
    </row>
    <row r="249" spans="2:2" x14ac:dyDescent="0.45">
      <c r="B249">
        <v>140</v>
      </c>
    </row>
    <row r="250" spans="2:2" x14ac:dyDescent="0.45">
      <c r="B250">
        <v>209</v>
      </c>
    </row>
    <row r="251" spans="2:2" x14ac:dyDescent="0.45">
      <c r="B251">
        <v>170</v>
      </c>
    </row>
    <row r="252" spans="2:2" x14ac:dyDescent="0.45">
      <c r="B252">
        <v>75</v>
      </c>
    </row>
    <row r="253" spans="2:2" x14ac:dyDescent="0.45">
      <c r="B253">
        <v>48</v>
      </c>
    </row>
    <row r="254" spans="2:2" x14ac:dyDescent="0.45">
      <c r="B254">
        <v>49</v>
      </c>
    </row>
    <row r="255" spans="2:2" x14ac:dyDescent="0.45">
      <c r="B255">
        <v>115</v>
      </c>
    </row>
    <row r="256" spans="2:2" x14ac:dyDescent="0.45">
      <c r="B256">
        <v>209</v>
      </c>
    </row>
    <row r="257" spans="2:2" x14ac:dyDescent="0.45">
      <c r="B257">
        <v>217</v>
      </c>
    </row>
    <row r="258" spans="2:2" x14ac:dyDescent="0.45">
      <c r="B258">
        <v>211</v>
      </c>
    </row>
    <row r="259" spans="2:2" x14ac:dyDescent="0.45">
      <c r="B259">
        <v>190</v>
      </c>
    </row>
    <row r="260" spans="2:2" x14ac:dyDescent="0.45">
      <c r="B260">
        <v>193</v>
      </c>
    </row>
    <row r="261" spans="2:2" x14ac:dyDescent="0.45">
      <c r="B261">
        <v>390</v>
      </c>
    </row>
    <row r="262" spans="2:2" x14ac:dyDescent="0.45">
      <c r="B262">
        <v>378</v>
      </c>
    </row>
    <row r="263" spans="2:2" x14ac:dyDescent="0.45">
      <c r="B263">
        <v>623</v>
      </c>
    </row>
    <row r="264" spans="2:2" x14ac:dyDescent="0.45">
      <c r="B264">
        <v>115</v>
      </c>
    </row>
    <row r="265" spans="2:2" x14ac:dyDescent="0.45">
      <c r="B265">
        <v>136</v>
      </c>
    </row>
    <row r="266" spans="2:2" x14ac:dyDescent="0.45">
      <c r="B266">
        <v>144</v>
      </c>
    </row>
    <row r="267" spans="2:2" x14ac:dyDescent="0.45">
      <c r="B267">
        <v>121</v>
      </c>
    </row>
    <row r="268" spans="2:2" x14ac:dyDescent="0.45">
      <c r="B268">
        <v>128</v>
      </c>
    </row>
    <row r="269" spans="2:2" x14ac:dyDescent="0.45">
      <c r="B269">
        <v>149</v>
      </c>
    </row>
    <row r="270" spans="2:2" x14ac:dyDescent="0.45">
      <c r="B270">
        <v>207</v>
      </c>
    </row>
    <row r="271" spans="2:2" x14ac:dyDescent="0.45">
      <c r="B271">
        <v>252</v>
      </c>
    </row>
    <row r="272" spans="2:2" x14ac:dyDescent="0.45">
      <c r="B272">
        <v>125</v>
      </c>
    </row>
    <row r="273" spans="2:2" x14ac:dyDescent="0.45">
      <c r="B273">
        <v>77</v>
      </c>
    </row>
    <row r="274" spans="2:2" x14ac:dyDescent="0.45">
      <c r="B274">
        <v>476</v>
      </c>
    </row>
    <row r="275" spans="2:2" x14ac:dyDescent="0.45">
      <c r="B275">
        <v>608</v>
      </c>
    </row>
    <row r="276" spans="2:2" x14ac:dyDescent="0.45">
      <c r="B276">
        <v>442</v>
      </c>
    </row>
    <row r="277" spans="2:2" x14ac:dyDescent="0.45">
      <c r="B277">
        <v>251</v>
      </c>
    </row>
    <row r="278" spans="2:2" x14ac:dyDescent="0.45">
      <c r="B278">
        <v>93</v>
      </c>
    </row>
    <row r="279" spans="2:2" x14ac:dyDescent="0.45">
      <c r="B279">
        <v>34</v>
      </c>
    </row>
    <row r="280" spans="2:2" x14ac:dyDescent="0.45">
      <c r="B280">
        <v>13</v>
      </c>
    </row>
    <row r="281" spans="2:2" x14ac:dyDescent="0.45">
      <c r="B281">
        <v>3</v>
      </c>
    </row>
    <row r="282" spans="2:2" x14ac:dyDescent="0.45">
      <c r="B282">
        <v>3</v>
      </c>
    </row>
    <row r="283" spans="2:2" x14ac:dyDescent="0.45">
      <c r="B283">
        <v>79</v>
      </c>
    </row>
    <row r="284" spans="2:2" x14ac:dyDescent="0.45">
      <c r="B284">
        <v>487</v>
      </c>
    </row>
    <row r="285" spans="2:2" x14ac:dyDescent="0.45">
      <c r="B285">
        <v>601</v>
      </c>
    </row>
    <row r="286" spans="2:2" x14ac:dyDescent="0.45">
      <c r="B286">
        <v>434</v>
      </c>
    </row>
    <row r="287" spans="2:2" x14ac:dyDescent="0.45">
      <c r="B287">
        <v>255</v>
      </c>
    </row>
    <row r="288" spans="2:2" x14ac:dyDescent="0.45">
      <c r="B288">
        <v>92</v>
      </c>
    </row>
    <row r="289" spans="2:2" x14ac:dyDescent="0.45">
      <c r="B289">
        <v>33</v>
      </c>
    </row>
    <row r="290" spans="2:2" x14ac:dyDescent="0.45">
      <c r="B290">
        <v>13</v>
      </c>
    </row>
    <row r="291" spans="2:2" x14ac:dyDescent="0.45">
      <c r="B291">
        <v>3</v>
      </c>
    </row>
    <row r="292" spans="2:2" x14ac:dyDescent="0.45">
      <c r="B292">
        <v>3</v>
      </c>
    </row>
    <row r="293" spans="2:2" x14ac:dyDescent="0.45">
      <c r="B293">
        <v>92</v>
      </c>
    </row>
    <row r="294" spans="2:2" x14ac:dyDescent="0.45">
      <c r="B294">
        <v>488</v>
      </c>
    </row>
    <row r="295" spans="2:2" x14ac:dyDescent="0.45">
      <c r="B295">
        <v>593</v>
      </c>
    </row>
    <row r="296" spans="2:2" x14ac:dyDescent="0.45">
      <c r="B296">
        <v>425</v>
      </c>
    </row>
    <row r="297" spans="2:2" x14ac:dyDescent="0.45">
      <c r="B297">
        <v>259</v>
      </c>
    </row>
    <row r="298" spans="2:2" x14ac:dyDescent="0.45">
      <c r="B298">
        <v>91</v>
      </c>
    </row>
    <row r="299" spans="2:2" x14ac:dyDescent="0.45">
      <c r="B299">
        <v>33</v>
      </c>
    </row>
    <row r="300" spans="2:2" x14ac:dyDescent="0.45">
      <c r="B300">
        <v>13</v>
      </c>
    </row>
    <row r="301" spans="2:2" x14ac:dyDescent="0.45">
      <c r="B301">
        <v>3</v>
      </c>
    </row>
    <row r="302" spans="2:2" x14ac:dyDescent="0.45">
      <c r="B302">
        <v>3</v>
      </c>
    </row>
    <row r="303" spans="2:2" x14ac:dyDescent="0.45">
      <c r="B303">
        <v>100</v>
      </c>
    </row>
    <row r="304" spans="2:2" x14ac:dyDescent="0.45">
      <c r="B304">
        <v>496</v>
      </c>
    </row>
    <row r="305" spans="2:2" x14ac:dyDescent="0.45">
      <c r="B305">
        <v>596</v>
      </c>
    </row>
    <row r="306" spans="2:2" x14ac:dyDescent="0.45">
      <c r="B306">
        <v>408</v>
      </c>
    </row>
    <row r="307" spans="2:2" x14ac:dyDescent="0.45">
      <c r="B307">
        <v>256</v>
      </c>
    </row>
    <row r="308" spans="2:2" x14ac:dyDescent="0.45">
      <c r="B308">
        <v>92</v>
      </c>
    </row>
    <row r="309" spans="2:2" x14ac:dyDescent="0.45">
      <c r="B309">
        <v>33</v>
      </c>
    </row>
    <row r="310" spans="2:2" x14ac:dyDescent="0.45">
      <c r="B310">
        <v>13</v>
      </c>
    </row>
    <row r="311" spans="2:2" x14ac:dyDescent="0.45">
      <c r="B311">
        <v>3</v>
      </c>
    </row>
    <row r="312" spans="2:2" x14ac:dyDescent="0.45">
      <c r="B312">
        <v>3</v>
      </c>
    </row>
    <row r="313" spans="2:2" x14ac:dyDescent="0.45">
      <c r="B313">
        <v>106</v>
      </c>
    </row>
    <row r="314" spans="2:2" x14ac:dyDescent="0.45">
      <c r="B314">
        <v>523</v>
      </c>
    </row>
    <row r="315" spans="2:2" x14ac:dyDescent="0.45">
      <c r="B315">
        <v>576</v>
      </c>
    </row>
    <row r="316" spans="2:2" x14ac:dyDescent="0.45">
      <c r="B316">
        <v>404</v>
      </c>
    </row>
    <row r="317" spans="2:2" x14ac:dyDescent="0.45">
      <c r="B317">
        <v>249</v>
      </c>
    </row>
    <row r="318" spans="2:2" x14ac:dyDescent="0.45">
      <c r="B318">
        <v>88</v>
      </c>
    </row>
    <row r="319" spans="2:2" x14ac:dyDescent="0.45">
      <c r="B319">
        <v>35</v>
      </c>
    </row>
    <row r="320" spans="2:2" x14ac:dyDescent="0.45">
      <c r="B320">
        <v>12</v>
      </c>
    </row>
    <row r="321" spans="2:2" x14ac:dyDescent="0.45">
      <c r="B321">
        <v>4</v>
      </c>
    </row>
    <row r="322" spans="2:2" x14ac:dyDescent="0.45">
      <c r="B322">
        <v>3</v>
      </c>
    </row>
    <row r="323" spans="2:2" x14ac:dyDescent="0.45">
      <c r="B323">
        <v>123</v>
      </c>
    </row>
    <row r="324" spans="2:2" x14ac:dyDescent="0.45">
      <c r="B324">
        <v>529</v>
      </c>
    </row>
    <row r="325" spans="2:2" x14ac:dyDescent="0.45">
      <c r="B325">
        <v>578</v>
      </c>
    </row>
    <row r="326" spans="2:2" x14ac:dyDescent="0.45">
      <c r="B326">
        <v>384</v>
      </c>
    </row>
    <row r="327" spans="2:2" x14ac:dyDescent="0.45">
      <c r="B327">
        <v>243</v>
      </c>
    </row>
    <row r="328" spans="2:2" x14ac:dyDescent="0.45">
      <c r="B328">
        <v>90</v>
      </c>
    </row>
    <row r="329" spans="2:2" x14ac:dyDescent="0.45">
      <c r="B329">
        <v>34</v>
      </c>
    </row>
    <row r="330" spans="2:2" x14ac:dyDescent="0.45">
      <c r="B330">
        <v>12</v>
      </c>
    </row>
    <row r="331" spans="2:2" x14ac:dyDescent="0.45">
      <c r="B331">
        <v>4</v>
      </c>
    </row>
    <row r="332" spans="2:2" x14ac:dyDescent="0.45">
      <c r="B332">
        <v>3</v>
      </c>
    </row>
    <row r="333" spans="2:2" x14ac:dyDescent="0.45">
      <c r="B333">
        <v>135</v>
      </c>
    </row>
    <row r="334" spans="2:2" x14ac:dyDescent="0.45">
      <c r="B334">
        <v>552</v>
      </c>
    </row>
    <row r="335" spans="2:2" x14ac:dyDescent="0.45">
      <c r="B335">
        <v>567</v>
      </c>
    </row>
    <row r="336" spans="2:2" x14ac:dyDescent="0.45">
      <c r="B336">
        <v>372</v>
      </c>
    </row>
    <row r="337" spans="2:2" x14ac:dyDescent="0.45">
      <c r="B337">
        <v>235</v>
      </c>
    </row>
    <row r="338" spans="2:2" x14ac:dyDescent="0.45">
      <c r="B338">
        <v>85</v>
      </c>
    </row>
    <row r="339" spans="2:2" x14ac:dyDescent="0.45">
      <c r="B339">
        <v>35</v>
      </c>
    </row>
    <row r="340" spans="2:2" x14ac:dyDescent="0.45">
      <c r="B340">
        <v>12</v>
      </c>
    </row>
    <row r="341" spans="2:2" x14ac:dyDescent="0.45">
      <c r="B341">
        <v>4</v>
      </c>
    </row>
    <row r="342" spans="2:2" x14ac:dyDescent="0.45">
      <c r="B342">
        <v>3</v>
      </c>
    </row>
    <row r="343" spans="2:2" x14ac:dyDescent="0.45">
      <c r="B343">
        <v>156</v>
      </c>
    </row>
    <row r="344" spans="2:2" x14ac:dyDescent="0.45">
      <c r="B344">
        <v>572</v>
      </c>
    </row>
    <row r="345" spans="2:2" x14ac:dyDescent="0.45">
      <c r="B345">
        <v>557</v>
      </c>
    </row>
    <row r="346" spans="2:2" x14ac:dyDescent="0.45">
      <c r="B346">
        <v>355</v>
      </c>
    </row>
    <row r="347" spans="2:2" x14ac:dyDescent="0.45">
      <c r="B347">
        <v>225</v>
      </c>
    </row>
    <row r="348" spans="2:2" x14ac:dyDescent="0.45">
      <c r="B348">
        <v>81</v>
      </c>
    </row>
    <row r="349" spans="2:2" x14ac:dyDescent="0.45">
      <c r="B349">
        <v>35</v>
      </c>
    </row>
    <row r="350" spans="2:2" x14ac:dyDescent="0.45">
      <c r="B350">
        <v>12</v>
      </c>
    </row>
    <row r="351" spans="2:2" x14ac:dyDescent="0.45">
      <c r="B351">
        <v>4</v>
      </c>
    </row>
    <row r="352" spans="2:2" x14ac:dyDescent="0.45">
      <c r="B352">
        <v>3</v>
      </c>
    </row>
    <row r="353" spans="2:2" x14ac:dyDescent="0.45">
      <c r="B353">
        <v>179</v>
      </c>
    </row>
    <row r="354" spans="2:2" x14ac:dyDescent="0.45">
      <c r="B354">
        <v>588</v>
      </c>
    </row>
    <row r="355" spans="2:2" x14ac:dyDescent="0.45">
      <c r="B355">
        <v>544</v>
      </c>
    </row>
    <row r="356" spans="2:2" x14ac:dyDescent="0.45">
      <c r="B356">
        <v>342</v>
      </c>
    </row>
    <row r="357" spans="2:2" x14ac:dyDescent="0.45">
      <c r="B357">
        <v>215</v>
      </c>
    </row>
    <row r="358" spans="2:2" x14ac:dyDescent="0.45">
      <c r="B358">
        <v>78</v>
      </c>
    </row>
    <row r="359" spans="2:2" x14ac:dyDescent="0.45">
      <c r="B359">
        <v>36</v>
      </c>
    </row>
    <row r="360" spans="2:2" x14ac:dyDescent="0.45">
      <c r="B360">
        <v>11</v>
      </c>
    </row>
    <row r="361" spans="2:2" x14ac:dyDescent="0.45">
      <c r="B361">
        <v>4</v>
      </c>
    </row>
    <row r="362" spans="2:2" x14ac:dyDescent="0.45">
      <c r="B362">
        <v>3</v>
      </c>
    </row>
    <row r="363" spans="2:2" x14ac:dyDescent="0.45">
      <c r="B363">
        <v>127</v>
      </c>
    </row>
    <row r="364" spans="2:2" x14ac:dyDescent="0.45">
      <c r="B364">
        <v>570</v>
      </c>
    </row>
    <row r="365" spans="2:2" x14ac:dyDescent="0.45">
      <c r="B365">
        <v>614</v>
      </c>
    </row>
    <row r="366" spans="2:2" x14ac:dyDescent="0.45">
      <c r="B366">
        <v>385</v>
      </c>
    </row>
    <row r="367" spans="2:2" x14ac:dyDescent="0.45">
      <c r="B367">
        <v>185</v>
      </c>
    </row>
    <row r="368" spans="2:2" x14ac:dyDescent="0.45">
      <c r="B368">
        <v>75</v>
      </c>
    </row>
    <row r="369" spans="2:2" x14ac:dyDescent="0.45">
      <c r="B369">
        <v>30</v>
      </c>
    </row>
    <row r="370" spans="2:2" x14ac:dyDescent="0.45">
      <c r="B370">
        <v>7</v>
      </c>
    </row>
    <row r="371" spans="2:2" x14ac:dyDescent="0.45">
      <c r="B371">
        <v>3</v>
      </c>
    </row>
    <row r="372" spans="2:2" x14ac:dyDescent="0.45">
      <c r="B372">
        <v>4</v>
      </c>
    </row>
    <row r="373" spans="2:2" x14ac:dyDescent="0.45">
      <c r="B373">
        <v>104</v>
      </c>
    </row>
    <row r="374" spans="2:2" x14ac:dyDescent="0.45">
      <c r="B374">
        <v>566</v>
      </c>
    </row>
    <row r="375" spans="2:2" x14ac:dyDescent="0.45">
      <c r="B375">
        <v>624</v>
      </c>
    </row>
    <row r="376" spans="2:2" x14ac:dyDescent="0.45">
      <c r="B376">
        <v>404</v>
      </c>
    </row>
    <row r="377" spans="2:2" x14ac:dyDescent="0.45">
      <c r="B377">
        <v>184</v>
      </c>
    </row>
    <row r="378" spans="2:2" x14ac:dyDescent="0.45">
      <c r="B378">
        <v>74</v>
      </c>
    </row>
    <row r="379" spans="2:2" x14ac:dyDescent="0.45">
      <c r="B379">
        <v>28</v>
      </c>
    </row>
    <row r="380" spans="2:2" x14ac:dyDescent="0.45">
      <c r="B380">
        <v>10</v>
      </c>
    </row>
    <row r="381" spans="2:2" x14ac:dyDescent="0.45">
      <c r="B381">
        <v>2</v>
      </c>
    </row>
    <row r="382" spans="2:2" x14ac:dyDescent="0.45">
      <c r="B382">
        <v>4</v>
      </c>
    </row>
    <row r="383" spans="2:2" x14ac:dyDescent="0.45">
      <c r="B383">
        <v>95</v>
      </c>
    </row>
    <row r="384" spans="2:2" x14ac:dyDescent="0.45">
      <c r="B384">
        <v>551</v>
      </c>
    </row>
    <row r="385" spans="2:2" x14ac:dyDescent="0.45">
      <c r="B385">
        <v>645</v>
      </c>
    </row>
    <row r="386" spans="2:2" x14ac:dyDescent="0.45">
      <c r="B386">
        <v>405</v>
      </c>
    </row>
    <row r="387" spans="2:2" x14ac:dyDescent="0.45">
      <c r="B387">
        <v>186</v>
      </c>
    </row>
    <row r="388" spans="2:2" x14ac:dyDescent="0.45">
      <c r="B388">
        <v>74</v>
      </c>
    </row>
    <row r="389" spans="2:2" x14ac:dyDescent="0.45">
      <c r="B389">
        <v>29</v>
      </c>
    </row>
    <row r="390" spans="2:2" x14ac:dyDescent="0.45">
      <c r="B390">
        <v>9</v>
      </c>
    </row>
    <row r="391" spans="2:2" x14ac:dyDescent="0.45">
      <c r="B391">
        <v>2</v>
      </c>
    </row>
    <row r="392" spans="2:2" x14ac:dyDescent="0.45">
      <c r="B392">
        <v>4</v>
      </c>
    </row>
    <row r="393" spans="2:2" x14ac:dyDescent="0.45">
      <c r="B393">
        <v>89</v>
      </c>
    </row>
    <row r="394" spans="2:2" x14ac:dyDescent="0.45">
      <c r="B394">
        <v>546</v>
      </c>
    </row>
    <row r="395" spans="2:2" x14ac:dyDescent="0.45">
      <c r="B395">
        <v>640</v>
      </c>
    </row>
    <row r="396" spans="2:2" x14ac:dyDescent="0.45">
      <c r="B396">
        <v>414</v>
      </c>
    </row>
    <row r="397" spans="2:2" x14ac:dyDescent="0.45">
      <c r="B397">
        <v>193</v>
      </c>
    </row>
    <row r="398" spans="2:2" x14ac:dyDescent="0.45">
      <c r="B398">
        <v>73</v>
      </c>
    </row>
    <row r="399" spans="2:2" x14ac:dyDescent="0.45">
      <c r="B399">
        <v>30</v>
      </c>
    </row>
    <row r="400" spans="2:2" x14ac:dyDescent="0.45">
      <c r="B400">
        <v>9</v>
      </c>
    </row>
    <row r="401" spans="2:2" x14ac:dyDescent="0.45">
      <c r="B401">
        <v>2</v>
      </c>
    </row>
    <row r="402" spans="2:2" x14ac:dyDescent="0.45">
      <c r="B402">
        <v>4</v>
      </c>
    </row>
    <row r="403" spans="2:2" x14ac:dyDescent="0.45">
      <c r="B403">
        <v>92</v>
      </c>
    </row>
    <row r="404" spans="2:2" x14ac:dyDescent="0.45">
      <c r="B404">
        <v>534</v>
      </c>
    </row>
    <row r="405" spans="2:2" x14ac:dyDescent="0.45">
      <c r="B405">
        <v>629</v>
      </c>
    </row>
    <row r="406" spans="2:2" x14ac:dyDescent="0.45">
      <c r="B406">
        <v>410</v>
      </c>
    </row>
    <row r="407" spans="2:2" x14ac:dyDescent="0.45">
      <c r="B407">
        <v>214</v>
      </c>
    </row>
    <row r="408" spans="2:2" x14ac:dyDescent="0.45">
      <c r="B408">
        <v>75</v>
      </c>
    </row>
    <row r="409" spans="2:2" x14ac:dyDescent="0.45">
      <c r="B409">
        <v>30</v>
      </c>
    </row>
    <row r="410" spans="2:2" x14ac:dyDescent="0.45">
      <c r="B410">
        <v>10</v>
      </c>
    </row>
    <row r="411" spans="2:2" x14ac:dyDescent="0.45">
      <c r="B411">
        <v>2</v>
      </c>
    </row>
    <row r="412" spans="2:2" x14ac:dyDescent="0.45">
      <c r="B412">
        <v>4</v>
      </c>
    </row>
    <row r="413" spans="2:2" x14ac:dyDescent="0.45">
      <c r="B413">
        <v>83</v>
      </c>
    </row>
    <row r="414" spans="2:2" x14ac:dyDescent="0.45">
      <c r="B414">
        <v>526</v>
      </c>
    </row>
    <row r="415" spans="2:2" x14ac:dyDescent="0.45">
      <c r="B415">
        <v>623</v>
      </c>
    </row>
    <row r="416" spans="2:2" x14ac:dyDescent="0.45">
      <c r="B416">
        <v>422</v>
      </c>
    </row>
    <row r="417" spans="2:2" x14ac:dyDescent="0.45">
      <c r="B417">
        <v>218</v>
      </c>
    </row>
    <row r="418" spans="2:2" x14ac:dyDescent="0.45">
      <c r="B418">
        <v>81</v>
      </c>
    </row>
    <row r="419" spans="2:2" x14ac:dyDescent="0.45">
      <c r="B419">
        <v>31</v>
      </c>
    </row>
    <row r="420" spans="2:2" x14ac:dyDescent="0.45">
      <c r="B420">
        <v>10</v>
      </c>
    </row>
    <row r="421" spans="2:2" x14ac:dyDescent="0.45">
      <c r="B421">
        <v>3</v>
      </c>
    </row>
    <row r="422" spans="2:2" x14ac:dyDescent="0.45">
      <c r="B422">
        <v>3</v>
      </c>
    </row>
    <row r="423" spans="2:2" x14ac:dyDescent="0.45">
      <c r="B423">
        <v>75</v>
      </c>
    </row>
    <row r="424" spans="2:2" x14ac:dyDescent="0.45">
      <c r="B424">
        <v>514</v>
      </c>
    </row>
    <row r="425" spans="2:2" x14ac:dyDescent="0.45">
      <c r="B425">
        <v>625</v>
      </c>
    </row>
    <row r="426" spans="2:2" x14ac:dyDescent="0.45">
      <c r="B426">
        <v>426</v>
      </c>
    </row>
    <row r="427" spans="2:2" x14ac:dyDescent="0.45">
      <c r="B427">
        <v>229</v>
      </c>
    </row>
    <row r="428" spans="2:2" x14ac:dyDescent="0.45">
      <c r="B428">
        <v>83</v>
      </c>
    </row>
    <row r="429" spans="2:2" x14ac:dyDescent="0.45">
      <c r="B429">
        <v>31</v>
      </c>
    </row>
    <row r="430" spans="2:2" x14ac:dyDescent="0.45">
      <c r="B430">
        <v>11</v>
      </c>
    </row>
    <row r="431" spans="2:2" x14ac:dyDescent="0.45">
      <c r="B431">
        <v>3</v>
      </c>
    </row>
    <row r="432" spans="2:2" x14ac:dyDescent="0.45">
      <c r="B432">
        <v>3</v>
      </c>
    </row>
    <row r="433" spans="2:2" x14ac:dyDescent="0.45">
      <c r="B433">
        <v>81</v>
      </c>
    </row>
    <row r="434" spans="2:2" x14ac:dyDescent="0.45">
      <c r="B434">
        <v>507</v>
      </c>
    </row>
    <row r="435" spans="2:2" x14ac:dyDescent="0.45">
      <c r="B435">
        <v>615</v>
      </c>
    </row>
    <row r="436" spans="2:2" x14ac:dyDescent="0.45">
      <c r="B436">
        <v>429</v>
      </c>
    </row>
    <row r="437" spans="2:2" x14ac:dyDescent="0.45">
      <c r="B437">
        <v>234</v>
      </c>
    </row>
    <row r="438" spans="2:2" x14ac:dyDescent="0.45">
      <c r="B438">
        <v>84</v>
      </c>
    </row>
    <row r="439" spans="2:2" x14ac:dyDescent="0.45">
      <c r="B439">
        <v>33</v>
      </c>
    </row>
    <row r="440" spans="2:2" x14ac:dyDescent="0.45">
      <c r="B440">
        <v>11</v>
      </c>
    </row>
    <row r="441" spans="2:2" x14ac:dyDescent="0.45">
      <c r="B441">
        <v>3</v>
      </c>
    </row>
    <row r="442" spans="2:2" x14ac:dyDescent="0.45">
      <c r="B442">
        <v>3</v>
      </c>
    </row>
    <row r="443" spans="2:2" x14ac:dyDescent="0.45">
      <c r="B443">
        <v>87</v>
      </c>
    </row>
    <row r="444" spans="2:2" x14ac:dyDescent="0.45">
      <c r="B444">
        <v>513</v>
      </c>
    </row>
    <row r="445" spans="2:2" x14ac:dyDescent="0.45">
      <c r="B445">
        <v>611</v>
      </c>
    </row>
    <row r="446" spans="2:2" x14ac:dyDescent="0.45">
      <c r="B446">
        <v>412</v>
      </c>
    </row>
    <row r="447" spans="2:2" x14ac:dyDescent="0.45">
      <c r="B447">
        <v>242</v>
      </c>
    </row>
    <row r="448" spans="2:2" x14ac:dyDescent="0.45">
      <c r="B448">
        <v>84</v>
      </c>
    </row>
    <row r="449" spans="2:2" x14ac:dyDescent="0.45">
      <c r="B449">
        <v>34</v>
      </c>
    </row>
    <row r="450" spans="2:2" x14ac:dyDescent="0.45">
      <c r="B450">
        <v>10</v>
      </c>
    </row>
    <row r="451" spans="2:2" x14ac:dyDescent="0.45">
      <c r="B451">
        <v>4</v>
      </c>
    </row>
    <row r="452" spans="2:2" x14ac:dyDescent="0.45">
      <c r="B452">
        <v>3</v>
      </c>
    </row>
    <row r="453" spans="2:2" x14ac:dyDescent="0.45">
      <c r="B453">
        <v>96</v>
      </c>
    </row>
    <row r="454" spans="2:2" x14ac:dyDescent="0.45">
      <c r="B454">
        <v>521</v>
      </c>
    </row>
    <row r="455" spans="2:2" x14ac:dyDescent="0.45">
      <c r="B455">
        <v>600</v>
      </c>
    </row>
    <row r="456" spans="2:2" x14ac:dyDescent="0.45">
      <c r="B456">
        <v>408</v>
      </c>
    </row>
    <row r="457" spans="2:2" x14ac:dyDescent="0.45">
      <c r="B457">
        <v>241</v>
      </c>
    </row>
    <row r="458" spans="2:2" x14ac:dyDescent="0.45">
      <c r="B458">
        <v>84</v>
      </c>
    </row>
    <row r="459" spans="2:2" x14ac:dyDescent="0.45">
      <c r="B459">
        <v>33</v>
      </c>
    </row>
    <row r="460" spans="2:2" x14ac:dyDescent="0.45">
      <c r="B460">
        <v>10</v>
      </c>
    </row>
    <row r="461" spans="2:2" x14ac:dyDescent="0.45">
      <c r="B461">
        <v>4</v>
      </c>
    </row>
    <row r="462" spans="2:2" x14ac:dyDescent="0.45">
      <c r="B462">
        <v>3</v>
      </c>
    </row>
    <row r="463" spans="2:2" x14ac:dyDescent="0.45">
      <c r="B463">
        <v>106</v>
      </c>
    </row>
    <row r="464" spans="2:2" x14ac:dyDescent="0.45">
      <c r="B464">
        <v>533</v>
      </c>
    </row>
    <row r="465" spans="2:2" x14ac:dyDescent="0.45">
      <c r="B465">
        <v>590</v>
      </c>
    </row>
    <row r="466" spans="2:2" x14ac:dyDescent="0.45">
      <c r="B466">
        <v>398</v>
      </c>
    </row>
    <row r="467" spans="2:2" x14ac:dyDescent="0.45">
      <c r="B467">
        <v>238</v>
      </c>
    </row>
    <row r="468" spans="2:2" x14ac:dyDescent="0.45">
      <c r="B468">
        <v>86</v>
      </c>
    </row>
    <row r="469" spans="2:2" x14ac:dyDescent="0.45">
      <c r="B469">
        <v>32</v>
      </c>
    </row>
    <row r="470" spans="2:2" x14ac:dyDescent="0.45">
      <c r="B470">
        <v>10</v>
      </c>
    </row>
    <row r="471" spans="2:2" x14ac:dyDescent="0.45">
      <c r="B471">
        <v>4</v>
      </c>
    </row>
    <row r="472" spans="2:2" x14ac:dyDescent="0.45">
      <c r="B472">
        <v>3</v>
      </c>
    </row>
    <row r="473" spans="2:2" x14ac:dyDescent="0.45">
      <c r="B473">
        <v>113</v>
      </c>
    </row>
    <row r="474" spans="2:2" x14ac:dyDescent="0.45">
      <c r="B474">
        <v>547</v>
      </c>
    </row>
    <row r="475" spans="2:2" x14ac:dyDescent="0.45">
      <c r="B475">
        <v>590</v>
      </c>
    </row>
    <row r="476" spans="2:2" x14ac:dyDescent="0.45">
      <c r="B476">
        <v>383</v>
      </c>
    </row>
    <row r="477" spans="2:2" x14ac:dyDescent="0.45">
      <c r="B477">
        <v>232</v>
      </c>
    </row>
    <row r="478" spans="2:2" x14ac:dyDescent="0.45">
      <c r="B478">
        <v>85</v>
      </c>
    </row>
    <row r="479" spans="2:2" x14ac:dyDescent="0.45">
      <c r="B479">
        <v>33</v>
      </c>
    </row>
    <row r="480" spans="2:2" x14ac:dyDescent="0.45">
      <c r="B480">
        <v>10</v>
      </c>
    </row>
    <row r="481" spans="2:2" x14ac:dyDescent="0.45">
      <c r="B481">
        <v>3</v>
      </c>
    </row>
    <row r="482" spans="2:2" x14ac:dyDescent="0.45">
      <c r="B482">
        <v>4</v>
      </c>
    </row>
    <row r="483" spans="2:2" x14ac:dyDescent="0.45">
      <c r="B483">
        <v>130</v>
      </c>
    </row>
    <row r="484" spans="2:2" x14ac:dyDescent="0.45">
      <c r="B484">
        <v>559</v>
      </c>
    </row>
    <row r="485" spans="2:2" x14ac:dyDescent="0.45">
      <c r="B485">
        <v>580</v>
      </c>
    </row>
    <row r="486" spans="2:2" x14ac:dyDescent="0.45">
      <c r="B486">
        <v>372</v>
      </c>
    </row>
    <row r="487" spans="2:2" x14ac:dyDescent="0.45">
      <c r="B487">
        <v>226</v>
      </c>
    </row>
    <row r="488" spans="2:2" x14ac:dyDescent="0.45">
      <c r="B488">
        <v>82</v>
      </c>
    </row>
    <row r="489" spans="2:2" x14ac:dyDescent="0.45">
      <c r="B489">
        <v>33</v>
      </c>
    </row>
    <row r="490" spans="2:2" x14ac:dyDescent="0.45">
      <c r="B490">
        <v>11</v>
      </c>
    </row>
    <row r="491" spans="2:2" x14ac:dyDescent="0.45">
      <c r="B491">
        <v>4</v>
      </c>
    </row>
    <row r="492" spans="2:2" x14ac:dyDescent="0.45">
      <c r="B492">
        <v>3</v>
      </c>
    </row>
    <row r="493" spans="2:2" x14ac:dyDescent="0.45">
      <c r="B493">
        <v>148</v>
      </c>
    </row>
    <row r="494" spans="2:2" x14ac:dyDescent="0.45">
      <c r="B494">
        <v>579</v>
      </c>
    </row>
    <row r="495" spans="2:2" x14ac:dyDescent="0.45">
      <c r="B495">
        <v>566</v>
      </c>
    </row>
    <row r="496" spans="2:2" x14ac:dyDescent="0.45">
      <c r="B496">
        <v>363</v>
      </c>
    </row>
    <row r="497" spans="2:2" x14ac:dyDescent="0.45">
      <c r="B497">
        <v>214</v>
      </c>
    </row>
    <row r="498" spans="2:2" x14ac:dyDescent="0.45">
      <c r="B498">
        <v>77</v>
      </c>
    </row>
    <row r="499" spans="2:2" x14ac:dyDescent="0.45">
      <c r="B499">
        <v>35</v>
      </c>
    </row>
    <row r="500" spans="2:2" x14ac:dyDescent="0.45">
      <c r="B500">
        <v>11</v>
      </c>
    </row>
    <row r="501" spans="2:2" x14ac:dyDescent="0.45">
      <c r="B501">
        <v>4</v>
      </c>
    </row>
    <row r="502" spans="2:2" x14ac:dyDescent="0.45">
      <c r="B502">
        <v>3</v>
      </c>
    </row>
    <row r="503" spans="2:2" x14ac:dyDescent="0.45">
      <c r="B503">
        <v>165</v>
      </c>
    </row>
    <row r="504" spans="2:2" x14ac:dyDescent="0.45">
      <c r="B504">
        <v>605</v>
      </c>
    </row>
    <row r="505" spans="2:2" x14ac:dyDescent="0.45">
      <c r="B505">
        <v>548</v>
      </c>
    </row>
    <row r="506" spans="2:2" x14ac:dyDescent="0.45">
      <c r="B506">
        <v>349</v>
      </c>
    </row>
    <row r="507" spans="2:2" x14ac:dyDescent="0.45">
      <c r="B507">
        <v>205</v>
      </c>
    </row>
    <row r="508" spans="2:2" x14ac:dyDescent="0.45">
      <c r="B508">
        <v>76</v>
      </c>
    </row>
    <row r="509" spans="2:2" x14ac:dyDescent="0.45">
      <c r="B509">
        <v>36</v>
      </c>
    </row>
    <row r="510" spans="2:2" x14ac:dyDescent="0.45">
      <c r="B510">
        <v>9</v>
      </c>
    </row>
    <row r="511" spans="2:2" x14ac:dyDescent="0.45">
      <c r="B511">
        <v>4</v>
      </c>
    </row>
    <row r="512" spans="2:2" x14ac:dyDescent="0.45">
      <c r="B512">
        <v>3</v>
      </c>
    </row>
    <row r="513" spans="2:2" x14ac:dyDescent="0.45">
      <c r="B513">
        <v>190</v>
      </c>
    </row>
    <row r="514" spans="2:2" x14ac:dyDescent="0.45">
      <c r="B514">
        <v>603</v>
      </c>
    </row>
    <row r="515" spans="2:2" x14ac:dyDescent="0.45">
      <c r="B515">
        <v>550</v>
      </c>
    </row>
    <row r="516" spans="2:2" x14ac:dyDescent="0.45">
      <c r="B516">
        <v>338</v>
      </c>
    </row>
    <row r="517" spans="2:2" x14ac:dyDescent="0.45">
      <c r="B517">
        <v>194</v>
      </c>
    </row>
    <row r="518" spans="2:2" x14ac:dyDescent="0.45">
      <c r="B518">
        <v>75</v>
      </c>
    </row>
    <row r="519" spans="2:2" x14ac:dyDescent="0.45">
      <c r="B519">
        <v>35</v>
      </c>
    </row>
    <row r="520" spans="2:2" x14ac:dyDescent="0.45">
      <c r="B520">
        <v>8</v>
      </c>
    </row>
    <row r="521" spans="2:2" x14ac:dyDescent="0.45">
      <c r="B521">
        <v>4</v>
      </c>
    </row>
    <row r="522" spans="2:2" x14ac:dyDescent="0.45">
      <c r="B52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996FD8F3-B906-4D5E-8BBD-087F2B836924}">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103</vt:i4>
      </vt:variant>
    </vt:vector>
  </HeadingPairs>
  <TitlesOfParts>
    <vt:vector size="110" baseType="lpstr">
      <vt:lpstr>About</vt:lpstr>
      <vt:lpstr>Inputs</vt:lpstr>
      <vt:lpstr>Patient</vt:lpstr>
      <vt:lpstr>Results</vt:lpstr>
      <vt:lpstr>ModelRiskDSN</vt:lpstr>
      <vt:lpstr>ModelRiskSYS1</vt:lpstr>
      <vt:lpstr>ModelRiskCharts</vt:lpstr>
      <vt:lpstr>Bioav</vt:lpstr>
      <vt:lpstr>ChartReg</vt:lpstr>
      <vt:lpstr>Checks</vt:lpstr>
      <vt:lpstr>CL_T</vt:lpstr>
      <vt:lpstr>Cmax_1</vt:lpstr>
      <vt:lpstr>Cmax_2</vt:lpstr>
      <vt:lpstr>Cmax_3</vt:lpstr>
      <vt:lpstr>Cmax_4</vt:lpstr>
      <vt:lpstr>Cmax_raw_1</vt:lpstr>
      <vt:lpstr>Cmax_raw_2</vt:lpstr>
      <vt:lpstr>Cmax_raw_3</vt:lpstr>
      <vt:lpstr>Cmax_raw_4</vt:lpstr>
      <vt:lpstr>Dose_1</vt:lpstr>
      <vt:lpstr>Dose_2</vt:lpstr>
      <vt:lpstr>Dose_3</vt:lpstr>
      <vt:lpstr>Dose_4</vt:lpstr>
      <vt:lpstr>DoseUntil</vt:lpstr>
      <vt:lpstr>Eff_1</vt:lpstr>
      <vt:lpstr>Eff_2</vt:lpstr>
      <vt:lpstr>Eff_3</vt:lpstr>
      <vt:lpstr>Eff_4</vt:lpstr>
      <vt:lpstr>Eta_CL</vt:lpstr>
      <vt:lpstr>Eta_KA</vt:lpstr>
      <vt:lpstr>Eta_V</vt:lpstr>
      <vt:lpstr>IC_50</vt:lpstr>
      <vt:lpstr>Inh_raw_1</vt:lpstr>
      <vt:lpstr>Inh_raw_2</vt:lpstr>
      <vt:lpstr>Inh_raw_3</vt:lpstr>
      <vt:lpstr>Inh_raw_4</vt:lpstr>
      <vt:lpstr>InhibTarget</vt:lpstr>
      <vt:lpstr>KA_T</vt:lpstr>
      <vt:lpstr>KaTyp</vt:lpstr>
      <vt:lpstr>KeTyp</vt:lpstr>
      <vt:lpstr>MEC</vt:lpstr>
      <vt:lpstr>MTC</vt:lpstr>
      <vt:lpstr>P_CL</vt:lpstr>
      <vt:lpstr>P_KA</vt:lpstr>
      <vt:lpstr>P_V</vt:lpstr>
      <vt:lpstr>PK_Dose_1</vt:lpstr>
      <vt:lpstr>PK_Dose_2</vt:lpstr>
      <vt:lpstr>PK_Dose_3</vt:lpstr>
      <vt:lpstr>PK_Dose_4</vt:lpstr>
      <vt:lpstr>PK_Init</vt:lpstr>
      <vt:lpstr>PK_Lim</vt:lpstr>
      <vt:lpstr>PK_Name</vt:lpstr>
      <vt:lpstr>PK_ODE</vt:lpstr>
      <vt:lpstr>PK_Out</vt:lpstr>
      <vt:lpstr>PK_Par</vt:lpstr>
      <vt:lpstr>PK_Step</vt:lpstr>
      <vt:lpstr>PK_Times</vt:lpstr>
      <vt:lpstr>PK_Unit</vt:lpstr>
      <vt:lpstr>Results!Print_Area</vt:lpstr>
      <vt:lpstr>Inputs!Print_Titles</vt:lpstr>
      <vt:lpstr>Results!Print_Titles</vt:lpstr>
      <vt:lpstr>Profile_1</vt:lpstr>
      <vt:lpstr>Profile_2</vt:lpstr>
      <vt:lpstr>Profile_3</vt:lpstr>
      <vt:lpstr>Profile_4</vt:lpstr>
      <vt:lpstr>ProfileFrom</vt:lpstr>
      <vt:lpstr>SolverDiff</vt:lpstr>
      <vt:lpstr>SteadyAt</vt:lpstr>
      <vt:lpstr>T80_1</vt:lpstr>
      <vt:lpstr>T80_2</vt:lpstr>
      <vt:lpstr>T80_3</vt:lpstr>
      <vt:lpstr>T80_4</vt:lpstr>
      <vt:lpstr>Tau_1</vt:lpstr>
      <vt:lpstr>Tau_2</vt:lpstr>
      <vt:lpstr>Tau_3</vt:lpstr>
      <vt:lpstr>Tau_4</vt:lpstr>
      <vt:lpstr>TimeStep</vt:lpstr>
      <vt:lpstr>Tox_1</vt:lpstr>
      <vt:lpstr>Tox_2</vt:lpstr>
      <vt:lpstr>Tox_3</vt:lpstr>
      <vt:lpstr>Tox_4</vt:lpstr>
      <vt:lpstr>Trough_1</vt:lpstr>
      <vt:lpstr>Trough_2</vt:lpstr>
      <vt:lpstr>Trough_3</vt:lpstr>
      <vt:lpstr>Trough_4</vt:lpstr>
      <vt:lpstr>Trough_raw_1</vt:lpstr>
      <vt:lpstr>Trough_raw_2</vt:lpstr>
      <vt:lpstr>Trough_raw_3</vt:lpstr>
      <vt:lpstr>Trough_raw_4</vt:lpstr>
      <vt:lpstr>TypicalOnly</vt:lpstr>
      <vt:lpstr>TypPeak_1</vt:lpstr>
      <vt:lpstr>TypPeak_2</vt:lpstr>
      <vt:lpstr>TypPeak_3</vt:lpstr>
      <vt:lpstr>TypPeak_4</vt:lpstr>
      <vt:lpstr>TypTrough_1</vt:lpstr>
      <vt:lpstr>TypTrough_2</vt:lpstr>
      <vt:lpstr>TypTrough_3</vt:lpstr>
      <vt:lpstr>TypTrough_4</vt:lpstr>
      <vt:lpstr>TypWin_1</vt:lpstr>
      <vt:lpstr>TypWin_2</vt:lpstr>
      <vt:lpstr>TypWin_3</vt:lpstr>
      <vt:lpstr>TypWin_4</vt:lpstr>
      <vt:lpstr>V_T</vt:lpstr>
      <vt:lpstr>W_CL</vt:lpstr>
      <vt:lpstr>W_KA</vt:lpstr>
      <vt:lpstr>W_V</vt:lpstr>
      <vt:lpstr>Win_1</vt:lpstr>
      <vt:lpstr>Win_2</vt:lpstr>
      <vt:lpstr>Win_3</vt:lpstr>
      <vt:lpstr>Win_4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PH-07 Exposure Variability: Dose Selection with PK/PD</dc:title>
  <dc:subject>ModelRisk industry example library — Pharmaceuticals and biotech</dc:subject>
  <dc:creator>Vose Software</dc:creator>
  <cp:keywords>ModelRisk; Monte Carlo; Pharmaceuticals and biotech</cp:keywords>
  <dc:description>Population PK/PD with VosePKPDModel: four dosing regimens on the same simulated patients, and the chance each keeps a patient in the therapeutic window.</dc:description>
  <cp:lastModifiedBy>Timour Koupeev</cp:lastModifiedBy>
  <cp:lastPrinted>2026-10-05T09:37:37Z</cp:lastPrinted>
  <dcterms:created xsi:type="dcterms:W3CDTF">2026-10-05T09:32:55Z</dcterms:created>
  <dcterms:modified xsi:type="dcterms:W3CDTF">2026-10-05T09:37:39Z</dcterms:modified>
</cp:coreProperties>
</file>