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Pharmaceuticals and biotech\"/>
    </mc:Choice>
  </mc:AlternateContent>
  <xr:revisionPtr revIDLastSave="0" documentId="8_{52DE3F27-E5B7-466F-B139-A2FC9B9B8F0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Batches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tchesK">Batches!$D$52</definedName>
    <definedName name="BatchesU">Batches!$D$51</definedName>
    <definedName name="Checks">Batches!$D$65:$D$67</definedName>
    <definedName name="Confidence">Inputs!$D$11</definedName>
    <definedName name="CostCMO">Inputs!$D$30</definedName>
    <definedName name="CostIn">Inputs!$D$29</definedName>
    <definedName name="CumK">Batches!$J$15:$J$46</definedName>
    <definedName name="CumU">Batches!$I$15:$I$46</definedName>
    <definedName name="Demand">Inputs!$D$10</definedName>
    <definedName name="FailedBatches">Inputs!$D$24</definedName>
    <definedName name="FailPoint">Batches!$D$9</definedName>
    <definedName name="FailRate">Batches!$D$8</definedName>
    <definedName name="InHouse">Inputs!$D$28</definedName>
    <definedName name="InputMeans">Inputs!$I$17:$I$18</definedName>
    <definedName name="Kg_22">Batches!$D$53</definedName>
    <definedName name="Kg_23">Batches!$D$54</definedName>
    <definedName name="Kg_24">Batches!$D$55</definedName>
    <definedName name="Kg_25">Batches!$D$56</definedName>
    <definedName name="Kg_26">Batches!$D$57</definedName>
    <definedName name="Kg_27">Batches!$D$58</definedName>
    <definedName name="Kg_28">Batches!$D$59</definedName>
    <definedName name="Kg_29">Batches!$D$60</definedName>
    <definedName name="Kg_30">Batches!$D$61</definedName>
    <definedName name="_xlnm.Print_Area" localSheetId="3">Results!$A$1:$R$44</definedName>
    <definedName name="_xlnm.Print_Titles" localSheetId="1">Inputs!$1:$4</definedName>
    <definedName name="_xlnm.Print_Titles" localSheetId="3">Results!$1:$4</definedName>
    <definedName name="Rec_Hi">Inputs!$H$18</definedName>
    <definedName name="Rec_Lo">Inputs!$F$18</definedName>
    <definedName name="Rec_Mean">Inputs!$I$18</definedName>
    <definedName name="Rec_ML">Inputs!$G$18</definedName>
    <definedName name="RunBatches">Inputs!$D$23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iter_Hi">Inputs!$H$17</definedName>
    <definedName name="Titer_Lo">Inputs!$F$17</definedName>
    <definedName name="Titer_Mean">Inputs!$I$17</definedName>
    <definedName name="Titer_ML">Inputs!$G$17</definedName>
    <definedName name="Volume">Inputs!$D$16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4" l="1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B32" i="4"/>
  <c r="B31" i="4"/>
  <c r="B28" i="4"/>
  <c r="B23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B10" i="4"/>
  <c r="D67" i="3"/>
  <c r="D66" i="3"/>
  <c r="D65" i="3"/>
  <c r="B7" i="4"/>
  <c r="D9" i="3"/>
  <c r="D28" i="4"/>
  <c r="G37" i="3" a="1"/>
  <c r="C21" i="3" a="1"/>
  <c r="G36" i="3" a="1"/>
  <c r="C43" i="3" a="1"/>
  <c r="C44" i="3" a="1"/>
  <c r="C24" i="3" a="1"/>
  <c r="C42" i="3" a="1"/>
  <c r="F15" i="3" a="1"/>
  <c r="F42" i="3" a="1"/>
  <c r="C22" i="3" a="1"/>
  <c r="C39" i="3" a="1"/>
  <c r="C41" i="3" a="1"/>
  <c r="C36" i="3" a="1"/>
  <c r="F18" i="3" a="1"/>
  <c r="C35" i="3" a="1"/>
  <c r="F36" i="3" a="1"/>
  <c r="F37" i="3" a="1"/>
  <c r="F21" i="3" a="1"/>
  <c r="F34" i="3" a="1"/>
  <c r="F41" i="3" a="1"/>
  <c r="G22" i="3" a="1"/>
  <c r="C27" i="3" a="1"/>
  <c r="G29" i="3" a="1"/>
  <c r="C15" i="3" a="1"/>
  <c r="F29" i="3" a="1"/>
  <c r="G17" i="3" a="1"/>
  <c r="F28" i="3" a="1"/>
  <c r="G34" i="3" a="1"/>
  <c r="G35" i="3" a="1"/>
  <c r="G20" i="3" a="1"/>
  <c r="G32" i="3" a="1"/>
  <c r="C38" i="3" a="1"/>
  <c r="C18" i="3" a="1"/>
  <c r="F35" i="3" a="1"/>
  <c r="F43" i="3" a="1"/>
  <c r="G40" i="3" a="1"/>
  <c r="G27" i="3" a="1"/>
  <c r="F39" i="3" a="1"/>
  <c r="C32" i="3" a="1"/>
  <c r="G24" i="3" a="1"/>
  <c r="F20" i="3" a="1"/>
  <c r="C37" i="3" a="1"/>
  <c r="F33" i="3" a="1"/>
  <c r="F19" i="3" a="1"/>
  <c r="C40" i="3" a="1"/>
  <c r="C29" i="3" a="1"/>
  <c r="F45" i="3" a="1"/>
  <c r="F46" i="3" a="1"/>
  <c r="C33" i="3" a="1"/>
  <c r="F16" i="3" a="1"/>
  <c r="F24" i="3" a="1"/>
  <c r="F30" i="3" a="1"/>
  <c r="C26" i="3" a="1"/>
  <c r="F38" i="3" a="1"/>
  <c r="F25" i="3" a="1"/>
  <c r="C20" i="3" a="1"/>
  <c r="C19" i="3" a="1"/>
  <c r="G41" i="3" a="1"/>
  <c r="C30" i="3" a="1"/>
  <c r="D8" i="3" a="1"/>
  <c r="C25" i="3" a="1"/>
  <c r="G26" i="3" a="1"/>
  <c r="G46" i="3" a="1"/>
  <c r="F17" i="3" a="1"/>
  <c r="G15" i="3" a="1"/>
  <c r="F32" i="3" a="1"/>
  <c r="F31" i="3" a="1"/>
  <c r="G25" i="3" a="1"/>
  <c r="G45" i="3" a="1"/>
  <c r="C16" i="3" a="1"/>
  <c r="G28" i="3" a="1"/>
  <c r="F23" i="3" a="1"/>
  <c r="G21" i="3" a="1"/>
  <c r="G16" i="3" a="1"/>
  <c r="C34" i="3" a="1"/>
  <c r="C23" i="3" a="1"/>
  <c r="G30" i="3" a="1"/>
  <c r="G18" i="3" a="1"/>
  <c r="G43" i="3" a="1"/>
  <c r="G39" i="3" a="1"/>
  <c r="F22" i="3" a="1"/>
  <c r="C17" i="3" a="1"/>
  <c r="F40" i="3" a="1"/>
  <c r="C46" i="3" a="1"/>
  <c r="G44" i="3" a="1"/>
  <c r="C31" i="3" a="1"/>
  <c r="G42" i="3" a="1"/>
  <c r="G19" i="3" a="1"/>
  <c r="G33" i="3" a="1"/>
  <c r="F27" i="3" a="1"/>
  <c r="G23" i="3" a="1"/>
  <c r="G38" i="3" a="1"/>
  <c r="C28" i="3" a="1"/>
  <c r="C45" i="3" a="1"/>
  <c r="F26" i="3" a="1"/>
  <c r="G31" i="3" a="1"/>
  <c r="F44" i="3" a="1"/>
  <c r="I17" i="2" a="1"/>
  <c r="I18" i="2" a="1"/>
  <c r="F44" i="3" l="1"/>
  <c r="G31" i="3"/>
  <c r="F26" i="3"/>
  <c r="C45" i="3"/>
  <c r="C28" i="3"/>
  <c r="G38" i="3"/>
  <c r="G23" i="3"/>
  <c r="F27" i="3"/>
  <c r="G33" i="3"/>
  <c r="G19" i="3"/>
  <c r="G42" i="3"/>
  <c r="C31" i="3"/>
  <c r="G44" i="3"/>
  <c r="C46" i="3"/>
  <c r="F40" i="3"/>
  <c r="H40" i="3" s="1"/>
  <c r="C17" i="3"/>
  <c r="F22" i="3"/>
  <c r="G39" i="3"/>
  <c r="G43" i="3"/>
  <c r="G18" i="3"/>
  <c r="G30" i="3"/>
  <c r="C23" i="3"/>
  <c r="C34" i="3"/>
  <c r="G16" i="3"/>
  <c r="G21" i="3"/>
  <c r="F23" i="3"/>
  <c r="G28" i="3"/>
  <c r="C16" i="3"/>
  <c r="G45" i="3"/>
  <c r="G25" i="3"/>
  <c r="F31" i="3"/>
  <c r="H31" i="3" s="1"/>
  <c r="F32" i="3"/>
  <c r="G15" i="3"/>
  <c r="F17" i="3"/>
  <c r="G46" i="3"/>
  <c r="G26" i="3"/>
  <c r="C25" i="3"/>
  <c r="D8" i="3"/>
  <c r="C30" i="3"/>
  <c r="G41" i="3"/>
  <c r="C19" i="3"/>
  <c r="C20" i="3"/>
  <c r="F25" i="3"/>
  <c r="F38" i="3"/>
  <c r="C26" i="3"/>
  <c r="F30" i="3"/>
  <c r="F24" i="3"/>
  <c r="H24" i="3" s="1"/>
  <c r="F16" i="3"/>
  <c r="H16" i="3" s="1"/>
  <c r="C33" i="3"/>
  <c r="F46" i="3"/>
  <c r="F45" i="3"/>
  <c r="C29" i="3"/>
  <c r="C40" i="3"/>
  <c r="F19" i="3"/>
  <c r="H19" i="3" s="1"/>
  <c r="F33" i="3"/>
  <c r="H33" i="3" s="1"/>
  <c r="C37" i="3"/>
  <c r="F20" i="3"/>
  <c r="G24" i="3"/>
  <c r="C32" i="3"/>
  <c r="F39" i="3"/>
  <c r="H39" i="3" s="1"/>
  <c r="G27" i="3"/>
  <c r="G40" i="3"/>
  <c r="F43" i="3"/>
  <c r="H43" i="3" s="1"/>
  <c r="F35" i="3"/>
  <c r="C18" i="3"/>
  <c r="C38" i="3"/>
  <c r="G32" i="3"/>
  <c r="G20" i="3"/>
  <c r="G35" i="3"/>
  <c r="G34" i="3"/>
  <c r="F28" i="3"/>
  <c r="H28" i="3" s="1"/>
  <c r="G17" i="3"/>
  <c r="F29" i="3"/>
  <c r="C15" i="3"/>
  <c r="G29" i="3"/>
  <c r="C27" i="3"/>
  <c r="G22" i="3"/>
  <c r="F41" i="3"/>
  <c r="F34" i="3"/>
  <c r="H34" i="3" s="1"/>
  <c r="F21" i="3"/>
  <c r="H21" i="3" s="1"/>
  <c r="F37" i="3"/>
  <c r="F36" i="3"/>
  <c r="C35" i="3"/>
  <c r="F18" i="3"/>
  <c r="H18" i="3" s="1"/>
  <c r="C36" i="3"/>
  <c r="C41" i="3"/>
  <c r="C39" i="3"/>
  <c r="C22" i="3"/>
  <c r="F42" i="3"/>
  <c r="F15" i="3"/>
  <c r="C42" i="3"/>
  <c r="C24" i="3"/>
  <c r="C44" i="3"/>
  <c r="C43" i="3"/>
  <c r="G36" i="3"/>
  <c r="C21" i="3"/>
  <c r="G37" i="3"/>
  <c r="I18" i="2"/>
  <c r="I17" i="2"/>
  <c r="C190" i="4" a="1"/>
  <c r="D76" i="4" a="1"/>
  <c r="C156" i="4" a="1"/>
  <c r="C177" i="4" a="1"/>
  <c r="D72" i="4" a="1"/>
  <c r="C115" i="4" a="1"/>
  <c r="C171" i="4" a="1"/>
  <c r="C151" i="4" a="1"/>
  <c r="D67" i="4" a="1"/>
  <c r="C175" i="4" a="1"/>
  <c r="C209" i="4" a="1"/>
  <c r="C211" i="4" a="1"/>
  <c r="C185" i="4" a="1"/>
  <c r="C113" i="4" a="1"/>
  <c r="C182" i="4" a="1"/>
  <c r="C188" i="4" a="1"/>
  <c r="D53" i="4" a="1"/>
  <c r="D93" i="4" a="1"/>
  <c r="C176" i="4" a="1"/>
  <c r="D61" i="4" a="1"/>
  <c r="C153" i="4" a="1"/>
  <c r="D68" i="4" a="1"/>
  <c r="D97" i="4" a="1"/>
  <c r="C139" i="4" a="1"/>
  <c r="C146" i="4" a="1"/>
  <c r="D57" i="4" a="1"/>
  <c r="D55" i="4" a="1"/>
  <c r="C121" i="4" a="1"/>
  <c r="C199" i="4" a="1"/>
  <c r="C117" i="4" a="1"/>
  <c r="C194" i="4" a="1"/>
  <c r="C143" i="4" a="1"/>
  <c r="C147" i="4" a="1"/>
  <c r="C149" i="4" a="1"/>
  <c r="C200" i="4" a="1"/>
  <c r="D91" i="4" a="1"/>
  <c r="C134" i="4" a="1"/>
  <c r="C114" i="4" a="1"/>
  <c r="D29" i="4" a="1"/>
  <c r="C196" i="4" a="1"/>
  <c r="C213" i="4" a="1"/>
  <c r="D54" i="4" a="1"/>
  <c r="D90" i="4" a="1"/>
  <c r="C186" i="4" a="1"/>
  <c r="D50" i="4" a="1"/>
  <c r="C158" i="4" a="1"/>
  <c r="D58" i="4" a="1"/>
  <c r="C152" i="4" a="1"/>
  <c r="C181" i="4" a="1"/>
  <c r="D30" i="4" a="1"/>
  <c r="C210" i="4" a="1"/>
  <c r="C145" i="4" a="1"/>
  <c r="C195" i="4" a="1"/>
  <c r="D59" i="4" a="1"/>
  <c r="C128" i="4" a="1"/>
  <c r="D95" i="4" a="1"/>
  <c r="C132" i="4" a="1"/>
  <c r="D98" i="4" a="1"/>
  <c r="C205" i="4" a="1"/>
  <c r="D96" i="4" a="1"/>
  <c r="C142" i="4" a="1"/>
  <c r="C166" i="4" a="1"/>
  <c r="C183" i="4" a="1"/>
  <c r="C202" i="4" a="1"/>
  <c r="C170" i="4" a="1"/>
  <c r="C201" i="4" a="1"/>
  <c r="C169" i="4" a="1"/>
  <c r="C137" i="4" a="1"/>
  <c r="D92" i="4" a="1"/>
  <c r="D60" i="4" a="1"/>
  <c r="C179" i="4" a="1"/>
  <c r="C136" i="4" a="1"/>
  <c r="D81" i="4" a="1"/>
  <c r="C203" i="4" a="1"/>
  <c r="C160" i="4" a="1"/>
  <c r="C118" i="4" a="1"/>
  <c r="C178" i="4" a="1"/>
  <c r="C135" i="4" a="1"/>
  <c r="D79" i="4" a="1"/>
  <c r="C159" i="4" a="1"/>
  <c r="D73" i="4" a="1"/>
  <c r="C180" i="4" a="1"/>
  <c r="C127" i="4" a="1"/>
  <c r="D62" i="4" a="1"/>
  <c r="C173" i="4" a="1"/>
  <c r="D64" i="4" a="1"/>
  <c r="D86" i="4" a="1"/>
  <c r="C140" i="4" a="1"/>
  <c r="C212" i="4" a="1"/>
  <c r="C197" i="4" a="1"/>
  <c r="C165" i="4" a="1"/>
  <c r="C133" i="4" a="1"/>
  <c r="D88" i="4" a="1"/>
  <c r="D56" i="4" a="1"/>
  <c r="C174" i="4" a="1"/>
  <c r="C131" i="4" a="1"/>
  <c r="D75" i="4" a="1"/>
  <c r="C198" i="4" a="1"/>
  <c r="C155" i="4" a="1"/>
  <c r="D99" i="4" a="1"/>
  <c r="C172" i="4" a="1"/>
  <c r="C130" i="4" a="1"/>
  <c r="D74" i="4" a="1"/>
  <c r="C116" i="4" a="1"/>
  <c r="C122" i="4" a="1"/>
  <c r="D83" i="4" a="1"/>
  <c r="D87" i="4" a="1"/>
  <c r="C207" i="4" a="1"/>
  <c r="C141" i="4" a="1"/>
  <c r="C184" i="4" a="1"/>
  <c r="C208" i="4" a="1"/>
  <c r="C123" i="4" a="1"/>
  <c r="D85" i="4" a="1"/>
  <c r="C154" i="4" a="1"/>
  <c r="C138" i="4" a="1"/>
  <c r="C193" i="4" a="1"/>
  <c r="C161" i="4" a="1"/>
  <c r="C129" i="4" a="1"/>
  <c r="D84" i="4" a="1"/>
  <c r="D52" i="4" a="1"/>
  <c r="C168" i="4" a="1"/>
  <c r="C126" i="4" a="1"/>
  <c r="D70" i="4" a="1"/>
  <c r="C192" i="4" a="1"/>
  <c r="C150" i="4" a="1"/>
  <c r="D94" i="4" a="1"/>
  <c r="C167" i="4" a="1"/>
  <c r="C124" i="4" a="1"/>
  <c r="D69" i="4" a="1"/>
  <c r="D89" i="4" a="1"/>
  <c r="C148" i="4" a="1"/>
  <c r="D51" i="4" a="1"/>
  <c r="D77" i="4" a="1"/>
  <c r="C191" i="4" a="1"/>
  <c r="C189" i="4" a="1"/>
  <c r="C157" i="4" a="1"/>
  <c r="C125" i="4" a="1"/>
  <c r="D80" i="4" a="1"/>
  <c r="C206" i="4" a="1"/>
  <c r="C163" i="4" a="1"/>
  <c r="C120" i="4" a="1"/>
  <c r="D65" i="4" a="1"/>
  <c r="C187" i="4" a="1"/>
  <c r="C144" i="4" a="1"/>
  <c r="C204" i="4" a="1"/>
  <c r="C162" i="4" a="1"/>
  <c r="C119" i="4" a="1"/>
  <c r="D63" i="4" a="1"/>
  <c r="D78" i="4" a="1"/>
  <c r="D71" i="4" a="1"/>
  <c r="C164" i="4" a="1"/>
  <c r="D66" i="4" a="1"/>
  <c r="D82" i="4" a="1"/>
  <c r="E33" i="3" a="1"/>
  <c r="E24" i="3" a="1"/>
  <c r="E40" i="3" a="1"/>
  <c r="E37" i="3" a="1"/>
  <c r="E25" i="3" a="1"/>
  <c r="E31" i="3" a="1"/>
  <c r="E34" i="3" a="1"/>
  <c r="E20" i="3" a="1"/>
  <c r="E15" i="3" a="1"/>
  <c r="E39" i="3" a="1"/>
  <c r="E38" i="3" a="1"/>
  <c r="E35" i="3" a="1"/>
  <c r="E32" i="3" a="1"/>
  <c r="E26" i="3" a="1"/>
  <c r="E30" i="3" a="1"/>
  <c r="E16" i="3" a="1"/>
  <c r="E28" i="3" a="1"/>
  <c r="E19" i="3" a="1"/>
  <c r="E27" i="3" a="1"/>
  <c r="E23" i="3" a="1"/>
  <c r="E43" i="3" a="1"/>
  <c r="E18" i="3" a="1"/>
  <c r="E41" i="3" a="1"/>
  <c r="E29" i="3" a="1"/>
  <c r="E42" i="3" a="1"/>
  <c r="E17" i="3" a="1"/>
  <c r="E44" i="3" a="1"/>
  <c r="E36" i="3" a="1"/>
  <c r="E46" i="3" a="1"/>
  <c r="E45" i="3" a="1"/>
  <c r="E22" i="3" a="1"/>
  <c r="E21" i="3" a="1"/>
  <c r="H35" i="3" l="1"/>
  <c r="H32" i="3"/>
  <c r="H27" i="3"/>
  <c r="H30" i="3"/>
  <c r="H15" i="3"/>
  <c r="H46" i="3"/>
  <c r="H42" i="3"/>
  <c r="H29" i="3"/>
  <c r="D82" i="4"/>
  <c r="D66" i="4"/>
  <c r="C164" i="4"/>
  <c r="D71" i="4"/>
  <c r="D78" i="4"/>
  <c r="D63" i="4"/>
  <c r="C119" i="4"/>
  <c r="C162" i="4"/>
  <c r="C204" i="4"/>
  <c r="C144" i="4"/>
  <c r="C187" i="4"/>
  <c r="D65" i="4"/>
  <c r="C120" i="4"/>
  <c r="C163" i="4"/>
  <c r="C206" i="4"/>
  <c r="D80" i="4"/>
  <c r="C125" i="4"/>
  <c r="C157" i="4"/>
  <c r="C189" i="4"/>
  <c r="C191" i="4"/>
  <c r="D77" i="4"/>
  <c r="D51" i="4"/>
  <c r="C148" i="4"/>
  <c r="D89" i="4"/>
  <c r="D69" i="4"/>
  <c r="C124" i="4"/>
  <c r="C167" i="4"/>
  <c r="D94" i="4"/>
  <c r="C150" i="4"/>
  <c r="C192" i="4"/>
  <c r="D70" i="4"/>
  <c r="C126" i="4"/>
  <c r="C168" i="4"/>
  <c r="D52" i="4"/>
  <c r="D84" i="4"/>
  <c r="C129" i="4"/>
  <c r="C161" i="4"/>
  <c r="C193" i="4"/>
  <c r="C138" i="4"/>
  <c r="C154" i="4"/>
  <c r="D85" i="4"/>
  <c r="C123" i="4"/>
  <c r="C208" i="4"/>
  <c r="C184" i="4"/>
  <c r="C141" i="4"/>
  <c r="C207" i="4"/>
  <c r="D87" i="4"/>
  <c r="D83" i="4"/>
  <c r="C122" i="4"/>
  <c r="C116" i="4"/>
  <c r="D74" i="4"/>
  <c r="C130" i="4"/>
  <c r="C172" i="4"/>
  <c r="D99" i="4"/>
  <c r="C155" i="4"/>
  <c r="C198" i="4"/>
  <c r="D75" i="4"/>
  <c r="C131" i="4"/>
  <c r="C174" i="4"/>
  <c r="D56" i="4"/>
  <c r="D88" i="4"/>
  <c r="C133" i="4"/>
  <c r="C165" i="4"/>
  <c r="C197" i="4"/>
  <c r="C212" i="4"/>
  <c r="C140" i="4"/>
  <c r="D86" i="4"/>
  <c r="D64" i="4"/>
  <c r="C173" i="4"/>
  <c r="D62" i="4"/>
  <c r="C127" i="4"/>
  <c r="C180" i="4"/>
  <c r="D73" i="4"/>
  <c r="C159" i="4"/>
  <c r="D79" i="4"/>
  <c r="C135" i="4"/>
  <c r="C178" i="4"/>
  <c r="C118" i="4"/>
  <c r="C160" i="4"/>
  <c r="C203" i="4"/>
  <c r="D81" i="4"/>
  <c r="C136" i="4"/>
  <c r="C179" i="4"/>
  <c r="D60" i="4"/>
  <c r="D92" i="4"/>
  <c r="C137" i="4"/>
  <c r="C169" i="4"/>
  <c r="C201" i="4"/>
  <c r="C170" i="4"/>
  <c r="C202" i="4"/>
  <c r="C183" i="4"/>
  <c r="C166" i="4"/>
  <c r="C142" i="4"/>
  <c r="D96" i="4"/>
  <c r="C205" i="4"/>
  <c r="D98" i="4"/>
  <c r="C132" i="4"/>
  <c r="D95" i="4"/>
  <c r="C128" i="4"/>
  <c r="D59" i="4"/>
  <c r="C195" i="4"/>
  <c r="C145" i="4"/>
  <c r="C210" i="4"/>
  <c r="D30" i="4"/>
  <c r="C181" i="4"/>
  <c r="C152" i="4"/>
  <c r="D58" i="4"/>
  <c r="C158" i="4"/>
  <c r="D50" i="4"/>
  <c r="C186" i="4"/>
  <c r="D90" i="4"/>
  <c r="D54" i="4"/>
  <c r="C213" i="4"/>
  <c r="C196" i="4"/>
  <c r="D29" i="4"/>
  <c r="C114" i="4"/>
  <c r="C134" i="4"/>
  <c r="D91" i="4"/>
  <c r="C200" i="4"/>
  <c r="C149" i="4"/>
  <c r="C147" i="4"/>
  <c r="C143" i="4"/>
  <c r="C194" i="4"/>
  <c r="C117" i="4"/>
  <c r="C199" i="4"/>
  <c r="C121" i="4"/>
  <c r="D55" i="4"/>
  <c r="D57" i="4"/>
  <c r="C146" i="4"/>
  <c r="C139" i="4"/>
  <c r="D97" i="4"/>
  <c r="D68" i="4"/>
  <c r="C153" i="4"/>
  <c r="D61" i="4"/>
  <c r="C176" i="4"/>
  <c r="D93" i="4"/>
  <c r="D53" i="4"/>
  <c r="C188" i="4"/>
  <c r="C182" i="4"/>
  <c r="C113" i="4"/>
  <c r="C185" i="4"/>
  <c r="C211" i="4"/>
  <c r="C209" i="4"/>
  <c r="C175" i="4"/>
  <c r="D67" i="4"/>
  <c r="C151" i="4"/>
  <c r="C171" i="4"/>
  <c r="C115" i="4"/>
  <c r="D72" i="4"/>
  <c r="C177" i="4"/>
  <c r="C156" i="4"/>
  <c r="D76" i="4"/>
  <c r="C190" i="4"/>
  <c r="E21" i="3"/>
  <c r="E22" i="3"/>
  <c r="E45" i="3"/>
  <c r="E46" i="3"/>
  <c r="E36" i="3"/>
  <c r="E44" i="3"/>
  <c r="E17" i="3"/>
  <c r="E42" i="3"/>
  <c r="E29" i="3"/>
  <c r="E41" i="3"/>
  <c r="E18" i="3"/>
  <c r="E43" i="3"/>
  <c r="E23" i="3"/>
  <c r="E27" i="3"/>
  <c r="E19" i="3"/>
  <c r="E28" i="3"/>
  <c r="E16" i="3"/>
  <c r="E30" i="3"/>
  <c r="E26" i="3"/>
  <c r="E32" i="3"/>
  <c r="E35" i="3"/>
  <c r="E38" i="3"/>
  <c r="E39" i="3"/>
  <c r="E15" i="3"/>
  <c r="E20" i="3"/>
  <c r="E34" i="3"/>
  <c r="E31" i="3"/>
  <c r="E25" i="3"/>
  <c r="E37" i="3"/>
  <c r="E40" i="3"/>
  <c r="E24" i="3"/>
  <c r="E33" i="3"/>
  <c r="H38" i="3"/>
  <c r="H45" i="3"/>
  <c r="H25" i="3"/>
  <c r="H26" i="3"/>
  <c r="H41" i="3"/>
  <c r="H36" i="3"/>
  <c r="H17" i="3"/>
  <c r="H23" i="3"/>
  <c r="H37" i="3"/>
  <c r="H20" i="3"/>
  <c r="H22" i="3"/>
  <c r="H44" i="3"/>
  <c r="D30" i="3" a="1"/>
  <c r="D35" i="3" a="1"/>
  <c r="D25" i="3" a="1"/>
  <c r="D21" i="3" a="1"/>
  <c r="D23" i="3" a="1"/>
  <c r="D18" i="3" a="1"/>
  <c r="D26" i="3" a="1"/>
  <c r="D20" i="3" a="1"/>
  <c r="D17" i="3" a="1"/>
  <c r="D28" i="3" a="1"/>
  <c r="D38" i="3" a="1"/>
  <c r="D46" i="3" a="1"/>
  <c r="D39" i="3" a="1"/>
  <c r="D41" i="3" a="1"/>
  <c r="D36" i="3" a="1"/>
  <c r="D31" i="3" a="1"/>
  <c r="D16" i="3" a="1"/>
  <c r="D43" i="3" a="1"/>
  <c r="D27" i="3" a="1"/>
  <c r="D45" i="3" a="1"/>
  <c r="D44" i="3" a="1"/>
  <c r="D32" i="3" a="1"/>
  <c r="D40" i="3" a="1"/>
  <c r="D33" i="3" a="1"/>
  <c r="D22" i="3" a="1"/>
  <c r="D34" i="3" a="1"/>
  <c r="D24" i="3" a="1"/>
  <c r="D37" i="3" a="1"/>
  <c r="D42" i="3" a="1"/>
  <c r="D15" i="3" a="1"/>
  <c r="D29" i="3" a="1"/>
  <c r="D19" i="3" a="1"/>
  <c r="C219" i="4" l="1"/>
  <c r="C236" i="4"/>
  <c r="C217" i="4"/>
  <c r="C221" i="4"/>
  <c r="C240" i="4"/>
  <c r="D240" i="4" s="1"/>
  <c r="G240" i="4" s="1" a="1"/>
  <c r="G240" i="4" s="1"/>
  <c r="C228" i="4"/>
  <c r="C237" i="4"/>
  <c r="C231" i="4"/>
  <c r="C238" i="4"/>
  <c r="C232" i="4"/>
  <c r="C229" i="4"/>
  <c r="C234" i="4"/>
  <c r="C220" i="4"/>
  <c r="C230" i="4"/>
  <c r="C222" i="4"/>
  <c r="C239" i="4"/>
  <c r="C233" i="4"/>
  <c r="C223" i="4"/>
  <c r="C226" i="4"/>
  <c r="C224" i="4"/>
  <c r="C235" i="4"/>
  <c r="C225" i="4"/>
  <c r="C227" i="4"/>
  <c r="C218" i="4"/>
  <c r="C216" i="4"/>
  <c r="D19" i="3"/>
  <c r="D29" i="3"/>
  <c r="D15" i="3"/>
  <c r="D42" i="3"/>
  <c r="D37" i="3"/>
  <c r="D24" i="3"/>
  <c r="D34" i="3"/>
  <c r="D22" i="3"/>
  <c r="D33" i="3"/>
  <c r="D40" i="3"/>
  <c r="D32" i="3"/>
  <c r="D44" i="3"/>
  <c r="D45" i="3"/>
  <c r="D27" i="3"/>
  <c r="D43" i="3"/>
  <c r="D16" i="3"/>
  <c r="D31" i="3"/>
  <c r="D36" i="3"/>
  <c r="D41" i="3"/>
  <c r="D39" i="3"/>
  <c r="D46" i="3"/>
  <c r="D38" i="3"/>
  <c r="D28" i="3"/>
  <c r="D17" i="3"/>
  <c r="D20" i="3"/>
  <c r="D26" i="3"/>
  <c r="D18" i="3"/>
  <c r="D23" i="3"/>
  <c r="D21" i="3"/>
  <c r="D25" i="3"/>
  <c r="D35" i="3"/>
  <c r="D30" i="3"/>
  <c r="J17" i="3"/>
  <c r="J35" i="3"/>
  <c r="J27" i="3"/>
  <c r="J33" i="3"/>
  <c r="J19" i="3"/>
  <c r="J38" i="3"/>
  <c r="J34" i="3"/>
  <c r="J31" i="3"/>
  <c r="J25" i="3"/>
  <c r="J30" i="3"/>
  <c r="J29" i="3"/>
  <c r="J40" i="3"/>
  <c r="J45" i="3"/>
  <c r="J21" i="3"/>
  <c r="J24" i="3"/>
  <c r="J32" i="3"/>
  <c r="J43" i="3"/>
  <c r="J41" i="3"/>
  <c r="J28" i="3"/>
  <c r="J46" i="3"/>
  <c r="J20" i="3"/>
  <c r="J23" i="3"/>
  <c r="J36" i="3"/>
  <c r="J37" i="3"/>
  <c r="J39" i="3"/>
  <c r="J44" i="3"/>
  <c r="J18" i="3"/>
  <c r="J16" i="3"/>
  <c r="J26" i="3"/>
  <c r="J22" i="3"/>
  <c r="J15" i="3"/>
  <c r="J42" i="3"/>
  <c r="D52" i="3" l="1" a="1"/>
  <c r="D52" i="3" s="1"/>
  <c r="E218" i="4"/>
  <c r="D218" i="4"/>
  <c r="G218" i="4" s="1" a="1"/>
  <c r="G218" i="4" s="1"/>
  <c r="E224" i="4"/>
  <c r="D224" i="4"/>
  <c r="G224" i="4" s="1" a="1"/>
  <c r="G224" i="4" s="1"/>
  <c r="E221" i="4"/>
  <c r="D221" i="4"/>
  <c r="G221" i="4" s="1" a="1"/>
  <c r="G221" i="4" s="1"/>
  <c r="E226" i="4"/>
  <c r="D226" i="4"/>
  <c r="G226" i="4" s="1" a="1"/>
  <c r="G226" i="4" s="1"/>
  <c r="E229" i="4"/>
  <c r="D229" i="4"/>
  <c r="G229" i="4" s="1" a="1"/>
  <c r="G229" i="4" s="1"/>
  <c r="E217" i="4"/>
  <c r="D217" i="4"/>
  <c r="G217" i="4" s="1" a="1"/>
  <c r="G217" i="4" s="1"/>
  <c r="F216" i="4" s="1"/>
  <c r="D239" i="4"/>
  <c r="G239" i="4" s="1" a="1"/>
  <c r="G239" i="4" s="1"/>
  <c r="E239" i="4"/>
  <c r="E227" i="4"/>
  <c r="D227" i="4"/>
  <c r="G227" i="4" s="1" a="1"/>
  <c r="G227" i="4" s="1"/>
  <c r="F226" i="4" s="1"/>
  <c r="D237" i="4"/>
  <c r="G237" i="4" s="1" a="1"/>
  <c r="G237" i="4" s="1"/>
  <c r="E237" i="4"/>
  <c r="D225" i="4"/>
  <c r="G225" i="4" s="1" a="1"/>
  <c r="G225" i="4" s="1"/>
  <c r="E225" i="4"/>
  <c r="E230" i="4"/>
  <c r="D230" i="4"/>
  <c r="G230" i="4" s="1" a="1"/>
  <c r="G230" i="4" s="1"/>
  <c r="D235" i="4"/>
  <c r="G235" i="4" s="1" a="1"/>
  <c r="G235" i="4" s="1"/>
  <c r="E235" i="4"/>
  <c r="E220" i="4"/>
  <c r="D220" i="4"/>
  <c r="G220" i="4" s="1" a="1"/>
  <c r="G220" i="4" s="1"/>
  <c r="D234" i="4"/>
  <c r="G234" i="4" s="1" a="1"/>
  <c r="G234" i="4" s="1"/>
  <c r="E234" i="4"/>
  <c r="D223" i="4"/>
  <c r="G223" i="4" s="1" a="1"/>
  <c r="G223" i="4" s="1"/>
  <c r="E223" i="4"/>
  <c r="D232" i="4"/>
  <c r="G232" i="4" s="1" a="1"/>
  <c r="G232" i="4" s="1"/>
  <c r="E232" i="4"/>
  <c r="D236" i="4"/>
  <c r="G236" i="4" s="1" a="1"/>
  <c r="G236" i="4" s="1"/>
  <c r="E236" i="4"/>
  <c r="E231" i="4"/>
  <c r="D231" i="4"/>
  <c r="G231" i="4" s="1" a="1"/>
  <c r="G231" i="4" s="1"/>
  <c r="D222" i="4"/>
  <c r="G222" i="4" s="1" a="1"/>
  <c r="G222" i="4" s="1"/>
  <c r="E222" i="4"/>
  <c r="E228" i="4"/>
  <c r="D228" i="4"/>
  <c r="G228" i="4" s="1" a="1"/>
  <c r="G228" i="4" s="1"/>
  <c r="F227" i="4" s="1"/>
  <c r="D216" i="4"/>
  <c r="G216" i="4" s="1" a="1"/>
  <c r="G216" i="4" s="1"/>
  <c r="E216" i="4"/>
  <c r="E233" i="4"/>
  <c r="D233" i="4"/>
  <c r="G233" i="4" s="1" a="1"/>
  <c r="G233" i="4" s="1"/>
  <c r="E238" i="4"/>
  <c r="D238" i="4"/>
  <c r="G238" i="4" s="1" a="1"/>
  <c r="G238" i="4" s="1"/>
  <c r="E219" i="4"/>
  <c r="D219" i="4"/>
  <c r="G219" i="4" s="1" a="1"/>
  <c r="G219" i="4" s="1"/>
  <c r="I42" i="3"/>
  <c r="D59" i="3" s="1" a="1"/>
  <c r="D59" i="3" s="1"/>
  <c r="I36" i="3"/>
  <c r="D53" i="3" s="1" a="1"/>
  <c r="D53" i="3" s="1"/>
  <c r="I31" i="3"/>
  <c r="I41" i="3"/>
  <c r="D58" i="3" s="1" a="1"/>
  <c r="D58" i="3" s="1"/>
  <c r="I37" i="3"/>
  <c r="D54" i="3" s="1" a="1"/>
  <c r="D54" i="3" s="1"/>
  <c r="I46" i="3"/>
  <c r="I19" i="3"/>
  <c r="I21" i="3"/>
  <c r="I40" i="3"/>
  <c r="D57" i="3" s="1" a="1"/>
  <c r="D57" i="3" s="1"/>
  <c r="I39" i="3"/>
  <c r="D56" i="3" s="1" a="1"/>
  <c r="D56" i="3" s="1"/>
  <c r="I38" i="3"/>
  <c r="D55" i="3" s="1" a="1"/>
  <c r="D55" i="3" s="1"/>
  <c r="I24" i="3"/>
  <c r="I28" i="3"/>
  <c r="I18" i="3"/>
  <c r="I27" i="3"/>
  <c r="I33" i="3"/>
  <c r="I32" i="3"/>
  <c r="I30" i="3"/>
  <c r="I35" i="3"/>
  <c r="I45" i="3"/>
  <c r="I29" i="3"/>
  <c r="I34" i="3"/>
  <c r="I15" i="3"/>
  <c r="I20" i="3"/>
  <c r="I26" i="3"/>
  <c r="I23" i="3"/>
  <c r="I25" i="3"/>
  <c r="I44" i="3"/>
  <c r="D61" i="3" s="1" a="1"/>
  <c r="D61" i="3" s="1"/>
  <c r="I16" i="3"/>
  <c r="I17" i="3"/>
  <c r="I43" i="3"/>
  <c r="D60" i="3" s="1" a="1"/>
  <c r="D60" i="3" s="1"/>
  <c r="I22" i="3"/>
  <c r="G17" i="4" a="1"/>
  <c r="G18" i="4" a="1"/>
  <c r="G16" i="4" a="1"/>
  <c r="G13" i="4" a="1"/>
  <c r="G21" i="4" a="1"/>
  <c r="G15" i="4" a="1"/>
  <c r="D32" i="4" a="1"/>
  <c r="G19" i="4" a="1"/>
  <c r="G20" i="4" a="1"/>
  <c r="G14" i="4" a="1"/>
  <c r="D20" i="4" a="1"/>
  <c r="E20" i="4" a="1"/>
  <c r="E13" i="4" a="1"/>
  <c r="D13" i="4" a="1"/>
  <c r="B6" i="4" a="1"/>
  <c r="E15" i="4" a="1"/>
  <c r="D15" i="4" a="1"/>
  <c r="D17" i="4" a="1"/>
  <c r="E17" i="4" a="1"/>
  <c r="D18" i="4" a="1"/>
  <c r="E18" i="4" a="1"/>
  <c r="D19" i="4" a="1"/>
  <c r="E19" i="4" a="1"/>
  <c r="E16" i="4" a="1"/>
  <c r="D16" i="4" a="1"/>
  <c r="E21" i="4" a="1"/>
  <c r="D21" i="4" a="1"/>
  <c r="D14" i="4" a="1"/>
  <c r="E14" i="4" a="1"/>
  <c r="F232" i="4" l="1"/>
  <c r="F235" i="4"/>
  <c r="G14" i="4"/>
  <c r="D103" i="4" s="1"/>
  <c r="G20" i="4"/>
  <c r="D109" i="4" s="1"/>
  <c r="G19" i="4"/>
  <c r="D108" i="4" s="1"/>
  <c r="D32" i="4"/>
  <c r="G15" i="4"/>
  <c r="D104" i="4" s="1"/>
  <c r="G21" i="4"/>
  <c r="D110" i="4" s="1"/>
  <c r="G13" i="4"/>
  <c r="D102" i="4" s="1"/>
  <c r="G16" i="4"/>
  <c r="D105" i="4" s="1"/>
  <c r="G18" i="4"/>
  <c r="D107" i="4" s="1"/>
  <c r="G17" i="4"/>
  <c r="D106" i="4" s="1"/>
  <c r="F218" i="4"/>
  <c r="F219" i="4"/>
  <c r="F221" i="4"/>
  <c r="F228" i="4"/>
  <c r="F238" i="4"/>
  <c r="F230" i="4"/>
  <c r="E14" i="4"/>
  <c r="D14" i="4"/>
  <c r="D21" i="4"/>
  <c r="E21" i="4"/>
  <c r="D16" i="4"/>
  <c r="E16" i="4"/>
  <c r="E19" i="4"/>
  <c r="D19" i="4"/>
  <c r="E18" i="4"/>
  <c r="D18" i="4"/>
  <c r="E17" i="4"/>
  <c r="D17" i="4"/>
  <c r="D15" i="4"/>
  <c r="E15" i="4"/>
  <c r="B6" i="4"/>
  <c r="D13" i="4"/>
  <c r="E13" i="4"/>
  <c r="E20" i="4"/>
  <c r="D20" i="4"/>
  <c r="F236" i="4"/>
  <c r="F217" i="4"/>
  <c r="F223" i="4"/>
  <c r="F233" i="4"/>
  <c r="F225" i="4"/>
  <c r="F222" i="4"/>
  <c r="F239" i="4"/>
  <c r="F231" i="4"/>
  <c r="F234" i="4"/>
  <c r="F224" i="4"/>
  <c r="D51" i="3" a="1"/>
  <c r="D51" i="3" s="1"/>
  <c r="F237" i="4"/>
  <c r="F229" i="4"/>
  <c r="F220" i="4"/>
  <c r="F15" i="4" a="1"/>
  <c r="F17" i="4" a="1"/>
  <c r="F16" i="4" a="1"/>
  <c r="F18" i="4" a="1"/>
  <c r="F13" i="4" a="1"/>
  <c r="F19" i="4" a="1"/>
  <c r="D31" i="4" a="1"/>
  <c r="F21" i="4" a="1"/>
  <c r="F14" i="4" a="1"/>
  <c r="F20" i="4" a="1"/>
  <c r="F20" i="4" l="1"/>
  <c r="C109" i="4" s="1"/>
  <c r="F14" i="4"/>
  <c r="C103" i="4" s="1"/>
  <c r="F21" i="4"/>
  <c r="C110" i="4" s="1"/>
  <c r="D31" i="4"/>
  <c r="F19" i="4"/>
  <c r="C108" i="4" s="1"/>
  <c r="F13" i="4"/>
  <c r="C102" i="4" s="1"/>
  <c r="F18" i="4"/>
  <c r="C107" i="4" s="1"/>
  <c r="F16" i="4"/>
  <c r="C105" i="4" s="1"/>
  <c r="F17" i="4"/>
  <c r="C106" i="4" s="1"/>
  <c r="F15" i="4"/>
  <c r="C104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<sst xmlns="http://schemas.openxmlformats.org/spreadsheetml/2006/main" count="332" uniqueCount="262">
  <si>
    <t>Batch Yield and Manufacturing Capacity</t>
  </si>
  <si>
    <t>ModelRisk example  ·  Pharmaceuticals and biotech  ·  PH-06</t>
  </si>
  <si>
    <t>How many batches must we plan to make enough drug substance for the launch year?</t>
  </si>
  <si>
    <t>Next:  Inputs  ▸</t>
  </si>
  <si>
    <t>Model card</t>
  </si>
  <si>
    <t>Industry</t>
  </si>
  <si>
    <t>Pharmaceuticals and biotech</t>
  </si>
  <si>
    <t>Difficulty</t>
  </si>
  <si>
    <t>★★☆☆☆   Batch failures from a Beta fitted to the plant's record, a yield for every batch, and the cumulative output of up to 32 batches — read as the chance of meeting demand for each campaign size.</t>
  </si>
  <si>
    <t>Business question</t>
  </si>
  <si>
    <t>A biotech company needs 120 kg of a monoclonal antibody's drug substance for its launch year. Its plant runs 24 batches a year; extra batches can be booked at a contract manufacturer. Some batches fail — 3 of the last 40 — and the yield of the rest varies. How many batches should the company plan to be 95% sure of 120 kg, and how much does treating the failure rate as known understate that?</t>
  </si>
  <si>
    <t>Who it is for</t>
  </si>
  <si>
    <t>Manufacturing and supply planning, CMC and technical operations teams, launch planning.</t>
  </si>
  <si>
    <t>Main outputs</t>
  </si>
  <si>
    <t>For 22 to 30 batches: the cost of the campaign, the drug substance expected and the chance of meeting demand — with the failure rate uncertain and with it taken as known · the batches needed for the confidence you set (95% as shipped) · the failure rate's uncertainty.</t>
  </si>
  <si>
    <t>ModelRisk techniques</t>
  </si>
  <si>
    <t>The batch failure rate as a Beta distribution from the plant's record (VoseBeta) · success of each batch as a Bernoulli trial sharing one uniform draw with the 'rate known' version (VoseBernoulli with U) · a PERT titre and recovery for every batch · cumulative output, and the batches needed to meet demand as one output, so that every campaign size is read off the same simulated batches (VoseSimProbability, VoseSimPercentile) · a chart of the chance of meeting demand against the number of batches.</t>
  </si>
  <si>
    <t>File</t>
  </si>
  <si>
    <t>PH-06 Batch yield and manufacturing capacity  ·  Version 1.0  ·  October 2026  ·  built with ModelRisk 10</t>
  </si>
  <si>
    <t>The business question</t>
  </si>
  <si>
    <t>A biotech company is preparing to launch a monoclonal antibody and needs 120 kg of drug substance in the launch year. Each batch runs in a 2,000-litre bioreactor; the titre at harvest is between 3 and 5 grams a litre, and purification recovers 60–75% of it — about 5.5 kg a batch. But batches fail: contamination or a result out of specification costs the whole batch, and 3 of the plant's last 40 batches failed. The plant can run 24 batches in the year at about US$0.6 million each; more must be booked now at a contract manufacturer at US$1.4 million each. On the average figures 24 batches make 120 kg exactly. How many should the company plan?</t>
  </si>
  <si>
    <t>How the model works</t>
  </si>
  <si>
    <t>Three sheets after this one, read from left to right. Each one feeds the next.</t>
  </si>
  <si>
    <t>1  Inputs</t>
  </si>
  <si>
    <t>The drug substance needed; the bioreactor volume and the low, most likely and high titre and recovery; the number of batches run and failed in the plant's record; the plant's capacity and the cost of a batch in the plant and at the contract manufacturer.</t>
  </si>
  <si>
    <t>2  Batches</t>
  </si>
  <si>
    <t>The failure rate is drawn from a Beta distribution: 3 failures in 40 batches with a uniform prior. Each batch draws a uniform number that decides whether it succeeds — once with the uncertain rate and once with the rate taken as known, 3 in 40 — and a titre and recovery that give its yield. Cumulative output shows what a campaign of any size would make, and the batches needed are the batches until it reaches the demand.</t>
  </si>
  <si>
    <t>3  Results</t>
  </si>
  <si>
    <t>For each campaign size from 22 to 30 batches: cost, drug substance and the chance of meeting demand both ways — the chance that the batches needed are no more than the campaign; the batches needed for the confidence on the Inputs sheet; the uncertainty in the failure rate.</t>
  </si>
  <si>
    <t>How to use it</t>
  </si>
  <si>
    <t>Step 1</t>
  </si>
  <si>
    <t>Enter your demand, batch size, titre and recovery ranges on the Inputs sheet.</t>
  </si>
  <si>
    <t>Step 2</t>
  </si>
  <si>
    <t>Enter your plant's record — batches run and failed — and its capacity and costs.</t>
  </si>
  <si>
    <t>Step 3</t>
  </si>
  <si>
    <t>Run a simulation from the ModelRisk ribbon (10,000 samples with a fixed seed are set).</t>
  </si>
  <si>
    <t>Step 4</t>
  </si>
  <si>
    <t>Set the confidence you need on the Inputs sheet (95% as shipped): Results shows the campaign size that reaches it. Book the extra batches.</t>
  </si>
  <si>
    <t>Workbook map</t>
  </si>
  <si>
    <t>Inputs</t>
  </si>
  <si>
    <t>Demand, yield, failure record, capacity and costs.</t>
  </si>
  <si>
    <t>Batches</t>
  </si>
  <si>
    <t>Each batch, cumulative output, the campaign sizes; outputs and checks.</t>
  </si>
  <si>
    <t>Results</t>
  </si>
  <si>
    <t>Campaign sizes compared, the failure rate.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</si>
  <si>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</si>
  <si>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</si>
  <si>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</si>
  <si>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</si>
  <si>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</si>
  <si>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</si>
  <si>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</si>
  <si>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</si>
  <si>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</si>
  <si>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</si>
  <si>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</si>
  <si>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</si>
  <si>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Quantities</t>
  </si>
  <si>
    <t>Drug substance in kg; titre in grams per litre.</t>
  </si>
  <si>
    <t>Money</t>
  </si>
  <si>
    <t>US$ million (US$m).</t>
  </si>
  <si>
    <t>Campaign</t>
  </si>
  <si>
    <t>The batches planned for the year: the plant's first, then the contract manufacturer's.</t>
  </si>
  <si>
    <t>Rate known</t>
  </si>
  <si>
    <t>The failure rate taken as exactly 3 in 40, as a spreadsheet with a single number would.</t>
  </si>
  <si>
    <t>Key assumptions and limitations</t>
  </si>
  <si>
    <t>Independent given the failure rate; a failed batch yields nothing; titre and recovery vary from batch to batch.</t>
  </si>
  <si>
    <t>Failure rate</t>
  </si>
  <si>
    <t>The same in the plant and at the contract manufacturer; a uniform prior before the record.</t>
  </si>
  <si>
    <t>Timing</t>
  </si>
  <si>
    <t>All planned batches complete within the year; a failed batch is not replaced.</t>
  </si>
  <si>
    <t>Data</t>
  </si>
  <si>
    <t>The company, the product and all figures are invented for this example.</t>
  </si>
  <si>
    <t>ModelRisk functions used</t>
  </si>
  <si>
    <t>VoseBeta</t>
  </si>
  <si>
    <t>The batch failure rate from the plant's record, with its uncertainty.</t>
  </si>
  <si>
    <t>VoseBernoulli</t>
  </si>
  <si>
    <t>Whether each batch succeeds; its U argument shares one uniform draw between the two versions.</t>
  </si>
  <si>
    <t>VoseUniform</t>
  </si>
  <si>
    <t>The uniform draw of each batch.</t>
  </si>
  <si>
    <t>VoseOutput, VoseSimMean, VoseSimPercentile, VoseSimProbability</t>
  </si>
  <si>
    <t>Outputs and their statistics on the Results sheet: the chance that the batches needed are no more than a campaign is VoseSimProbability.</t>
  </si>
  <si>
    <t>VosePERT</t>
  </si>
  <si>
    <t>Titre and recovery of each batch, drawn on the Batches sheet.</t>
  </si>
  <si>
    <t>Further reading</t>
  </si>
  <si>
    <t>Bioprocessing</t>
  </si>
  <si>
    <t>Shukla, A. A. &amp; Thömmes, J. (2010). Recent advances in large-scale production of monoclonal antibodies. Trends in Biotechnology 28(5), 253–261.</t>
  </si>
  <si>
    <t>Beta–Binomial</t>
  </si>
  <si>
    <t>Vose, D. (2008). Risk Analysis: A Quantitative Guide, 3rd edition. Wiley — the Beta distribution for a probability estimated from data.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</si>
  <si>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</si>
  <si>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</si>
  <si>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</si>
  <si>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Batches  ▸</t>
  </si>
  <si>
    <t>How to read this sheet:  yellow cells are inputs.  Low / Most likely / High are the minimum, most likely and maximum for PERT.  Mean is the distribution's average (VoseMean); it shows ✗ if a range is out of order.</t>
  </si>
  <si>
    <t>1   Demand</t>
  </si>
  <si>
    <t>Assumption</t>
  </si>
  <si>
    <t>Unit</t>
  </si>
  <si>
    <t>Value in model</t>
  </si>
  <si>
    <t>Uncertainty</t>
  </si>
  <si>
    <t>Basis / source (illustrative)</t>
  </si>
  <si>
    <t>Drug substance needed in the launch year</t>
  </si>
  <si>
    <t>kg</t>
  </si>
  <si>
    <t>Fixed</t>
  </si>
  <si>
    <t>Launch stock and the first year's sales.</t>
  </si>
  <si>
    <t>Confidence wanted of meeting demand</t>
  </si>
  <si>
    <t>probability</t>
  </si>
  <si>
    <t>The campaign should meet demand with at least this chance.</t>
  </si>
  <si>
    <t>2   Batch yield</t>
  </si>
  <si>
    <t>Yield of a successful batch = volume × titre × recovery.</t>
  </si>
  <si>
    <t>Low</t>
  </si>
  <si>
    <t>Most likely</t>
  </si>
  <si>
    <t>High</t>
  </si>
  <si>
    <t>Mean</t>
  </si>
  <si>
    <t>Bioreactor working volume</t>
  </si>
  <si>
    <t>litres</t>
  </si>
  <si>
    <t>Titre at harvest</t>
  </si>
  <si>
    <t>g / litre</t>
  </si>
  <si>
    <t>–</t>
  </si>
  <si>
    <t>PERT  · drawn elsewhere</t>
  </si>
  <si>
    <t>Drawn for each batch on the Batches sheet.</t>
  </si>
  <si>
    <t>Purification recovery</t>
  </si>
  <si>
    <t>of harvest</t>
  </si>
  <si>
    <t>3   The plant's record</t>
  </si>
  <si>
    <t>Batch failures: contamination or a result out of specification.</t>
  </si>
  <si>
    <t>Batches run</t>
  </si>
  <si>
    <t>batches</t>
  </si>
  <si>
    <t>The last two years.</t>
  </si>
  <si>
    <t>Batches failed</t>
  </si>
  <si>
    <t>4   Capacity and costs</t>
  </si>
  <si>
    <t>Batches the plant can run in the year</t>
  </si>
  <si>
    <t>Cost of a batch in the plant</t>
  </si>
  <si>
    <t>US$m</t>
  </si>
  <si>
    <t>Media, resins, labour, testing.</t>
  </si>
  <si>
    <t>Cost of a batch at the contract manufacturer</t>
  </si>
  <si>
    <t>Booked now, paid whether needed or not.</t>
  </si>
  <si>
    <t>BATCHES   ·   Thirty-two batches, their success and yield, and what each campaign size makes.</t>
  </si>
  <si>
    <t>◂  Inputs</t>
  </si>
  <si>
    <t>Next:  Results  ▸</t>
  </si>
  <si>
    <t>1   This iteration's single values</t>
  </si>
  <si>
    <t>Quantity</t>
  </si>
  <si>
    <t>Value</t>
  </si>
  <si>
    <t>How it is calculated</t>
  </si>
  <si>
    <t>Batch failure rate</t>
  </si>
  <si>
    <t>share</t>
  </si>
  <si>
    <t>VoseBeta(failed + 1, succeeded + 1): the record with a uniform prior</t>
  </si>
  <si>
    <t>Failure rate taken as known</t>
  </si>
  <si>
    <t>Failed ÷ run: the single number</t>
  </si>
  <si>
    <t>2   The batches</t>
  </si>
  <si>
    <t>VoseUniform decides each batch's fate; VoseBernoulli with that uniform as its U gives success with the uncertain rate and with the rate taken as known. Titre and recovery: PERT.</t>
  </si>
  <si>
    <t>Batch</t>
  </si>
  <si>
    <t>Uniform</t>
  </si>
  <si>
    <t>Succeeds</t>
  </si>
  <si>
    <t>Titre</t>
  </si>
  <si>
    <t>Recovery</t>
  </si>
  <si>
    <t>Yield</t>
  </si>
  <si>
    <t>Cumulative</t>
  </si>
  <si>
    <t>0 – 1</t>
  </si>
  <si>
    <t>1 / 0</t>
  </si>
  <si>
    <t>kg if it succeeds</t>
  </si>
  <si>
    <t>Batch 1</t>
  </si>
  <si>
    <t>Batch 2</t>
  </si>
  <si>
    <t>Batch 3</t>
  </si>
  <si>
    <t>Batch 4</t>
  </si>
  <si>
    <t>Batch 5</t>
  </si>
  <si>
    <t>Batch 6</t>
  </si>
  <si>
    <t>Batch 7</t>
  </si>
  <si>
    <t>Batch 8</t>
  </si>
  <si>
    <t>Batch 9</t>
  </si>
  <si>
    <t>Batch 10</t>
  </si>
  <si>
    <t>Batch 11</t>
  </si>
  <si>
    <t>Batch 12</t>
  </si>
  <si>
    <t>Batch 13</t>
  </si>
  <si>
    <t>Batch 14</t>
  </si>
  <si>
    <t>Batch 15</t>
  </si>
  <si>
    <t>Batch 16</t>
  </si>
  <si>
    <t>Batch 17</t>
  </si>
  <si>
    <t>Batch 18</t>
  </si>
  <si>
    <t>Batch 19</t>
  </si>
  <si>
    <t>Batch 20</t>
  </si>
  <si>
    <t>Batch 21</t>
  </si>
  <si>
    <t>Batch 22</t>
  </si>
  <si>
    <t>Batch 23</t>
  </si>
  <si>
    <t>Batch 24</t>
  </si>
  <si>
    <t>Batch 25</t>
  </si>
  <si>
    <t>Batch 26</t>
  </si>
  <si>
    <t>Batch 27</t>
  </si>
  <si>
    <t>Batch 28</t>
  </si>
  <si>
    <t>Batch 29</t>
  </si>
  <si>
    <t>Batch 30</t>
  </si>
  <si>
    <t>Batch 31</t>
  </si>
  <si>
    <t>Batch 32</t>
  </si>
  <si>
    <t>3   Value in this iteration</t>
  </si>
  <si>
    <t>Key outputs, recorded by ModelRisk at every sample (VoseOutput). Their statistics appear on the Results sheet.</t>
  </si>
  <si>
    <t>Output</t>
  </si>
  <si>
    <t>Meaning</t>
  </si>
  <si>
    <t>Batches needed to meet demand</t>
  </si>
  <si>
    <t>Batches until the cumulative output reaches the demand; 33 = more than the 32 listed.</t>
  </si>
  <si>
    <t>Batches needed, rate known</t>
  </si>
  <si>
    <t>The same with the failure rate taken as known.</t>
  </si>
  <si>
    <t>22 batches: drug substance</t>
  </si>
  <si>
    <t>Cumulative output after n batches, uncertain rate.</t>
  </si>
  <si>
    <t>23 batches: drug substance</t>
  </si>
  <si>
    <t>24 batches: drug substance</t>
  </si>
  <si>
    <t>25 batches: drug substance</t>
  </si>
  <si>
    <t>26 batches: drug substance</t>
  </si>
  <si>
    <t>27 batches: drug substance</t>
  </si>
  <si>
    <t>28 batches: drug substance</t>
  </si>
  <si>
    <t>29 batches: drug substance</t>
  </si>
  <si>
    <t>30 batches: drug substance</t>
  </si>
  <si>
    <t>4   Model checks</t>
  </si>
  <si>
    <t>Should all read OK. A CHECK means an input has been set outside the range the model is built for.</t>
  </si>
  <si>
    <t>Failed batches are fewer than batches run</t>
  </si>
  <si>
    <t>Titre and recovery: low ≤ most likely ≤ high</t>
  </si>
  <si>
    <t>The plant's capacity is within the 32 batches listed</t>
  </si>
  <si>
    <t>RESULTS   ·   Filled in automatically from the last simulation. Run a simulation after changing any input.</t>
  </si>
  <si>
    <t>◂  Batches</t>
  </si>
  <si>
    <t>1   How many batches?</t>
  </si>
  <si>
    <t>Chance of meeting demand, by batches planned</t>
  </si>
  <si>
    <t>Cost</t>
  </si>
  <si>
    <t>Expected</t>
  </si>
  <si>
    <t>1 in 20</t>
  </si>
  <si>
    <t>Demand met</t>
  </si>
  <si>
    <t>kg (P5)</t>
  </si>
  <si>
    <t>rate uncertain</t>
  </si>
  <si>
    <t>rate known</t>
  </si>
  <si>
    <t>Demand met: the chance that the batches needed are no more than the campaign (VoseSimProbability).</t>
  </si>
  <si>
    <t>2   The failure rate</t>
  </si>
  <si>
    <t>Batch failure rate — what the record allows</t>
  </si>
  <si>
    <t>What the plant's record says — and does not say — about the next batches.</t>
  </si>
  <si>
    <t>Measure</t>
  </si>
  <si>
    <t>Failure rate: mean of the Beta</t>
  </si>
  <si>
    <t>…90th percentile</t>
  </si>
  <si>
    <t>The percentile of the batches needed: the smallest campaign that meets demand with that confidence.</t>
  </si>
  <si>
    <t>3   How to read these results</t>
  </si>
  <si>
    <t>•  A successful batch yields about 5.5 kg and about one batch in ten fails, so the plant's 24 batches make about 120 kg on average — exactly the demand. That gives only a 57% chance of meeting it.</t>
  </si>
  <si>
    <t>•  Every batch beyond the plant's 24 must be booked now at the contract manufacturer, at US$1.4 million. A 95% chance of 120 kg takes 29 batches — five at the contract manufacturer, US$21.4 million in all against US$14.4 million for the plant's 24.</t>
  </si>
  <si>
    <t>•  A spreadsheet that takes the failure rate as exactly 3 in 40 (7.5%) would plan 27 batches, and overstate its confidence: 27 batches meet demand about 90% of the time, not 98%. A record of 40 batches cannot pin the rate down — the Beta averages 9.5% and exceeds 15.6% one time in ten.</t>
  </si>
  <si>
    <t>•  Failures matter more than the batch-to-batch variation in titre and recovery, because each one costs a whole batch. Learning the failure rate better — every batch adds to the record — or cutting it, through a root-cause study of the three failures, reduces the batches needed most.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</si>
  <si>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</si>
  <si>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</si>
  <si>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</si>
  <si>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</si>
  <si>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FailRate</t>
  </si>
  <si>
    <t>Period</t>
  </si>
  <si>
    <t>Failure rate uncertain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</si>
  <si>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</si>
  <si>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</si>
  <si>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</si>
  <si>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</si>
  <si>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</si>
  <si>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</si>
  <si>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</si>
  <si>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</si>
  <si>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</si>
  <si>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Percentiles: FailRate</t>
  </si>
  <si>
    <t>Histogram: FailRate</t>
  </si>
  <si>
    <t>Edge</t>
  </si>
  <si>
    <t>Index</t>
  </si>
  <si>
    <t>Mid-point</t>
  </si>
  <si>
    <t>Probability</t>
  </si>
  <si>
    <t>Below edge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</si>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</sst>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&quot;–&quot;_)"/>
    <numFmt numFmtId="165" formatCode="#,##0.0_);\(#,##0.0\);&quot;–&quot;_)"/>
    <numFmt numFmtId="166" formatCode="#,##0.00_);\(#,##0.00\);&quot;–&quot;_)"/>
    <numFmt numFmtId="167" formatCode="0.0%"/>
    <numFmt numFmtId="168" formatCode="0.000"/>
    <numFmt numFmtId="169" formatCode="#,##0.0_);\(#,##0.0\);&quot;–&quot;_);&quot;–&quot;"/>
    <numFmt numFmtId="170" formatCode="0.0%;\-0.0%;0.0%;&quot;–&quot;"/>
    <numFmt numFmtId="171" formatCode="0;\-0;0;&quot;–&quot;"/>
    <numFmt numFmtId="172" formatCode="#,##0.0000"/>
  </numFmts>
  <fonts count="24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9"/>
      <color rgb="FF8AA0BA"/>
      <name val="Calibri"/>
    </font>
    <font>
      <sz val="8"/>
      <color rgb="FF3F5876"/>
      <name val="Calibri"/>
    </font>
    <font>
      <b/>
      <sz val="10"/>
      <color rgb="FF15803D"/>
      <name val="Calibri"/>
    </font>
    <font>
      <sz val="10"/>
      <color rgb="FF3F5876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1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6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9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7" fontId="2" fillId="3" borderId="7" xfId="2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20" fillId="7" borderId="4" xfId="0" applyFont="1" applyFill="1" applyBorder="1" applyAlignment="1">
      <alignment horizontal="right" vertical="center"/>
    </xf>
    <xf numFmtId="168" fontId="2" fillId="3" borderId="7" xfId="2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9" fontId="2" fillId="3" borderId="7" xfId="2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2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171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22" fillId="0" borderId="0" xfId="0" applyFont="1" applyAlignment="1">
      <alignment horizontal="left" vertical="center" indent="1"/>
    </xf>
    <xf numFmtId="172" fontId="3" fillId="0" borderId="2" xfId="3" applyNumberFormat="1">
      <alignment horizontal="right" vertical="center"/>
    </xf>
    <xf numFmtId="167" fontId="3" fillId="0" borderId="2" xfId="3" applyNumberFormat="1">
      <alignment horizontal="right" vertical="center"/>
    </xf>
    <xf numFmtId="0" fontId="19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8">
    <dxf>
      <font>
        <color rgb="FF15803D"/>
      </font>
      <fill>
        <patternFill patternType="solid">
          <fgColor rgb="FFDCFCE7"/>
          <bgColor rgb="FFDCFCE7"/>
        </patternFill>
      </fill>
    </dxf>
    <dxf>
      <font>
        <color rgb="FF8AA0BA"/>
      </font>
    </dxf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Failure rate uncertain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E4F92"/>
              </a:solidFill>
              <a:ln>
                <a:solidFill>
                  <a:srgbClr val="0E4F92"/>
                </a:solidFill>
                <a:prstDash val="solid"/>
              </a:ln>
            </c:spPr>
          </c:marker>
          <c:cat>
            <c:strRef>
              <c:f>Results!$B$102:$B$110</c:f>
              <c:strCach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strCache>
            </c:strRef>
          </c:cat>
          <c:val>
            <c:numRef>
              <c:f>Results!$C$102:$C$110</c:f>
              <c:numCache>
                <c:formatCode>#,##0.0000</c:formatCode>
                <c:ptCount val="9"/>
                <c:pt idx="0">
                  <c:v>0.1464853514648535</c:v>
                </c:pt>
                <c:pt idx="1">
                  <c:v>0.36066393360663934</c:v>
                </c:pt>
                <c:pt idx="2">
                  <c:v>0.56594340565943402</c:v>
                </c:pt>
                <c:pt idx="3">
                  <c:v>0.72352764723527652</c:v>
                </c:pt>
                <c:pt idx="4">
                  <c:v>0.83351664833516648</c:v>
                </c:pt>
                <c:pt idx="5">
                  <c:v>0.90480951904809515</c:v>
                </c:pt>
                <c:pt idx="6">
                  <c:v>0.94670532946705332</c:v>
                </c:pt>
                <c:pt idx="7">
                  <c:v>0.97030296970302965</c:v>
                </c:pt>
                <c:pt idx="8">
                  <c:v>0.98160183981601845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3-43FE-B5ED-38A546E6A0FC}"/>
            </c:ext>
          </c:extLst>
        </c:ser>
        <c:ser>
          <c:idx val="1"/>
          <c:order val="1"/>
          <c:tx>
            <c:v>Failure rate taken as known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cat>
            <c:strRef>
              <c:f>Results!$B$102:$B$110</c:f>
              <c:strCach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strCache>
            </c:strRef>
          </c:cat>
          <c:val>
            <c:numRef>
              <c:f>Results!$D$102:$D$110</c:f>
              <c:numCache>
                <c:formatCode>#,##0.0000</c:formatCode>
                <c:ptCount val="9"/>
                <c:pt idx="0">
                  <c:v>0.16188381161883811</c:v>
                </c:pt>
                <c:pt idx="1">
                  <c:v>0.41975802419758024</c:v>
                </c:pt>
                <c:pt idx="2">
                  <c:v>0.67633236676332364</c:v>
                </c:pt>
                <c:pt idx="3">
                  <c:v>0.84791520847915214</c:v>
                </c:pt>
                <c:pt idx="4">
                  <c:v>0.93890610938906105</c:v>
                </c:pt>
                <c:pt idx="5">
                  <c:v>0.97740225977402262</c:v>
                </c:pt>
                <c:pt idx="6">
                  <c:v>0.99110088991100886</c:v>
                </c:pt>
                <c:pt idx="7">
                  <c:v>0.9973002699730027</c:v>
                </c:pt>
                <c:pt idx="8">
                  <c:v>0.99920007999200078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3-43FE-B5ED-38A546E6A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Chance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Batch failure rate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Results!$E$216:$E$239</c:f>
              <c:numCache>
                <c:formatCode>#,##0.00</c:formatCode>
                <c:ptCount val="24"/>
                <c:pt idx="0">
                  <c:v>2.0406809016111416E-2</c:v>
                </c:pt>
                <c:pt idx="1">
                  <c:v>2.9886246465982067E-2</c:v>
                </c:pt>
                <c:pt idx="2">
                  <c:v>3.9365683915852726E-2</c:v>
                </c:pt>
                <c:pt idx="3">
                  <c:v>4.8845121365723373E-2</c:v>
                </c:pt>
                <c:pt idx="4">
                  <c:v>5.8324558815594028E-2</c:v>
                </c:pt>
                <c:pt idx="5">
                  <c:v>6.7803996265464683E-2</c:v>
                </c:pt>
                <c:pt idx="6">
                  <c:v>7.7283433715335331E-2</c:v>
                </c:pt>
                <c:pt idx="7">
                  <c:v>8.6762871165205979E-2</c:v>
                </c:pt>
                <c:pt idx="8">
                  <c:v>9.6242308615076641E-2</c:v>
                </c:pt>
                <c:pt idx="9">
                  <c:v>0.1057217460649473</c:v>
                </c:pt>
                <c:pt idx="10">
                  <c:v>0.11520118351481795</c:v>
                </c:pt>
                <c:pt idx="11">
                  <c:v>0.12468062096468858</c:v>
                </c:pt>
                <c:pt idx="12">
                  <c:v>0.13416005841455925</c:v>
                </c:pt>
                <c:pt idx="13">
                  <c:v>0.14363949586442989</c:v>
                </c:pt>
                <c:pt idx="14">
                  <c:v>0.15311893331430054</c:v>
                </c:pt>
                <c:pt idx="15">
                  <c:v>0.16259837076417119</c:v>
                </c:pt>
                <c:pt idx="16">
                  <c:v>0.17207780821404184</c:v>
                </c:pt>
                <c:pt idx="17">
                  <c:v>0.18155724566391251</c:v>
                </c:pt>
                <c:pt idx="18">
                  <c:v>0.19103668311378313</c:v>
                </c:pt>
                <c:pt idx="19">
                  <c:v>0.20051612056365381</c:v>
                </c:pt>
                <c:pt idx="20">
                  <c:v>0.20999555801352449</c:v>
                </c:pt>
                <c:pt idx="21">
                  <c:v>0.21947499546339511</c:v>
                </c:pt>
                <c:pt idx="22">
                  <c:v>0.22895443291326575</c:v>
                </c:pt>
                <c:pt idx="23">
                  <c:v>0.2384338703631364</c:v>
                </c:pt>
              </c:numCache>
            </c:numRef>
          </c:cat>
          <c:val>
            <c:numRef>
              <c:f>Results!$F$216:$F$239</c:f>
              <c:numCache>
                <c:formatCode>0.0%</c:formatCode>
                <c:ptCount val="24"/>
                <c:pt idx="0">
                  <c:v>1.5739337118593068E-2</c:v>
                </c:pt>
                <c:pt idx="1">
                  <c:v>3.3998487033564513E-2</c:v>
                </c:pt>
                <c:pt idx="2">
                  <c:v>5.1686226641783684E-2</c:v>
                </c:pt>
                <c:pt idx="3">
                  <c:v>6.7168491133350605E-2</c:v>
                </c:pt>
                <c:pt idx="4">
                  <c:v>8.2924122441080578E-2</c:v>
                </c:pt>
                <c:pt idx="5">
                  <c:v>8.9496858674710522E-2</c:v>
                </c:pt>
                <c:pt idx="6">
                  <c:v>8.8589368204742835E-2</c:v>
                </c:pt>
                <c:pt idx="7">
                  <c:v>8.7591927807459169E-2</c:v>
                </c:pt>
                <c:pt idx="8">
                  <c:v>8.5491416017084765E-2</c:v>
                </c:pt>
                <c:pt idx="9">
                  <c:v>6.9272125859597855E-2</c:v>
                </c:pt>
                <c:pt idx="10">
                  <c:v>6.3207907854020084E-2</c:v>
                </c:pt>
                <c:pt idx="11">
                  <c:v>5.2263175394624994E-2</c:v>
                </c:pt>
                <c:pt idx="12">
                  <c:v>4.3817576924726653E-2</c:v>
                </c:pt>
                <c:pt idx="13">
                  <c:v>3.7821956845935811E-2</c:v>
                </c:pt>
                <c:pt idx="14">
                  <c:v>3.1687820559002766E-2</c:v>
                </c:pt>
                <c:pt idx="15">
                  <c:v>2.3329199575688464E-2</c:v>
                </c:pt>
                <c:pt idx="16">
                  <c:v>1.9197257867812345E-2</c:v>
                </c:pt>
                <c:pt idx="17">
                  <c:v>1.3287569462022808E-2</c:v>
                </c:pt>
                <c:pt idx="18">
                  <c:v>1.0096284096840158E-2</c:v>
                </c:pt>
                <c:pt idx="19">
                  <c:v>8.4329960762762335E-3</c:v>
                </c:pt>
                <c:pt idx="20">
                  <c:v>5.33363941036058E-3</c:v>
                </c:pt>
                <c:pt idx="21">
                  <c:v>4.9018068198610765E-3</c:v>
                </c:pt>
                <c:pt idx="22">
                  <c:v>2.3322240904302127E-3</c:v>
                </c:pt>
                <c:pt idx="23">
                  <c:v>2.3322240904302127E-3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88F-4A49-B1AD-E7C8D022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Failure rate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52.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1" t="s">
        <v>20</v>
      </c>
      <c r="C16" s="72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41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ht="12" customHeight="1" x14ac:dyDescent="0.45"/>
    <row r="62" spans="2:3" ht="22.05" customHeight="1" x14ac:dyDescent="0.5">
      <c r="B62" s="7" t="s">
        <v>73</v>
      </c>
      <c r="C62" s="8"/>
    </row>
    <row r="63" spans="2:3" x14ac:dyDescent="0.45">
      <c r="B63" s="20" t="s">
        <v>74</v>
      </c>
      <c r="C63" s="10" t="s">
        <v>75</v>
      </c>
    </row>
    <row r="64" spans="2:3" x14ac:dyDescent="0.45">
      <c r="B64" s="20" t="s">
        <v>76</v>
      </c>
      <c r="C64" s="10" t="s">
        <v>77</v>
      </c>
    </row>
    <row r="65" spans="2:3" x14ac:dyDescent="0.45">
      <c r="B65" s="20" t="s">
        <v>78</v>
      </c>
      <c r="C65" s="10" t="s">
        <v>79</v>
      </c>
    </row>
    <row r="66" spans="2:3" ht="39.4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ht="12" customHeight="1" x14ac:dyDescent="0.45"/>
    <row r="69" spans="2:3" ht="22.05" customHeight="1" x14ac:dyDescent="0.5">
      <c r="B69" s="7" t="s">
        <v>84</v>
      </c>
      <c r="C69" s="8"/>
    </row>
    <row r="70" spans="2:3" x14ac:dyDescent="0.45">
      <c r="B70" s="9" t="s">
        <v>85</v>
      </c>
      <c r="C70" s="10" t="s">
        <v>86</v>
      </c>
    </row>
    <row r="71" spans="2:3" x14ac:dyDescent="0.45">
      <c r="B71" s="9" t="s">
        <v>87</v>
      </c>
      <c r="C71" s="10" t="s">
        <v>88</v>
      </c>
    </row>
    <row r="72" spans="2:3" ht="16.05" customHeight="1" x14ac:dyDescent="0.45"/>
    <row r="73" spans="2:3" x14ac:dyDescent="0.45">
      <c r="B73" s="73" t="s">
        <v>89</v>
      </c>
      <c r="C73" s="72"/>
    </row>
  </sheetData>
  <mergeCells count="2">
    <mergeCell ref="B16:C16"/>
    <mergeCell ref="B73:C73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Batches'!A1" display="Batches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90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91</v>
      </c>
      <c r="C4" s="5"/>
      <c r="D4" s="5"/>
      <c r="E4" s="5"/>
      <c r="F4" s="5"/>
      <c r="G4" s="5"/>
      <c r="H4" s="5"/>
      <c r="I4" s="5"/>
      <c r="J4" s="6" t="s">
        <v>92</v>
      </c>
    </row>
    <row r="5" spans="1:10" ht="8" customHeight="1" x14ac:dyDescent="0.45"/>
    <row r="6" spans="1:10" ht="20" customHeight="1" x14ac:dyDescent="0.45">
      <c r="B6" s="74" t="s">
        <v>93</v>
      </c>
      <c r="C6" s="72"/>
      <c r="D6" s="72"/>
      <c r="E6" s="72"/>
      <c r="F6" s="72"/>
      <c r="G6" s="72"/>
      <c r="H6" s="72"/>
      <c r="I6" s="72"/>
      <c r="J6" s="72"/>
    </row>
    <row r="7" spans="1:10" ht="6" customHeight="1" x14ac:dyDescent="0.45"/>
    <row r="8" spans="1:10" ht="22.05" customHeight="1" x14ac:dyDescent="0.5">
      <c r="B8" s="7" t="s">
        <v>94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95</v>
      </c>
      <c r="C9" s="23" t="s">
        <v>96</v>
      </c>
      <c r="D9" s="24" t="s">
        <v>97</v>
      </c>
      <c r="E9" s="23" t="s">
        <v>98</v>
      </c>
      <c r="F9" s="5"/>
      <c r="G9" s="5"/>
      <c r="H9" s="5"/>
      <c r="I9" s="5"/>
      <c r="J9" s="23" t="s">
        <v>99</v>
      </c>
    </row>
    <row r="10" spans="1:10" x14ac:dyDescent="0.45">
      <c r="B10" s="25" t="s">
        <v>100</v>
      </c>
      <c r="C10" s="26" t="s">
        <v>101</v>
      </c>
      <c r="D10" s="27">
        <v>120</v>
      </c>
      <c r="E10" s="26" t="s">
        <v>102</v>
      </c>
      <c r="F10" s="28"/>
      <c r="G10" s="28"/>
      <c r="H10" s="28"/>
      <c r="I10" s="28"/>
      <c r="J10" s="29" t="s">
        <v>103</v>
      </c>
    </row>
    <row r="11" spans="1:10" x14ac:dyDescent="0.45">
      <c r="B11" s="25" t="s">
        <v>104</v>
      </c>
      <c r="C11" s="26" t="s">
        <v>105</v>
      </c>
      <c r="D11" s="30">
        <v>0.95</v>
      </c>
      <c r="E11" s="26" t="s">
        <v>102</v>
      </c>
      <c r="F11" s="28"/>
      <c r="G11" s="28"/>
      <c r="H11" s="28"/>
      <c r="I11" s="28"/>
      <c r="J11" s="29" t="s">
        <v>106</v>
      </c>
    </row>
    <row r="12" spans="1:10" ht="8" customHeight="1" x14ac:dyDescent="0.45"/>
    <row r="13" spans="1:10" ht="22.05" customHeight="1" x14ac:dyDescent="0.5">
      <c r="B13" s="7" t="s">
        <v>107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108</v>
      </c>
    </row>
    <row r="15" spans="1:10" ht="18" customHeight="1" x14ac:dyDescent="0.45">
      <c r="B15" s="23" t="s">
        <v>95</v>
      </c>
      <c r="C15" s="23" t="s">
        <v>96</v>
      </c>
      <c r="D15" s="24" t="s">
        <v>97</v>
      </c>
      <c r="E15" s="23" t="s">
        <v>98</v>
      </c>
      <c r="F15" s="24" t="s">
        <v>109</v>
      </c>
      <c r="G15" s="24" t="s">
        <v>110</v>
      </c>
      <c r="H15" s="24" t="s">
        <v>111</v>
      </c>
      <c r="I15" s="24" t="s">
        <v>112</v>
      </c>
      <c r="J15" s="23" t="s">
        <v>99</v>
      </c>
    </row>
    <row r="16" spans="1:10" x14ac:dyDescent="0.45">
      <c r="B16" s="25" t="s">
        <v>113</v>
      </c>
      <c r="C16" s="26" t="s">
        <v>114</v>
      </c>
      <c r="D16" s="27">
        <v>2000</v>
      </c>
      <c r="E16" s="26" t="s">
        <v>102</v>
      </c>
      <c r="F16" s="28"/>
      <c r="G16" s="28"/>
      <c r="H16" s="28"/>
      <c r="I16" s="28"/>
      <c r="J16" s="29"/>
    </row>
    <row r="17" spans="2:10" x14ac:dyDescent="0.45">
      <c r="B17" s="25" t="s">
        <v>115</v>
      </c>
      <c r="C17" s="26" t="s">
        <v>116</v>
      </c>
      <c r="D17" s="31" t="s">
        <v>117</v>
      </c>
      <c r="E17" s="26" t="s">
        <v>118</v>
      </c>
      <c r="F17" s="32">
        <v>3</v>
      </c>
      <c r="G17" s="32">
        <v>4</v>
      </c>
      <c r="H17" s="32">
        <v>5</v>
      </c>
      <c r="I17" s="33" cm="1">
        <f t="array" ref="I17">IF(AND(F17&lt;=G17,G17&lt;=H17,F17&lt;H17),_xll.VoseMean(_xll.VosePERTObject(F17,G17,H17)),"✗ range")</f>
        <v>4</v>
      </c>
      <c r="J17" s="29" t="s">
        <v>119</v>
      </c>
    </row>
    <row r="18" spans="2:10" x14ac:dyDescent="0.45">
      <c r="B18" s="25" t="s">
        <v>120</v>
      </c>
      <c r="C18" s="26" t="s">
        <v>121</v>
      </c>
      <c r="D18" s="31" t="s">
        <v>117</v>
      </c>
      <c r="E18" s="26" t="s">
        <v>118</v>
      </c>
      <c r="F18" s="30">
        <v>0.6</v>
      </c>
      <c r="G18" s="30">
        <v>0.7</v>
      </c>
      <c r="H18" s="30">
        <v>0.75</v>
      </c>
      <c r="I18" s="34" cm="1">
        <f t="array" ref="I18">IF(AND(F18&lt;=G18,G18&lt;=H18,F18&lt;H18,F18&gt;=0,H18&lt;=1),_xll.VoseMean(_xll.VosePERTObject(F18,G18,H18)),"✗ range")</f>
        <v>0.69166666666666676</v>
      </c>
      <c r="J18" s="29" t="s">
        <v>119</v>
      </c>
    </row>
    <row r="19" spans="2:10" ht="8" customHeight="1" x14ac:dyDescent="0.45"/>
    <row r="20" spans="2:10" ht="22.05" customHeight="1" x14ac:dyDescent="0.5">
      <c r="B20" s="7" t="s">
        <v>122</v>
      </c>
      <c r="C20" s="8"/>
      <c r="D20" s="8"/>
      <c r="E20" s="8"/>
      <c r="F20" s="8"/>
      <c r="G20" s="8"/>
      <c r="H20" s="8"/>
      <c r="I20" s="8"/>
      <c r="J20" s="8"/>
    </row>
    <row r="21" spans="2:10" ht="18" customHeight="1" x14ac:dyDescent="0.45">
      <c r="B21" s="13" t="s">
        <v>123</v>
      </c>
    </row>
    <row r="22" spans="2:10" ht="18" customHeight="1" x14ac:dyDescent="0.45">
      <c r="B22" s="23" t="s">
        <v>95</v>
      </c>
      <c r="C22" s="23" t="s">
        <v>96</v>
      </c>
      <c r="D22" s="24" t="s">
        <v>97</v>
      </c>
      <c r="E22" s="23" t="s">
        <v>98</v>
      </c>
      <c r="F22" s="5"/>
      <c r="G22" s="5"/>
      <c r="H22" s="5"/>
      <c r="I22" s="5"/>
      <c r="J22" s="23" t="s">
        <v>99</v>
      </c>
    </row>
    <row r="23" spans="2:10" x14ac:dyDescent="0.45">
      <c r="B23" s="25" t="s">
        <v>124</v>
      </c>
      <c r="C23" s="26" t="s">
        <v>125</v>
      </c>
      <c r="D23" s="35">
        <v>40</v>
      </c>
      <c r="E23" s="26" t="s">
        <v>102</v>
      </c>
      <c r="F23" s="28"/>
      <c r="G23" s="28"/>
      <c r="H23" s="28"/>
      <c r="I23" s="28"/>
      <c r="J23" s="29" t="s">
        <v>126</v>
      </c>
    </row>
    <row r="24" spans="2:10" x14ac:dyDescent="0.45">
      <c r="B24" s="25" t="s">
        <v>127</v>
      </c>
      <c r="C24" s="26" t="s">
        <v>125</v>
      </c>
      <c r="D24" s="35">
        <v>3</v>
      </c>
      <c r="E24" s="26" t="s">
        <v>102</v>
      </c>
      <c r="F24" s="28"/>
      <c r="G24" s="28"/>
      <c r="H24" s="28"/>
      <c r="I24" s="28"/>
      <c r="J24" s="29"/>
    </row>
    <row r="25" spans="2:10" ht="8" customHeight="1" x14ac:dyDescent="0.45"/>
    <row r="26" spans="2:10" ht="22.05" customHeight="1" x14ac:dyDescent="0.5">
      <c r="B26" s="7" t="s">
        <v>128</v>
      </c>
      <c r="C26" s="8"/>
      <c r="D26" s="8"/>
      <c r="E26" s="8"/>
      <c r="F26" s="8"/>
      <c r="G26" s="8"/>
      <c r="H26" s="8"/>
      <c r="I26" s="8"/>
      <c r="J26" s="8"/>
    </row>
    <row r="27" spans="2:10" ht="18" customHeight="1" x14ac:dyDescent="0.45">
      <c r="B27" s="23" t="s">
        <v>95</v>
      </c>
      <c r="C27" s="23" t="s">
        <v>96</v>
      </c>
      <c r="D27" s="24" t="s">
        <v>97</v>
      </c>
      <c r="E27" s="23" t="s">
        <v>98</v>
      </c>
      <c r="F27" s="5"/>
      <c r="G27" s="5"/>
      <c r="H27" s="5"/>
      <c r="I27" s="5"/>
      <c r="J27" s="23" t="s">
        <v>99</v>
      </c>
    </row>
    <row r="28" spans="2:10" x14ac:dyDescent="0.45">
      <c r="B28" s="25" t="s">
        <v>129</v>
      </c>
      <c r="C28" s="26" t="s">
        <v>125</v>
      </c>
      <c r="D28" s="35">
        <v>24</v>
      </c>
      <c r="E28" s="26" t="s">
        <v>102</v>
      </c>
      <c r="F28" s="28"/>
      <c r="G28" s="28"/>
      <c r="H28" s="28"/>
      <c r="I28" s="28"/>
      <c r="J28" s="29"/>
    </row>
    <row r="29" spans="2:10" x14ac:dyDescent="0.45">
      <c r="B29" s="25" t="s">
        <v>130</v>
      </c>
      <c r="C29" s="26" t="s">
        <v>131</v>
      </c>
      <c r="D29" s="36">
        <v>0.6</v>
      </c>
      <c r="E29" s="26" t="s">
        <v>102</v>
      </c>
      <c r="F29" s="28"/>
      <c r="G29" s="28"/>
      <c r="H29" s="28"/>
      <c r="I29" s="28"/>
      <c r="J29" s="29" t="s">
        <v>132</v>
      </c>
    </row>
    <row r="30" spans="2:10" x14ac:dyDescent="0.45">
      <c r="B30" s="25" t="s">
        <v>133</v>
      </c>
      <c r="C30" s="26" t="s">
        <v>131</v>
      </c>
      <c r="D30" s="36">
        <v>1.4</v>
      </c>
      <c r="E30" s="26" t="s">
        <v>102</v>
      </c>
      <c r="F30" s="28"/>
      <c r="G30" s="28"/>
      <c r="H30" s="28"/>
      <c r="I30" s="28"/>
      <c r="J30" s="29" t="s">
        <v>134</v>
      </c>
    </row>
    <row r="31" spans="2:10" ht="8" customHeight="1" x14ac:dyDescent="0.45"/>
  </sheetData>
  <mergeCells count="1">
    <mergeCell ref="B6:J6"/>
  </mergeCells>
  <conditionalFormatting sqref="I17:I18">
    <cfRule type="expression" dxfId="7" priority="1">
      <formula>LEFT($I17,1)="✗"</formula>
    </cfRule>
  </conditionalFormatting>
  <dataValidations count="6">
    <dataValidation type="decimal" operator="greaterThan" showErrorMessage="1" errorTitle="Positive value" error="Enter a value greater than zero." sqref="D10 D16" xr:uid="{00000000-0002-0000-0100-000000000000}">
      <formula1>0</formula1>
    </dataValidation>
    <dataValidation type="decimal" showErrorMessage="1" errorTitle="Probability" error="Enter a value between 0% and 100%." sqref="D11" xr:uid="{00000000-0002-0000-0100-000001000000}">
      <formula1>0</formula1>
      <formula2>1</formula2>
    </dataValidation>
    <dataValidation type="custom" showErrorMessage="1" errorTitle="PERT range" error="Low must be below High, with Most likely between them." sqref="F17:H17" xr:uid="{00000000-0002-0000-0100-000003000000}">
      <formula1>AND($F17&lt;=$G17,$G17&lt;=$H17,$F17&lt;$H17)</formula1>
    </dataValidation>
    <dataValidation type="custom" showErrorMessage="1" errorTitle="PERT range" error="Low must be below High, with Most likely between them, all between 0% and 100%." sqref="F18:H18" xr:uid="{00000000-0002-0000-0100-000004000000}">
      <formula1>AND($F18&lt;=$G18,$G18&lt;=$H18,$F18&lt;$H18,$F18&gt;=0,$H18&lt;=1)</formula1>
    </dataValidation>
    <dataValidation type="whole" showErrorMessage="1" errorTitle="Whole number" error="Enter a whole number." sqref="D28 D23:D24" xr:uid="{00000000-0002-0000-0100-000005000000}">
      <formula1>0</formula1>
      <formula2>1000000</formula2>
    </dataValidation>
    <dataValidation type="decimal" showErrorMessage="1" errorTitle="Value" error="Enter a value of zero or more." sqref="D29:D30" xr:uid="{00000000-0002-0000-0100-000008000000}">
      <formula1>0</formula1>
      <formula2>1000000000000</formula2>
    </dataValidation>
  </dataValidations>
  <hyperlinks>
    <hyperlink ref="B4" location="'About'!A1" display="◂  About" xr:uid="{00000000-0004-0000-0100-000000000000}"/>
    <hyperlink ref="J4" location="'Batches'!A1" display="Next:  Batches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L68"/>
  <sheetViews>
    <sheetView showGridLines="0" workbookViewId="0"/>
  </sheetViews>
  <sheetFormatPr defaultRowHeight="14.25" x14ac:dyDescent="0.45"/>
  <cols>
    <col min="1" max="1" width="2" customWidth="1"/>
    <col min="2" max="2" width="34" customWidth="1"/>
    <col min="3" max="10" width="11" customWidth="1"/>
    <col min="11" max="11" width="3" customWidth="1"/>
    <col min="12" max="12" width="40" customWidth="1"/>
  </cols>
  <sheetData>
    <row r="1" spans="1:12" ht="6" customHeight="1" x14ac:dyDescent="0.45"/>
    <row r="2" spans="1:12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3" t="s">
        <v>1</v>
      </c>
    </row>
    <row r="3" spans="1:12" ht="20" customHeight="1" x14ac:dyDescent="0.45">
      <c r="A3" s="1"/>
      <c r="B3" s="4" t="s">
        <v>135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" customHeight="1" x14ac:dyDescent="0.45">
      <c r="A4" s="5"/>
      <c r="B4" s="22" t="s">
        <v>136</v>
      </c>
      <c r="C4" s="5"/>
      <c r="D4" s="5"/>
      <c r="E4" s="5"/>
      <c r="F4" s="5"/>
      <c r="G4" s="5"/>
      <c r="H4" s="5"/>
      <c r="I4" s="5"/>
      <c r="J4" s="5"/>
      <c r="K4" s="5"/>
      <c r="L4" s="6" t="s">
        <v>137</v>
      </c>
    </row>
    <row r="5" spans="1:12" ht="8" customHeight="1" x14ac:dyDescent="0.45"/>
    <row r="6" spans="1:12" ht="22.05" customHeight="1" x14ac:dyDescent="0.5">
      <c r="B6" s="7" t="s">
        <v>138</v>
      </c>
      <c r="C6" s="8"/>
      <c r="D6" s="8"/>
      <c r="E6" s="8"/>
      <c r="F6" s="8"/>
      <c r="G6" s="8"/>
      <c r="H6" s="8"/>
      <c r="I6" s="8"/>
      <c r="J6" s="8"/>
    </row>
    <row r="7" spans="1:12" ht="18" customHeight="1" x14ac:dyDescent="0.45">
      <c r="B7" s="37" t="s">
        <v>139</v>
      </c>
      <c r="C7" s="37" t="s">
        <v>96</v>
      </c>
      <c r="D7" s="38" t="s">
        <v>140</v>
      </c>
      <c r="E7" s="5"/>
      <c r="F7" s="37" t="s">
        <v>141</v>
      </c>
      <c r="G7" s="5"/>
      <c r="H7" s="5"/>
      <c r="I7" s="5"/>
      <c r="J7" s="5"/>
    </row>
    <row r="8" spans="1:12" x14ac:dyDescent="0.45">
      <c r="B8" s="25" t="s">
        <v>142</v>
      </c>
      <c r="C8" s="26" t="s">
        <v>143</v>
      </c>
      <c r="D8" s="39" cm="1">
        <f t="array" aca="1" ref="D8" ca="1">_xll.VoseInput("Batch failure rate","share")+_xll.VoseBeta(FailedBatches+1,RunBatches-FailedBatches+1)</f>
        <v>9.3327251733249628E-2</v>
      </c>
      <c r="E8" s="28"/>
      <c r="F8" s="26" t="s">
        <v>144</v>
      </c>
      <c r="G8" s="28"/>
      <c r="H8" s="28"/>
      <c r="I8" s="28"/>
      <c r="J8" s="28"/>
      <c r="K8" s="28"/>
      <c r="L8" s="28"/>
    </row>
    <row r="9" spans="1:12" x14ac:dyDescent="0.45">
      <c r="B9" s="25" t="s">
        <v>145</v>
      </c>
      <c r="C9" s="26" t="s">
        <v>143</v>
      </c>
      <c r="D9" s="40">
        <f>FailedBatches/RunBatches</f>
        <v>7.4999999999999997E-2</v>
      </c>
      <c r="E9" s="28"/>
      <c r="F9" s="26" t="s">
        <v>146</v>
      </c>
      <c r="G9" s="28"/>
      <c r="H9" s="28"/>
      <c r="I9" s="28"/>
      <c r="J9" s="28"/>
      <c r="K9" s="28"/>
      <c r="L9" s="28"/>
    </row>
    <row r="10" spans="1:12" ht="8" customHeight="1" x14ac:dyDescent="0.45"/>
    <row r="11" spans="1:12" ht="22.05" customHeight="1" x14ac:dyDescent="0.5">
      <c r="B11" s="7" t="s">
        <v>147</v>
      </c>
      <c r="C11" s="8"/>
      <c r="D11" s="8"/>
      <c r="E11" s="8"/>
      <c r="F11" s="8"/>
      <c r="G11" s="8"/>
      <c r="H11" s="8"/>
      <c r="I11" s="8"/>
      <c r="J11" s="8"/>
    </row>
    <row r="12" spans="1:12" ht="18" customHeight="1" x14ac:dyDescent="0.45">
      <c r="B12" s="13" t="s">
        <v>148</v>
      </c>
    </row>
    <row r="13" spans="1:12" ht="18" customHeight="1" x14ac:dyDescent="0.45">
      <c r="B13" s="41" t="s">
        <v>149</v>
      </c>
      <c r="C13" s="42" t="s">
        <v>150</v>
      </c>
      <c r="D13" s="42" t="s">
        <v>151</v>
      </c>
      <c r="E13" s="42" t="s">
        <v>63</v>
      </c>
      <c r="F13" s="42" t="s">
        <v>152</v>
      </c>
      <c r="G13" s="42" t="s">
        <v>153</v>
      </c>
      <c r="H13" s="42" t="s">
        <v>154</v>
      </c>
      <c r="I13" s="42" t="s">
        <v>155</v>
      </c>
      <c r="J13" s="42" t="s">
        <v>63</v>
      </c>
    </row>
    <row r="14" spans="1:12" x14ac:dyDescent="0.45">
      <c r="B14" s="43"/>
      <c r="C14" s="43" t="s">
        <v>156</v>
      </c>
      <c r="D14" s="43" t="s">
        <v>157</v>
      </c>
      <c r="E14" s="43" t="s">
        <v>157</v>
      </c>
      <c r="F14" s="43" t="s">
        <v>116</v>
      </c>
      <c r="G14" s="43" t="s">
        <v>121</v>
      </c>
      <c r="H14" s="43" t="s">
        <v>158</v>
      </c>
      <c r="I14" s="43" t="s">
        <v>101</v>
      </c>
      <c r="J14" s="43" t="s">
        <v>101</v>
      </c>
    </row>
    <row r="15" spans="1:12" x14ac:dyDescent="0.45">
      <c r="B15" s="25" t="s">
        <v>159</v>
      </c>
      <c r="C15" s="44" cm="1">
        <f t="array" aca="1" ref="C15" ca="1">_xll.VoseUniform(0,1)</f>
        <v>0.518272984190844</v>
      </c>
      <c r="D15" s="45" cm="1">
        <f t="array" aca="1" ref="D15" ca="1">_xll.VoseBernoulli(1-FailRate,C15)</f>
        <v>1</v>
      </c>
      <c r="E15" s="45" cm="1">
        <f t="array" aca="1" ref="E15" ca="1">_xll.VoseBernoulli(1-FailPoint,C15)</f>
        <v>1</v>
      </c>
      <c r="F15" s="46" cm="1">
        <f t="array" aca="1" ref="F15" ca="1">_xll.VosePERT(Titer_Lo,Titer_ML,Titer_Hi)</f>
        <v>4.7055816404228334</v>
      </c>
      <c r="G15" s="47" cm="1">
        <f t="array" aca="1" ref="G15" ca="1">_xll.VosePERT(Rec_Lo,Rec_ML,Rec_Hi)</f>
        <v>0.66826350122672684</v>
      </c>
      <c r="H15" s="48">
        <f t="shared" ref="H15:H46" ca="1" si="0">Volume*F15*G15/1000</f>
        <v>6.2891369246743354</v>
      </c>
      <c r="I15" s="33">
        <f ca="1">SUMPRODUCT(D$15:D15,H$15:H15)</f>
        <v>6.2891369246743354</v>
      </c>
      <c r="J15" s="33">
        <f ca="1">SUMPRODUCT(E$15:E15,H$15:H15)</f>
        <v>6.2891369246743354</v>
      </c>
    </row>
    <row r="16" spans="1:12" x14ac:dyDescent="0.45">
      <c r="B16" s="25" t="s">
        <v>160</v>
      </c>
      <c r="C16" s="44" cm="1">
        <f t="array" aca="1" ref="C16" ca="1">_xll.VoseUniform(0,1)</f>
        <v>0.20507240563165396</v>
      </c>
      <c r="D16" s="45" cm="1">
        <f t="array" aca="1" ref="D16" ca="1">_xll.VoseBernoulli(1-FailRate,C16)</f>
        <v>1</v>
      </c>
      <c r="E16" s="45" cm="1">
        <f t="array" aca="1" ref="E16" ca="1">_xll.VoseBernoulli(1-FailPoint,C16)</f>
        <v>1</v>
      </c>
      <c r="F16" s="46" cm="1">
        <f t="array" aca="1" ref="F16" ca="1">_xll.VosePERT(Titer_Lo,Titer_ML,Titer_Hi)</f>
        <v>4.3834953458118537</v>
      </c>
      <c r="G16" s="47" cm="1">
        <f t="array" aca="1" ref="G16" ca="1">_xll.VosePERT(Rec_Lo,Rec_ML,Rec_Hi)</f>
        <v>0.67007360657234771</v>
      </c>
      <c r="H16" s="48">
        <f t="shared" ca="1" si="0"/>
        <v>5.874529071522498</v>
      </c>
      <c r="I16" s="33">
        <f ca="1">SUMPRODUCT(D$15:D16,H$15:H16)</f>
        <v>12.163665996196833</v>
      </c>
      <c r="J16" s="33">
        <f ca="1">SUMPRODUCT(E$15:E16,H$15:H16)</f>
        <v>12.163665996196833</v>
      </c>
    </row>
    <row r="17" spans="2:10" x14ac:dyDescent="0.45">
      <c r="B17" s="25" t="s">
        <v>161</v>
      </c>
      <c r="C17" s="44" cm="1">
        <f t="array" aca="1" ref="C17" ca="1">_xll.VoseUniform(0,1)</f>
        <v>0.13855974667239934</v>
      </c>
      <c r="D17" s="45" cm="1">
        <f t="array" aca="1" ref="D17" ca="1">_xll.VoseBernoulli(1-FailRate,C17)</f>
        <v>1</v>
      </c>
      <c r="E17" s="45" cm="1">
        <f t="array" aca="1" ref="E17" ca="1">_xll.VoseBernoulli(1-FailPoint,C17)</f>
        <v>1</v>
      </c>
      <c r="F17" s="46" cm="1">
        <f t="array" aca="1" ref="F17" ca="1">_xll.VosePERT(Titer_Lo,Titer_ML,Titer_Hi)</f>
        <v>4.0574978188467776</v>
      </c>
      <c r="G17" s="47" cm="1">
        <f t="array" aca="1" ref="G17" ca="1">_xll.VosePERT(Rec_Lo,Rec_ML,Rec_Hi)</f>
        <v>0.66868158615124251</v>
      </c>
      <c r="H17" s="48">
        <f t="shared" ca="1" si="0"/>
        <v>5.4263481546233407</v>
      </c>
      <c r="I17" s="33">
        <f ca="1">SUMPRODUCT(D$15:D17,H$15:H17)</f>
        <v>17.590014150820174</v>
      </c>
      <c r="J17" s="33">
        <f ca="1">SUMPRODUCT(E$15:E17,H$15:H17)</f>
        <v>17.590014150820174</v>
      </c>
    </row>
    <row r="18" spans="2:10" x14ac:dyDescent="0.45">
      <c r="B18" s="25" t="s">
        <v>162</v>
      </c>
      <c r="C18" s="44" cm="1">
        <f t="array" aca="1" ref="C18" ca="1">_xll.VoseUniform(0,1)</f>
        <v>0.75129664817359298</v>
      </c>
      <c r="D18" s="45" cm="1">
        <f t="array" aca="1" ref="D18" ca="1">_xll.VoseBernoulli(1-FailRate,C18)</f>
        <v>1</v>
      </c>
      <c r="E18" s="45" cm="1">
        <f t="array" aca="1" ref="E18" ca="1">_xll.VoseBernoulli(1-FailPoint,C18)</f>
        <v>1</v>
      </c>
      <c r="F18" s="46" cm="1">
        <f t="array" aca="1" ref="F18" ca="1">_xll.VosePERT(Titer_Lo,Titer_ML,Titer_Hi)</f>
        <v>4.3189151084340498</v>
      </c>
      <c r="G18" s="47" cm="1">
        <f t="array" aca="1" ref="G18" ca="1">_xll.VosePERT(Rec_Lo,Rec_ML,Rec_Hi)</f>
        <v>0.69857863938235709</v>
      </c>
      <c r="H18" s="48">
        <f t="shared" ca="1" si="0"/>
        <v>6.0342036801155281</v>
      </c>
      <c r="I18" s="33">
        <f ca="1">SUMPRODUCT(D$15:D18,H$15:H18)</f>
        <v>23.624217830935702</v>
      </c>
      <c r="J18" s="33">
        <f ca="1">SUMPRODUCT(E$15:E18,H$15:H18)</f>
        <v>23.624217830935702</v>
      </c>
    </row>
    <row r="19" spans="2:10" x14ac:dyDescent="0.45">
      <c r="B19" s="25" t="s">
        <v>163</v>
      </c>
      <c r="C19" s="44" cm="1">
        <f t="array" aca="1" ref="C19" ca="1">_xll.VoseUniform(0,1)</f>
        <v>0.309872159617953</v>
      </c>
      <c r="D19" s="45" cm="1">
        <f t="array" aca="1" ref="D19" ca="1">_xll.VoseBernoulli(1-FailRate,C19)</f>
        <v>1</v>
      </c>
      <c r="E19" s="45" cm="1">
        <f t="array" aca="1" ref="E19" ca="1">_xll.VoseBernoulli(1-FailPoint,C19)</f>
        <v>1</v>
      </c>
      <c r="F19" s="46" cm="1">
        <f t="array" aca="1" ref="F19" ca="1">_xll.VosePERT(Titer_Lo,Titer_ML,Titer_Hi)</f>
        <v>3.6013822884206315</v>
      </c>
      <c r="G19" s="47" cm="1">
        <f t="array" aca="1" ref="G19" ca="1">_xll.VosePERT(Rec_Lo,Rec_ML,Rec_Hi)</f>
        <v>0.68690830630956046</v>
      </c>
      <c r="H19" s="48">
        <f t="shared" ca="1" si="0"/>
        <v>4.9476388162245302</v>
      </c>
      <c r="I19" s="33">
        <f ca="1">SUMPRODUCT(D$15:D19,H$15:H19)</f>
        <v>28.571856647160232</v>
      </c>
      <c r="J19" s="33">
        <f ca="1">SUMPRODUCT(E$15:E19,H$15:H19)</f>
        <v>28.571856647160232</v>
      </c>
    </row>
    <row r="20" spans="2:10" x14ac:dyDescent="0.45">
      <c r="B20" s="25" t="s">
        <v>164</v>
      </c>
      <c r="C20" s="44" cm="1">
        <f t="array" aca="1" ref="C20" ca="1">_xll.VoseUniform(0,1)</f>
        <v>0.86300063983071595</v>
      </c>
      <c r="D20" s="45" cm="1">
        <f t="array" aca="1" ref="D20" ca="1">_xll.VoseBernoulli(1-FailRate,C20)</f>
        <v>1</v>
      </c>
      <c r="E20" s="45" cm="1">
        <f t="array" aca="1" ref="E20" ca="1">_xll.VoseBernoulli(1-FailPoint,C20)</f>
        <v>1</v>
      </c>
      <c r="F20" s="46" cm="1">
        <f t="array" aca="1" ref="F20" ca="1">_xll.VosePERT(Titer_Lo,Titer_ML,Titer_Hi)</f>
        <v>3.7007632905419907</v>
      </c>
      <c r="G20" s="47" cm="1">
        <f t="array" aca="1" ref="G20" ca="1">_xll.VosePERT(Rec_Lo,Rec_ML,Rec_Hi)</f>
        <v>0.65688845753489533</v>
      </c>
      <c r="H20" s="48">
        <f t="shared" ca="1" si="0"/>
        <v>4.8619773792517833</v>
      </c>
      <c r="I20" s="33">
        <f ca="1">SUMPRODUCT(D$15:D20,H$15:H20)</f>
        <v>33.433834026412015</v>
      </c>
      <c r="J20" s="33">
        <f ca="1">SUMPRODUCT(E$15:E20,H$15:H20)</f>
        <v>33.433834026412015</v>
      </c>
    </row>
    <row r="21" spans="2:10" x14ac:dyDescent="0.45">
      <c r="B21" s="25" t="s">
        <v>165</v>
      </c>
      <c r="C21" s="44" cm="1">
        <f t="array" aca="1" ref="C21" ca="1">_xll.VoseUniform(0,1)</f>
        <v>0.73188921029213816</v>
      </c>
      <c r="D21" s="45" cm="1">
        <f t="array" aca="1" ref="D21" ca="1">_xll.VoseBernoulli(1-FailRate,C21)</f>
        <v>1</v>
      </c>
      <c r="E21" s="45" cm="1">
        <f t="array" aca="1" ref="E21" ca="1">_xll.VoseBernoulli(1-FailPoint,C21)</f>
        <v>1</v>
      </c>
      <c r="F21" s="46" cm="1">
        <f t="array" aca="1" ref="F21" ca="1">_xll.VosePERT(Titer_Lo,Titer_ML,Titer_Hi)</f>
        <v>4.0877451386009938</v>
      </c>
      <c r="G21" s="47" cm="1">
        <f t="array" aca="1" ref="G21" ca="1">_xll.VosePERT(Rec_Lo,Rec_ML,Rec_Hi)</f>
        <v>0.66203831078976827</v>
      </c>
      <c r="H21" s="48">
        <f t="shared" ca="1" si="0"/>
        <v>5.4124877729969789</v>
      </c>
      <c r="I21" s="33">
        <f ca="1">SUMPRODUCT(D$15:D21,H$15:H21)</f>
        <v>38.846321799408997</v>
      </c>
      <c r="J21" s="33">
        <f ca="1">SUMPRODUCT(E$15:E21,H$15:H21)</f>
        <v>38.846321799408997</v>
      </c>
    </row>
    <row r="22" spans="2:10" x14ac:dyDescent="0.45">
      <c r="B22" s="25" t="s">
        <v>166</v>
      </c>
      <c r="C22" s="44" cm="1">
        <f t="array" aca="1" ref="C22" ca="1">_xll.VoseUniform(0,1)</f>
        <v>0.61646210204344243</v>
      </c>
      <c r="D22" s="45" cm="1">
        <f t="array" aca="1" ref="D22" ca="1">_xll.VoseBernoulli(1-FailRate,C22)</f>
        <v>1</v>
      </c>
      <c r="E22" s="45" cm="1">
        <f t="array" aca="1" ref="E22" ca="1">_xll.VoseBernoulli(1-FailPoint,C22)</f>
        <v>1</v>
      </c>
      <c r="F22" s="46" cm="1">
        <f t="array" aca="1" ref="F22" ca="1">_xll.VosePERT(Titer_Lo,Titer_ML,Titer_Hi)</f>
        <v>3.5610702981200681</v>
      </c>
      <c r="G22" s="47" cm="1">
        <f t="array" aca="1" ref="G22" ca="1">_xll.VosePERT(Rec_Lo,Rec_ML,Rec_Hi)</f>
        <v>0.7213195639478156</v>
      </c>
      <c r="H22" s="48">
        <f t="shared" ca="1" si="0"/>
        <v>5.1373393492549706</v>
      </c>
      <c r="I22" s="33">
        <f ca="1">SUMPRODUCT(D$15:D22,H$15:H22)</f>
        <v>43.98366114866397</v>
      </c>
      <c r="J22" s="33">
        <f ca="1">SUMPRODUCT(E$15:E22,H$15:H22)</f>
        <v>43.98366114866397</v>
      </c>
    </row>
    <row r="23" spans="2:10" x14ac:dyDescent="0.45">
      <c r="B23" s="25" t="s">
        <v>167</v>
      </c>
      <c r="C23" s="44" cm="1">
        <f t="array" aca="1" ref="C23" ca="1">_xll.VoseUniform(0,1)</f>
        <v>0.1206462987465784</v>
      </c>
      <c r="D23" s="45" cm="1">
        <f t="array" aca="1" ref="D23" ca="1">_xll.VoseBernoulli(1-FailRate,C23)</f>
        <v>1</v>
      </c>
      <c r="E23" s="45" cm="1">
        <f t="array" aca="1" ref="E23" ca="1">_xll.VoseBernoulli(1-FailPoint,C23)</f>
        <v>1</v>
      </c>
      <c r="F23" s="46" cm="1">
        <f t="array" aca="1" ref="F23" ca="1">_xll.VosePERT(Titer_Lo,Titer_ML,Titer_Hi)</f>
        <v>3.986270762777286</v>
      </c>
      <c r="G23" s="47" cm="1">
        <f t="array" aca="1" ref="G23" ca="1">_xll.VosePERT(Rec_Lo,Rec_ML,Rec_Hi)</f>
        <v>0.68314597850927106</v>
      </c>
      <c r="H23" s="48">
        <f t="shared" ca="1" si="0"/>
        <v>5.446409681680775</v>
      </c>
      <c r="I23" s="33">
        <f ca="1">SUMPRODUCT(D$15:D23,H$15:H23)</f>
        <v>49.430070830344746</v>
      </c>
      <c r="J23" s="33">
        <f ca="1">SUMPRODUCT(E$15:E23,H$15:H23)</f>
        <v>49.430070830344746</v>
      </c>
    </row>
    <row r="24" spans="2:10" x14ac:dyDescent="0.45">
      <c r="B24" s="25" t="s">
        <v>168</v>
      </c>
      <c r="C24" s="44" cm="1">
        <f t="array" aca="1" ref="C24" ca="1">_xll.VoseUniform(0,1)</f>
        <v>0.5899902266683057</v>
      </c>
      <c r="D24" s="45" cm="1">
        <f t="array" aca="1" ref="D24" ca="1">_xll.VoseBernoulli(1-FailRate,C24)</f>
        <v>1</v>
      </c>
      <c r="E24" s="45" cm="1">
        <f t="array" aca="1" ref="E24" ca="1">_xll.VoseBernoulli(1-FailPoint,C24)</f>
        <v>1</v>
      </c>
      <c r="F24" s="46" cm="1">
        <f t="array" aca="1" ref="F24" ca="1">_xll.VosePERT(Titer_Lo,Titer_ML,Titer_Hi)</f>
        <v>3.2175218569045447</v>
      </c>
      <c r="G24" s="47" cm="1">
        <f t="array" aca="1" ref="G24" ca="1">_xll.VosePERT(Rec_Lo,Rec_ML,Rec_Hi)</f>
        <v>0.7474966394816196</v>
      </c>
      <c r="H24" s="48">
        <f t="shared" ca="1" si="0"/>
        <v>4.8101735509896155</v>
      </c>
      <c r="I24" s="33">
        <f ca="1">SUMPRODUCT(D$15:D24,H$15:H24)</f>
        <v>54.240244381334364</v>
      </c>
      <c r="J24" s="33">
        <f ca="1">SUMPRODUCT(E$15:E24,H$15:H24)</f>
        <v>54.240244381334364</v>
      </c>
    </row>
    <row r="25" spans="2:10" x14ac:dyDescent="0.45">
      <c r="B25" s="25" t="s">
        <v>169</v>
      </c>
      <c r="C25" s="44" cm="1">
        <f t="array" aca="1" ref="C25" ca="1">_xll.VoseUniform(0,1)</f>
        <v>0.12353212863672525</v>
      </c>
      <c r="D25" s="45" cm="1">
        <f t="array" aca="1" ref="D25" ca="1">_xll.VoseBernoulli(1-FailRate,C25)</f>
        <v>1</v>
      </c>
      <c r="E25" s="45" cm="1">
        <f t="array" aca="1" ref="E25" ca="1">_xll.VoseBernoulli(1-FailPoint,C25)</f>
        <v>1</v>
      </c>
      <c r="F25" s="46" cm="1">
        <f t="array" aca="1" ref="F25" ca="1">_xll.VosePERT(Titer_Lo,Titer_ML,Titer_Hi)</f>
        <v>4.341734988389895</v>
      </c>
      <c r="G25" s="47" cm="1">
        <f t="array" aca="1" ref="G25" ca="1">_xll.VosePERT(Rec_Lo,Rec_ML,Rec_Hi)</f>
        <v>0.72524166008702595</v>
      </c>
      <c r="H25" s="48">
        <f t="shared" ca="1" si="0"/>
        <v>6.2976141812756241</v>
      </c>
      <c r="I25" s="33">
        <f ca="1">SUMPRODUCT(D$15:D25,H$15:H25)</f>
        <v>60.537858562609991</v>
      </c>
      <c r="J25" s="33">
        <f ca="1">SUMPRODUCT(E$15:E25,H$15:H25)</f>
        <v>60.537858562609991</v>
      </c>
    </row>
    <row r="26" spans="2:10" x14ac:dyDescent="0.45">
      <c r="B26" s="25" t="s">
        <v>170</v>
      </c>
      <c r="C26" s="44" cm="1">
        <f t="array" aca="1" ref="C26" ca="1">_xll.VoseUniform(0,1)</f>
        <v>0.45093724352773279</v>
      </c>
      <c r="D26" s="45" cm="1">
        <f t="array" aca="1" ref="D26" ca="1">_xll.VoseBernoulli(1-FailRate,C26)</f>
        <v>1</v>
      </c>
      <c r="E26" s="45" cm="1">
        <f t="array" aca="1" ref="E26" ca="1">_xll.VoseBernoulli(1-FailPoint,C26)</f>
        <v>1</v>
      </c>
      <c r="F26" s="46" cm="1">
        <f t="array" aca="1" ref="F26" ca="1">_xll.VosePERT(Titer_Lo,Titer_ML,Titer_Hi)</f>
        <v>4.0463759603740144</v>
      </c>
      <c r="G26" s="47" cm="1">
        <f t="array" aca="1" ref="G26" ca="1">_xll.VosePERT(Rec_Lo,Rec_ML,Rec_Hi)</f>
        <v>0.66132547133178543</v>
      </c>
      <c r="H26" s="48">
        <f t="shared" ca="1" si="0"/>
        <v>5.3519429783599026</v>
      </c>
      <c r="I26" s="33">
        <f ca="1">SUMPRODUCT(D$15:D26,H$15:H26)</f>
        <v>65.889801540969898</v>
      </c>
      <c r="J26" s="33">
        <f ca="1">SUMPRODUCT(E$15:E26,H$15:H26)</f>
        <v>65.889801540969898</v>
      </c>
    </row>
    <row r="27" spans="2:10" x14ac:dyDescent="0.45">
      <c r="B27" s="25" t="s">
        <v>171</v>
      </c>
      <c r="C27" s="44" cm="1">
        <f t="array" aca="1" ref="C27" ca="1">_xll.VoseUniform(0,1)</f>
        <v>0.21183709672186524</v>
      </c>
      <c r="D27" s="45" cm="1">
        <f t="array" aca="1" ref="D27" ca="1">_xll.VoseBernoulli(1-FailRate,C27)</f>
        <v>1</v>
      </c>
      <c r="E27" s="45" cm="1">
        <f t="array" aca="1" ref="E27" ca="1">_xll.VoseBernoulli(1-FailPoint,C27)</f>
        <v>1</v>
      </c>
      <c r="F27" s="46" cm="1">
        <f t="array" aca="1" ref="F27" ca="1">_xll.VosePERT(Titer_Lo,Titer_ML,Titer_Hi)</f>
        <v>3.8928065099056068</v>
      </c>
      <c r="G27" s="47" cm="1">
        <f t="array" aca="1" ref="G27" ca="1">_xll.VosePERT(Rec_Lo,Rec_ML,Rec_Hi)</f>
        <v>0.729427131965801</v>
      </c>
      <c r="H27" s="48">
        <f t="shared" ca="1" si="0"/>
        <v>5.6790373756364927</v>
      </c>
      <c r="I27" s="33">
        <f ca="1">SUMPRODUCT(D$15:D27,H$15:H27)</f>
        <v>71.568838916606396</v>
      </c>
      <c r="J27" s="33">
        <f ca="1">SUMPRODUCT(E$15:E27,H$15:H27)</f>
        <v>71.568838916606396</v>
      </c>
    </row>
    <row r="28" spans="2:10" x14ac:dyDescent="0.45">
      <c r="B28" s="25" t="s">
        <v>172</v>
      </c>
      <c r="C28" s="44" cm="1">
        <f t="array" aca="1" ref="C28" ca="1">_xll.VoseUniform(0,1)</f>
        <v>0.86970687459688634</v>
      </c>
      <c r="D28" s="45" cm="1">
        <f t="array" aca="1" ref="D28" ca="1">_xll.VoseBernoulli(1-FailRate,C28)</f>
        <v>1</v>
      </c>
      <c r="E28" s="45" cm="1">
        <f t="array" aca="1" ref="E28" ca="1">_xll.VoseBernoulli(1-FailPoint,C28)</f>
        <v>1</v>
      </c>
      <c r="F28" s="46" cm="1">
        <f t="array" aca="1" ref="F28" ca="1">_xll.VosePERT(Titer_Lo,Titer_ML,Titer_Hi)</f>
        <v>3.6023252581737362</v>
      </c>
      <c r="G28" s="47" cm="1">
        <f t="array" aca="1" ref="G28" ca="1">_xll.VosePERT(Rec_Lo,Rec_ML,Rec_Hi)</f>
        <v>0.69069684635688167</v>
      </c>
      <c r="H28" s="48">
        <f t="shared" ca="1" si="0"/>
        <v>4.9762293907446784</v>
      </c>
      <c r="I28" s="33">
        <f ca="1">SUMPRODUCT(D$15:D28,H$15:H28)</f>
        <v>76.545068307351073</v>
      </c>
      <c r="J28" s="33">
        <f ca="1">SUMPRODUCT(E$15:E28,H$15:H28)</f>
        <v>76.545068307351073</v>
      </c>
    </row>
    <row r="29" spans="2:10" x14ac:dyDescent="0.45">
      <c r="B29" s="25" t="s">
        <v>173</v>
      </c>
      <c r="C29" s="44" cm="1">
        <f t="array" aca="1" ref="C29" ca="1">_xll.VoseUniform(0,1)</f>
        <v>0.16506200016010553</v>
      </c>
      <c r="D29" s="45" cm="1">
        <f t="array" aca="1" ref="D29" ca="1">_xll.VoseBernoulli(1-FailRate,C29)</f>
        <v>1</v>
      </c>
      <c r="E29" s="45" cm="1">
        <f t="array" aca="1" ref="E29" ca="1">_xll.VoseBernoulli(1-FailPoint,C29)</f>
        <v>1</v>
      </c>
      <c r="F29" s="46" cm="1">
        <f t="array" aca="1" ref="F29" ca="1">_xll.VosePERT(Titer_Lo,Titer_ML,Titer_Hi)</f>
        <v>4.201951754734611</v>
      </c>
      <c r="G29" s="47" cm="1">
        <f t="array" aca="1" ref="G29" ca="1">_xll.VosePERT(Rec_Lo,Rec_ML,Rec_Hi)</f>
        <v>0.70986112095886278</v>
      </c>
      <c r="H29" s="48">
        <f t="shared" ca="1" si="0"/>
        <v>5.9656043656619433</v>
      </c>
      <c r="I29" s="33">
        <f ca="1">SUMPRODUCT(D$15:D29,H$15:H29)</f>
        <v>82.510672673013019</v>
      </c>
      <c r="J29" s="33">
        <f ca="1">SUMPRODUCT(E$15:E29,H$15:H29)</f>
        <v>82.510672673013019</v>
      </c>
    </row>
    <row r="30" spans="2:10" x14ac:dyDescent="0.45">
      <c r="B30" s="25" t="s">
        <v>174</v>
      </c>
      <c r="C30" s="44" cm="1">
        <f t="array" aca="1" ref="C30" ca="1">_xll.VoseUniform(0,1)</f>
        <v>0.85358444589655846</v>
      </c>
      <c r="D30" s="45" cm="1">
        <f t="array" aca="1" ref="D30" ca="1">_xll.VoseBernoulli(1-FailRate,C30)</f>
        <v>1</v>
      </c>
      <c r="E30" s="45" cm="1">
        <f t="array" aca="1" ref="E30" ca="1">_xll.VoseBernoulli(1-FailPoint,C30)</f>
        <v>1</v>
      </c>
      <c r="F30" s="46" cm="1">
        <f t="array" aca="1" ref="F30" ca="1">_xll.VosePERT(Titer_Lo,Titer_ML,Titer_Hi)</f>
        <v>3.8863667790112881</v>
      </c>
      <c r="G30" s="47" cm="1">
        <f t="array" aca="1" ref="G30" ca="1">_xll.VosePERT(Rec_Lo,Rec_ML,Rec_Hi)</f>
        <v>0.71232587662264335</v>
      </c>
      <c r="H30" s="48">
        <f t="shared" ca="1" si="0"/>
        <v>5.5367192454726695</v>
      </c>
      <c r="I30" s="33">
        <f ca="1">SUMPRODUCT(D$15:D30,H$15:H30)</f>
        <v>88.047391918485687</v>
      </c>
      <c r="J30" s="33">
        <f ca="1">SUMPRODUCT(E$15:E30,H$15:H30)</f>
        <v>88.047391918485687</v>
      </c>
    </row>
    <row r="31" spans="2:10" x14ac:dyDescent="0.45">
      <c r="B31" s="25" t="s">
        <v>175</v>
      </c>
      <c r="C31" s="44" cm="1">
        <f t="array" aca="1" ref="C31" ca="1">_xll.VoseUniform(0,1)</f>
        <v>0.97483165573794395</v>
      </c>
      <c r="D31" s="45" cm="1">
        <f t="array" aca="1" ref="D31" ca="1">_xll.VoseBernoulli(1-FailRate,C31)</f>
        <v>1</v>
      </c>
      <c r="E31" s="45" cm="1">
        <f t="array" aca="1" ref="E31" ca="1">_xll.VoseBernoulli(1-FailPoint,C31)</f>
        <v>1</v>
      </c>
      <c r="F31" s="46" cm="1">
        <f t="array" aca="1" ref="F31" ca="1">_xll.VosePERT(Titer_Lo,Titer_ML,Titer_Hi)</f>
        <v>4.368716416047473</v>
      </c>
      <c r="G31" s="47" cm="1">
        <f t="array" aca="1" ref="G31" ca="1">_xll.VosePERT(Rec_Lo,Rec_ML,Rec_Hi)</f>
        <v>0.68495177143926866</v>
      </c>
      <c r="H31" s="48">
        <f t="shared" ca="1" si="0"/>
        <v>5.9847200961750593</v>
      </c>
      <c r="I31" s="33">
        <f ca="1">SUMPRODUCT(D$15:D31,H$15:H31)</f>
        <v>94.03211201466074</v>
      </c>
      <c r="J31" s="33">
        <f ca="1">SUMPRODUCT(E$15:E31,H$15:H31)</f>
        <v>94.03211201466074</v>
      </c>
    </row>
    <row r="32" spans="2:10" x14ac:dyDescent="0.45">
      <c r="B32" s="25" t="s">
        <v>176</v>
      </c>
      <c r="C32" s="44" cm="1">
        <f t="array" aca="1" ref="C32" ca="1">_xll.VoseUniform(0,1)</f>
        <v>0.72322425490710884</v>
      </c>
      <c r="D32" s="45" cm="1">
        <f t="array" aca="1" ref="D32" ca="1">_xll.VoseBernoulli(1-FailRate,C32)</f>
        <v>1</v>
      </c>
      <c r="E32" s="45" cm="1">
        <f t="array" aca="1" ref="E32" ca="1">_xll.VoseBernoulli(1-FailPoint,C32)</f>
        <v>1</v>
      </c>
      <c r="F32" s="46" cm="1">
        <f t="array" aca="1" ref="F32" ca="1">_xll.VosePERT(Titer_Lo,Titer_ML,Titer_Hi)</f>
        <v>4.0924201170294303</v>
      </c>
      <c r="G32" s="47" cm="1">
        <f t="array" aca="1" ref="G32" ca="1">_xll.VosePERT(Rec_Lo,Rec_ML,Rec_Hi)</f>
        <v>0.72179195840460408</v>
      </c>
      <c r="H32" s="48">
        <f t="shared" ca="1" si="0"/>
        <v>5.9077518617701434</v>
      </c>
      <c r="I32" s="33">
        <f ca="1">SUMPRODUCT(D$15:D32,H$15:H32)</f>
        <v>99.939863876430877</v>
      </c>
      <c r="J32" s="33">
        <f ca="1">SUMPRODUCT(E$15:E32,H$15:H32)</f>
        <v>99.939863876430877</v>
      </c>
    </row>
    <row r="33" spans="2:10" x14ac:dyDescent="0.45">
      <c r="B33" s="25" t="s">
        <v>177</v>
      </c>
      <c r="C33" s="44" cm="1">
        <f t="array" aca="1" ref="C33" ca="1">_xll.VoseUniform(0,1)</f>
        <v>0.25149755051825196</v>
      </c>
      <c r="D33" s="45" cm="1">
        <f t="array" aca="1" ref="D33" ca="1">_xll.VoseBernoulli(1-FailRate,C33)</f>
        <v>1</v>
      </c>
      <c r="E33" s="45" cm="1">
        <f t="array" aca="1" ref="E33" ca="1">_xll.VoseBernoulli(1-FailPoint,C33)</f>
        <v>1</v>
      </c>
      <c r="F33" s="46" cm="1">
        <f t="array" aca="1" ref="F33" ca="1">_xll.VosePERT(Titer_Lo,Titer_ML,Titer_Hi)</f>
        <v>4.0022569473486485</v>
      </c>
      <c r="G33" s="47" cm="1">
        <f t="array" aca="1" ref="G33" ca="1">_xll.VosePERT(Rec_Lo,Rec_ML,Rec_Hi)</f>
        <v>0.70678086676939988</v>
      </c>
      <c r="H33" s="48">
        <f t="shared" ca="1" si="0"/>
        <v>5.6574372685618597</v>
      </c>
      <c r="I33" s="33">
        <f ca="1">SUMPRODUCT(D$15:D33,H$15:H33)</f>
        <v>105.59730114499274</v>
      </c>
      <c r="J33" s="33">
        <f ca="1">SUMPRODUCT(E$15:E33,H$15:H33)</f>
        <v>105.59730114499274</v>
      </c>
    </row>
    <row r="34" spans="2:10" x14ac:dyDescent="0.45">
      <c r="B34" s="25" t="s">
        <v>178</v>
      </c>
      <c r="C34" s="44" cm="1">
        <f t="array" aca="1" ref="C34" ca="1">_xll.VoseUniform(0,1)</f>
        <v>0.68159161449875683</v>
      </c>
      <c r="D34" s="45" cm="1">
        <f t="array" aca="1" ref="D34" ca="1">_xll.VoseBernoulli(1-FailRate,C34)</f>
        <v>1</v>
      </c>
      <c r="E34" s="45" cm="1">
        <f t="array" aca="1" ref="E34" ca="1">_xll.VoseBernoulli(1-FailPoint,C34)</f>
        <v>1</v>
      </c>
      <c r="F34" s="46" cm="1">
        <f t="array" aca="1" ref="F34" ca="1">_xll.VosePERT(Titer_Lo,Titer_ML,Titer_Hi)</f>
        <v>3.7834899082202988</v>
      </c>
      <c r="G34" s="47" cm="1">
        <f t="array" aca="1" ref="G34" ca="1">_xll.VosePERT(Rec_Lo,Rec_ML,Rec_Hi)</f>
        <v>0.70987684868821588</v>
      </c>
      <c r="H34" s="48">
        <f t="shared" ca="1" si="0"/>
        <v>5.3716237861821856</v>
      </c>
      <c r="I34" s="33">
        <f ca="1">SUMPRODUCT(D$15:D34,H$15:H34)</f>
        <v>110.96892493117493</v>
      </c>
      <c r="J34" s="33">
        <f ca="1">SUMPRODUCT(E$15:E34,H$15:H34)</f>
        <v>110.96892493117493</v>
      </c>
    </row>
    <row r="35" spans="2:10" x14ac:dyDescent="0.45">
      <c r="B35" s="25" t="s">
        <v>179</v>
      </c>
      <c r="C35" s="44" cm="1">
        <f t="array" aca="1" ref="C35" ca="1">_xll.VoseUniform(0,1)</f>
        <v>0.63436750217806548</v>
      </c>
      <c r="D35" s="45" cm="1">
        <f t="array" aca="1" ref="D35" ca="1">_xll.VoseBernoulli(1-FailRate,C35)</f>
        <v>1</v>
      </c>
      <c r="E35" s="45" cm="1">
        <f t="array" aca="1" ref="E35" ca="1">_xll.VoseBernoulli(1-FailPoint,C35)</f>
        <v>1</v>
      </c>
      <c r="F35" s="46" cm="1">
        <f t="array" aca="1" ref="F35" ca="1">_xll.VosePERT(Titer_Lo,Titer_ML,Titer_Hi)</f>
        <v>3.2934028561525563</v>
      </c>
      <c r="G35" s="47" cm="1">
        <f t="array" aca="1" ref="G35" ca="1">_xll.VosePERT(Rec_Lo,Rec_ML,Rec_Hi)</f>
        <v>0.7224474159515788</v>
      </c>
      <c r="H35" s="48">
        <f t="shared" ca="1" si="0"/>
        <v>4.7586207662299271</v>
      </c>
      <c r="I35" s="33">
        <f ca="1">SUMPRODUCT(D$15:D35,H$15:H35)</f>
        <v>115.72754569740485</v>
      </c>
      <c r="J35" s="33">
        <f ca="1">SUMPRODUCT(E$15:E35,H$15:H35)</f>
        <v>115.72754569740485</v>
      </c>
    </row>
    <row r="36" spans="2:10" x14ac:dyDescent="0.45">
      <c r="B36" s="25" t="s">
        <v>180</v>
      </c>
      <c r="C36" s="44" cm="1">
        <f t="array" aca="1" ref="C36" ca="1">_xll.VoseUniform(0,1)</f>
        <v>0.10344398219604045</v>
      </c>
      <c r="D36" s="45" cm="1">
        <f t="array" aca="1" ref="D36" ca="1">_xll.VoseBernoulli(1-FailRate,C36)</f>
        <v>1</v>
      </c>
      <c r="E36" s="45" cm="1">
        <f t="array" aca="1" ref="E36" ca="1">_xll.VoseBernoulli(1-FailPoint,C36)</f>
        <v>1</v>
      </c>
      <c r="F36" s="46" cm="1">
        <f t="array" aca="1" ref="F36" ca="1">_xll.VosePERT(Titer_Lo,Titer_ML,Titer_Hi)</f>
        <v>4.388818658059277</v>
      </c>
      <c r="G36" s="47" cm="1">
        <f t="array" aca="1" ref="G36" ca="1">_xll.VosePERT(Rec_Lo,Rec_ML,Rec_Hi)</f>
        <v>0.72310923289702855</v>
      </c>
      <c r="H36" s="48">
        <f t="shared" ca="1" si="0"/>
        <v>6.3471905863068203</v>
      </c>
      <c r="I36" s="33">
        <f ca="1">SUMPRODUCT(D$15:D36,H$15:H36)</f>
        <v>122.07473628371167</v>
      </c>
      <c r="J36" s="33">
        <f ca="1">SUMPRODUCT(E$15:E36,H$15:H36)</f>
        <v>122.07473628371167</v>
      </c>
    </row>
    <row r="37" spans="2:10" x14ac:dyDescent="0.45">
      <c r="B37" s="25" t="s">
        <v>181</v>
      </c>
      <c r="C37" s="44" cm="1">
        <f t="array" aca="1" ref="C37" ca="1">_xll.VoseUniform(0,1)</f>
        <v>0.93325956852640957</v>
      </c>
      <c r="D37" s="45" cm="1">
        <f t="array" aca="1" ref="D37" ca="1">_xll.VoseBernoulli(1-FailRate,C37)</f>
        <v>1</v>
      </c>
      <c r="E37" s="45" cm="1">
        <f t="array" aca="1" ref="E37" ca="1">_xll.VoseBernoulli(1-FailPoint,C37)</f>
        <v>1</v>
      </c>
      <c r="F37" s="46" cm="1">
        <f t="array" aca="1" ref="F37" ca="1">_xll.VosePERT(Titer_Lo,Titer_ML,Titer_Hi)</f>
        <v>4.4203170913055629</v>
      </c>
      <c r="G37" s="47" cm="1">
        <f t="array" aca="1" ref="G37" ca="1">_xll.VosePERT(Rec_Lo,Rec_ML,Rec_Hi)</f>
        <v>0.73232968639123641</v>
      </c>
      <c r="H37" s="48">
        <f t="shared" ca="1" si="0"/>
        <v>6.4742588584512504</v>
      </c>
      <c r="I37" s="33">
        <f ca="1">SUMPRODUCT(D$15:D37,H$15:H37)</f>
        <v>128.54899514216294</v>
      </c>
      <c r="J37" s="33">
        <f ca="1">SUMPRODUCT(E$15:E37,H$15:H37)</f>
        <v>128.54899514216294</v>
      </c>
    </row>
    <row r="38" spans="2:10" x14ac:dyDescent="0.45">
      <c r="B38" s="25" t="s">
        <v>182</v>
      </c>
      <c r="C38" s="44" cm="1">
        <f t="array" aca="1" ref="C38" ca="1">_xll.VoseUniform(0,1)</f>
        <v>0.42195690318476409</v>
      </c>
      <c r="D38" s="45" cm="1">
        <f t="array" aca="1" ref="D38" ca="1">_xll.VoseBernoulli(1-FailRate,C38)</f>
        <v>1</v>
      </c>
      <c r="E38" s="45" cm="1">
        <f t="array" aca="1" ref="E38" ca="1">_xll.VoseBernoulli(1-FailPoint,C38)</f>
        <v>1</v>
      </c>
      <c r="F38" s="46" cm="1">
        <f t="array" aca="1" ref="F38" ca="1">_xll.VosePERT(Titer_Lo,Titer_ML,Titer_Hi)</f>
        <v>4.260358763689835</v>
      </c>
      <c r="G38" s="47" cm="1">
        <f t="array" aca="1" ref="G38" ca="1">_xll.VosePERT(Rec_Lo,Rec_ML,Rec_Hi)</f>
        <v>0.69109131892915576</v>
      </c>
      <c r="H38" s="48">
        <f t="shared" ca="1" si="0"/>
        <v>5.88859391421959</v>
      </c>
      <c r="I38" s="33">
        <f ca="1">SUMPRODUCT(D$15:D38,H$15:H38)</f>
        <v>134.43758905638254</v>
      </c>
      <c r="J38" s="33">
        <f ca="1">SUMPRODUCT(E$15:E38,H$15:H38)</f>
        <v>134.43758905638254</v>
      </c>
    </row>
    <row r="39" spans="2:10" x14ac:dyDescent="0.45">
      <c r="B39" s="25" t="s">
        <v>183</v>
      </c>
      <c r="C39" s="44" cm="1">
        <f t="array" aca="1" ref="C39" ca="1">_xll.VoseUniform(0,1)</f>
        <v>0.16330455953720957</v>
      </c>
      <c r="D39" s="45" cm="1">
        <f t="array" aca="1" ref="D39" ca="1">_xll.VoseBernoulli(1-FailRate,C39)</f>
        <v>1</v>
      </c>
      <c r="E39" s="45" cm="1">
        <f t="array" aca="1" ref="E39" ca="1">_xll.VoseBernoulli(1-FailPoint,C39)</f>
        <v>1</v>
      </c>
      <c r="F39" s="46" cm="1">
        <f t="array" aca="1" ref="F39" ca="1">_xll.VosePERT(Titer_Lo,Titer_ML,Titer_Hi)</f>
        <v>4.3370020333185622</v>
      </c>
      <c r="G39" s="47" cm="1">
        <f t="array" aca="1" ref="G39" ca="1">_xll.VosePERT(Rec_Lo,Rec_ML,Rec_Hi)</f>
        <v>0.71288906332671576</v>
      </c>
      <c r="H39" s="48">
        <f t="shared" ca="1" si="0"/>
        <v>6.1836026343570634</v>
      </c>
      <c r="I39" s="33">
        <f ca="1">SUMPRODUCT(D$15:D39,H$15:H39)</f>
        <v>140.62119169073961</v>
      </c>
      <c r="J39" s="33">
        <f ca="1">SUMPRODUCT(E$15:E39,H$15:H39)</f>
        <v>140.62119169073961</v>
      </c>
    </row>
    <row r="40" spans="2:10" x14ac:dyDescent="0.45">
      <c r="B40" s="25" t="s">
        <v>184</v>
      </c>
      <c r="C40" s="44" cm="1">
        <f t="array" aca="1" ref="C40" ca="1">_xll.VoseUniform(0,1)</f>
        <v>2.5280824746005237E-2</v>
      </c>
      <c r="D40" s="45" cm="1">
        <f t="array" aca="1" ref="D40" ca="1">_xll.VoseBernoulli(1-FailRate,C40)</f>
        <v>0</v>
      </c>
      <c r="E40" s="45" cm="1">
        <f t="array" aca="1" ref="E40" ca="1">_xll.VoseBernoulli(1-FailPoint,C40)</f>
        <v>0</v>
      </c>
      <c r="F40" s="46" cm="1">
        <f t="array" aca="1" ref="F40" ca="1">_xll.VosePERT(Titer_Lo,Titer_ML,Titer_Hi)</f>
        <v>4.0878253313099746</v>
      </c>
      <c r="G40" s="47" cm="1">
        <f t="array" aca="1" ref="G40" ca="1">_xll.VosePERT(Rec_Lo,Rec_ML,Rec_Hi)</f>
        <v>0.67166473811459382</v>
      </c>
      <c r="H40" s="48">
        <f t="shared" ca="1" si="0"/>
        <v>5.4912962612250329</v>
      </c>
      <c r="I40" s="33">
        <f ca="1">SUMPRODUCT(D$15:D40,H$15:H40)</f>
        <v>140.62119169073961</v>
      </c>
      <c r="J40" s="33">
        <f ca="1">SUMPRODUCT(E$15:E40,H$15:H40)</f>
        <v>140.62119169073961</v>
      </c>
    </row>
    <row r="41" spans="2:10" x14ac:dyDescent="0.45">
      <c r="B41" s="25" t="s">
        <v>185</v>
      </c>
      <c r="C41" s="44" cm="1">
        <f t="array" aca="1" ref="C41" ca="1">_xll.VoseUniform(0,1)</f>
        <v>0.99592066963668913</v>
      </c>
      <c r="D41" s="45" cm="1">
        <f t="array" aca="1" ref="D41" ca="1">_xll.VoseBernoulli(1-FailRate,C41)</f>
        <v>1</v>
      </c>
      <c r="E41" s="45" cm="1">
        <f t="array" aca="1" ref="E41" ca="1">_xll.VoseBernoulli(1-FailPoint,C41)</f>
        <v>1</v>
      </c>
      <c r="F41" s="46" cm="1">
        <f t="array" aca="1" ref="F41" ca="1">_xll.VosePERT(Titer_Lo,Titer_ML,Titer_Hi)</f>
        <v>4.5006617290282325</v>
      </c>
      <c r="G41" s="47" cm="1">
        <f t="array" aca="1" ref="G41" ca="1">_xll.VosePERT(Rec_Lo,Rec_ML,Rec_Hi)</f>
        <v>0.68443244499132594</v>
      </c>
      <c r="H41" s="48">
        <f t="shared" ca="1" si="0"/>
        <v>6.160797822555363</v>
      </c>
      <c r="I41" s="33">
        <f ca="1">SUMPRODUCT(D$15:D41,H$15:H41)</f>
        <v>146.78198951329497</v>
      </c>
      <c r="J41" s="33">
        <f ca="1">SUMPRODUCT(E$15:E41,H$15:H41)</f>
        <v>146.78198951329497</v>
      </c>
    </row>
    <row r="42" spans="2:10" x14ac:dyDescent="0.45">
      <c r="B42" s="25" t="s">
        <v>186</v>
      </c>
      <c r="C42" s="44" cm="1">
        <f t="array" aca="1" ref="C42" ca="1">_xll.VoseUniform(0,1)</f>
        <v>0.17871034576091915</v>
      </c>
      <c r="D42" s="45" cm="1">
        <f t="array" aca="1" ref="D42" ca="1">_xll.VoseBernoulli(1-FailRate,C42)</f>
        <v>1</v>
      </c>
      <c r="E42" s="45" cm="1">
        <f t="array" aca="1" ref="E42" ca="1">_xll.VoseBernoulli(1-FailPoint,C42)</f>
        <v>1</v>
      </c>
      <c r="F42" s="46" cm="1">
        <f t="array" aca="1" ref="F42" ca="1">_xll.VosePERT(Titer_Lo,Titer_ML,Titer_Hi)</f>
        <v>3.7341801658289322</v>
      </c>
      <c r="G42" s="47" cm="1">
        <f t="array" aca="1" ref="G42" ca="1">_xll.VosePERT(Rec_Lo,Rec_ML,Rec_Hi)</f>
        <v>0.70105139919789528</v>
      </c>
      <c r="H42" s="48">
        <f t="shared" ca="1" si="0"/>
        <v>5.2357044602228031</v>
      </c>
      <c r="I42" s="33">
        <f ca="1">SUMPRODUCT(D$15:D42,H$15:H42)</f>
        <v>152.01769397351777</v>
      </c>
      <c r="J42" s="33">
        <f ca="1">SUMPRODUCT(E$15:E42,H$15:H42)</f>
        <v>152.01769397351777</v>
      </c>
    </row>
    <row r="43" spans="2:10" x14ac:dyDescent="0.45">
      <c r="B43" s="25" t="s">
        <v>187</v>
      </c>
      <c r="C43" s="44" cm="1">
        <f t="array" aca="1" ref="C43" ca="1">_xll.VoseUniform(0,1)</f>
        <v>0.85098375927191228</v>
      </c>
      <c r="D43" s="45" cm="1">
        <f t="array" aca="1" ref="D43" ca="1">_xll.VoseBernoulli(1-FailRate,C43)</f>
        <v>1</v>
      </c>
      <c r="E43" s="45" cm="1">
        <f t="array" aca="1" ref="E43" ca="1">_xll.VoseBernoulli(1-FailPoint,C43)</f>
        <v>1</v>
      </c>
      <c r="F43" s="46" cm="1">
        <f t="array" aca="1" ref="F43" ca="1">_xll.VosePERT(Titer_Lo,Titer_ML,Titer_Hi)</f>
        <v>4.1708417066736274</v>
      </c>
      <c r="G43" s="47" cm="1">
        <f t="array" aca="1" ref="G43" ca="1">_xll.VosePERT(Rec_Lo,Rec_ML,Rec_Hi)</f>
        <v>0.64504675113305254</v>
      </c>
      <c r="H43" s="48">
        <f t="shared" ca="1" si="0"/>
        <v>5.380775784760119</v>
      </c>
      <c r="I43" s="33">
        <f ca="1">SUMPRODUCT(D$15:D43,H$15:H43)</f>
        <v>157.39846975827788</v>
      </c>
      <c r="J43" s="33">
        <f ca="1">SUMPRODUCT(E$15:E43,H$15:H43)</f>
        <v>157.39846975827788</v>
      </c>
    </row>
    <row r="44" spans="2:10" x14ac:dyDescent="0.45">
      <c r="B44" s="25" t="s">
        <v>188</v>
      </c>
      <c r="C44" s="44" cm="1">
        <f t="array" aca="1" ref="C44" ca="1">_xll.VoseUniform(0,1)</f>
        <v>3.5699296626262367E-2</v>
      </c>
      <c r="D44" s="45" cm="1">
        <f t="array" aca="1" ref="D44" ca="1">_xll.VoseBernoulli(1-FailRate,C44)</f>
        <v>0</v>
      </c>
      <c r="E44" s="45" cm="1">
        <f t="array" aca="1" ref="E44" ca="1">_xll.VoseBernoulli(1-FailPoint,C44)</f>
        <v>0</v>
      </c>
      <c r="F44" s="46" cm="1">
        <f t="array" aca="1" ref="F44" ca="1">_xll.VosePERT(Titer_Lo,Titer_ML,Titer_Hi)</f>
        <v>4.2741597941341176</v>
      </c>
      <c r="G44" s="47" cm="1">
        <f t="array" aca="1" ref="G44" ca="1">_xll.VosePERT(Rec_Lo,Rec_ML,Rec_Hi)</f>
        <v>0.64519193982857614</v>
      </c>
      <c r="H44" s="48">
        <f t="shared" ca="1" si="0"/>
        <v>5.5153068974293982</v>
      </c>
      <c r="I44" s="33">
        <f ca="1">SUMPRODUCT(D$15:D44,H$15:H44)</f>
        <v>157.39846975827788</v>
      </c>
      <c r="J44" s="33">
        <f ca="1">SUMPRODUCT(E$15:E44,H$15:H44)</f>
        <v>157.39846975827788</v>
      </c>
    </row>
    <row r="45" spans="2:10" x14ac:dyDescent="0.45">
      <c r="B45" s="25" t="s">
        <v>189</v>
      </c>
      <c r="C45" s="44" cm="1">
        <f t="array" aca="1" ref="C45" ca="1">_xll.VoseUniform(0,1)</f>
        <v>0.47993901360314339</v>
      </c>
      <c r="D45" s="45" cm="1">
        <f t="array" aca="1" ref="D45" ca="1">_xll.VoseBernoulli(1-FailRate,C45)</f>
        <v>1</v>
      </c>
      <c r="E45" s="45" cm="1">
        <f t="array" aca="1" ref="E45" ca="1">_xll.VoseBernoulli(1-FailPoint,C45)</f>
        <v>1</v>
      </c>
      <c r="F45" s="46" cm="1">
        <f t="array" aca="1" ref="F45" ca="1">_xll.VosePERT(Titer_Lo,Titer_ML,Titer_Hi)</f>
        <v>3.9466733421251039</v>
      </c>
      <c r="G45" s="47" cm="1">
        <f t="array" aca="1" ref="G45" ca="1">_xll.VosePERT(Rec_Lo,Rec_ML,Rec_Hi)</f>
        <v>0.62366572025882083</v>
      </c>
      <c r="H45" s="48">
        <f t="shared" ca="1" si="0"/>
        <v>4.9228097450854813</v>
      </c>
      <c r="I45" s="33">
        <f ca="1">SUMPRODUCT(D$15:D45,H$15:H45)</f>
        <v>162.32127950336337</v>
      </c>
      <c r="J45" s="33">
        <f ca="1">SUMPRODUCT(E$15:E45,H$15:H45)</f>
        <v>162.32127950336337</v>
      </c>
    </row>
    <row r="46" spans="2:10" x14ac:dyDescent="0.45">
      <c r="B46" s="25" t="s">
        <v>190</v>
      </c>
      <c r="C46" s="44" cm="1">
        <f t="array" aca="1" ref="C46" ca="1">_xll.VoseUniform(0,1)</f>
        <v>0.21168155421037227</v>
      </c>
      <c r="D46" s="45" cm="1">
        <f t="array" aca="1" ref="D46" ca="1">_xll.VoseBernoulli(1-FailRate,C46)</f>
        <v>1</v>
      </c>
      <c r="E46" s="45" cm="1">
        <f t="array" aca="1" ref="E46" ca="1">_xll.VoseBernoulli(1-FailPoint,C46)</f>
        <v>1</v>
      </c>
      <c r="F46" s="46" cm="1">
        <f t="array" aca="1" ref="F46" ca="1">_xll.VosePERT(Titer_Lo,Titer_ML,Titer_Hi)</f>
        <v>3.8367114526781481</v>
      </c>
      <c r="G46" s="47" cm="1">
        <f t="array" aca="1" ref="G46" ca="1">_xll.VosePERT(Rec_Lo,Rec_ML,Rec_Hi)</f>
        <v>0.73117608388646094</v>
      </c>
      <c r="H46" s="48">
        <f t="shared" ca="1" si="0"/>
        <v>5.6106233099430858</v>
      </c>
      <c r="I46" s="33">
        <f ca="1">SUMPRODUCT(D$15:D46,H$15:H46)</f>
        <v>167.93190281330646</v>
      </c>
      <c r="J46" s="33">
        <f ca="1">SUMPRODUCT(E$15:E46,H$15:H46)</f>
        <v>167.93190281330646</v>
      </c>
    </row>
    <row r="47" spans="2:10" ht="8" customHeight="1" x14ac:dyDescent="0.45"/>
    <row r="48" spans="2:10" ht="22.05" customHeight="1" x14ac:dyDescent="0.5">
      <c r="B48" s="7" t="s">
        <v>191</v>
      </c>
      <c r="C48" s="8"/>
      <c r="D48" s="8"/>
      <c r="E48" s="8"/>
      <c r="F48" s="8"/>
      <c r="G48" s="8"/>
      <c r="H48" s="8"/>
      <c r="I48" s="8"/>
      <c r="J48" s="8"/>
    </row>
    <row r="49" spans="2:10" ht="18" customHeight="1" x14ac:dyDescent="0.45">
      <c r="B49" s="13" t="s">
        <v>192</v>
      </c>
    </row>
    <row r="50" spans="2:10" ht="18" customHeight="1" x14ac:dyDescent="0.45">
      <c r="B50" s="37" t="s">
        <v>193</v>
      </c>
      <c r="C50" s="37" t="s">
        <v>96</v>
      </c>
      <c r="D50" s="38" t="s">
        <v>140</v>
      </c>
      <c r="E50" s="5"/>
      <c r="F50" s="37" t="s">
        <v>194</v>
      </c>
      <c r="G50" s="5"/>
      <c r="H50" s="5"/>
      <c r="I50" s="5"/>
      <c r="J50" s="5"/>
    </row>
    <row r="51" spans="2:10" x14ac:dyDescent="0.45">
      <c r="B51" s="25" t="s">
        <v>195</v>
      </c>
      <c r="C51" s="26" t="s">
        <v>125</v>
      </c>
      <c r="D51" s="49" cm="1">
        <f t="array" aca="1" ref="D51" ca="1">_xll.VoseOutput("Batches needed","batches")+COUNTIF(CumU,"&lt;"&amp;Demand)+1</f>
        <v>22</v>
      </c>
      <c r="E51" s="28"/>
      <c r="F51" s="26" t="s">
        <v>196</v>
      </c>
      <c r="G51" s="28"/>
      <c r="H51" s="28"/>
      <c r="I51" s="28"/>
      <c r="J51" s="28"/>
    </row>
    <row r="52" spans="2:10" x14ac:dyDescent="0.45">
      <c r="B52" s="25" t="s">
        <v>197</v>
      </c>
      <c r="C52" s="26" t="s">
        <v>125</v>
      </c>
      <c r="D52" s="49" cm="1">
        <f t="array" aca="1" ref="D52" ca="1">_xll.VoseOutput("Batches needed rate known","batches")+COUNTIF(CumK,"&lt;"&amp;Demand)+1</f>
        <v>22</v>
      </c>
      <c r="E52" s="28"/>
      <c r="F52" s="26" t="s">
        <v>198</v>
      </c>
      <c r="G52" s="28"/>
      <c r="H52" s="28"/>
      <c r="I52" s="28"/>
      <c r="J52" s="28"/>
    </row>
    <row r="53" spans="2:10" x14ac:dyDescent="0.45">
      <c r="B53" s="25" t="s">
        <v>199</v>
      </c>
      <c r="C53" s="26" t="s">
        <v>101</v>
      </c>
      <c r="D53" s="50" cm="1">
        <f t="array" aca="1" ref="D53" ca="1">_xll.VoseOutput("Kg 22 batches","kg")+INDEX(CumU,22)</f>
        <v>122.07473628371167</v>
      </c>
      <c r="E53" s="28"/>
      <c r="F53" s="26" t="s">
        <v>200</v>
      </c>
      <c r="G53" s="28"/>
      <c r="H53" s="28"/>
      <c r="I53" s="28"/>
      <c r="J53" s="28"/>
    </row>
    <row r="54" spans="2:10" x14ac:dyDescent="0.45">
      <c r="B54" s="25" t="s">
        <v>201</v>
      </c>
      <c r="C54" s="26" t="s">
        <v>101</v>
      </c>
      <c r="D54" s="50" cm="1">
        <f t="array" aca="1" ref="D54" ca="1">_xll.VoseOutput("Kg 23 batches","kg")+INDEX(CumU,23)</f>
        <v>128.54899514216294</v>
      </c>
      <c r="E54" s="28"/>
      <c r="F54" s="26"/>
      <c r="G54" s="28"/>
      <c r="H54" s="28"/>
      <c r="I54" s="28"/>
      <c r="J54" s="28"/>
    </row>
    <row r="55" spans="2:10" x14ac:dyDescent="0.45">
      <c r="B55" s="25" t="s">
        <v>202</v>
      </c>
      <c r="C55" s="26" t="s">
        <v>101</v>
      </c>
      <c r="D55" s="50" cm="1">
        <f t="array" aca="1" ref="D55" ca="1">_xll.VoseOutput("Kg 24 batches","kg")+INDEX(CumU,24)</f>
        <v>134.43758905638254</v>
      </c>
      <c r="E55" s="28"/>
      <c r="F55" s="26"/>
      <c r="G55" s="28"/>
      <c r="H55" s="28"/>
      <c r="I55" s="28"/>
      <c r="J55" s="28"/>
    </row>
    <row r="56" spans="2:10" x14ac:dyDescent="0.45">
      <c r="B56" s="25" t="s">
        <v>203</v>
      </c>
      <c r="C56" s="26" t="s">
        <v>101</v>
      </c>
      <c r="D56" s="50" cm="1">
        <f t="array" aca="1" ref="D56" ca="1">_xll.VoseOutput("Kg 25 batches","kg")+INDEX(CumU,25)</f>
        <v>140.62119169073961</v>
      </c>
      <c r="E56" s="28"/>
      <c r="F56" s="26"/>
      <c r="G56" s="28"/>
      <c r="H56" s="28"/>
      <c r="I56" s="28"/>
      <c r="J56" s="28"/>
    </row>
    <row r="57" spans="2:10" x14ac:dyDescent="0.45">
      <c r="B57" s="25" t="s">
        <v>204</v>
      </c>
      <c r="C57" s="26" t="s">
        <v>101</v>
      </c>
      <c r="D57" s="50" cm="1">
        <f t="array" aca="1" ref="D57" ca="1">_xll.VoseOutput("Kg 26 batches","kg")+INDEX(CumU,26)</f>
        <v>140.62119169073961</v>
      </c>
      <c r="E57" s="28"/>
      <c r="F57" s="26"/>
      <c r="G57" s="28"/>
      <c r="H57" s="28"/>
      <c r="I57" s="28"/>
      <c r="J57" s="28"/>
    </row>
    <row r="58" spans="2:10" x14ac:dyDescent="0.45">
      <c r="B58" s="25" t="s">
        <v>205</v>
      </c>
      <c r="C58" s="26" t="s">
        <v>101</v>
      </c>
      <c r="D58" s="50" cm="1">
        <f t="array" aca="1" ref="D58" ca="1">_xll.VoseOutput("Kg 27 batches","kg")+INDEX(CumU,27)</f>
        <v>146.78198951329497</v>
      </c>
      <c r="E58" s="28"/>
      <c r="F58" s="26"/>
      <c r="G58" s="28"/>
      <c r="H58" s="28"/>
      <c r="I58" s="28"/>
      <c r="J58" s="28"/>
    </row>
    <row r="59" spans="2:10" x14ac:dyDescent="0.45">
      <c r="B59" s="25" t="s">
        <v>206</v>
      </c>
      <c r="C59" s="26" t="s">
        <v>101</v>
      </c>
      <c r="D59" s="50" cm="1">
        <f t="array" aca="1" ref="D59" ca="1">_xll.VoseOutput("Kg 28 batches","kg")+INDEX(CumU,28)</f>
        <v>152.01769397351777</v>
      </c>
      <c r="E59" s="28"/>
      <c r="F59" s="26"/>
      <c r="G59" s="28"/>
      <c r="H59" s="28"/>
      <c r="I59" s="28"/>
      <c r="J59" s="28"/>
    </row>
    <row r="60" spans="2:10" x14ac:dyDescent="0.45">
      <c r="B60" s="25" t="s">
        <v>207</v>
      </c>
      <c r="C60" s="26" t="s">
        <v>101</v>
      </c>
      <c r="D60" s="50" cm="1">
        <f t="array" aca="1" ref="D60" ca="1">_xll.VoseOutput("Kg 29 batches","kg")+INDEX(CumU,29)</f>
        <v>157.39846975827788</v>
      </c>
      <c r="E60" s="28"/>
      <c r="F60" s="26"/>
      <c r="G60" s="28"/>
      <c r="H60" s="28"/>
      <c r="I60" s="28"/>
      <c r="J60" s="28"/>
    </row>
    <row r="61" spans="2:10" x14ac:dyDescent="0.45">
      <c r="B61" s="25" t="s">
        <v>208</v>
      </c>
      <c r="C61" s="26" t="s">
        <v>101</v>
      </c>
      <c r="D61" s="50" cm="1">
        <f t="array" aca="1" ref="D61" ca="1">_xll.VoseOutput("Kg 30 batches","kg")+INDEX(CumU,30)</f>
        <v>157.39846975827788</v>
      </c>
      <c r="E61" s="28"/>
      <c r="F61" s="26"/>
      <c r="G61" s="28"/>
      <c r="H61" s="28"/>
      <c r="I61" s="28"/>
      <c r="J61" s="28"/>
    </row>
    <row r="62" spans="2:10" ht="8" customHeight="1" x14ac:dyDescent="0.45"/>
    <row r="63" spans="2:10" ht="22.05" customHeight="1" x14ac:dyDescent="0.5">
      <c r="B63" s="7" t="s">
        <v>209</v>
      </c>
      <c r="C63" s="8"/>
      <c r="D63" s="8"/>
      <c r="E63" s="8"/>
      <c r="F63" s="8"/>
      <c r="G63" s="8"/>
      <c r="H63" s="8"/>
      <c r="I63" s="8"/>
      <c r="J63" s="8"/>
    </row>
    <row r="64" spans="2:10" ht="18" customHeight="1" x14ac:dyDescent="0.45">
      <c r="B64" s="13" t="s">
        <v>210</v>
      </c>
    </row>
    <row r="65" spans="2:10" x14ac:dyDescent="0.45">
      <c r="B65" s="25" t="s">
        <v>211</v>
      </c>
      <c r="C65" s="28"/>
      <c r="D65" s="51" t="str">
        <f>IF(AND(FailedBatches&gt;=0,FailedBatches&lt;RunBatches),"OK","CHECK")</f>
        <v>OK</v>
      </c>
      <c r="E65" s="28"/>
      <c r="F65" s="28"/>
      <c r="G65" s="28"/>
      <c r="H65" s="28"/>
      <c r="I65" s="28"/>
      <c r="J65" s="28"/>
    </row>
    <row r="66" spans="2:10" x14ac:dyDescent="0.45">
      <c r="B66" s="25" t="s">
        <v>212</v>
      </c>
      <c r="C66" s="28"/>
      <c r="D66" s="51" t="str">
        <f>IF(AND(Titer_Lo&lt;=Titer_ML,Titer_ML&lt;=Titer_Hi,Titer_Lo&lt;Titer_Hi,Rec_Lo&lt;=Rec_ML,Rec_ML&lt;=Rec_Hi,Rec_Lo&lt;Rec_Hi),"OK","CHECK")</f>
        <v>OK</v>
      </c>
      <c r="E66" s="28"/>
      <c r="F66" s="28"/>
      <c r="G66" s="28"/>
      <c r="H66" s="28"/>
      <c r="I66" s="28"/>
      <c r="J66" s="28"/>
    </row>
    <row r="67" spans="2:10" x14ac:dyDescent="0.45">
      <c r="B67" s="25" t="s">
        <v>213</v>
      </c>
      <c r="C67" s="28"/>
      <c r="D67" s="51" t="str">
        <f>IF(AND(InHouse&gt;=0,InHouse&lt;=32),"OK","CHECK")</f>
        <v>OK</v>
      </c>
      <c r="E67" s="28"/>
      <c r="F67" s="28"/>
      <c r="G67" s="28"/>
      <c r="H67" s="28"/>
      <c r="I67" s="28"/>
      <c r="J67" s="28"/>
    </row>
    <row r="68" spans="2:10" ht="14" customHeight="1" x14ac:dyDescent="0.45"/>
  </sheetData>
  <conditionalFormatting sqref="D65:D67">
    <cfRule type="expression" dxfId="6" priority="1">
      <formula>D65="CHECK"</formula>
    </cfRule>
  </conditionalFormatting>
  <hyperlinks>
    <hyperlink ref="B4" location="'Inputs'!A1" display="◂  Inputs" xr:uid="{00000000-0004-0000-0200-000000000000}"/>
    <hyperlink ref="L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83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0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2" t="str" cm="1">
        <f t="array" aca="1" ref="B6" ca="1">IF(ISNUMBER(_xll.VoseSimMean(Kg_24)),"✔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3"/>
      <c r="D6" s="53"/>
      <c r="E6" s="53"/>
      <c r="F6" s="53"/>
      <c r="G6" s="53"/>
    </row>
    <row r="7" spans="1:18" x14ac:dyDescent="0.45">
      <c r="B7" s="54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216</v>
      </c>
      <c r="C9" s="8"/>
      <c r="D9" s="8"/>
      <c r="E9" s="8"/>
      <c r="F9" s="8"/>
      <c r="G9" s="8"/>
      <c r="I9" s="55" t="s">
        <v>217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tr">
        <f>"Drug substance made and the chance of meeting the "&amp;Demand&amp;" kg needed, by campaign size."</f>
        <v>Drug substance made and the chance of meeting the 120 kg needed, by campaign size.</v>
      </c>
    </row>
    <row r="11" spans="1:18" ht="18" customHeight="1" x14ac:dyDescent="0.45">
      <c r="B11" s="56" t="s">
        <v>61</v>
      </c>
      <c r="C11" s="57" t="s">
        <v>218</v>
      </c>
      <c r="D11" s="57" t="s">
        <v>219</v>
      </c>
      <c r="E11" s="57" t="s">
        <v>220</v>
      </c>
      <c r="F11" s="57" t="s">
        <v>221</v>
      </c>
      <c r="G11" s="57" t="s">
        <v>221</v>
      </c>
    </row>
    <row r="12" spans="1:18" x14ac:dyDescent="0.45">
      <c r="B12" s="43"/>
      <c r="C12" s="43" t="s">
        <v>131</v>
      </c>
      <c r="D12" s="43" t="s">
        <v>101</v>
      </c>
      <c r="E12" s="43" t="s">
        <v>222</v>
      </c>
      <c r="F12" s="43" t="s">
        <v>223</v>
      </c>
      <c r="G12" s="43" t="s">
        <v>224</v>
      </c>
    </row>
    <row r="13" spans="1:18" x14ac:dyDescent="0.45">
      <c r="B13" s="25" t="str">
        <f>"22 batches  ("&amp;MIN(22,InHouse)&amp;" + "&amp;MAX(0,22-InHouse)&amp;" contract)"</f>
        <v>22 batches  (22 + 0 contract)</v>
      </c>
      <c r="C13" s="33">
        <f>MIN(22,InHouse)*CostIn+MAX(0,22-InHouse)*CostCMO</f>
        <v>13.2</v>
      </c>
      <c r="D13" s="58" cm="1">
        <f t="array" aca="1" ref="D13" ca="1">_xll.VoseSimMean(Kg_22)</f>
        <v>110.20907967722199</v>
      </c>
      <c r="E13" s="58" cm="1">
        <f t="array" aca="1" ref="E13" ca="1">_xll.VoseSimPercentile(Kg_22,0.05)</f>
        <v>92.465531174656604</v>
      </c>
      <c r="F13" s="59" cm="1">
        <f t="array" aca="1" ref="F13" ca="1">_xll.VoseSimProbability(BatchesU,22)</f>
        <v>0.1464853514648535</v>
      </c>
      <c r="G13" s="59" cm="1">
        <f t="array" aca="1" ref="G13" ca="1">_xll.VoseSimProbability(BatchesK,22)</f>
        <v>0.16188381161883811</v>
      </c>
    </row>
    <row r="14" spans="1:18" x14ac:dyDescent="0.45">
      <c r="B14" s="25" t="str">
        <f>"23 batches  ("&amp;MIN(23,InHouse)&amp;" + "&amp;MAX(0,23-InHouse)&amp;" contract)"</f>
        <v>23 batches  (23 + 0 contract)</v>
      </c>
      <c r="C14" s="33">
        <f>MIN(23,InHouse)*CostIn+MAX(0,23-InHouse)*CostCMO</f>
        <v>13.799999999999999</v>
      </c>
      <c r="D14" s="58" cm="1">
        <f t="array" aca="1" ref="D14" ca="1">_xll.VoseSimMean(Kg_23)</f>
        <v>115.21518750934757</v>
      </c>
      <c r="E14" s="58" cm="1">
        <f t="array" aca="1" ref="E14" ca="1">_xll.VoseSimPercentile(Kg_23,0.05)</f>
        <v>96.904104819346685</v>
      </c>
      <c r="F14" s="59" cm="1">
        <f t="array" aca="1" ref="F14" ca="1">_xll.VoseSimProbability(BatchesU,23)</f>
        <v>0.36066393360663934</v>
      </c>
      <c r="G14" s="59" cm="1">
        <f t="array" aca="1" ref="G14" ca="1">_xll.VoseSimProbability(BatchesK,23)</f>
        <v>0.41975802419758024</v>
      </c>
    </row>
    <row r="15" spans="1:18" x14ac:dyDescent="0.45">
      <c r="B15" s="25" t="str">
        <f>"24 batches  ("&amp;MIN(24,InHouse)&amp;" + "&amp;MAX(0,24-InHouse)&amp;" contract)"</f>
        <v>24 batches  (24 + 0 contract)</v>
      </c>
      <c r="C15" s="33">
        <f>MIN(24,InHouse)*CostIn+MAX(0,24-InHouse)*CostCMO</f>
        <v>14.399999999999999</v>
      </c>
      <c r="D15" s="58" cm="1">
        <f t="array" aca="1" ref="D15" ca="1">_xll.VoseSimMean(Kg_24)</f>
        <v>120.22988880974422</v>
      </c>
      <c r="E15" s="58" cm="1">
        <f t="array" aca="1" ref="E15" ca="1">_xll.VoseSimPercentile(Kg_24,0.05)</f>
        <v>101.32324406993006</v>
      </c>
      <c r="F15" s="59" cm="1">
        <f t="array" aca="1" ref="F15" ca="1">_xll.VoseSimProbability(BatchesU,24)</f>
        <v>0.56594340565943402</v>
      </c>
      <c r="G15" s="59" cm="1">
        <f t="array" aca="1" ref="G15" ca="1">_xll.VoseSimProbability(BatchesK,24)</f>
        <v>0.67633236676332364</v>
      </c>
    </row>
    <row r="16" spans="1:18" x14ac:dyDescent="0.45">
      <c r="B16" s="25" t="str">
        <f>"25 batches  ("&amp;MIN(25,InHouse)&amp;" + "&amp;MAX(0,25-InHouse)&amp;" contract)"</f>
        <v>25 batches  (24 + 1 contract)</v>
      </c>
      <c r="C16" s="33">
        <f>MIN(25,InHouse)*CostIn+MAX(0,25-InHouse)*CostCMO</f>
        <v>15.799999999999999</v>
      </c>
      <c r="D16" s="58" cm="1">
        <f t="array" aca="1" ref="D16" ca="1">_xll.VoseSimMean(Kg_25)</f>
        <v>125.2408738763269</v>
      </c>
      <c r="E16" s="58" cm="1">
        <f t="array" aca="1" ref="E16" ca="1">_xll.VoseSimPercentile(Kg_25,0.05)</f>
        <v>105.77404267217671</v>
      </c>
      <c r="F16" s="59" cm="1">
        <f t="array" aca="1" ref="F16" ca="1">_xll.VoseSimProbability(BatchesU,25)</f>
        <v>0.72352764723527652</v>
      </c>
      <c r="G16" s="59" cm="1">
        <f t="array" aca="1" ref="G16" ca="1">_xll.VoseSimProbability(BatchesK,25)</f>
        <v>0.84791520847915214</v>
      </c>
    </row>
    <row r="17" spans="2:18" x14ac:dyDescent="0.45">
      <c r="B17" s="25" t="str">
        <f>"26 batches  ("&amp;MIN(26,InHouse)&amp;" + "&amp;MAX(0,26-InHouse)&amp;" contract)"</f>
        <v>26 batches  (24 + 2 contract)</v>
      </c>
      <c r="C17" s="33">
        <f>MIN(26,InHouse)*CostIn+MAX(0,26-InHouse)*CostCMO</f>
        <v>17.2</v>
      </c>
      <c r="D17" s="58" cm="1">
        <f t="array" aca="1" ref="D17" ca="1">_xll.VoseSimMean(Kg_26)</f>
        <v>130.23760922286502</v>
      </c>
      <c r="E17" s="58" cm="1">
        <f t="array" aca="1" ref="E17" ca="1">_xll.VoseSimPercentile(Kg_26,0.05)</f>
        <v>110.64638025958698</v>
      </c>
      <c r="F17" s="59" cm="1">
        <f t="array" aca="1" ref="F17" ca="1">_xll.VoseSimProbability(BatchesU,26)</f>
        <v>0.83351664833516648</v>
      </c>
      <c r="G17" s="59" cm="1">
        <f t="array" aca="1" ref="G17" ca="1">_xll.VoseSimProbability(BatchesK,26)</f>
        <v>0.93890610938906105</v>
      </c>
    </row>
    <row r="18" spans="2:18" x14ac:dyDescent="0.45">
      <c r="B18" s="25" t="str">
        <f>"27 batches  ("&amp;MIN(27,InHouse)&amp;" + "&amp;MAX(0,27-InHouse)&amp;" contract)"</f>
        <v>27 batches  (24 + 3 contract)</v>
      </c>
      <c r="C18" s="33">
        <f>MIN(27,InHouse)*CostIn+MAX(0,27-InHouse)*CostCMO</f>
        <v>18.599999999999998</v>
      </c>
      <c r="D18" s="58" cm="1">
        <f t="array" aca="1" ref="D18" ca="1">_xll.VoseSimMean(Kg_27)</f>
        <v>135.24042779134049</v>
      </c>
      <c r="E18" s="58" cm="1">
        <f t="array" aca="1" ref="E18" ca="1">_xll.VoseSimPercentile(Kg_27,0.05)</f>
        <v>115.06909302659977</v>
      </c>
      <c r="F18" s="59" cm="1">
        <f t="array" aca="1" ref="F18" ca="1">_xll.VoseSimProbability(BatchesU,27)</f>
        <v>0.90480951904809515</v>
      </c>
      <c r="G18" s="59" cm="1">
        <f t="array" aca="1" ref="G18" ca="1">_xll.VoseSimProbability(BatchesK,27)</f>
        <v>0.97740225977402262</v>
      </c>
    </row>
    <row r="19" spans="2:18" x14ac:dyDescent="0.45">
      <c r="B19" s="25" t="str">
        <f>"28 batches  ("&amp;MIN(28,InHouse)&amp;" + "&amp;MAX(0,28-InHouse)&amp;" contract)"</f>
        <v>28 batches  (24 + 4 contract)</v>
      </c>
      <c r="C19" s="33">
        <f>MIN(28,InHouse)*CostIn+MAX(0,28-InHouse)*CostCMO</f>
        <v>20</v>
      </c>
      <c r="D19" s="58" cm="1">
        <f t="array" aca="1" ref="D19" ca="1">_xll.VoseSimMean(Kg_28)</f>
        <v>140.27370083895096</v>
      </c>
      <c r="E19" s="58" cm="1">
        <f t="array" aca="1" ref="E19" ca="1">_xll.VoseSimPercentile(Kg_28,0.05)</f>
        <v>119.57697687321196</v>
      </c>
      <c r="F19" s="59" cm="1">
        <f t="array" aca="1" ref="F19" ca="1">_xll.VoseSimProbability(BatchesU,28)</f>
        <v>0.94670532946705332</v>
      </c>
      <c r="G19" s="59" cm="1">
        <f t="array" aca="1" ref="G19" ca="1">_xll.VoseSimProbability(BatchesK,28)</f>
        <v>0.99110088991100886</v>
      </c>
    </row>
    <row r="20" spans="2:18" x14ac:dyDescent="0.45">
      <c r="B20" s="25" t="str">
        <f>"29 batches  ("&amp;MIN(29,InHouse)&amp;" + "&amp;MAX(0,29-InHouse)&amp;" contract)"</f>
        <v>29 batches  (24 + 5 contract)</v>
      </c>
      <c r="C20" s="33">
        <f>MIN(29,InHouse)*CostIn+MAX(0,29-InHouse)*CostCMO</f>
        <v>21.4</v>
      </c>
      <c r="D20" s="58" cm="1">
        <f t="array" aca="1" ref="D20" ca="1">_xll.VoseSimMean(Kg_29)</f>
        <v>145.23406611690541</v>
      </c>
      <c r="E20" s="58" cm="1">
        <f t="array" aca="1" ref="E20" ca="1">_xll.VoseSimPercentile(Kg_29,0.05)</f>
        <v>123.68957155520143</v>
      </c>
      <c r="F20" s="59" cm="1">
        <f t="array" aca="1" ref="F20" ca="1">_xll.VoseSimProbability(BatchesU,29)</f>
        <v>0.97030296970302965</v>
      </c>
      <c r="G20" s="59" cm="1">
        <f t="array" aca="1" ref="G20" ca="1">_xll.VoseSimProbability(BatchesK,29)</f>
        <v>0.9973002699730027</v>
      </c>
    </row>
    <row r="21" spans="2:18" x14ac:dyDescent="0.45">
      <c r="B21" s="25" t="str">
        <f>"30 batches  ("&amp;MIN(30,InHouse)&amp;" + "&amp;MAX(0,30-InHouse)&amp;" contract)"</f>
        <v>30 batches  (24 + 6 contract)</v>
      </c>
      <c r="C21" s="33">
        <f>MIN(30,InHouse)*CostIn+MAX(0,30-InHouse)*CostCMO</f>
        <v>22.799999999999997</v>
      </c>
      <c r="D21" s="58" cm="1">
        <f t="array" aca="1" ref="D21" ca="1">_xll.VoseSimMean(Kg_30)</f>
        <v>150.25376572537255</v>
      </c>
      <c r="E21" s="58" cm="1">
        <f t="array" aca="1" ref="E21" ca="1">_xll.VoseSimPercentile(Kg_30,0.05)</f>
        <v>128.30302357274641</v>
      </c>
      <c r="F21" s="59" cm="1">
        <f t="array" aca="1" ref="F21" ca="1">_xll.VoseSimProbability(BatchesU,30)</f>
        <v>0.98160183981601845</v>
      </c>
      <c r="G21" s="59" cm="1">
        <f t="array" aca="1" ref="G21" ca="1">_xll.VoseSimProbability(BatchesK,30)</f>
        <v>0.99920007999200078</v>
      </c>
    </row>
    <row r="22" spans="2:18" x14ac:dyDescent="0.45">
      <c r="B22" s="60" t="s">
        <v>225</v>
      </c>
    </row>
    <row r="23" spans="2:18" x14ac:dyDescent="0.45">
      <c r="B23" s="60" t="str">
        <f>"Green: at least the "&amp;TEXT(Confidence,"0%")&amp;" wanted. Rate known: the failure rate taken as exactly "&amp;FailedBatches&amp;" in "&amp;RunBatches&amp;"."</f>
        <v>Green: at least the 95% wanted. Rate known: the failure rate taken as exactly 3 in 40.</v>
      </c>
    </row>
    <row r="24" spans="2:18" ht="8" customHeight="1" x14ac:dyDescent="0.45"/>
    <row r="25" spans="2:18" ht="22.05" customHeight="1" x14ac:dyDescent="0.5">
      <c r="B25" s="7" t="s">
        <v>226</v>
      </c>
      <c r="C25" s="8"/>
      <c r="D25" s="8"/>
      <c r="E25" s="8"/>
      <c r="F25" s="8"/>
      <c r="G25" s="8"/>
      <c r="I25" s="55" t="s">
        <v>227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ht="18" customHeight="1" x14ac:dyDescent="0.45">
      <c r="B26" s="13" t="s">
        <v>228</v>
      </c>
    </row>
    <row r="27" spans="2:18" ht="18" customHeight="1" x14ac:dyDescent="0.45">
      <c r="B27" s="23" t="s">
        <v>229</v>
      </c>
      <c r="C27" s="23" t="s">
        <v>96</v>
      </c>
      <c r="D27" s="24" t="s">
        <v>140</v>
      </c>
      <c r="E27" s="5"/>
      <c r="F27" s="5"/>
      <c r="G27" s="5"/>
    </row>
    <row r="28" spans="2:18" x14ac:dyDescent="0.45">
      <c r="B28" s="61" t="str">
        <f>"Failure rate taken as known  ("&amp;FailedBatches&amp;" in "&amp;RunBatches&amp;")"</f>
        <v>Failure rate taken as known  (3 in 40)</v>
      </c>
      <c r="C28" s="26" t="s">
        <v>143</v>
      </c>
      <c r="D28" s="40">
        <f>FailPoint</f>
        <v>7.4999999999999997E-2</v>
      </c>
      <c r="E28" s="28"/>
      <c r="F28" s="28"/>
      <c r="G28" s="28"/>
    </row>
    <row r="29" spans="2:18" x14ac:dyDescent="0.45">
      <c r="B29" s="62" t="s">
        <v>230</v>
      </c>
      <c r="C29" s="26" t="s">
        <v>143</v>
      </c>
      <c r="D29" s="59" cm="1">
        <f t="array" aca="1" ref="D29" ca="1">_xll.VoseSimMean(FailRate)</f>
        <v>9.5260138657043275E-2</v>
      </c>
      <c r="E29" s="28"/>
      <c r="F29" s="28"/>
      <c r="G29" s="28"/>
    </row>
    <row r="30" spans="2:18" x14ac:dyDescent="0.45">
      <c r="B30" s="25" t="s">
        <v>231</v>
      </c>
      <c r="C30" s="26" t="s">
        <v>143</v>
      </c>
      <c r="D30" s="59" cm="1">
        <f t="array" aca="1" ref="D30" ca="1">_xll.VoseSimPercentile(FailRate,0.9)</f>
        <v>0.15623692918771459</v>
      </c>
      <c r="E30" s="28"/>
      <c r="F30" s="28"/>
      <c r="G30" s="28"/>
    </row>
    <row r="31" spans="2:18" x14ac:dyDescent="0.45">
      <c r="B31" s="62" t="str">
        <f>"Batches for "&amp;TEXT(Confidence,"0%")&amp;" confidence, rate uncertain"</f>
        <v>Batches for 95% confidence, rate uncertain</v>
      </c>
      <c r="C31" s="26" t="s">
        <v>125</v>
      </c>
      <c r="D31" s="63" cm="1">
        <f t="array" aca="1" ref="D31" ca="1">_xll.VoseSimPercentile(BatchesU,Confidence)</f>
        <v>29</v>
      </c>
      <c r="E31" s="28"/>
      <c r="F31" s="28"/>
      <c r="G31" s="28"/>
    </row>
    <row r="32" spans="2:18" x14ac:dyDescent="0.45">
      <c r="B32" s="25" t="str">
        <f>"Batches for "&amp;TEXT(Confidence,"0%")&amp;" confidence, rate taken as known"</f>
        <v>Batches for 95% confidence, rate taken as known</v>
      </c>
      <c r="C32" s="26" t="s">
        <v>125</v>
      </c>
      <c r="D32" s="63" cm="1">
        <f t="array" aca="1" ref="D32" ca="1">_xll.VoseSimPercentile(BatchesK,Confidence)</f>
        <v>27</v>
      </c>
      <c r="E32" s="28"/>
      <c r="F32" s="28"/>
      <c r="G32" s="28"/>
    </row>
    <row r="33" spans="2:7" x14ac:dyDescent="0.45">
      <c r="B33" s="60" t="s">
        <v>232</v>
      </c>
    </row>
    <row r="34" spans="2:7" ht="8" customHeight="1" x14ac:dyDescent="0.45"/>
    <row r="40" spans="2:7" ht="22.05" customHeight="1" x14ac:dyDescent="0.5">
      <c r="B40" s="7" t="s">
        <v>233</v>
      </c>
      <c r="C40" s="8"/>
      <c r="D40" s="8"/>
      <c r="E40" s="8"/>
      <c r="F40" s="8"/>
      <c r="G40" s="8"/>
    </row>
    <row r="41" spans="2:7" ht="32" customHeight="1" x14ac:dyDescent="0.45">
      <c r="B41" s="71" t="s">
        <v>234</v>
      </c>
      <c r="C41" s="72"/>
      <c r="D41" s="72"/>
      <c r="E41" s="72"/>
      <c r="F41" s="72"/>
      <c r="G41" s="72"/>
    </row>
    <row r="42" spans="2:7" ht="32" customHeight="1" x14ac:dyDescent="0.45">
      <c r="B42" s="71" t="s">
        <v>235</v>
      </c>
      <c r="C42" s="72"/>
      <c r="D42" s="72"/>
      <c r="E42" s="72"/>
      <c r="F42" s="72"/>
      <c r="G42" s="72"/>
    </row>
    <row r="43" spans="2:7" ht="45" customHeight="1" x14ac:dyDescent="0.45">
      <c r="B43" s="71" t="s">
        <v>236</v>
      </c>
      <c r="C43" s="72"/>
      <c r="D43" s="72"/>
      <c r="E43" s="72"/>
      <c r="F43" s="72"/>
      <c r="G43" s="72"/>
    </row>
    <row r="44" spans="2:7" ht="45" customHeight="1" x14ac:dyDescent="0.45">
      <c r="B44" s="71" t="s">
        <v>237</v>
      </c>
      <c r="C44" s="72"/>
      <c r="D44" s="72"/>
      <c r="E44" s="72"/>
      <c r="F44" s="72"/>
      <c r="G44" s="72"/>
    </row>
    <row r="45" spans="2:7" ht="14" customHeight="1" x14ac:dyDescent="0.45"/>
    <row r="46" spans="2:7" ht="14" customHeight="1" x14ac:dyDescent="0.45"/>
    <row r="47" spans="2:7" ht="22.05" customHeight="1" x14ac:dyDescent="0.5">
      <c r="B47" s="7" t="s">
        <v>238</v>
      </c>
      <c r="C47" s="8"/>
      <c r="D47" s="8"/>
      <c r="E47" s="8"/>
      <c r="F47" s="8"/>
      <c r="G47" s="8"/>
    </row>
    <row r="48" spans="2:7" ht="18" customHeight="1" x14ac:dyDescent="0.45">
      <c r="B48" s="13" t="s">
        <v>239</v>
      </c>
    </row>
    <row r="49" spans="2:7" ht="28.05" hidden="1" customHeight="1" outlineLevel="1" x14ac:dyDescent="0.45">
      <c r="B49" s="24" t="s">
        <v>240</v>
      </c>
      <c r="C49" s="24" t="s">
        <v>241</v>
      </c>
      <c r="D49" s="24" t="s">
        <v>242</v>
      </c>
      <c r="E49" s="5"/>
      <c r="F49" s="5"/>
      <c r="G49" s="5"/>
    </row>
    <row r="50" spans="2:7" hidden="1" outlineLevel="1" x14ac:dyDescent="0.45">
      <c r="B50" s="64">
        <v>0.01</v>
      </c>
      <c r="C50" s="64">
        <f t="shared" ref="C50:C81" si="0">1-B50</f>
        <v>0.99</v>
      </c>
      <c r="D50" s="65" cm="1">
        <f t="array" aca="1" ref="D50" ca="1">IF(ISNUMBER(_xll.VoseSimPercentile(FailRate,$B50)),_xll.VoseSimPercentile(FailRate,$B50),NA())</f>
        <v>2.0070919334226622E-2</v>
      </c>
    </row>
    <row r="51" spans="2:7" hidden="1" outlineLevel="1" x14ac:dyDescent="0.45">
      <c r="B51" s="64">
        <v>0.03</v>
      </c>
      <c r="C51" s="64">
        <f t="shared" si="0"/>
        <v>0.97</v>
      </c>
      <c r="D51" s="65" cm="1">
        <f t="array" aca="1" ref="D51" ca="1">IF(ISNUMBER(_xll.VoseSimPercentile(FailRate,$B51)),_xll.VoseSimPercentile(FailRate,$B51),NA())</f>
        <v>2.8407243095288574E-2</v>
      </c>
    </row>
    <row r="52" spans="2:7" hidden="1" outlineLevel="1" x14ac:dyDescent="0.45">
      <c r="B52" s="64">
        <v>0.05</v>
      </c>
      <c r="C52" s="64">
        <f t="shared" si="0"/>
        <v>0.95</v>
      </c>
      <c r="D52" s="65" cm="1">
        <f t="array" aca="1" ref="D52" ca="1">IF(ISNUMBER(_xll.VoseSimPercentile(FailRate,$B52)),_xll.VoseSimPercentile(FailRate,$B52),NA())</f>
        <v>3.3590967044221653E-2</v>
      </c>
    </row>
    <row r="53" spans="2:7" hidden="1" outlineLevel="1" x14ac:dyDescent="0.45">
      <c r="B53" s="64">
        <v>7.0000000000000007E-2</v>
      </c>
      <c r="C53" s="64">
        <f t="shared" si="0"/>
        <v>0.92999999999999994</v>
      </c>
      <c r="D53" s="65" cm="1">
        <f t="array" aca="1" ref="D53" ca="1">IF(ISNUMBER(_xll.VoseSimPercentile(FailRate,$B53)),_xll.VoseSimPercentile(FailRate,$B53),NA())</f>
        <v>3.7817636138515777E-2</v>
      </c>
    </row>
    <row r="54" spans="2:7" hidden="1" outlineLevel="1" x14ac:dyDescent="0.45">
      <c r="B54" s="64">
        <v>0.09</v>
      </c>
      <c r="C54" s="64">
        <f t="shared" si="0"/>
        <v>0.91</v>
      </c>
      <c r="D54" s="65" cm="1">
        <f t="array" aca="1" ref="D54" ca="1">IF(ISNUMBER(_xll.VoseSimPercentile(FailRate,$B54)),_xll.VoseSimPercentile(FailRate,$B54),NA())</f>
        <v>4.1372287078614366E-2</v>
      </c>
    </row>
    <row r="55" spans="2:7" hidden="1" outlineLevel="1" x14ac:dyDescent="0.45">
      <c r="B55" s="64">
        <v>0.11</v>
      </c>
      <c r="C55" s="64">
        <f t="shared" si="0"/>
        <v>0.89</v>
      </c>
      <c r="D55" s="65" cm="1">
        <f t="array" aca="1" ref="D55" ca="1">IF(ISNUMBER(_xll.VoseSimPercentile(FailRate,$B55)),_xll.VoseSimPercentile(FailRate,$B55),NA())</f>
        <v>4.4665092274593643E-2</v>
      </c>
    </row>
    <row r="56" spans="2:7" hidden="1" outlineLevel="1" x14ac:dyDescent="0.45">
      <c r="B56" s="64">
        <v>0.13</v>
      </c>
      <c r="C56" s="64">
        <f t="shared" si="0"/>
        <v>0.87</v>
      </c>
      <c r="D56" s="65" cm="1">
        <f t="array" aca="1" ref="D56" ca="1">IF(ISNUMBER(_xll.VoseSimPercentile(FailRate,$B56)),_xll.VoseSimPercentile(FailRate,$B56),NA())</f>
        <v>4.7693321046294423E-2</v>
      </c>
    </row>
    <row r="57" spans="2:7" hidden="1" outlineLevel="1" x14ac:dyDescent="0.45">
      <c r="B57" s="64">
        <v>0.15</v>
      </c>
      <c r="C57" s="64">
        <f t="shared" si="0"/>
        <v>0.85</v>
      </c>
      <c r="D57" s="65" cm="1">
        <f t="array" aca="1" ref="D57" ca="1">IF(ISNUMBER(_xll.VoseSimPercentile(FailRate,$B57)),_xll.VoseSimPercentile(FailRate,$B57),NA())</f>
        <v>5.0456652634099299E-2</v>
      </c>
    </row>
    <row r="58" spans="2:7" hidden="1" outlineLevel="1" x14ac:dyDescent="0.45">
      <c r="B58" s="64">
        <v>0.17</v>
      </c>
      <c r="C58" s="64">
        <f t="shared" si="0"/>
        <v>0.83</v>
      </c>
      <c r="D58" s="65" cm="1">
        <f t="array" aca="1" ref="D58" ca="1">IF(ISNUMBER(_xll.VoseSimPercentile(FailRate,$B58)),_xll.VoseSimPercentile(FailRate,$B58),NA())</f>
        <v>5.3167993130297769E-2</v>
      </c>
    </row>
    <row r="59" spans="2:7" hidden="1" outlineLevel="1" x14ac:dyDescent="0.45">
      <c r="B59" s="64">
        <v>0.19</v>
      </c>
      <c r="C59" s="64">
        <f t="shared" si="0"/>
        <v>0.81</v>
      </c>
      <c r="D59" s="65" cm="1">
        <f t="array" aca="1" ref="D59" ca="1">IF(ISNUMBER(_xll.VoseSimPercentile(FailRate,$B59)),_xll.VoseSimPercentile(FailRate,$B59),NA())</f>
        <v>5.5367440077161621E-2</v>
      </c>
    </row>
    <row r="60" spans="2:7" hidden="1" outlineLevel="1" x14ac:dyDescent="0.45">
      <c r="B60" s="64">
        <v>0.21</v>
      </c>
      <c r="C60" s="64">
        <f t="shared" si="0"/>
        <v>0.79</v>
      </c>
      <c r="D60" s="65" cm="1">
        <f t="array" aca="1" ref="D60" ca="1">IF(ISNUMBER(_xll.VoseSimPercentile(FailRate,$B60)),_xll.VoseSimPercentile(FailRate,$B60),NA())</f>
        <v>5.7776594343403043E-2</v>
      </c>
    </row>
    <row r="61" spans="2:7" hidden="1" outlineLevel="1" x14ac:dyDescent="0.45">
      <c r="B61" s="64">
        <v>0.23</v>
      </c>
      <c r="C61" s="64">
        <f t="shared" si="0"/>
        <v>0.77</v>
      </c>
      <c r="D61" s="65" cm="1">
        <f t="array" aca="1" ref="D61" ca="1">IF(ISNUMBER(_xll.VoseSimPercentile(FailRate,$B61)),_xll.VoseSimPercentile(FailRate,$B61),NA())</f>
        <v>6.0154826094309652E-2</v>
      </c>
    </row>
    <row r="62" spans="2:7" hidden="1" outlineLevel="1" x14ac:dyDescent="0.45">
      <c r="B62" s="64">
        <v>0.25</v>
      </c>
      <c r="C62" s="64">
        <f t="shared" si="0"/>
        <v>0.75</v>
      </c>
      <c r="D62" s="65" cm="1">
        <f t="array" aca="1" ref="D62" ca="1">IF(ISNUMBER(_xll.VoseSimPercentile(FailRate,$B62)),_xll.VoseSimPercentile(FailRate,$B62),NA())</f>
        <v>6.235777422459908E-2</v>
      </c>
    </row>
    <row r="63" spans="2:7" hidden="1" outlineLevel="1" x14ac:dyDescent="0.45">
      <c r="B63" s="64">
        <v>0.27</v>
      </c>
      <c r="C63" s="64">
        <f t="shared" si="0"/>
        <v>0.73</v>
      </c>
      <c r="D63" s="65" cm="1">
        <f t="array" aca="1" ref="D63" ca="1">IF(ISNUMBER(_xll.VoseSimPercentile(FailRate,$B63)),_xll.VoseSimPercentile(FailRate,$B63),NA())</f>
        <v>6.4569229762292485E-2</v>
      </c>
    </row>
    <row r="64" spans="2:7" hidden="1" outlineLevel="1" x14ac:dyDescent="0.45">
      <c r="B64" s="64">
        <v>0.28999999999999998</v>
      </c>
      <c r="C64" s="64">
        <f t="shared" si="0"/>
        <v>0.71</v>
      </c>
      <c r="D64" s="65" cm="1">
        <f t="array" aca="1" ref="D64" ca="1">IF(ISNUMBER(_xll.VoseSimPercentile(FailRate,$B64)),_xll.VoseSimPercentile(FailRate,$B64),NA())</f>
        <v>6.6527628053768967E-2</v>
      </c>
    </row>
    <row r="65" spans="2:4" hidden="1" outlineLevel="1" x14ac:dyDescent="0.45">
      <c r="B65" s="64">
        <v>0.31</v>
      </c>
      <c r="C65" s="64">
        <f t="shared" si="0"/>
        <v>0.69</v>
      </c>
      <c r="D65" s="65" cm="1">
        <f t="array" aca="1" ref="D65" ca="1">IF(ISNUMBER(_xll.VoseSimPercentile(FailRate,$B65)),_xll.VoseSimPercentile(FailRate,$B65),NA())</f>
        <v>6.8605929317934522E-2</v>
      </c>
    </row>
    <row r="66" spans="2:4" hidden="1" outlineLevel="1" x14ac:dyDescent="0.45">
      <c r="B66" s="64">
        <v>0.33</v>
      </c>
      <c r="C66" s="64">
        <f t="shared" si="0"/>
        <v>0.66999999999999993</v>
      </c>
      <c r="D66" s="65" cm="1">
        <f t="array" aca="1" ref="D66" ca="1">IF(ISNUMBER(_xll.VoseSimPercentile(FailRate,$B66)),_xll.VoseSimPercentile(FailRate,$B66),NA())</f>
        <v>7.0701069556123056E-2</v>
      </c>
    </row>
    <row r="67" spans="2:4" hidden="1" outlineLevel="1" x14ac:dyDescent="0.45">
      <c r="B67" s="64">
        <v>0.35</v>
      </c>
      <c r="C67" s="64">
        <f t="shared" si="0"/>
        <v>0.65</v>
      </c>
      <c r="D67" s="65" cm="1">
        <f t="array" aca="1" ref="D67" ca="1">IF(ISNUMBER(_xll.VoseSimPercentile(FailRate,$B67)),_xll.VoseSimPercentile(FailRate,$B67),NA())</f>
        <v>7.3020725448588231E-2</v>
      </c>
    </row>
    <row r="68" spans="2:4" hidden="1" outlineLevel="1" x14ac:dyDescent="0.45">
      <c r="B68" s="64">
        <v>0.37</v>
      </c>
      <c r="C68" s="64">
        <f t="shared" si="0"/>
        <v>0.63</v>
      </c>
      <c r="D68" s="65" cm="1">
        <f t="array" aca="1" ref="D68" ca="1">IF(ISNUMBER(_xll.VoseSimPercentile(FailRate,$B68)),_xll.VoseSimPercentile(FailRate,$B68),NA())</f>
        <v>7.5105888396834408E-2</v>
      </c>
    </row>
    <row r="69" spans="2:4" hidden="1" outlineLevel="1" x14ac:dyDescent="0.45">
      <c r="B69" s="64">
        <v>0.39</v>
      </c>
      <c r="C69" s="64">
        <f t="shared" si="0"/>
        <v>0.61</v>
      </c>
      <c r="D69" s="65" cm="1">
        <f t="array" aca="1" ref="D69" ca="1">IF(ISNUMBER(_xll.VoseSimPercentile(FailRate,$B69)),_xll.VoseSimPercentile(FailRate,$B69),NA())</f>
        <v>7.7299044642506254E-2</v>
      </c>
    </row>
    <row r="70" spans="2:4" hidden="1" outlineLevel="1" x14ac:dyDescent="0.45">
      <c r="B70" s="64">
        <v>0.41</v>
      </c>
      <c r="C70" s="64">
        <f t="shared" si="0"/>
        <v>0.59000000000000008</v>
      </c>
      <c r="D70" s="65" cm="1">
        <f t="array" aca="1" ref="D70" ca="1">IF(ISNUMBER(_xll.VoseSimPercentile(FailRate,$B70)),_xll.VoseSimPercentile(FailRate,$B70),NA())</f>
        <v>7.9560944160304015E-2</v>
      </c>
    </row>
    <row r="71" spans="2:4" hidden="1" outlineLevel="1" x14ac:dyDescent="0.45">
      <c r="B71" s="64">
        <v>0.43</v>
      </c>
      <c r="C71" s="64">
        <f t="shared" si="0"/>
        <v>0.57000000000000006</v>
      </c>
      <c r="D71" s="65" cm="1">
        <f t="array" aca="1" ref="D71" ca="1">IF(ISNUMBER(_xll.VoseSimPercentile(FailRate,$B71)),_xll.VoseSimPercentile(FailRate,$B71),NA())</f>
        <v>8.145880213084998E-2</v>
      </c>
    </row>
    <row r="72" spans="2:4" hidden="1" outlineLevel="1" x14ac:dyDescent="0.45">
      <c r="B72" s="64">
        <v>0.45</v>
      </c>
      <c r="C72" s="64">
        <f t="shared" si="0"/>
        <v>0.55000000000000004</v>
      </c>
      <c r="D72" s="65" cm="1">
        <f t="array" aca="1" ref="D72" ca="1">IF(ISNUMBER(_xll.VoseSimPercentile(FailRate,$B72)),_xll.VoseSimPercentile(FailRate,$B72),NA())</f>
        <v>8.3747196867862167E-2</v>
      </c>
    </row>
    <row r="73" spans="2:4" hidden="1" outlineLevel="1" x14ac:dyDescent="0.45">
      <c r="B73" s="64">
        <v>0.47</v>
      </c>
      <c r="C73" s="64">
        <f t="shared" si="0"/>
        <v>0.53</v>
      </c>
      <c r="D73" s="65" cm="1">
        <f t="array" aca="1" ref="D73" ca="1">IF(ISNUMBER(_xll.VoseSimPercentile(FailRate,$B73)),_xll.VoseSimPercentile(FailRate,$B73),NA())</f>
        <v>8.601491602016785E-2</v>
      </c>
    </row>
    <row r="74" spans="2:4" hidden="1" outlineLevel="1" x14ac:dyDescent="0.45">
      <c r="B74" s="64">
        <v>0.49</v>
      </c>
      <c r="C74" s="64">
        <f t="shared" si="0"/>
        <v>0.51</v>
      </c>
      <c r="D74" s="65" cm="1">
        <f t="array" aca="1" ref="D74" ca="1">IF(ISNUMBER(_xll.VoseSimPercentile(FailRate,$B74)),_xll.VoseSimPercentile(FailRate,$B74),NA())</f>
        <v>8.807035194043758E-2</v>
      </c>
    </row>
    <row r="75" spans="2:4" hidden="1" outlineLevel="1" x14ac:dyDescent="0.45">
      <c r="B75" s="64">
        <v>0.51</v>
      </c>
      <c r="C75" s="64">
        <f t="shared" si="0"/>
        <v>0.49</v>
      </c>
      <c r="D75" s="65" cm="1">
        <f t="array" aca="1" ref="D75" ca="1">IF(ISNUMBER(_xll.VoseSimPercentile(FailRate,$B75)),_xll.VoseSimPercentile(FailRate,$B75),NA())</f>
        <v>9.0271550067003825E-2</v>
      </c>
    </row>
    <row r="76" spans="2:4" hidden="1" outlineLevel="1" x14ac:dyDescent="0.45">
      <c r="B76" s="64">
        <v>0.53</v>
      </c>
      <c r="C76" s="64">
        <f t="shared" si="0"/>
        <v>0.47</v>
      </c>
      <c r="D76" s="65" cm="1">
        <f t="array" aca="1" ref="D76" ca="1">IF(ISNUMBER(_xll.VoseSimPercentile(FailRate,$B76)),_xll.VoseSimPercentile(FailRate,$B76),NA())</f>
        <v>9.2292562626041796E-2</v>
      </c>
    </row>
    <row r="77" spans="2:4" hidden="1" outlineLevel="1" x14ac:dyDescent="0.45">
      <c r="B77" s="64">
        <v>0.55000000000000004</v>
      </c>
      <c r="C77" s="64">
        <f t="shared" si="0"/>
        <v>0.44999999999999996</v>
      </c>
      <c r="D77" s="65" cm="1">
        <f t="array" aca="1" ref="D77" ca="1">IF(ISNUMBER(_xll.VoseSimPercentile(FailRate,$B77)),_xll.VoseSimPercentile(FailRate,$B77),NA())</f>
        <v>9.4322233047074655E-2</v>
      </c>
    </row>
    <row r="78" spans="2:4" hidden="1" outlineLevel="1" x14ac:dyDescent="0.45">
      <c r="B78" s="64">
        <v>0.56999999999999995</v>
      </c>
      <c r="C78" s="64">
        <f t="shared" si="0"/>
        <v>0.43000000000000005</v>
      </c>
      <c r="D78" s="65" cm="1">
        <f t="array" aca="1" ref="D78" ca="1">IF(ISNUMBER(_xll.VoseSimPercentile(FailRate,$B78)),_xll.VoseSimPercentile(FailRate,$B78),NA())</f>
        <v>9.6557551002088626E-2</v>
      </c>
    </row>
    <row r="79" spans="2:4" hidden="1" outlineLevel="1" x14ac:dyDescent="0.45">
      <c r="B79" s="64">
        <v>0.59</v>
      </c>
      <c r="C79" s="64">
        <f t="shared" si="0"/>
        <v>0.41000000000000003</v>
      </c>
      <c r="D79" s="65" cm="1">
        <f t="array" aca="1" ref="D79" ca="1">IF(ISNUMBER(_xll.VoseSimPercentile(FailRate,$B79)),_xll.VoseSimPercentile(FailRate,$B79),NA())</f>
        <v>9.8734999389697764E-2</v>
      </c>
    </row>
    <row r="80" spans="2:4" hidden="1" outlineLevel="1" x14ac:dyDescent="0.45">
      <c r="B80" s="64">
        <v>0.61</v>
      </c>
      <c r="C80" s="64">
        <f t="shared" si="0"/>
        <v>0.39</v>
      </c>
      <c r="D80" s="65" cm="1">
        <f t="array" aca="1" ref="D80" ca="1">IF(ISNUMBER(_xll.VoseSimPercentile(FailRate,$B80)),_xll.VoseSimPercentile(FailRate,$B80),NA())</f>
        <v>0.10125130868526444</v>
      </c>
    </row>
    <row r="81" spans="2:4" hidden="1" outlineLevel="1" x14ac:dyDescent="0.45">
      <c r="B81" s="64">
        <v>0.63</v>
      </c>
      <c r="C81" s="64">
        <f t="shared" si="0"/>
        <v>0.37</v>
      </c>
      <c r="D81" s="65" cm="1">
        <f t="array" aca="1" ref="D81" ca="1">IF(ISNUMBER(_xll.VoseSimPercentile(FailRate,$B81)),_xll.VoseSimPercentile(FailRate,$B81),NA())</f>
        <v>0.10390219782543864</v>
      </c>
    </row>
    <row r="82" spans="2:4" hidden="1" outlineLevel="1" x14ac:dyDescent="0.45">
      <c r="B82" s="64">
        <v>0.65</v>
      </c>
      <c r="C82" s="64">
        <f t="shared" ref="C82:C113" si="1">1-B82</f>
        <v>0.35</v>
      </c>
      <c r="D82" s="65" cm="1">
        <f t="array" aca="1" ref="D82" ca="1">IF(ISNUMBER(_xll.VoseSimPercentile(FailRate,$B82)),_xll.VoseSimPercentile(FailRate,$B82),NA())</f>
        <v>0.10664350962612701</v>
      </c>
    </row>
    <row r="83" spans="2:4" hidden="1" outlineLevel="1" x14ac:dyDescent="0.45">
      <c r="B83" s="64">
        <v>0.67</v>
      </c>
      <c r="C83" s="64">
        <f t="shared" si="1"/>
        <v>0.32999999999999996</v>
      </c>
      <c r="D83" s="65" cm="1">
        <f t="array" aca="1" ref="D83" ca="1">IF(ISNUMBER(_xll.VoseSimPercentile(FailRate,$B83)),_xll.VoseSimPercentile(FailRate,$B83),NA())</f>
        <v>0.10941271278920051</v>
      </c>
    </row>
    <row r="84" spans="2:4" hidden="1" outlineLevel="1" x14ac:dyDescent="0.45">
      <c r="B84" s="64">
        <v>0.69</v>
      </c>
      <c r="C84" s="64">
        <f t="shared" si="1"/>
        <v>0.31000000000000005</v>
      </c>
      <c r="D84" s="65" cm="1">
        <f t="array" aca="1" ref="D84" ca="1">IF(ISNUMBER(_xll.VoseSimPercentile(FailRate,$B84)),_xll.VoseSimPercentile(FailRate,$B84),NA())</f>
        <v>0.11228645667214832</v>
      </c>
    </row>
    <row r="85" spans="2:4" hidden="1" outlineLevel="1" x14ac:dyDescent="0.45">
      <c r="B85" s="64">
        <v>0.71</v>
      </c>
      <c r="C85" s="64">
        <f t="shared" si="1"/>
        <v>0.29000000000000004</v>
      </c>
      <c r="D85" s="65" cm="1">
        <f t="array" aca="1" ref="D85" ca="1">IF(ISNUMBER(_xll.VoseSimPercentile(FailRate,$B85)),_xll.VoseSimPercentile(FailRate,$B85),NA())</f>
        <v>0.11532757024318829</v>
      </c>
    </row>
    <row r="86" spans="2:4" hidden="1" outlineLevel="1" x14ac:dyDescent="0.45">
      <c r="B86" s="64">
        <v>0.73</v>
      </c>
      <c r="C86" s="64">
        <f t="shared" si="1"/>
        <v>0.27</v>
      </c>
      <c r="D86" s="65" cm="1">
        <f t="array" aca="1" ref="D86" ca="1">IF(ISNUMBER(_xll.VoseSimPercentile(FailRate,$B86)),_xll.VoseSimPercentile(FailRate,$B86),NA())</f>
        <v>0.11829978439856537</v>
      </c>
    </row>
    <row r="87" spans="2:4" hidden="1" outlineLevel="1" x14ac:dyDescent="0.45">
      <c r="B87" s="64">
        <v>0.75</v>
      </c>
      <c r="C87" s="64">
        <f t="shared" si="1"/>
        <v>0.25</v>
      </c>
      <c r="D87" s="65" cm="1">
        <f t="array" aca="1" ref="D87" ca="1">IF(ISNUMBER(_xll.VoseSimPercentile(FailRate,$B87)),_xll.VoseSimPercentile(FailRate,$B87),NA())</f>
        <v>0.12143168030110285</v>
      </c>
    </row>
    <row r="88" spans="2:4" hidden="1" outlineLevel="1" x14ac:dyDescent="0.45">
      <c r="B88" s="64">
        <v>0.77</v>
      </c>
      <c r="C88" s="64">
        <f t="shared" si="1"/>
        <v>0.22999999999999998</v>
      </c>
      <c r="D88" s="65" cm="1">
        <f t="array" aca="1" ref="D88" ca="1">IF(ISNUMBER(_xll.VoseSimPercentile(FailRate,$B88)),_xll.VoseSimPercentile(FailRate,$B88),NA())</f>
        <v>0.12486988223342976</v>
      </c>
    </row>
    <row r="89" spans="2:4" hidden="1" outlineLevel="1" x14ac:dyDescent="0.45">
      <c r="B89" s="64">
        <v>0.79</v>
      </c>
      <c r="C89" s="64">
        <f t="shared" si="1"/>
        <v>0.20999999999999996</v>
      </c>
      <c r="D89" s="65" cm="1">
        <f t="array" aca="1" ref="D89" ca="1">IF(ISNUMBER(_xll.VoseSimPercentile(FailRate,$B89)),_xll.VoseSimPercentile(FailRate,$B89),NA())</f>
        <v>0.12892849817683061</v>
      </c>
    </row>
    <row r="90" spans="2:4" hidden="1" outlineLevel="1" x14ac:dyDescent="0.45">
      <c r="B90" s="64">
        <v>0.81</v>
      </c>
      <c r="C90" s="64">
        <f t="shared" si="1"/>
        <v>0.18999999999999995</v>
      </c>
      <c r="D90" s="65" cm="1">
        <f t="array" aca="1" ref="D90" ca="1">IF(ISNUMBER(_xll.VoseSimPercentile(FailRate,$B90)),_xll.VoseSimPercentile(FailRate,$B90),NA())</f>
        <v>0.13285987784656961</v>
      </c>
    </row>
    <row r="91" spans="2:4" hidden="1" outlineLevel="1" x14ac:dyDescent="0.45">
      <c r="B91" s="64">
        <v>0.83</v>
      </c>
      <c r="C91" s="64">
        <f t="shared" si="1"/>
        <v>0.17000000000000004</v>
      </c>
      <c r="D91" s="65" cm="1">
        <f t="array" aca="1" ref="D91" ca="1">IF(ISNUMBER(_xll.VoseSimPercentile(FailRate,$B91)),_xll.VoseSimPercentile(FailRate,$B91),NA())</f>
        <v>0.13732443457462795</v>
      </c>
    </row>
    <row r="92" spans="2:4" hidden="1" outlineLevel="1" x14ac:dyDescent="0.45">
      <c r="B92" s="64">
        <v>0.85</v>
      </c>
      <c r="C92" s="64">
        <f t="shared" si="1"/>
        <v>0.15000000000000002</v>
      </c>
      <c r="D92" s="65" cm="1">
        <f t="array" aca="1" ref="D92" ca="1">IF(ISNUMBER(_xll.VoseSimPercentile(FailRate,$B92)),_xll.VoseSimPercentile(FailRate,$B92),NA())</f>
        <v>0.14209876222163842</v>
      </c>
    </row>
    <row r="93" spans="2:4" hidden="1" outlineLevel="1" x14ac:dyDescent="0.45">
      <c r="B93" s="64">
        <v>0.87</v>
      </c>
      <c r="C93" s="64">
        <f t="shared" si="1"/>
        <v>0.13</v>
      </c>
      <c r="D93" s="65" cm="1">
        <f t="array" aca="1" ref="D93" ca="1">IF(ISNUMBER(_xll.VoseSimPercentile(FailRate,$B93)),_xll.VoseSimPercentile(FailRate,$B93),NA())</f>
        <v>0.14739791045171835</v>
      </c>
    </row>
    <row r="94" spans="2:4" hidden="1" outlineLevel="1" x14ac:dyDescent="0.45">
      <c r="B94" s="64">
        <v>0.89</v>
      </c>
      <c r="C94" s="64">
        <f t="shared" si="1"/>
        <v>0.10999999999999999</v>
      </c>
      <c r="D94" s="65" cm="1">
        <f t="array" aca="1" ref="D94" ca="1">IF(ISNUMBER(_xll.VoseSimPercentile(FailRate,$B94)),_xll.VoseSimPercentile(FailRate,$B94),NA())</f>
        <v>0.15260551711992165</v>
      </c>
    </row>
    <row r="95" spans="2:4" hidden="1" outlineLevel="1" x14ac:dyDescent="0.45">
      <c r="B95" s="64">
        <v>0.91</v>
      </c>
      <c r="C95" s="64">
        <f t="shared" si="1"/>
        <v>8.9999999999999969E-2</v>
      </c>
      <c r="D95" s="65" cm="1">
        <f t="array" aca="1" ref="D95" ca="1">IF(ISNUMBER(_xll.VoseSimPercentile(FailRate,$B95)),_xll.VoseSimPercentile(FailRate,$B95),NA())</f>
        <v>0.15905398600953302</v>
      </c>
    </row>
    <row r="96" spans="2:4" hidden="1" outlineLevel="1" x14ac:dyDescent="0.45">
      <c r="B96" s="64">
        <v>0.93</v>
      </c>
      <c r="C96" s="64">
        <f t="shared" si="1"/>
        <v>6.9999999999999951E-2</v>
      </c>
      <c r="D96" s="65" cm="1">
        <f t="array" aca="1" ref="D96" ca="1">IF(ISNUMBER(_xll.VoseSimPercentile(FailRate,$B96)),_xll.VoseSimPercentile(FailRate,$B96),NA())</f>
        <v>0.16770466624057268</v>
      </c>
    </row>
    <row r="97" spans="2:7" hidden="1" outlineLevel="1" x14ac:dyDescent="0.45">
      <c r="B97" s="64">
        <v>0.95</v>
      </c>
      <c r="C97" s="64">
        <f t="shared" si="1"/>
        <v>5.0000000000000044E-2</v>
      </c>
      <c r="D97" s="65" cm="1">
        <f t="array" aca="1" ref="D97" ca="1">IF(ISNUMBER(_xll.VoseSimPercentile(FailRate,$B97)),_xll.VoseSimPercentile(FailRate,$B97),NA())</f>
        <v>0.17782044382137929</v>
      </c>
    </row>
    <row r="98" spans="2:7" hidden="1" outlineLevel="1" x14ac:dyDescent="0.45">
      <c r="B98" s="64">
        <v>0.97</v>
      </c>
      <c r="C98" s="64">
        <f t="shared" si="1"/>
        <v>3.0000000000000027E-2</v>
      </c>
      <c r="D98" s="65" cm="1">
        <f t="array" aca="1" ref="D98" ca="1">IF(ISNUMBER(_xll.VoseSimPercentile(FailRate,$B98)),_xll.VoseSimPercentile(FailRate,$B98),NA())</f>
        <v>0.19391550454388684</v>
      </c>
    </row>
    <row r="99" spans="2:7" hidden="1" outlineLevel="1" x14ac:dyDescent="0.45">
      <c r="B99" s="64">
        <v>0.99</v>
      </c>
      <c r="C99" s="64">
        <f t="shared" si="1"/>
        <v>1.0000000000000009E-2</v>
      </c>
      <c r="D99" s="65" cm="1">
        <f t="array" aca="1" ref="D99" ca="1">IF(ISNUMBER(_xll.VoseSimPercentile(FailRate,$B99)),_xll.VoseSimPercentile(FailRate,$B99),NA())</f>
        <v>0.22285084761402674</v>
      </c>
    </row>
    <row r="100" spans="2:7" hidden="1" outlineLevel="1" x14ac:dyDescent="0.45"/>
    <row r="101" spans="2:7" ht="28.05" hidden="1" customHeight="1" outlineLevel="1" x14ac:dyDescent="0.45">
      <c r="B101" s="23" t="s">
        <v>243</v>
      </c>
      <c r="C101" s="24" t="s">
        <v>244</v>
      </c>
      <c r="D101" s="24" t="s">
        <v>145</v>
      </c>
      <c r="E101" s="5"/>
      <c r="F101" s="5"/>
      <c r="G101" s="5"/>
    </row>
    <row r="102" spans="2:7" hidden="1" outlineLevel="1" x14ac:dyDescent="0.45">
      <c r="B102" s="66" t="s">
        <v>245</v>
      </c>
      <c r="C102" s="67">
        <f ca="1">Results!F13</f>
        <v>0.1464853514648535</v>
      </c>
      <c r="D102" s="67">
        <f ca="1">Results!G13</f>
        <v>0.16188381161883811</v>
      </c>
    </row>
    <row r="103" spans="2:7" hidden="1" outlineLevel="1" x14ac:dyDescent="0.45">
      <c r="B103" s="66" t="s">
        <v>246</v>
      </c>
      <c r="C103" s="67">
        <f ca="1">Results!F14</f>
        <v>0.36066393360663934</v>
      </c>
      <c r="D103" s="67">
        <f ca="1">Results!G14</f>
        <v>0.41975802419758024</v>
      </c>
    </row>
    <row r="104" spans="2:7" hidden="1" outlineLevel="1" x14ac:dyDescent="0.45">
      <c r="B104" s="66" t="s">
        <v>247</v>
      </c>
      <c r="C104" s="67">
        <f ca="1">Results!F15</f>
        <v>0.56594340565943402</v>
      </c>
      <c r="D104" s="67">
        <f ca="1">Results!G15</f>
        <v>0.67633236676332364</v>
      </c>
    </row>
    <row r="105" spans="2:7" hidden="1" outlineLevel="1" x14ac:dyDescent="0.45">
      <c r="B105" s="66" t="s">
        <v>248</v>
      </c>
      <c r="C105" s="67">
        <f ca="1">Results!F16</f>
        <v>0.72352764723527652</v>
      </c>
      <c r="D105" s="67">
        <f ca="1">Results!G16</f>
        <v>0.84791520847915214</v>
      </c>
    </row>
    <row r="106" spans="2:7" hidden="1" outlineLevel="1" x14ac:dyDescent="0.45">
      <c r="B106" s="66" t="s">
        <v>249</v>
      </c>
      <c r="C106" s="67">
        <f ca="1">Results!F17</f>
        <v>0.83351664833516648</v>
      </c>
      <c r="D106" s="67">
        <f ca="1">Results!G17</f>
        <v>0.93890610938906105</v>
      </c>
    </row>
    <row r="107" spans="2:7" hidden="1" outlineLevel="1" x14ac:dyDescent="0.45">
      <c r="B107" s="66" t="s">
        <v>250</v>
      </c>
      <c r="C107" s="67">
        <f ca="1">Results!F18</f>
        <v>0.90480951904809515</v>
      </c>
      <c r="D107" s="67">
        <f ca="1">Results!G18</f>
        <v>0.97740225977402262</v>
      </c>
    </row>
    <row r="108" spans="2:7" hidden="1" outlineLevel="1" x14ac:dyDescent="0.45">
      <c r="B108" s="66" t="s">
        <v>251</v>
      </c>
      <c r="C108" s="67">
        <f ca="1">Results!F19</f>
        <v>0.94670532946705332</v>
      </c>
      <c r="D108" s="67">
        <f ca="1">Results!G19</f>
        <v>0.99110088991100886</v>
      </c>
    </row>
    <row r="109" spans="2:7" hidden="1" outlineLevel="1" x14ac:dyDescent="0.45">
      <c r="B109" s="66" t="s">
        <v>252</v>
      </c>
      <c r="C109" s="67">
        <f ca="1">Results!F20</f>
        <v>0.97030296970302965</v>
      </c>
      <c r="D109" s="67">
        <f ca="1">Results!G20</f>
        <v>0.9973002699730027</v>
      </c>
    </row>
    <row r="110" spans="2:7" hidden="1" outlineLevel="1" x14ac:dyDescent="0.45">
      <c r="B110" s="66" t="s">
        <v>253</v>
      </c>
      <c r="C110" s="67">
        <f ca="1">Results!F21</f>
        <v>0.98160183981601845</v>
      </c>
      <c r="D110" s="67">
        <f ca="1">Results!G21</f>
        <v>0.99920007999200078</v>
      </c>
    </row>
    <row r="111" spans="2:7" hidden="1" outlineLevel="1" x14ac:dyDescent="0.45"/>
    <row r="112" spans="2:7" ht="18" hidden="1" customHeight="1" outlineLevel="1" x14ac:dyDescent="0.45">
      <c r="B112" s="23" t="s">
        <v>254</v>
      </c>
      <c r="C112" s="24" t="s">
        <v>140</v>
      </c>
      <c r="D112" s="5"/>
      <c r="E112" s="5"/>
      <c r="F112" s="5"/>
      <c r="G112" s="5"/>
    </row>
    <row r="113" spans="2:3" hidden="1" outlineLevel="1" x14ac:dyDescent="0.45">
      <c r="B113" s="68">
        <v>5.0000000000000001E-3</v>
      </c>
      <c r="C113" s="65" cm="1">
        <f t="array" aca="1" ref="C113" ca="1">IF(ISNUMBER(_xll.VoseSimPercentile(FailRate,0.005)),_xll.VoseSimPercentile(FailRate,0.005),NA())</f>
        <v>1.5667090291176088E-2</v>
      </c>
    </row>
    <row r="114" spans="2:3" hidden="1" outlineLevel="1" x14ac:dyDescent="0.45">
      <c r="B114" s="68">
        <v>0.01</v>
      </c>
      <c r="C114" s="65" cm="1">
        <f t="array" aca="1" ref="C114" ca="1">IF(ISNUMBER(_xll.VoseSimPercentile(FailRate,0.01)),_xll.VoseSimPercentile(FailRate,0.01),NA())</f>
        <v>2.0070919334226622E-2</v>
      </c>
    </row>
    <row r="115" spans="2:3" hidden="1" outlineLevel="1" x14ac:dyDescent="0.45">
      <c r="B115" s="68">
        <v>0.02</v>
      </c>
      <c r="C115" s="65" cm="1">
        <f t="array" aca="1" ref="C115" ca="1">IF(ISNUMBER(_xll.VoseSimPercentile(FailRate,0.02)),_xll.VoseSimPercentile(FailRate,0.02),NA())</f>
        <v>2.4886204271179636E-2</v>
      </c>
    </row>
    <row r="116" spans="2:3" hidden="1" outlineLevel="1" x14ac:dyDescent="0.45">
      <c r="B116" s="68">
        <v>0.03</v>
      </c>
      <c r="C116" s="65" cm="1">
        <f t="array" aca="1" ref="C116" ca="1">IF(ISNUMBER(_xll.VoseSimPercentile(FailRate,0.03)),_xll.VoseSimPercentile(FailRate,0.03),NA())</f>
        <v>2.8407243095288574E-2</v>
      </c>
    </row>
    <row r="117" spans="2:3" hidden="1" outlineLevel="1" x14ac:dyDescent="0.45">
      <c r="B117" s="68">
        <v>0.04</v>
      </c>
      <c r="C117" s="65" cm="1">
        <f t="array" aca="1" ref="C117" ca="1">IF(ISNUMBER(_xll.VoseSimPercentile(FailRate,0.04)),_xll.VoseSimPercentile(FailRate,0.04),NA())</f>
        <v>3.1186818664797351E-2</v>
      </c>
    </row>
    <row r="118" spans="2:3" hidden="1" outlineLevel="1" x14ac:dyDescent="0.45">
      <c r="B118" s="68">
        <v>0.05</v>
      </c>
      <c r="C118" s="65" cm="1">
        <f t="array" aca="1" ref="C118" ca="1">IF(ISNUMBER(_xll.VoseSimPercentile(FailRate,0.05)),_xll.VoseSimPercentile(FailRate,0.05),NA())</f>
        <v>3.3590967044221653E-2</v>
      </c>
    </row>
    <row r="119" spans="2:3" hidden="1" outlineLevel="1" x14ac:dyDescent="0.45">
      <c r="B119" s="68">
        <v>0.06</v>
      </c>
      <c r="C119" s="65" cm="1">
        <f t="array" aca="1" ref="C119" ca="1">IF(ISNUMBER(_xll.VoseSimPercentile(FailRate,0.06)),_xll.VoseSimPercentile(FailRate,0.06),NA())</f>
        <v>3.5775510229988497E-2</v>
      </c>
    </row>
    <row r="120" spans="2:3" hidden="1" outlineLevel="1" x14ac:dyDescent="0.45">
      <c r="B120" s="68">
        <v>7.0000000000000007E-2</v>
      </c>
      <c r="C120" s="65" cm="1">
        <f t="array" aca="1" ref="C120" ca="1">IF(ISNUMBER(_xll.VoseSimPercentile(FailRate,0.07)),_xll.VoseSimPercentile(FailRate,0.07),NA())</f>
        <v>3.7817636138515777E-2</v>
      </c>
    </row>
    <row r="121" spans="2:3" hidden="1" outlineLevel="1" x14ac:dyDescent="0.45">
      <c r="B121" s="68">
        <v>0.08</v>
      </c>
      <c r="C121" s="65" cm="1">
        <f t="array" aca="1" ref="C121" ca="1">IF(ISNUMBER(_xll.VoseSimPercentile(FailRate,0.08)),_xll.VoseSimPercentile(FailRate,0.08),NA())</f>
        <v>3.9665123036943931E-2</v>
      </c>
    </row>
    <row r="122" spans="2:3" hidden="1" outlineLevel="1" x14ac:dyDescent="0.45">
      <c r="B122" s="68">
        <v>0.09</v>
      </c>
      <c r="C122" s="65" cm="1">
        <f t="array" aca="1" ref="C122" ca="1">IF(ISNUMBER(_xll.VoseSimPercentile(FailRate,0.09)),_xll.VoseSimPercentile(FailRate,0.09),NA())</f>
        <v>4.1372287078614366E-2</v>
      </c>
    </row>
    <row r="123" spans="2:3" hidden="1" outlineLevel="1" x14ac:dyDescent="0.45">
      <c r="B123" s="68">
        <v>0.1</v>
      </c>
      <c r="C123" s="65" cm="1">
        <f t="array" aca="1" ref="C123" ca="1">IF(ISNUMBER(_xll.VoseSimPercentile(FailRate,0.1)),_xll.VoseSimPercentile(FailRate,0.1),NA())</f>
        <v>4.3099942431700712E-2</v>
      </c>
    </row>
    <row r="124" spans="2:3" hidden="1" outlineLevel="1" x14ac:dyDescent="0.45">
      <c r="B124" s="68">
        <v>0.11</v>
      </c>
      <c r="C124" s="65" cm="1">
        <f t="array" aca="1" ref="C124" ca="1">IF(ISNUMBER(_xll.VoseSimPercentile(FailRate,0.11)),_xll.VoseSimPercentile(FailRate,0.11),NA())</f>
        <v>4.4665092274593643E-2</v>
      </c>
    </row>
    <row r="125" spans="2:3" hidden="1" outlineLevel="1" x14ac:dyDescent="0.45">
      <c r="B125" s="68">
        <v>0.12</v>
      </c>
      <c r="C125" s="65" cm="1">
        <f t="array" aca="1" ref="C125" ca="1">IF(ISNUMBER(_xll.VoseSimPercentile(FailRate,0.12)),_xll.VoseSimPercentile(FailRate,0.12),NA())</f>
        <v>4.6198199128968845E-2</v>
      </c>
    </row>
    <row r="126" spans="2:3" hidden="1" outlineLevel="1" x14ac:dyDescent="0.45">
      <c r="B126" s="68">
        <v>0.13</v>
      </c>
      <c r="C126" s="65" cm="1">
        <f t="array" aca="1" ref="C126" ca="1">IF(ISNUMBER(_xll.VoseSimPercentile(FailRate,0.13)),_xll.VoseSimPercentile(FailRate,0.13),NA())</f>
        <v>4.7693321046294423E-2</v>
      </c>
    </row>
    <row r="127" spans="2:3" hidden="1" outlineLevel="1" x14ac:dyDescent="0.45">
      <c r="B127" s="68">
        <v>0.14000000000000001</v>
      </c>
      <c r="C127" s="65" cm="1">
        <f t="array" aca="1" ref="C127" ca="1">IF(ISNUMBER(_xll.VoseSimPercentile(FailRate,0.14)),_xll.VoseSimPercentile(FailRate,0.14),NA())</f>
        <v>4.9186014499595337E-2</v>
      </c>
    </row>
    <row r="128" spans="2:3" hidden="1" outlineLevel="1" x14ac:dyDescent="0.45">
      <c r="B128" s="68">
        <v>0.15</v>
      </c>
      <c r="C128" s="65" cm="1">
        <f t="array" aca="1" ref="C128" ca="1">IF(ISNUMBER(_xll.VoseSimPercentile(FailRate,0.15)),_xll.VoseSimPercentile(FailRate,0.15),NA())</f>
        <v>5.0456652634099299E-2</v>
      </c>
    </row>
    <row r="129" spans="2:3" hidden="1" outlineLevel="1" x14ac:dyDescent="0.45">
      <c r="B129" s="68">
        <v>0.16</v>
      </c>
      <c r="C129" s="65" cm="1">
        <f t="array" aca="1" ref="C129" ca="1">IF(ISNUMBER(_xll.VoseSimPercentile(FailRate,0.16)),_xll.VoseSimPercentile(FailRate,0.16),NA())</f>
        <v>5.181806987145441E-2</v>
      </c>
    </row>
    <row r="130" spans="2:3" hidden="1" outlineLevel="1" x14ac:dyDescent="0.45">
      <c r="B130" s="68">
        <v>0.17</v>
      </c>
      <c r="C130" s="65" cm="1">
        <f t="array" aca="1" ref="C130" ca="1">IF(ISNUMBER(_xll.VoseSimPercentile(FailRate,0.17)),_xll.VoseSimPercentile(FailRate,0.17),NA())</f>
        <v>5.3167993130297769E-2</v>
      </c>
    </row>
    <row r="131" spans="2:3" hidden="1" outlineLevel="1" x14ac:dyDescent="0.45">
      <c r="B131" s="68">
        <v>0.18</v>
      </c>
      <c r="C131" s="65" cm="1">
        <f t="array" aca="1" ref="C131" ca="1">IF(ISNUMBER(_xll.VoseSimPercentile(FailRate,0.18)),_xll.VoseSimPercentile(FailRate,0.18),NA())</f>
        <v>5.4328305156705087E-2</v>
      </c>
    </row>
    <row r="132" spans="2:3" hidden="1" outlineLevel="1" x14ac:dyDescent="0.45">
      <c r="B132" s="68">
        <v>0.19</v>
      </c>
      <c r="C132" s="65" cm="1">
        <f t="array" aca="1" ref="C132" ca="1">IF(ISNUMBER(_xll.VoseSimPercentile(FailRate,0.19)),_xll.VoseSimPercentile(FailRate,0.19),NA())</f>
        <v>5.5367440077161621E-2</v>
      </c>
    </row>
    <row r="133" spans="2:3" hidden="1" outlineLevel="1" x14ac:dyDescent="0.45">
      <c r="B133" s="68">
        <v>0.2</v>
      </c>
      <c r="C133" s="65" cm="1">
        <f t="array" aca="1" ref="C133" ca="1">IF(ISNUMBER(_xll.VoseSimPercentile(FailRate,0.2)),_xll.VoseSimPercentile(FailRate,0.2),NA())</f>
        <v>5.6552328285257428E-2</v>
      </c>
    </row>
    <row r="134" spans="2:3" hidden="1" outlineLevel="1" x14ac:dyDescent="0.45">
      <c r="B134" s="68">
        <v>0.21</v>
      </c>
      <c r="C134" s="65" cm="1">
        <f t="array" aca="1" ref="C134" ca="1">IF(ISNUMBER(_xll.VoseSimPercentile(FailRate,0.21)),_xll.VoseSimPercentile(FailRate,0.21),NA())</f>
        <v>5.7776594343403043E-2</v>
      </c>
    </row>
    <row r="135" spans="2:3" hidden="1" outlineLevel="1" x14ac:dyDescent="0.45">
      <c r="B135" s="68">
        <v>0.22</v>
      </c>
      <c r="C135" s="65" cm="1">
        <f t="array" aca="1" ref="C135" ca="1">IF(ISNUMBER(_xll.VoseSimPercentile(FailRate,0.22)),_xll.VoseSimPercentile(FailRate,0.22),NA())</f>
        <v>5.9072414812283619E-2</v>
      </c>
    </row>
    <row r="136" spans="2:3" hidden="1" outlineLevel="1" x14ac:dyDescent="0.45">
      <c r="B136" s="68">
        <v>0.23</v>
      </c>
      <c r="C136" s="65" cm="1">
        <f t="array" aca="1" ref="C136" ca="1">IF(ISNUMBER(_xll.VoseSimPercentile(FailRate,0.23)),_xll.VoseSimPercentile(FailRate,0.23),NA())</f>
        <v>6.0154826094309652E-2</v>
      </c>
    </row>
    <row r="137" spans="2:3" hidden="1" outlineLevel="1" x14ac:dyDescent="0.45">
      <c r="B137" s="68">
        <v>0.24</v>
      </c>
      <c r="C137" s="65" cm="1">
        <f t="array" aca="1" ref="C137" ca="1">IF(ISNUMBER(_xll.VoseSimPercentile(FailRate,0.24)),_xll.VoseSimPercentile(FailRate,0.24),NA())</f>
        <v>6.1135231601921095E-2</v>
      </c>
    </row>
    <row r="138" spans="2:3" hidden="1" outlineLevel="1" x14ac:dyDescent="0.45">
      <c r="B138" s="68">
        <v>0.25</v>
      </c>
      <c r="C138" s="65" cm="1">
        <f t="array" aca="1" ref="C138" ca="1">IF(ISNUMBER(_xll.VoseSimPercentile(FailRate,0.25)),_xll.VoseSimPercentile(FailRate,0.25),NA())</f>
        <v>6.235777422459908E-2</v>
      </c>
    </row>
    <row r="139" spans="2:3" hidden="1" outlineLevel="1" x14ac:dyDescent="0.45">
      <c r="B139" s="68">
        <v>0.26</v>
      </c>
      <c r="C139" s="65" cm="1">
        <f t="array" aca="1" ref="C139" ca="1">IF(ISNUMBER(_xll.VoseSimPercentile(FailRate,0.26)),_xll.VoseSimPercentile(FailRate,0.26),NA())</f>
        <v>6.3441922917846463E-2</v>
      </c>
    </row>
    <row r="140" spans="2:3" hidden="1" outlineLevel="1" x14ac:dyDescent="0.45">
      <c r="B140" s="68">
        <v>0.27</v>
      </c>
      <c r="C140" s="65" cm="1">
        <f t="array" aca="1" ref="C140" ca="1">IF(ISNUMBER(_xll.VoseSimPercentile(FailRate,0.27)),_xll.VoseSimPercentile(FailRate,0.27),NA())</f>
        <v>6.4569229762292485E-2</v>
      </c>
    </row>
    <row r="141" spans="2:3" hidden="1" outlineLevel="1" x14ac:dyDescent="0.45">
      <c r="B141" s="68">
        <v>0.28000000000000003</v>
      </c>
      <c r="C141" s="65" cm="1">
        <f t="array" aca="1" ref="C141" ca="1">IF(ISNUMBER(_xll.VoseSimPercentile(FailRate,0.28)),_xll.VoseSimPercentile(FailRate,0.28),NA())</f>
        <v>6.5605802910440686E-2</v>
      </c>
    </row>
    <row r="142" spans="2:3" hidden="1" outlineLevel="1" x14ac:dyDescent="0.45">
      <c r="B142" s="68">
        <v>0.28999999999999998</v>
      </c>
      <c r="C142" s="65" cm="1">
        <f t="array" aca="1" ref="C142" ca="1">IF(ISNUMBER(_xll.VoseSimPercentile(FailRate,0.29)),_xll.VoseSimPercentile(FailRate,0.29),NA())</f>
        <v>6.6527628053768967E-2</v>
      </c>
    </row>
    <row r="143" spans="2:3" hidden="1" outlineLevel="1" x14ac:dyDescent="0.45">
      <c r="B143" s="68">
        <v>0.3</v>
      </c>
      <c r="C143" s="65" cm="1">
        <f t="array" aca="1" ref="C143" ca="1">IF(ISNUMBER(_xll.VoseSimPercentile(FailRate,0.3)),_xll.VoseSimPercentile(FailRate,0.3),NA())</f>
        <v>6.7547428154211886E-2</v>
      </c>
    </row>
    <row r="144" spans="2:3" hidden="1" outlineLevel="1" x14ac:dyDescent="0.45">
      <c r="B144" s="68">
        <v>0.31</v>
      </c>
      <c r="C144" s="65" cm="1">
        <f t="array" aca="1" ref="C144" ca="1">IF(ISNUMBER(_xll.VoseSimPercentile(FailRate,0.31)),_xll.VoseSimPercentile(FailRate,0.31),NA())</f>
        <v>6.8605929317934522E-2</v>
      </c>
    </row>
    <row r="145" spans="2:3" hidden="1" outlineLevel="1" x14ac:dyDescent="0.45">
      <c r="B145" s="68">
        <v>0.32</v>
      </c>
      <c r="C145" s="65" cm="1">
        <f t="array" aca="1" ref="C145" ca="1">IF(ISNUMBER(_xll.VoseSimPercentile(FailRate,0.32)),_xll.VoseSimPercentile(FailRate,0.32),NA())</f>
        <v>6.9690707749251554E-2</v>
      </c>
    </row>
    <row r="146" spans="2:3" hidden="1" outlineLevel="1" x14ac:dyDescent="0.45">
      <c r="B146" s="68">
        <v>0.33</v>
      </c>
      <c r="C146" s="65" cm="1">
        <f t="array" aca="1" ref="C146" ca="1">IF(ISNUMBER(_xll.VoseSimPercentile(FailRate,0.33)),_xll.VoseSimPercentile(FailRate,0.33),NA())</f>
        <v>7.0701069556123056E-2</v>
      </c>
    </row>
    <row r="147" spans="2:3" hidden="1" outlineLevel="1" x14ac:dyDescent="0.45">
      <c r="B147" s="68">
        <v>0.34</v>
      </c>
      <c r="C147" s="65" cm="1">
        <f t="array" aca="1" ref="C147" ca="1">IF(ISNUMBER(_xll.VoseSimPercentile(FailRate,0.34)),_xll.VoseSimPercentile(FailRate,0.34),NA())</f>
        <v>7.1824153981241479E-2</v>
      </c>
    </row>
    <row r="148" spans="2:3" hidden="1" outlineLevel="1" x14ac:dyDescent="0.45">
      <c r="B148" s="68">
        <v>0.35</v>
      </c>
      <c r="C148" s="65" cm="1">
        <f t="array" aca="1" ref="C148" ca="1">IF(ISNUMBER(_xll.VoseSimPercentile(FailRate,0.35)),_xll.VoseSimPercentile(FailRate,0.35),NA())</f>
        <v>7.3020725448588231E-2</v>
      </c>
    </row>
    <row r="149" spans="2:3" hidden="1" outlineLevel="1" x14ac:dyDescent="0.45">
      <c r="B149" s="68">
        <v>0.36</v>
      </c>
      <c r="C149" s="65" cm="1">
        <f t="array" aca="1" ref="C149" ca="1">IF(ISNUMBER(_xll.VoseSimPercentile(FailRate,0.36)),_xll.VoseSimPercentile(FailRate,0.36),NA())</f>
        <v>7.4000042551132794E-2</v>
      </c>
    </row>
    <row r="150" spans="2:3" hidden="1" outlineLevel="1" x14ac:dyDescent="0.45">
      <c r="B150" s="68">
        <v>0.37</v>
      </c>
      <c r="C150" s="65" cm="1">
        <f t="array" aca="1" ref="C150" ca="1">IF(ISNUMBER(_xll.VoseSimPercentile(FailRate,0.37)),_xll.VoseSimPercentile(FailRate,0.37),NA())</f>
        <v>7.5105888396834408E-2</v>
      </c>
    </row>
    <row r="151" spans="2:3" hidden="1" outlineLevel="1" x14ac:dyDescent="0.45">
      <c r="B151" s="68">
        <v>0.38</v>
      </c>
      <c r="C151" s="65" cm="1">
        <f t="array" aca="1" ref="C151" ca="1">IF(ISNUMBER(_xll.VoseSimPercentile(FailRate,0.38)),_xll.VoseSimPercentile(FailRate,0.38),NA())</f>
        <v>7.6072616420388858E-2</v>
      </c>
    </row>
    <row r="152" spans="2:3" hidden="1" outlineLevel="1" x14ac:dyDescent="0.45">
      <c r="B152" s="68">
        <v>0.39</v>
      </c>
      <c r="C152" s="65" cm="1">
        <f t="array" aca="1" ref="C152" ca="1">IF(ISNUMBER(_xll.VoseSimPercentile(FailRate,0.39)),_xll.VoseSimPercentile(FailRate,0.39),NA())</f>
        <v>7.7299044642506254E-2</v>
      </c>
    </row>
    <row r="153" spans="2:3" hidden="1" outlineLevel="1" x14ac:dyDescent="0.45">
      <c r="B153" s="68">
        <v>0.4</v>
      </c>
      <c r="C153" s="65" cm="1">
        <f t="array" aca="1" ref="C153" ca="1">IF(ISNUMBER(_xll.VoseSimPercentile(FailRate,0.4)),_xll.VoseSimPercentile(FailRate,0.4),NA())</f>
        <v>7.8370843951458408E-2</v>
      </c>
    </row>
    <row r="154" spans="2:3" hidden="1" outlineLevel="1" x14ac:dyDescent="0.45">
      <c r="B154" s="68">
        <v>0.41</v>
      </c>
      <c r="C154" s="65" cm="1">
        <f t="array" aca="1" ref="C154" ca="1">IF(ISNUMBER(_xll.VoseSimPercentile(FailRate,0.41)),_xll.VoseSimPercentile(FailRate,0.41),NA())</f>
        <v>7.9560944160304015E-2</v>
      </c>
    </row>
    <row r="155" spans="2:3" hidden="1" outlineLevel="1" x14ac:dyDescent="0.45">
      <c r="B155" s="68">
        <v>0.42</v>
      </c>
      <c r="C155" s="65" cm="1">
        <f t="array" aca="1" ref="C155" ca="1">IF(ISNUMBER(_xll.VoseSimPercentile(FailRate,0.42)),_xll.VoseSimPercentile(FailRate,0.42),NA())</f>
        <v>8.0528465884907738E-2</v>
      </c>
    </row>
    <row r="156" spans="2:3" hidden="1" outlineLevel="1" x14ac:dyDescent="0.45">
      <c r="B156" s="68">
        <v>0.43</v>
      </c>
      <c r="C156" s="65" cm="1">
        <f t="array" aca="1" ref="C156" ca="1">IF(ISNUMBER(_xll.VoseSimPercentile(FailRate,0.43)),_xll.VoseSimPercentile(FailRate,0.43),NA())</f>
        <v>8.145880213084998E-2</v>
      </c>
    </row>
    <row r="157" spans="2:3" hidden="1" outlineLevel="1" x14ac:dyDescent="0.45">
      <c r="B157" s="68">
        <v>0.44</v>
      </c>
      <c r="C157" s="65" cm="1">
        <f t="array" aca="1" ref="C157" ca="1">IF(ISNUMBER(_xll.VoseSimPercentile(FailRate,0.44)),_xll.VoseSimPercentile(FailRate,0.44),NA())</f>
        <v>8.2684880000248373E-2</v>
      </c>
    </row>
    <row r="158" spans="2:3" hidden="1" outlineLevel="1" x14ac:dyDescent="0.45">
      <c r="B158" s="68">
        <v>0.45</v>
      </c>
      <c r="C158" s="65" cm="1">
        <f t="array" aca="1" ref="C158" ca="1">IF(ISNUMBER(_xll.VoseSimPercentile(FailRate,0.45)),_xll.VoseSimPercentile(FailRate,0.45),NA())</f>
        <v>8.3747196867862167E-2</v>
      </c>
    </row>
    <row r="159" spans="2:3" hidden="1" outlineLevel="1" x14ac:dyDescent="0.45">
      <c r="B159" s="68">
        <v>0.46</v>
      </c>
      <c r="C159" s="65" cm="1">
        <f t="array" aca="1" ref="C159" ca="1">IF(ISNUMBER(_xll.VoseSimPercentile(FailRate,0.46)),_xll.VoseSimPercentile(FailRate,0.46),NA())</f>
        <v>8.4856437361422066E-2</v>
      </c>
    </row>
    <row r="160" spans="2:3" hidden="1" outlineLevel="1" x14ac:dyDescent="0.45">
      <c r="B160" s="68">
        <v>0.47</v>
      </c>
      <c r="C160" s="65" cm="1">
        <f t="array" aca="1" ref="C160" ca="1">IF(ISNUMBER(_xll.VoseSimPercentile(FailRate,0.47)),_xll.VoseSimPercentile(FailRate,0.47),NA())</f>
        <v>8.601491602016785E-2</v>
      </c>
    </row>
    <row r="161" spans="2:3" hidden="1" outlineLevel="1" x14ac:dyDescent="0.45">
      <c r="B161" s="68">
        <v>0.48</v>
      </c>
      <c r="C161" s="65" cm="1">
        <f t="array" aca="1" ref="C161" ca="1">IF(ISNUMBER(_xll.VoseSimPercentile(FailRate,0.48)),_xll.VoseSimPercentile(FailRate,0.48),NA())</f>
        <v>8.7086272633021641E-2</v>
      </c>
    </row>
    <row r="162" spans="2:3" hidden="1" outlineLevel="1" x14ac:dyDescent="0.45">
      <c r="B162" s="68">
        <v>0.49</v>
      </c>
      <c r="C162" s="65" cm="1">
        <f t="array" aca="1" ref="C162" ca="1">IF(ISNUMBER(_xll.VoseSimPercentile(FailRate,0.49)),_xll.VoseSimPercentile(FailRate,0.49),NA())</f>
        <v>8.807035194043758E-2</v>
      </c>
    </row>
    <row r="163" spans="2:3" hidden="1" outlineLevel="1" x14ac:dyDescent="0.45">
      <c r="B163" s="68">
        <v>0.5</v>
      </c>
      <c r="C163" s="65" cm="1">
        <f t="array" aca="1" ref="C163" ca="1">IF(ISNUMBER(_xll.VoseSimPercentile(FailRate,0.5)),_xll.VoseSimPercentile(FailRate,0.5),NA())</f>
        <v>8.9162377712291074E-2</v>
      </c>
    </row>
    <row r="164" spans="2:3" hidden="1" outlineLevel="1" x14ac:dyDescent="0.45">
      <c r="B164" s="68">
        <v>0.51</v>
      </c>
      <c r="C164" s="65" cm="1">
        <f t="array" aca="1" ref="C164" ca="1">IF(ISNUMBER(_xll.VoseSimPercentile(FailRate,0.51)),_xll.VoseSimPercentile(FailRate,0.51),NA())</f>
        <v>9.0271550067003825E-2</v>
      </c>
    </row>
    <row r="165" spans="2:3" hidden="1" outlineLevel="1" x14ac:dyDescent="0.45">
      <c r="B165" s="68">
        <v>0.52</v>
      </c>
      <c r="C165" s="65" cm="1">
        <f t="array" aca="1" ref="C165" ca="1">IF(ISNUMBER(_xll.VoseSimPercentile(FailRate,0.52)),_xll.VoseSimPercentile(FailRate,0.52),NA())</f>
        <v>9.128044933681001E-2</v>
      </c>
    </row>
    <row r="166" spans="2:3" hidden="1" outlineLevel="1" x14ac:dyDescent="0.45">
      <c r="B166" s="68">
        <v>0.53</v>
      </c>
      <c r="C166" s="65" cm="1">
        <f t="array" aca="1" ref="C166" ca="1">IF(ISNUMBER(_xll.VoseSimPercentile(FailRate,0.53)),_xll.VoseSimPercentile(FailRate,0.53),NA())</f>
        <v>9.2292562626041796E-2</v>
      </c>
    </row>
    <row r="167" spans="2:3" hidden="1" outlineLevel="1" x14ac:dyDescent="0.45">
      <c r="B167" s="68">
        <v>0.54</v>
      </c>
      <c r="C167" s="65" cm="1">
        <f t="array" aca="1" ref="C167" ca="1">IF(ISNUMBER(_xll.VoseSimPercentile(FailRate,0.54)),_xll.VoseSimPercentile(FailRate,0.54),NA())</f>
        <v>9.3337990206907473E-2</v>
      </c>
    </row>
    <row r="168" spans="2:3" hidden="1" outlineLevel="1" x14ac:dyDescent="0.45">
      <c r="B168" s="68">
        <v>0.55000000000000004</v>
      </c>
      <c r="C168" s="65" cm="1">
        <f t="array" aca="1" ref="C168" ca="1">IF(ISNUMBER(_xll.VoseSimPercentile(FailRate,0.55)),_xll.VoseSimPercentile(FailRate,0.55),NA())</f>
        <v>9.4322233047074655E-2</v>
      </c>
    </row>
    <row r="169" spans="2:3" hidden="1" outlineLevel="1" x14ac:dyDescent="0.45">
      <c r="B169" s="68">
        <v>0.56000000000000005</v>
      </c>
      <c r="C169" s="65" cm="1">
        <f t="array" aca="1" ref="C169" ca="1">IF(ISNUMBER(_xll.VoseSimPercentile(FailRate,0.56)),_xll.VoseSimPercentile(FailRate,0.56),NA())</f>
        <v>9.543823178239208E-2</v>
      </c>
    </row>
    <row r="170" spans="2:3" hidden="1" outlineLevel="1" x14ac:dyDescent="0.45">
      <c r="B170" s="68">
        <v>0.56999999999999995</v>
      </c>
      <c r="C170" s="65" cm="1">
        <f t="array" aca="1" ref="C170" ca="1">IF(ISNUMBER(_xll.VoseSimPercentile(FailRate,0.57)),_xll.VoseSimPercentile(FailRate,0.57),NA())</f>
        <v>9.6557551002088626E-2</v>
      </c>
    </row>
    <row r="171" spans="2:3" hidden="1" outlineLevel="1" x14ac:dyDescent="0.45">
      <c r="B171" s="68">
        <v>0.57999999999999996</v>
      </c>
      <c r="C171" s="65" cm="1">
        <f t="array" aca="1" ref="C171" ca="1">IF(ISNUMBER(_xll.VoseSimPercentile(FailRate,0.58)),_xll.VoseSimPercentile(FailRate,0.58),NA())</f>
        <v>9.7596740776392799E-2</v>
      </c>
    </row>
    <row r="172" spans="2:3" hidden="1" outlineLevel="1" x14ac:dyDescent="0.45">
      <c r="B172" s="68">
        <v>0.59</v>
      </c>
      <c r="C172" s="65" cm="1">
        <f t="array" aca="1" ref="C172" ca="1">IF(ISNUMBER(_xll.VoseSimPercentile(FailRate,0.59)),_xll.VoseSimPercentile(FailRate,0.59),NA())</f>
        <v>9.8734999389697764E-2</v>
      </c>
    </row>
    <row r="173" spans="2:3" hidden="1" outlineLevel="1" x14ac:dyDescent="0.45">
      <c r="B173" s="68">
        <v>0.6</v>
      </c>
      <c r="C173" s="65" cm="1">
        <f t="array" aca="1" ref="C173" ca="1">IF(ISNUMBER(_xll.VoseSimPercentile(FailRate,0.6)),_xll.VoseSimPercentile(FailRate,0.6),NA())</f>
        <v>0.10008748542026114</v>
      </c>
    </row>
    <row r="174" spans="2:3" hidden="1" outlineLevel="1" x14ac:dyDescent="0.45">
      <c r="B174" s="68">
        <v>0.61</v>
      </c>
      <c r="C174" s="65" cm="1">
        <f t="array" aca="1" ref="C174" ca="1">IF(ISNUMBER(_xll.VoseSimPercentile(FailRate,0.61)),_xll.VoseSimPercentile(FailRate,0.61),NA())</f>
        <v>0.10125130868526444</v>
      </c>
    </row>
    <row r="175" spans="2:3" hidden="1" outlineLevel="1" x14ac:dyDescent="0.45">
      <c r="B175" s="68">
        <v>0.62</v>
      </c>
      <c r="C175" s="65" cm="1">
        <f t="array" aca="1" ref="C175" ca="1">IF(ISNUMBER(_xll.VoseSimPercentile(FailRate,0.62)),_xll.VoseSimPercentile(FailRate,0.62),NA())</f>
        <v>0.10265905747477266</v>
      </c>
    </row>
    <row r="176" spans="2:3" hidden="1" outlineLevel="1" x14ac:dyDescent="0.45">
      <c r="B176" s="68">
        <v>0.63</v>
      </c>
      <c r="C176" s="65" cm="1">
        <f t="array" aca="1" ref="C176" ca="1">IF(ISNUMBER(_xll.VoseSimPercentile(FailRate,0.63)),_xll.VoseSimPercentile(FailRate,0.63),NA())</f>
        <v>0.10390219782543864</v>
      </c>
    </row>
    <row r="177" spans="2:3" hidden="1" outlineLevel="1" x14ac:dyDescent="0.45">
      <c r="B177" s="68">
        <v>0.64</v>
      </c>
      <c r="C177" s="65" cm="1">
        <f t="array" aca="1" ref="C177" ca="1">IF(ISNUMBER(_xll.VoseSimPercentile(FailRate,0.64)),_xll.VoseSimPercentile(FailRate,0.64),NA())</f>
        <v>0.1053023268907064</v>
      </c>
    </row>
    <row r="178" spans="2:3" hidden="1" outlineLevel="1" x14ac:dyDescent="0.45">
      <c r="B178" s="68">
        <v>0.65</v>
      </c>
      <c r="C178" s="65" cm="1">
        <f t="array" aca="1" ref="C178" ca="1">IF(ISNUMBER(_xll.VoseSimPercentile(FailRate,0.65)),_xll.VoseSimPercentile(FailRate,0.65),NA())</f>
        <v>0.10664350962612701</v>
      </c>
    </row>
    <row r="179" spans="2:3" hidden="1" outlineLevel="1" x14ac:dyDescent="0.45">
      <c r="B179" s="68">
        <v>0.66</v>
      </c>
      <c r="C179" s="65" cm="1">
        <f t="array" aca="1" ref="C179" ca="1">IF(ISNUMBER(_xll.VoseSimPercentile(FailRate,0.66)),_xll.VoseSimPercentile(FailRate,0.66),NA())</f>
        <v>0.1080149078054562</v>
      </c>
    </row>
    <row r="180" spans="2:3" hidden="1" outlineLevel="1" x14ac:dyDescent="0.45">
      <c r="B180" s="68">
        <v>0.67</v>
      </c>
      <c r="C180" s="65" cm="1">
        <f t="array" aca="1" ref="C180" ca="1">IF(ISNUMBER(_xll.VoseSimPercentile(FailRate,0.67)),_xll.VoseSimPercentile(FailRate,0.67),NA())</f>
        <v>0.10941271278920051</v>
      </c>
    </row>
    <row r="181" spans="2:3" hidden="1" outlineLevel="1" x14ac:dyDescent="0.45">
      <c r="B181" s="68">
        <v>0.68</v>
      </c>
      <c r="C181" s="65" cm="1">
        <f t="array" aca="1" ref="C181" ca="1">IF(ISNUMBER(_xll.VoseSimPercentile(FailRate,0.68)),_xll.VoseSimPercentile(FailRate,0.68),NA())</f>
        <v>0.11091989531528079</v>
      </c>
    </row>
    <row r="182" spans="2:3" hidden="1" outlineLevel="1" x14ac:dyDescent="0.45">
      <c r="B182" s="68">
        <v>0.69</v>
      </c>
      <c r="C182" s="65" cm="1">
        <f t="array" aca="1" ref="C182" ca="1">IF(ISNUMBER(_xll.VoseSimPercentile(FailRate,0.69)),_xll.VoseSimPercentile(FailRate,0.69),NA())</f>
        <v>0.11228645667214832</v>
      </c>
    </row>
    <row r="183" spans="2:3" hidden="1" outlineLevel="1" x14ac:dyDescent="0.45">
      <c r="B183" s="68">
        <v>0.7</v>
      </c>
      <c r="C183" s="65" cm="1">
        <f t="array" aca="1" ref="C183" ca="1">IF(ISNUMBER(_xll.VoseSimPercentile(FailRate,0.7)),_xll.VoseSimPercentile(FailRate,0.7),NA())</f>
        <v>0.11373210057245708</v>
      </c>
    </row>
    <row r="184" spans="2:3" hidden="1" outlineLevel="1" x14ac:dyDescent="0.45">
      <c r="B184" s="68">
        <v>0.71</v>
      </c>
      <c r="C184" s="65" cm="1">
        <f t="array" aca="1" ref="C184" ca="1">IF(ISNUMBER(_xll.VoseSimPercentile(FailRate,0.71)),_xll.VoseSimPercentile(FailRate,0.71),NA())</f>
        <v>0.11532757024318829</v>
      </c>
    </row>
    <row r="185" spans="2:3" hidden="1" outlineLevel="1" x14ac:dyDescent="0.45">
      <c r="B185" s="68">
        <v>0.72</v>
      </c>
      <c r="C185" s="65" cm="1">
        <f t="array" aca="1" ref="C185" ca="1">IF(ISNUMBER(_xll.VoseSimPercentile(FailRate,0.72)),_xll.VoseSimPercentile(FailRate,0.72),NA())</f>
        <v>0.11690786612373594</v>
      </c>
    </row>
    <row r="186" spans="2:3" hidden="1" outlineLevel="1" x14ac:dyDescent="0.45">
      <c r="B186" s="68">
        <v>0.73</v>
      </c>
      <c r="C186" s="65" cm="1">
        <f t="array" aca="1" ref="C186" ca="1">IF(ISNUMBER(_xll.VoseSimPercentile(FailRate,0.73)),_xll.VoseSimPercentile(FailRate,0.73),NA())</f>
        <v>0.11829978439856537</v>
      </c>
    </row>
    <row r="187" spans="2:3" hidden="1" outlineLevel="1" x14ac:dyDescent="0.45">
      <c r="B187" s="68">
        <v>0.74</v>
      </c>
      <c r="C187" s="65" cm="1">
        <f t="array" aca="1" ref="C187" ca="1">IF(ISNUMBER(_xll.VoseSimPercentile(FailRate,0.74)),_xll.VoseSimPercentile(FailRate,0.74),NA())</f>
        <v>0.11991569615540509</v>
      </c>
    </row>
    <row r="188" spans="2:3" hidden="1" outlineLevel="1" x14ac:dyDescent="0.45">
      <c r="B188" s="68">
        <v>0.75</v>
      </c>
      <c r="C188" s="65" cm="1">
        <f t="array" aca="1" ref="C188" ca="1">IF(ISNUMBER(_xll.VoseSimPercentile(FailRate,0.75)),_xll.VoseSimPercentile(FailRate,0.75),NA())</f>
        <v>0.12143168030110285</v>
      </c>
    </row>
    <row r="189" spans="2:3" hidden="1" outlineLevel="1" x14ac:dyDescent="0.45">
      <c r="B189" s="68">
        <v>0.76</v>
      </c>
      <c r="C189" s="65" cm="1">
        <f t="array" aca="1" ref="C189" ca="1">IF(ISNUMBER(_xll.VoseSimPercentile(FailRate,0.76)),_xll.VoseSimPercentile(FailRate,0.76),NA())</f>
        <v>0.1230725043962011</v>
      </c>
    </row>
    <row r="190" spans="2:3" hidden="1" outlineLevel="1" x14ac:dyDescent="0.45">
      <c r="B190" s="68">
        <v>0.77</v>
      </c>
      <c r="C190" s="65" cm="1">
        <f t="array" aca="1" ref="C190" ca="1">IF(ISNUMBER(_xll.VoseSimPercentile(FailRate,0.77)),_xll.VoseSimPercentile(FailRate,0.77),NA())</f>
        <v>0.12486988223342976</v>
      </c>
    </row>
    <row r="191" spans="2:3" hidden="1" outlineLevel="1" x14ac:dyDescent="0.45">
      <c r="B191" s="68">
        <v>0.78</v>
      </c>
      <c r="C191" s="65" cm="1">
        <f t="array" aca="1" ref="C191" ca="1">IF(ISNUMBER(_xll.VoseSimPercentile(FailRate,0.78)),_xll.VoseSimPercentile(FailRate,0.78),NA())</f>
        <v>0.12673520920964876</v>
      </c>
    </row>
    <row r="192" spans="2:3" hidden="1" outlineLevel="1" x14ac:dyDescent="0.45">
      <c r="B192" s="68">
        <v>0.79</v>
      </c>
      <c r="C192" s="65" cm="1">
        <f t="array" aca="1" ref="C192" ca="1">IF(ISNUMBER(_xll.VoseSimPercentile(FailRate,0.79)),_xll.VoseSimPercentile(FailRate,0.79),NA())</f>
        <v>0.12892849817683061</v>
      </c>
    </row>
    <row r="193" spans="2:3" hidden="1" outlineLevel="1" x14ac:dyDescent="0.45">
      <c r="B193" s="68">
        <v>0.8</v>
      </c>
      <c r="C193" s="65" cm="1">
        <f t="array" aca="1" ref="C193" ca="1">IF(ISNUMBER(_xll.VoseSimPercentile(FailRate,0.8)),_xll.VoseSimPercentile(FailRate,0.8),NA())</f>
        <v>0.13095300039309177</v>
      </c>
    </row>
    <row r="194" spans="2:3" hidden="1" outlineLevel="1" x14ac:dyDescent="0.45">
      <c r="B194" s="68">
        <v>0.81</v>
      </c>
      <c r="C194" s="65" cm="1">
        <f t="array" aca="1" ref="C194" ca="1">IF(ISNUMBER(_xll.VoseSimPercentile(FailRate,0.81)),_xll.VoseSimPercentile(FailRate,0.81),NA())</f>
        <v>0.13285987784656961</v>
      </c>
    </row>
    <row r="195" spans="2:3" hidden="1" outlineLevel="1" x14ac:dyDescent="0.45">
      <c r="B195" s="68">
        <v>0.82</v>
      </c>
      <c r="C195" s="65" cm="1">
        <f t="array" aca="1" ref="C195" ca="1">IF(ISNUMBER(_xll.VoseSimPercentile(FailRate,0.82)),_xll.VoseSimPercentile(FailRate,0.82),NA())</f>
        <v>0.13485762270709889</v>
      </c>
    </row>
    <row r="196" spans="2:3" hidden="1" outlineLevel="1" x14ac:dyDescent="0.45">
      <c r="B196" s="68">
        <v>0.83</v>
      </c>
      <c r="C196" s="65" cm="1">
        <f t="array" aca="1" ref="C196" ca="1">IF(ISNUMBER(_xll.VoseSimPercentile(FailRate,0.83)),_xll.VoseSimPercentile(FailRate,0.83),NA())</f>
        <v>0.13732443457462795</v>
      </c>
    </row>
    <row r="197" spans="2:3" hidden="1" outlineLevel="1" x14ac:dyDescent="0.45">
      <c r="B197" s="68">
        <v>0.84</v>
      </c>
      <c r="C197" s="65" cm="1">
        <f t="array" aca="1" ref="C197" ca="1">IF(ISNUMBER(_xll.VoseSimPercentile(FailRate,0.84)),_xll.VoseSimPercentile(FailRate,0.84),NA())</f>
        <v>0.1398461846028457</v>
      </c>
    </row>
    <row r="198" spans="2:3" hidden="1" outlineLevel="1" x14ac:dyDescent="0.45">
      <c r="B198" s="68">
        <v>0.85</v>
      </c>
      <c r="C198" s="65" cm="1">
        <f t="array" aca="1" ref="C198" ca="1">IF(ISNUMBER(_xll.VoseSimPercentile(FailRate,0.85)),_xll.VoseSimPercentile(FailRate,0.85),NA())</f>
        <v>0.14209876222163842</v>
      </c>
    </row>
    <row r="199" spans="2:3" hidden="1" outlineLevel="1" x14ac:dyDescent="0.45">
      <c r="B199" s="68">
        <v>0.86</v>
      </c>
      <c r="C199" s="65" cm="1">
        <f t="array" aca="1" ref="C199" ca="1">IF(ISNUMBER(_xll.VoseSimPercentile(FailRate,0.86)),_xll.VoseSimPercentile(FailRate,0.86),NA())</f>
        <v>0.1444730613477988</v>
      </c>
    </row>
    <row r="200" spans="2:3" hidden="1" outlineLevel="1" x14ac:dyDescent="0.45">
      <c r="B200" s="68">
        <v>0.87</v>
      </c>
      <c r="C200" s="65" cm="1">
        <f t="array" aca="1" ref="C200" ca="1">IF(ISNUMBER(_xll.VoseSimPercentile(FailRate,0.87)),_xll.VoseSimPercentile(FailRate,0.87),NA())</f>
        <v>0.14739791045171835</v>
      </c>
    </row>
    <row r="201" spans="2:3" hidden="1" outlineLevel="1" x14ac:dyDescent="0.45">
      <c r="B201" s="68">
        <v>0.88</v>
      </c>
      <c r="C201" s="65" cm="1">
        <f t="array" aca="1" ref="C201" ca="1">IF(ISNUMBER(_xll.VoseSimPercentile(FailRate,0.88)),_xll.VoseSimPercentile(FailRate,0.88),NA())</f>
        <v>0.14980958274239597</v>
      </c>
    </row>
    <row r="202" spans="2:3" hidden="1" outlineLevel="1" x14ac:dyDescent="0.45">
      <c r="B202" s="68">
        <v>0.89</v>
      </c>
      <c r="C202" s="65" cm="1">
        <f t="array" aca="1" ref="C202" ca="1">IF(ISNUMBER(_xll.VoseSimPercentile(FailRate,0.89)),_xll.VoseSimPercentile(FailRate,0.89),NA())</f>
        <v>0.15260551711992165</v>
      </c>
    </row>
    <row r="203" spans="2:3" hidden="1" outlineLevel="1" x14ac:dyDescent="0.45">
      <c r="B203" s="68">
        <v>0.9</v>
      </c>
      <c r="C203" s="65" cm="1">
        <f t="array" aca="1" ref="C203" ca="1">IF(ISNUMBER(_xll.VoseSimPercentile(FailRate,0.9)),_xll.VoseSimPercentile(FailRate,0.9),NA())</f>
        <v>0.15623692918771459</v>
      </c>
    </row>
    <row r="204" spans="2:3" hidden="1" outlineLevel="1" x14ac:dyDescent="0.45">
      <c r="B204" s="68">
        <v>0.91</v>
      </c>
      <c r="C204" s="65" cm="1">
        <f t="array" aca="1" ref="C204" ca="1">IF(ISNUMBER(_xll.VoseSimPercentile(FailRate,0.91)),_xll.VoseSimPercentile(FailRate,0.91),NA())</f>
        <v>0.15905398600953302</v>
      </c>
    </row>
    <row r="205" spans="2:3" hidden="1" outlineLevel="1" x14ac:dyDescent="0.45">
      <c r="B205" s="68">
        <v>0.92</v>
      </c>
      <c r="C205" s="65" cm="1">
        <f t="array" aca="1" ref="C205" ca="1">IF(ISNUMBER(_xll.VoseSimPercentile(FailRate,0.92)),_xll.VoseSimPercentile(FailRate,0.92),NA())</f>
        <v>0.16369398808073876</v>
      </c>
    </row>
    <row r="206" spans="2:3" hidden="1" outlineLevel="1" x14ac:dyDescent="0.45">
      <c r="B206" s="68">
        <v>0.93</v>
      </c>
      <c r="C206" s="65" cm="1">
        <f t="array" aca="1" ref="C206" ca="1">IF(ISNUMBER(_xll.VoseSimPercentile(FailRate,0.93)),_xll.VoseSimPercentile(FailRate,0.93),NA())</f>
        <v>0.16770466624057268</v>
      </c>
    </row>
    <row r="207" spans="2:3" hidden="1" outlineLevel="1" x14ac:dyDescent="0.45">
      <c r="B207" s="68">
        <v>0.94</v>
      </c>
      <c r="C207" s="65" cm="1">
        <f t="array" aca="1" ref="C207" ca="1">IF(ISNUMBER(_xll.VoseSimPercentile(FailRate,0.94)),_xll.VoseSimPercentile(FailRate,0.94),NA())</f>
        <v>0.17197847288453727</v>
      </c>
    </row>
    <row r="208" spans="2:3" hidden="1" outlineLevel="1" x14ac:dyDescent="0.45">
      <c r="B208" s="68">
        <v>0.95</v>
      </c>
      <c r="C208" s="65" cm="1">
        <f t="array" aca="1" ref="C208" ca="1">IF(ISNUMBER(_xll.VoseSimPercentile(FailRate,0.95)),_xll.VoseSimPercentile(FailRate,0.95),NA())</f>
        <v>0.17782044382137929</v>
      </c>
    </row>
    <row r="209" spans="2:7" hidden="1" outlineLevel="1" x14ac:dyDescent="0.45">
      <c r="B209" s="68">
        <v>0.96</v>
      </c>
      <c r="C209" s="65" cm="1">
        <f t="array" aca="1" ref="C209" ca="1">IF(ISNUMBER(_xll.VoseSimPercentile(FailRate,0.96)),_xll.VoseSimPercentile(FailRate,0.96),NA())</f>
        <v>0.18487720538548413</v>
      </c>
    </row>
    <row r="210" spans="2:7" hidden="1" outlineLevel="1" x14ac:dyDescent="0.45">
      <c r="B210" s="68">
        <v>0.97</v>
      </c>
      <c r="C210" s="65" cm="1">
        <f t="array" aca="1" ref="C210" ca="1">IF(ISNUMBER(_xll.VoseSimPercentile(FailRate,0.97)),_xll.VoseSimPercentile(FailRate,0.97),NA())</f>
        <v>0.19391550454388684</v>
      </c>
    </row>
    <row r="211" spans="2:7" hidden="1" outlineLevel="1" x14ac:dyDescent="0.45">
      <c r="B211" s="68">
        <v>0.98</v>
      </c>
      <c r="C211" s="65" cm="1">
        <f t="array" aca="1" ref="C211" ca="1">IF(ISNUMBER(_xll.VoseSimPercentile(FailRate,0.98)),_xll.VoseSimPercentile(FailRate,0.98),NA())</f>
        <v>0.2050779223737923</v>
      </c>
    </row>
    <row r="212" spans="2:7" hidden="1" outlineLevel="1" x14ac:dyDescent="0.45">
      <c r="B212" s="68">
        <v>0.99</v>
      </c>
      <c r="C212" s="65" cm="1">
        <f t="array" aca="1" ref="C212" ca="1">IF(ISNUMBER(_xll.VoseSimPercentile(FailRate,0.99)),_xll.VoseSimPercentile(FailRate,0.99),NA())</f>
        <v>0.22285084761402674</v>
      </c>
    </row>
    <row r="213" spans="2:7" hidden="1" outlineLevel="1" x14ac:dyDescent="0.45">
      <c r="B213" s="68">
        <v>0.995</v>
      </c>
      <c r="C213" s="65" cm="1">
        <f t="array" aca="1" ref="C213" ca="1">IF(ISNUMBER(_xll.VoseSimPercentile(FailRate,0.995)),_xll.VoseSimPercentile(FailRate,0.995),NA())</f>
        <v>0.24317358908807174</v>
      </c>
    </row>
    <row r="214" spans="2:7" hidden="1" outlineLevel="1" x14ac:dyDescent="0.45"/>
    <row r="215" spans="2:7" ht="18" hidden="1" customHeight="1" outlineLevel="1" x14ac:dyDescent="0.45">
      <c r="B215" s="23" t="s">
        <v>255</v>
      </c>
      <c r="C215" s="24" t="s">
        <v>256</v>
      </c>
      <c r="D215" s="24" t="s">
        <v>257</v>
      </c>
      <c r="E215" s="24" t="s">
        <v>258</v>
      </c>
      <c r="F215" s="24" t="s">
        <v>259</v>
      </c>
      <c r="G215" s="24" t="s">
        <v>260</v>
      </c>
    </row>
    <row r="216" spans="2:7" hidden="1" outlineLevel="1" x14ac:dyDescent="0.45">
      <c r="B216" s="69">
        <v>0</v>
      </c>
      <c r="C216" s="65">
        <f ca="1">IF(ISNUMBER($C$113),$C$113+($C$213-$C$113)*0/24,NA())</f>
        <v>1.5667090291176088E-2</v>
      </c>
      <c r="D216" s="70">
        <f t="shared" ref="D216:D240" ca="1" si="2">IF(ISNUMBER(C216),MATCH(C216,$C$113:$C$213,1),NA())</f>
        <v>1</v>
      </c>
      <c r="E216" s="65">
        <f t="shared" ref="E216:E239" ca="1" si="3">IF(ISNUMBER(C216),(C216+C217)/2,NA())</f>
        <v>2.0406809016111416E-2</v>
      </c>
      <c r="F216" s="68">
        <f t="shared" ref="F216:F239" ca="1" si="4">IF(ISNUMBER(G217),G217-G216,NA())</f>
        <v>1.5739337118593068E-2</v>
      </c>
      <c r="G216" s="68" cm="1">
        <f t="array" aca="1" ref="G216" ca="1">IF(ISNUMBER(D216),IF(D216&gt;=101,INDEX($B$113:$B$213,101),INDEX($B$113:$B$213,D216)+(C216-INDEX($C$113:$C$213,D216))/MAX(0.000000000001,INDEX($C$113:$C$213,D216+1)-INDEX($C$113:$C$213,D216))*(INDEX($B$113:$B$213,D216+1)-INDEX($B$113:$B$213,D216))),NA())</f>
        <v>5.0000000000000001E-3</v>
      </c>
    </row>
    <row r="217" spans="2:7" hidden="1" outlineLevel="1" x14ac:dyDescent="0.45">
      <c r="B217" s="69">
        <v>1</v>
      </c>
      <c r="C217" s="65">
        <f ca="1">IF(ISNUMBER($C$113),$C$113+($C$213-$C$113)*1/24,NA())</f>
        <v>2.514652774104674E-2</v>
      </c>
      <c r="D217" s="70">
        <f t="shared" ca="1" si="2"/>
        <v>3</v>
      </c>
      <c r="E217" s="65">
        <f t="shared" ca="1" si="3"/>
        <v>2.9886246465982067E-2</v>
      </c>
      <c r="F217" s="68">
        <f t="shared" ca="1" si="4"/>
        <v>3.3998487033564513E-2</v>
      </c>
      <c r="G217" s="68" cm="1">
        <f t="array" aca="1" ref="G217" ca="1">IF(ISNUMBER(D217),IF(D217&gt;=101,INDEX($B$113:$B$213,101),INDEX($B$113:$B$213,D217)+(C217-INDEX($C$113:$C$213,D217))/MAX(0.000000000001,INDEX($C$113:$C$213,D217+1)-INDEX($C$113:$C$213,D217))*(INDEX($B$113:$B$213,D217+1)-INDEX($B$113:$B$213,D217))),NA())</f>
        <v>2.0739337118593069E-2</v>
      </c>
    </row>
    <row r="218" spans="2:7" hidden="1" outlineLevel="1" x14ac:dyDescent="0.45">
      <c r="B218" s="69">
        <v>2</v>
      </c>
      <c r="C218" s="65">
        <f ca="1">IF(ISNUMBER($C$113),$C$113+($C$213-$C$113)*2/24,NA())</f>
        <v>3.4625965190917395E-2</v>
      </c>
      <c r="D218" s="70">
        <f t="shared" ca="1" si="2"/>
        <v>6</v>
      </c>
      <c r="E218" s="65">
        <f t="shared" ca="1" si="3"/>
        <v>3.9365683915852726E-2</v>
      </c>
      <c r="F218" s="68">
        <f t="shared" ca="1" si="4"/>
        <v>5.1686226641783684E-2</v>
      </c>
      <c r="G218" s="68" cm="1">
        <f t="array" aca="1" ref="G218" ca="1">IF(ISNUMBER(D218),IF(D218&gt;=101,INDEX($B$113:$B$213,101),INDEX($B$113:$B$213,D218)+(C218-INDEX($C$113:$C$213,D218))/MAX(0.000000000001,INDEX($C$113:$C$213,D218+1)-INDEX($C$113:$C$213,D218))*(INDEX($B$113:$B$213,D218+1)-INDEX($B$113:$B$213,D218))),NA())</f>
        <v>5.4737824152157583E-2</v>
      </c>
    </row>
    <row r="219" spans="2:7" hidden="1" outlineLevel="1" x14ac:dyDescent="0.45">
      <c r="B219" s="69">
        <v>3</v>
      </c>
      <c r="C219" s="65">
        <f ca="1">IF(ISNUMBER($C$113),$C$113+($C$213-$C$113)*3/24,NA())</f>
        <v>4.410540264078805E-2</v>
      </c>
      <c r="D219" s="70">
        <f t="shared" ca="1" si="2"/>
        <v>11</v>
      </c>
      <c r="E219" s="65">
        <f t="shared" ca="1" si="3"/>
        <v>4.8845121365723373E-2</v>
      </c>
      <c r="F219" s="68">
        <f t="shared" ca="1" si="4"/>
        <v>6.7168491133350605E-2</v>
      </c>
      <c r="G219" s="68" cm="1">
        <f t="array" aca="1" ref="G219" ca="1">IF(ISNUMBER(D219),IF(D219&gt;=101,INDEX($B$113:$B$213,101),INDEX($B$113:$B$213,D219)+(C219-INDEX($C$113:$C$213,D219))/MAX(0.000000000001,INDEX($C$113:$C$213,D219+1)-INDEX($C$113:$C$213,D219))*(INDEX($B$113:$B$213,D219+1)-INDEX($B$113:$B$213,D219))),NA())</f>
        <v>0.10642405079394127</v>
      </c>
    </row>
    <row r="220" spans="2:7" hidden="1" outlineLevel="1" x14ac:dyDescent="0.45">
      <c r="B220" s="69">
        <v>4</v>
      </c>
      <c r="C220" s="65">
        <f ca="1">IF(ISNUMBER($C$113),$C$113+($C$213-$C$113)*4/24,NA())</f>
        <v>5.3584840090658697E-2</v>
      </c>
      <c r="D220" s="70">
        <f t="shared" ca="1" si="2"/>
        <v>18</v>
      </c>
      <c r="E220" s="65">
        <f t="shared" ca="1" si="3"/>
        <v>5.8324558815594028E-2</v>
      </c>
      <c r="F220" s="68">
        <f t="shared" ca="1" si="4"/>
        <v>8.2924122441080578E-2</v>
      </c>
      <c r="G220" s="68" cm="1">
        <f t="array" aca="1" ref="G220" ca="1">IF(ISNUMBER(D220),IF(D220&gt;=101,INDEX($B$113:$B$213,101),INDEX($B$113:$B$213,D220)+(C220-INDEX($C$113:$C$213,D220))/MAX(0.000000000001,INDEX($C$113:$C$213,D220+1)-INDEX($C$113:$C$213,D220))*(INDEX($B$113:$B$213,D220+1)-INDEX($B$113:$B$213,D220))),NA())</f>
        <v>0.17359254192729187</v>
      </c>
    </row>
    <row r="221" spans="2:7" hidden="1" outlineLevel="1" x14ac:dyDescent="0.45">
      <c r="B221" s="69">
        <v>5</v>
      </c>
      <c r="C221" s="65">
        <f ca="1">IF(ISNUMBER($C$113),$C$113+($C$213-$C$113)*5/24,NA())</f>
        <v>6.3064277540529359E-2</v>
      </c>
      <c r="D221" s="70">
        <f t="shared" ca="1" si="2"/>
        <v>26</v>
      </c>
      <c r="E221" s="65">
        <f t="shared" ca="1" si="3"/>
        <v>6.7803996265464683E-2</v>
      </c>
      <c r="F221" s="68">
        <f t="shared" ca="1" si="4"/>
        <v>8.9496858674710522E-2</v>
      </c>
      <c r="G221" s="68" cm="1">
        <f t="array" aca="1" ref="G221" ca="1">IF(ISNUMBER(D221),IF(D221&gt;=101,INDEX($B$113:$B$213,101),INDEX($B$113:$B$213,D221)+(C221-INDEX($C$113:$C$213,D221))/MAX(0.000000000001,INDEX($C$113:$C$213,D221+1)-INDEX($C$113:$C$213,D221))*(INDEX($B$113:$B$213,D221+1)-INDEX($B$113:$B$213,D221))),NA())</f>
        <v>0.25651666436837245</v>
      </c>
    </row>
    <row r="222" spans="2:7" hidden="1" outlineLevel="1" x14ac:dyDescent="0.45">
      <c r="B222" s="69">
        <v>6</v>
      </c>
      <c r="C222" s="65">
        <f ca="1">IF(ISNUMBER($C$113),$C$113+($C$213-$C$113)*6/24,NA())</f>
        <v>7.2543714990400007E-2</v>
      </c>
      <c r="D222" s="70">
        <f t="shared" ca="1" si="2"/>
        <v>35</v>
      </c>
      <c r="E222" s="65">
        <f t="shared" ca="1" si="3"/>
        <v>7.7283433715335331E-2</v>
      </c>
      <c r="F222" s="68">
        <f t="shared" ca="1" si="4"/>
        <v>8.8589368204742835E-2</v>
      </c>
      <c r="G222" s="68" cm="1">
        <f t="array" aca="1" ref="G222" ca="1">IF(ISNUMBER(D222),IF(D222&gt;=101,INDEX($B$113:$B$213,101),INDEX($B$113:$B$213,D222)+(C222-INDEX($C$113:$C$213,D222))/MAX(0.000000000001,INDEX($C$113:$C$213,D222+1)-INDEX($C$113:$C$213,D222))*(INDEX($B$113:$B$213,D222+1)-INDEX($B$113:$B$213,D222))),NA())</f>
        <v>0.34601352304308297</v>
      </c>
    </row>
    <row r="223" spans="2:7" hidden="1" outlineLevel="1" x14ac:dyDescent="0.45">
      <c r="B223" s="69">
        <v>7</v>
      </c>
      <c r="C223" s="65">
        <f ca="1">IF(ISNUMBER($C$113),$C$113+($C$213-$C$113)*7/24,NA())</f>
        <v>8.2023152440270655E-2</v>
      </c>
      <c r="D223" s="70">
        <f t="shared" ca="1" si="2"/>
        <v>44</v>
      </c>
      <c r="E223" s="65">
        <f t="shared" ca="1" si="3"/>
        <v>8.6762871165205979E-2</v>
      </c>
      <c r="F223" s="68">
        <f t="shared" ca="1" si="4"/>
        <v>8.7591927807459169E-2</v>
      </c>
      <c r="G223" s="68" cm="1">
        <f t="array" aca="1" ref="G223" ca="1">IF(ISNUMBER(D223),IF(D223&gt;=101,INDEX($B$113:$B$213,101),INDEX($B$113:$B$213,D223)+(C223-INDEX($C$113:$C$213,D223))/MAX(0.000000000001,INDEX($C$113:$C$213,D223+1)-INDEX($C$113:$C$213,D223))*(INDEX($B$113:$B$213,D223+1)-INDEX($B$113:$B$213,D223))),NA())</f>
        <v>0.43460289124782581</v>
      </c>
    </row>
    <row r="224" spans="2:7" hidden="1" outlineLevel="1" x14ac:dyDescent="0.45">
      <c r="B224" s="69">
        <v>8</v>
      </c>
      <c r="C224" s="65">
        <f ca="1">IF(ISNUMBER($C$113),$C$113+($C$213-$C$113)*8/24,NA())</f>
        <v>9.1502589890141317E-2</v>
      </c>
      <c r="D224" s="70">
        <f t="shared" ca="1" si="2"/>
        <v>53</v>
      </c>
      <c r="E224" s="65">
        <f t="shared" ca="1" si="3"/>
        <v>9.6242308615076641E-2</v>
      </c>
      <c r="F224" s="68">
        <f t="shared" ca="1" si="4"/>
        <v>8.5491416017084765E-2</v>
      </c>
      <c r="G224" s="68" cm="1">
        <f t="array" aca="1" ref="G224" ca="1">IF(ISNUMBER(D224),IF(D224&gt;=101,INDEX($B$113:$B$213,101),INDEX($B$113:$B$213,D224)+(C224-INDEX($C$113:$C$213,D224))/MAX(0.000000000001,INDEX($C$113:$C$213,D224+1)-INDEX($C$113:$C$213,D224))*(INDEX($B$113:$B$213,D224+1)-INDEX($B$113:$B$213,D224))),NA())</f>
        <v>0.52219481905528498</v>
      </c>
    </row>
    <row r="225" spans="2:7" hidden="1" outlineLevel="1" x14ac:dyDescent="0.45">
      <c r="B225" s="69">
        <v>9</v>
      </c>
      <c r="C225" s="65">
        <f ca="1">IF(ISNUMBER($C$113),$C$113+($C$213-$C$113)*9/24,NA())</f>
        <v>0.10098202734001197</v>
      </c>
      <c r="D225" s="70">
        <f t="shared" ca="1" si="2"/>
        <v>61</v>
      </c>
      <c r="E225" s="65">
        <f t="shared" ca="1" si="3"/>
        <v>0.1057217460649473</v>
      </c>
      <c r="F225" s="68">
        <f t="shared" ca="1" si="4"/>
        <v>6.9272125859597855E-2</v>
      </c>
      <c r="G225" s="68" cm="1">
        <f t="array" aca="1" ref="G225" ca="1">IF(ISNUMBER(D225),IF(D225&gt;=101,INDEX($B$113:$B$213,101),INDEX($B$113:$B$213,D225)+(C225-INDEX($C$113:$C$213,D225))/MAX(0.000000000001,INDEX($C$113:$C$213,D225+1)-INDEX($C$113:$C$213,D225))*(INDEX($B$113:$B$213,D225+1)-INDEX($B$113:$B$213,D225))),NA())</f>
        <v>0.60768623507236974</v>
      </c>
    </row>
    <row r="226" spans="2:7" hidden="1" outlineLevel="1" x14ac:dyDescent="0.45">
      <c r="B226" s="69">
        <v>10</v>
      </c>
      <c r="C226" s="65">
        <f ca="1">IF(ISNUMBER($C$113),$C$113+($C$213-$C$113)*10/24,NA())</f>
        <v>0.11046146478988263</v>
      </c>
      <c r="D226" s="70">
        <f t="shared" ca="1" si="2"/>
        <v>68</v>
      </c>
      <c r="E226" s="65">
        <f t="shared" ca="1" si="3"/>
        <v>0.11520118351481795</v>
      </c>
      <c r="F226" s="68">
        <f t="shared" ca="1" si="4"/>
        <v>6.3207907854020084E-2</v>
      </c>
      <c r="G226" s="68" cm="1">
        <f t="array" aca="1" ref="G226" ca="1">IF(ISNUMBER(D226),IF(D226&gt;=101,INDEX($B$113:$B$213,101),INDEX($B$113:$B$213,D226)+(C226-INDEX($C$113:$C$213,D226))/MAX(0.000000000001,INDEX($C$113:$C$213,D226+1)-INDEX($C$113:$C$213,D226))*(INDEX($B$113:$B$213,D226+1)-INDEX($B$113:$B$213,D226))),NA())</f>
        <v>0.6769583609319676</v>
      </c>
    </row>
    <row r="227" spans="2:7" hidden="1" outlineLevel="1" x14ac:dyDescent="0.45">
      <c r="B227" s="69">
        <v>11</v>
      </c>
      <c r="C227" s="65">
        <f ca="1">IF(ISNUMBER($C$113),$C$113+($C$213-$C$113)*11/24,NA())</f>
        <v>0.11994090223975326</v>
      </c>
      <c r="D227" s="70">
        <f t="shared" ca="1" si="2"/>
        <v>75</v>
      </c>
      <c r="E227" s="65">
        <f t="shared" ca="1" si="3"/>
        <v>0.12468062096468858</v>
      </c>
      <c r="F227" s="68">
        <f t="shared" ca="1" si="4"/>
        <v>5.2263175394624994E-2</v>
      </c>
      <c r="G227" s="68" cm="1">
        <f t="array" aca="1" ref="G227" ca="1">IF(ISNUMBER(D227),IF(D227&gt;=101,INDEX($B$113:$B$213,101),INDEX($B$113:$B$213,D227)+(C227-INDEX($C$113:$C$213,D227))/MAX(0.000000000001,INDEX($C$113:$C$213,D227+1)-INDEX($C$113:$C$213,D227))*(INDEX($B$113:$B$213,D227+1)-INDEX($B$113:$B$213,D227))),NA())</f>
        <v>0.74016626878598768</v>
      </c>
    </row>
    <row r="228" spans="2:7" hidden="1" outlineLevel="1" x14ac:dyDescent="0.45">
      <c r="B228" s="69">
        <v>12</v>
      </c>
      <c r="C228" s="65">
        <f ca="1">IF(ISNUMBER($C$113),$C$113+($C$213-$C$113)*12/24,NA())</f>
        <v>0.12942033968962391</v>
      </c>
      <c r="D228" s="70">
        <f t="shared" ca="1" si="2"/>
        <v>80</v>
      </c>
      <c r="E228" s="65">
        <f t="shared" ca="1" si="3"/>
        <v>0.13416005841455925</v>
      </c>
      <c r="F228" s="68">
        <f t="shared" ca="1" si="4"/>
        <v>4.3817576924726653E-2</v>
      </c>
      <c r="G228" s="68" cm="1">
        <f t="array" aca="1" ref="G228" ca="1">IF(ISNUMBER(D228),IF(D228&gt;=101,INDEX($B$113:$B$213,101),INDEX($B$113:$B$213,D228)+(C228-INDEX($C$113:$C$213,D228))/MAX(0.000000000001,INDEX($C$113:$C$213,D228+1)-INDEX($C$113:$C$213,D228))*(INDEX($B$113:$B$213,D228+1)-INDEX($B$113:$B$213,D228))),NA())</f>
        <v>0.79242944418061267</v>
      </c>
    </row>
    <row r="229" spans="2:7" hidden="1" outlineLevel="1" x14ac:dyDescent="0.45">
      <c r="B229" s="69">
        <v>13</v>
      </c>
      <c r="C229" s="65">
        <f ca="1">IF(ISNUMBER($C$113),$C$113+($C$213-$C$113)*13/24,NA())</f>
        <v>0.13889977713949458</v>
      </c>
      <c r="D229" s="70">
        <f t="shared" ca="1" si="2"/>
        <v>84</v>
      </c>
      <c r="E229" s="65">
        <f t="shared" ca="1" si="3"/>
        <v>0.14363949586442989</v>
      </c>
      <c r="F229" s="68">
        <f t="shared" ca="1" si="4"/>
        <v>3.7821956845935811E-2</v>
      </c>
      <c r="G229" s="68" cm="1">
        <f t="array" aca="1" ref="G229" ca="1">IF(ISNUMBER(D229),IF(D229&gt;=101,INDEX($B$113:$B$213,101),INDEX($B$113:$B$213,D229)+(C229-INDEX($C$113:$C$213,D229))/MAX(0.000000000001,INDEX($C$113:$C$213,D229+1)-INDEX($C$113:$C$213,D229))*(INDEX($B$113:$B$213,D229+1)-INDEX($B$113:$B$213,D229))),NA())</f>
        <v>0.83624702110533933</v>
      </c>
    </row>
    <row r="230" spans="2:7" hidden="1" outlineLevel="1" x14ac:dyDescent="0.45">
      <c r="B230" s="69">
        <v>14</v>
      </c>
      <c r="C230" s="65">
        <f ca="1">IF(ISNUMBER($C$113),$C$113+($C$213-$C$113)*14/24,NA())</f>
        <v>0.1483792145893652</v>
      </c>
      <c r="D230" s="70">
        <f t="shared" ca="1" si="2"/>
        <v>88</v>
      </c>
      <c r="E230" s="65">
        <f t="shared" ca="1" si="3"/>
        <v>0.15311893331430054</v>
      </c>
      <c r="F230" s="68">
        <f t="shared" ca="1" si="4"/>
        <v>3.1687820559002766E-2</v>
      </c>
      <c r="G230" s="68" cm="1">
        <f t="array" aca="1" ref="G230" ca="1">IF(ISNUMBER(D230),IF(D230&gt;=101,INDEX($B$113:$B$213,101),INDEX($B$113:$B$213,D230)+(C230-INDEX($C$113:$C$213,D230))/MAX(0.000000000001,INDEX($C$113:$C$213,D230+1)-INDEX($C$113:$C$213,D230))*(INDEX($B$113:$B$213,D230+1)-INDEX($B$113:$B$213,D230))),NA())</f>
        <v>0.87406897795127514</v>
      </c>
    </row>
    <row r="231" spans="2:7" hidden="1" outlineLevel="1" x14ac:dyDescent="0.45">
      <c r="B231" s="69">
        <v>15</v>
      </c>
      <c r="C231" s="65">
        <f ca="1">IF(ISNUMBER($C$113),$C$113+($C$213-$C$113)*15/24,NA())</f>
        <v>0.15785865203923585</v>
      </c>
      <c r="D231" s="70">
        <f t="shared" ca="1" si="2"/>
        <v>91</v>
      </c>
      <c r="E231" s="65">
        <f t="shared" ca="1" si="3"/>
        <v>0.16259837076417119</v>
      </c>
      <c r="F231" s="68">
        <f t="shared" ca="1" si="4"/>
        <v>2.3329199575688464E-2</v>
      </c>
      <c r="G231" s="68" cm="1">
        <f t="array" aca="1" ref="G231" ca="1">IF(ISNUMBER(D231),IF(D231&gt;=101,INDEX($B$113:$B$213,101),INDEX($B$113:$B$213,D231)+(C231-INDEX($C$113:$C$213,D231))/MAX(0.000000000001,INDEX($C$113:$C$213,D231+1)-INDEX($C$113:$C$213,D231))*(INDEX($B$113:$B$213,D231+1)-INDEX($B$113:$B$213,D231))),NA())</f>
        <v>0.90575679851027791</v>
      </c>
    </row>
    <row r="232" spans="2:7" hidden="1" outlineLevel="1" x14ac:dyDescent="0.45">
      <c r="B232" s="69">
        <v>16</v>
      </c>
      <c r="C232" s="65">
        <f ca="1">IF(ISNUMBER($C$113),$C$113+($C$213-$C$113)*16/24,NA())</f>
        <v>0.16733808948910653</v>
      </c>
      <c r="D232" s="70">
        <f t="shared" ca="1" si="2"/>
        <v>93</v>
      </c>
      <c r="E232" s="65">
        <f t="shared" ca="1" si="3"/>
        <v>0.17207780821404184</v>
      </c>
      <c r="F232" s="68">
        <f t="shared" ca="1" si="4"/>
        <v>1.9197257867812345E-2</v>
      </c>
      <c r="G232" s="68" cm="1">
        <f t="array" aca="1" ref="G232" ca="1">IF(ISNUMBER(D232),IF(D232&gt;=101,INDEX($B$113:$B$213,101),INDEX($B$113:$B$213,D232)+(C232-INDEX($C$113:$C$213,D232))/MAX(0.000000000001,INDEX($C$113:$C$213,D232+1)-INDEX($C$113:$C$213,D232))*(INDEX($B$113:$B$213,D232+1)-INDEX($B$113:$B$213,D232))),NA())</f>
        <v>0.92908599808596637</v>
      </c>
    </row>
    <row r="233" spans="2:7" hidden="1" outlineLevel="1" x14ac:dyDescent="0.45">
      <c r="B233" s="69">
        <v>17</v>
      </c>
      <c r="C233" s="65">
        <f ca="1">IF(ISNUMBER($C$113),$C$113+($C$213-$C$113)*17/24,NA())</f>
        <v>0.17681752693897718</v>
      </c>
      <c r="D233" s="70">
        <f t="shared" ca="1" si="2"/>
        <v>95</v>
      </c>
      <c r="E233" s="65">
        <f t="shared" ca="1" si="3"/>
        <v>0.18155724566391251</v>
      </c>
      <c r="F233" s="68">
        <f t="shared" ca="1" si="4"/>
        <v>1.3287569462022808E-2</v>
      </c>
      <c r="G233" s="68" cm="1">
        <f t="array" aca="1" ref="G233" ca="1">IF(ISNUMBER(D233),IF(D233&gt;=101,INDEX($B$113:$B$213,101),INDEX($B$113:$B$213,D233)+(C233-INDEX($C$113:$C$213,D233))/MAX(0.000000000001,INDEX($C$113:$C$213,D233+1)-INDEX($C$113:$C$213,D233))*(INDEX($B$113:$B$213,D233+1)-INDEX($B$113:$B$213,D233))),NA())</f>
        <v>0.94828325595377871</v>
      </c>
    </row>
    <row r="234" spans="2:7" hidden="1" outlineLevel="1" x14ac:dyDescent="0.45">
      <c r="B234" s="69">
        <v>18</v>
      </c>
      <c r="C234" s="65">
        <f ca="1">IF(ISNUMBER($C$113),$C$113+($C$213-$C$113)*18/24,NA())</f>
        <v>0.18629696438884782</v>
      </c>
      <c r="D234" s="70">
        <f t="shared" ca="1" si="2"/>
        <v>97</v>
      </c>
      <c r="E234" s="65">
        <f t="shared" ca="1" si="3"/>
        <v>0.19103668311378313</v>
      </c>
      <c r="F234" s="68">
        <f t="shared" ca="1" si="4"/>
        <v>1.0096284096840158E-2</v>
      </c>
      <c r="G234" s="68" cm="1">
        <f t="array" aca="1" ref="G234" ca="1">IF(ISNUMBER(D234),IF(D234&gt;=101,INDEX($B$113:$B$213,101),INDEX($B$113:$B$213,D234)+(C234-INDEX($C$113:$C$213,D234))/MAX(0.000000000001,INDEX($C$113:$C$213,D234+1)-INDEX($C$113:$C$213,D234))*(INDEX($B$113:$B$213,D234+1)-INDEX($B$113:$B$213,D234))),NA())</f>
        <v>0.96157082541580152</v>
      </c>
    </row>
    <row r="235" spans="2:7" hidden="1" outlineLevel="1" x14ac:dyDescent="0.45">
      <c r="B235" s="69">
        <v>19</v>
      </c>
      <c r="C235" s="65">
        <f ca="1">IF(ISNUMBER($C$113),$C$113+($C$213-$C$113)*19/24,NA())</f>
        <v>0.19577640183871847</v>
      </c>
      <c r="D235" s="70">
        <f t="shared" ca="1" si="2"/>
        <v>98</v>
      </c>
      <c r="E235" s="65">
        <f t="shared" ca="1" si="3"/>
        <v>0.20051612056365381</v>
      </c>
      <c r="F235" s="68">
        <f t="shared" ca="1" si="4"/>
        <v>8.4329960762762335E-3</v>
      </c>
      <c r="G235" s="68" cm="1">
        <f t="array" aca="1" ref="G235" ca="1">IF(ISNUMBER(D235),IF(D235&gt;=101,INDEX($B$113:$B$213,101),INDEX($B$113:$B$213,D235)+(C235-INDEX($C$113:$C$213,D235))/MAX(0.000000000001,INDEX($C$113:$C$213,D235+1)-INDEX($C$113:$C$213,D235))*(INDEX($B$113:$B$213,D235+1)-INDEX($B$113:$B$213,D235))),NA())</f>
        <v>0.97166710951264168</v>
      </c>
    </row>
    <row r="236" spans="2:7" hidden="1" outlineLevel="1" x14ac:dyDescent="0.45">
      <c r="B236" s="69">
        <v>20</v>
      </c>
      <c r="C236" s="65">
        <f ca="1">IF(ISNUMBER($C$113),$C$113+($C$213-$C$113)*20/24,NA())</f>
        <v>0.20525583928858915</v>
      </c>
      <c r="D236" s="70">
        <f t="shared" ca="1" si="2"/>
        <v>99</v>
      </c>
      <c r="E236" s="65">
        <f t="shared" ca="1" si="3"/>
        <v>0.20999555801352449</v>
      </c>
      <c r="F236" s="68">
        <f t="shared" ca="1" si="4"/>
        <v>5.33363941036058E-3</v>
      </c>
      <c r="G236" s="68" cm="1">
        <f t="array" aca="1" ref="G236" ca="1">IF(ISNUMBER(D236),IF(D236&gt;=101,INDEX($B$113:$B$213,101),INDEX($B$113:$B$213,D236)+(C236-INDEX($C$113:$C$213,D236))/MAX(0.000000000001,INDEX($C$113:$C$213,D236+1)-INDEX($C$113:$C$213,D236))*(INDEX($B$113:$B$213,D236+1)-INDEX($B$113:$B$213,D236))),NA())</f>
        <v>0.98010010558891791</v>
      </c>
    </row>
    <row r="237" spans="2:7" hidden="1" outlineLevel="1" x14ac:dyDescent="0.45">
      <c r="B237" s="69">
        <v>21</v>
      </c>
      <c r="C237" s="65">
        <f ca="1">IF(ISNUMBER($C$113),$C$113+($C$213-$C$113)*21/24,NA())</f>
        <v>0.2147352767384598</v>
      </c>
      <c r="D237" s="70">
        <f t="shared" ca="1" si="2"/>
        <v>99</v>
      </c>
      <c r="E237" s="65">
        <f t="shared" ca="1" si="3"/>
        <v>0.21947499546339511</v>
      </c>
      <c r="F237" s="68">
        <f t="shared" ca="1" si="4"/>
        <v>4.9018068198610765E-3</v>
      </c>
      <c r="G237" s="68" cm="1">
        <f t="array" aca="1" ref="G237" ca="1">IF(ISNUMBER(D237),IF(D237&gt;=101,INDEX($B$113:$B$213,101),INDEX($B$113:$B$213,D237)+(C237-INDEX($C$113:$C$213,D237))/MAX(0.000000000001,INDEX($C$113:$C$213,D237+1)-INDEX($C$113:$C$213,D237))*(INDEX($B$113:$B$213,D237+1)-INDEX($B$113:$B$213,D237))),NA())</f>
        <v>0.98543374499927849</v>
      </c>
    </row>
    <row r="238" spans="2:7" hidden="1" outlineLevel="1" x14ac:dyDescent="0.45">
      <c r="B238" s="69">
        <v>22</v>
      </c>
      <c r="C238" s="65">
        <f ca="1">IF(ISNUMBER($C$113),$C$113+($C$213-$C$113)*22/24,NA())</f>
        <v>0.22421471418833042</v>
      </c>
      <c r="D238" s="70">
        <f t="shared" ca="1" si="2"/>
        <v>100</v>
      </c>
      <c r="E238" s="65">
        <f t="shared" ca="1" si="3"/>
        <v>0.22895443291326575</v>
      </c>
      <c r="F238" s="68">
        <f t="shared" ca="1" si="4"/>
        <v>2.3322240904302127E-3</v>
      </c>
      <c r="G238" s="68" cm="1">
        <f t="array" aca="1" ref="G238" ca="1">IF(ISNUMBER(D238),IF(D238&gt;=101,INDEX($B$113:$B$213,101),INDEX($B$113:$B$213,D238)+(C238-INDEX($C$113:$C$213,D238))/MAX(0.000000000001,INDEX($C$113:$C$213,D238+1)-INDEX($C$113:$C$213,D238))*(INDEX($B$113:$B$213,D238+1)-INDEX($B$113:$B$213,D238))),NA())</f>
        <v>0.99033555181913957</v>
      </c>
    </row>
    <row r="239" spans="2:7" hidden="1" outlineLevel="1" x14ac:dyDescent="0.45">
      <c r="B239" s="69">
        <v>23</v>
      </c>
      <c r="C239" s="65">
        <f ca="1">IF(ISNUMBER($C$113),$C$113+($C$213-$C$113)*23/24,NA())</f>
        <v>0.23369415163820109</v>
      </c>
      <c r="D239" s="70">
        <f t="shared" ca="1" si="2"/>
        <v>100</v>
      </c>
      <c r="E239" s="65">
        <f t="shared" ca="1" si="3"/>
        <v>0.2384338703631364</v>
      </c>
      <c r="F239" s="68">
        <f t="shared" ca="1" si="4"/>
        <v>2.3322240904302127E-3</v>
      </c>
      <c r="G239" s="68" cm="1">
        <f t="array" aca="1" ref="G239" ca="1">IF(ISNUMBER(D239),IF(D239&gt;=101,INDEX($B$113:$B$213,101),INDEX($B$113:$B$213,D239)+(C239-INDEX($C$113:$C$213,D239))/MAX(0.000000000001,INDEX($C$113:$C$213,D239+1)-INDEX($C$113:$C$213,D239))*(INDEX($B$113:$B$213,D239+1)-INDEX($B$113:$B$213,D239))),NA())</f>
        <v>0.99266777590956978</v>
      </c>
    </row>
    <row r="240" spans="2:7" hidden="1" outlineLevel="1" x14ac:dyDescent="0.45">
      <c r="B240" s="69">
        <v>24</v>
      </c>
      <c r="C240" s="65">
        <f ca="1">IF(ISNUMBER($C$113),$C$113+($C$213-$C$113)*24/24,NA())</f>
        <v>0.24317358908807174</v>
      </c>
      <c r="D240" s="70">
        <f t="shared" ca="1" si="2"/>
        <v>101</v>
      </c>
      <c r="G240" s="68" cm="1">
        <f t="array" aca="1" ref="G240" ca="1">IF(ISNUMBER(D240),IF(D240&gt;=101,INDEX($B$113:$B$213,101),INDEX($B$113:$B$213,D240)+(C240-INDEX($C$113:$C$213,D240))/MAX(0.000000000001,INDEX($C$113:$C$213,D240+1)-INDEX($C$113:$C$213,D240))*(INDEX($B$113:$B$213,D240+1)-INDEX($B$113:$B$213,D240))),NA())</f>
        <v>0.995</v>
      </c>
    </row>
  </sheetData>
  <mergeCells count="4">
    <mergeCell ref="B44:G44"/>
    <mergeCell ref="B43:G43"/>
    <mergeCell ref="B42:G42"/>
    <mergeCell ref="B41:G41"/>
  </mergeCells>
  <conditionalFormatting sqref="B7">
    <cfRule type="expression" dxfId="5" priority="2">
      <formula>LEFT($B$7,1)="✗"</formula>
    </cfRule>
  </conditionalFormatting>
  <conditionalFormatting sqref="B6:G6">
    <cfRule type="expression" dxfId="4" priority="1">
      <formula>LEFT($B$6,1)&lt;&gt;"✔"</formula>
    </cfRule>
  </conditionalFormatting>
  <conditionalFormatting sqref="C102:D110">
    <cfRule type="expression" dxfId="3" priority="5">
      <formula>ISNA(C102)</formula>
    </cfRule>
  </conditionalFormatting>
  <conditionalFormatting sqref="C113:G240">
    <cfRule type="expression" dxfId="2" priority="6">
      <formula>ISNA($C$113)</formula>
    </cfRule>
  </conditionalFormatting>
  <conditionalFormatting sqref="D50:D99">
    <cfRule type="expression" dxfId="1" priority="4">
      <formula>ISNA(D50)</formula>
    </cfRule>
  </conditionalFormatting>
  <conditionalFormatting sqref="F13:G21">
    <cfRule type="expression" dxfId="0" priority="3">
      <formula>AND(ISNUMBER(F13),F13&gt;=Confidence)</formula>
    </cfRule>
  </conditionalFormatting>
  <hyperlinks>
    <hyperlink ref="B4" location="'Batches'!A1" display="◂  Batches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9E41-E8E6-4D8E-AE6A-1A86A2BED2DC}">
  <dimension ref="A1:B1"/>
  <sheetViews>
    <sheetView workbookViewId="0"/>
  </sheetViews>
  <sheetFormatPr defaultRowHeight="14.25" x14ac:dyDescent="0.45"/>
  <sheetData>
    <row r="1" spans="1:2" x14ac:dyDescent="0.45">
      <c r="A1" s="75" t="s">
        <v>261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020B-8346-4F12-A2F6-DB90014ABBB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D711-86AC-498E-BE61-7F60CBA85A76}">
  <dimension ref="B3:B122"/>
  <sheetViews>
    <sheetView workbookViewId="0"/>
  </sheetViews>
  <sheetFormatPr defaultRowHeight="14.25" x14ac:dyDescent="0.45"/>
  <sheetData>
    <row r="3" spans="2:2" x14ac:dyDescent="0.45">
      <c r="B3">
        <v>144</v>
      </c>
    </row>
    <row r="4" spans="2:2" x14ac:dyDescent="0.45">
      <c r="B4">
        <v>529</v>
      </c>
    </row>
    <row r="5" spans="2:2" x14ac:dyDescent="0.45">
      <c r="B5">
        <v>582</v>
      </c>
    </row>
    <row r="6" spans="2:2" x14ac:dyDescent="0.45">
      <c r="B6">
        <v>406</v>
      </c>
    </row>
    <row r="7" spans="2:2" x14ac:dyDescent="0.45">
      <c r="B7">
        <v>215</v>
      </c>
    </row>
    <row r="8" spans="2:2" x14ac:dyDescent="0.45">
      <c r="B8">
        <v>89</v>
      </c>
    </row>
    <row r="9" spans="2:2" x14ac:dyDescent="0.45">
      <c r="B9">
        <v>26</v>
      </c>
    </row>
    <row r="10" spans="2:2" x14ac:dyDescent="0.45">
      <c r="B10">
        <v>6</v>
      </c>
    </row>
    <row r="11" spans="2:2" x14ac:dyDescent="0.45">
      <c r="B11">
        <v>1</v>
      </c>
    </row>
    <row r="12" spans="2:2" x14ac:dyDescent="0.45">
      <c r="B12">
        <v>2</v>
      </c>
    </row>
    <row r="13" spans="2:2" x14ac:dyDescent="0.45">
      <c r="B13">
        <v>281</v>
      </c>
    </row>
    <row r="14" spans="2:2" x14ac:dyDescent="0.45">
      <c r="B14">
        <v>393</v>
      </c>
    </row>
    <row r="15" spans="2:2" x14ac:dyDescent="0.45">
      <c r="B15">
        <v>433</v>
      </c>
    </row>
    <row r="16" spans="2:2" x14ac:dyDescent="0.45">
      <c r="B16">
        <v>315</v>
      </c>
    </row>
    <row r="17" spans="2:2" x14ac:dyDescent="0.45">
      <c r="B17">
        <v>383</v>
      </c>
    </row>
    <row r="18" spans="2:2" x14ac:dyDescent="0.45">
      <c r="B18">
        <v>84</v>
      </c>
    </row>
    <row r="19" spans="2:2" x14ac:dyDescent="0.45">
      <c r="B19">
        <v>45</v>
      </c>
    </row>
    <row r="20" spans="2:2" x14ac:dyDescent="0.45">
      <c r="B20">
        <v>30</v>
      </c>
    </row>
    <row r="21" spans="2:2" x14ac:dyDescent="0.45">
      <c r="B21">
        <v>19</v>
      </c>
    </row>
    <row r="22" spans="2:2" x14ac:dyDescent="0.45">
      <c r="B22">
        <v>17</v>
      </c>
    </row>
    <row r="23" spans="2:2" x14ac:dyDescent="0.45">
      <c r="B23">
        <v>312</v>
      </c>
    </row>
    <row r="24" spans="2:2" x14ac:dyDescent="0.45">
      <c r="B24">
        <v>501</v>
      </c>
    </row>
    <row r="25" spans="2:2" x14ac:dyDescent="0.45">
      <c r="B25">
        <v>531</v>
      </c>
    </row>
    <row r="26" spans="2:2" x14ac:dyDescent="0.45">
      <c r="B26">
        <v>344</v>
      </c>
    </row>
    <row r="27" spans="2:2" x14ac:dyDescent="0.45">
      <c r="B27">
        <v>192</v>
      </c>
    </row>
    <row r="28" spans="2:2" x14ac:dyDescent="0.45">
      <c r="B28">
        <v>75</v>
      </c>
    </row>
    <row r="29" spans="2:2" x14ac:dyDescent="0.45">
      <c r="B29">
        <v>28</v>
      </c>
    </row>
    <row r="30" spans="2:2" x14ac:dyDescent="0.45">
      <c r="B30">
        <v>13</v>
      </c>
    </row>
    <row r="31" spans="2:2" x14ac:dyDescent="0.45">
      <c r="B31">
        <v>3</v>
      </c>
    </row>
    <row r="32" spans="2:2" x14ac:dyDescent="0.45">
      <c r="B32">
        <v>1</v>
      </c>
    </row>
    <row r="33" spans="2:2" x14ac:dyDescent="0.45">
      <c r="B33">
        <v>3</v>
      </c>
    </row>
    <row r="34" spans="2:2" x14ac:dyDescent="0.45">
      <c r="B34">
        <v>8</v>
      </c>
    </row>
    <row r="35" spans="2:2" x14ac:dyDescent="0.45">
      <c r="B35">
        <v>30</v>
      </c>
    </row>
    <row r="36" spans="2:2" x14ac:dyDescent="0.45">
      <c r="B36">
        <v>58</v>
      </c>
    </row>
    <row r="37" spans="2:2" x14ac:dyDescent="0.45">
      <c r="B37">
        <v>138</v>
      </c>
    </row>
    <row r="38" spans="2:2" x14ac:dyDescent="0.45">
      <c r="B38">
        <v>270</v>
      </c>
    </row>
    <row r="39" spans="2:2" x14ac:dyDescent="0.45">
      <c r="B39">
        <v>434</v>
      </c>
    </row>
    <row r="40" spans="2:2" x14ac:dyDescent="0.45">
      <c r="B40">
        <v>521</v>
      </c>
    </row>
    <row r="41" spans="2:2" x14ac:dyDescent="0.45">
      <c r="B41">
        <v>444</v>
      </c>
    </row>
    <row r="42" spans="2:2" x14ac:dyDescent="0.45">
      <c r="B42">
        <v>94</v>
      </c>
    </row>
    <row r="43" spans="2:2" x14ac:dyDescent="0.45">
      <c r="B43">
        <v>3</v>
      </c>
    </row>
    <row r="44" spans="2:2" x14ac:dyDescent="0.45">
      <c r="B44">
        <v>9</v>
      </c>
    </row>
    <row r="45" spans="2:2" x14ac:dyDescent="0.45">
      <c r="B45">
        <v>32</v>
      </c>
    </row>
    <row r="46" spans="2:2" x14ac:dyDescent="0.45">
      <c r="B46">
        <v>71</v>
      </c>
    </row>
    <row r="47" spans="2:2" x14ac:dyDescent="0.45">
      <c r="B47">
        <v>151</v>
      </c>
    </row>
    <row r="48" spans="2:2" x14ac:dyDescent="0.45">
      <c r="B48">
        <v>297</v>
      </c>
    </row>
    <row r="49" spans="2:2" x14ac:dyDescent="0.45">
      <c r="B49">
        <v>451</v>
      </c>
    </row>
    <row r="50" spans="2:2" x14ac:dyDescent="0.45">
      <c r="B50">
        <v>524</v>
      </c>
    </row>
    <row r="51" spans="2:2" x14ac:dyDescent="0.45">
      <c r="B51">
        <v>399</v>
      </c>
    </row>
    <row r="52" spans="2:2" x14ac:dyDescent="0.45">
      <c r="B52">
        <v>63</v>
      </c>
    </row>
    <row r="53" spans="2:2" x14ac:dyDescent="0.45">
      <c r="B53">
        <v>3</v>
      </c>
    </row>
    <row r="54" spans="2:2" x14ac:dyDescent="0.45">
      <c r="B54">
        <v>11</v>
      </c>
    </row>
    <row r="55" spans="2:2" x14ac:dyDescent="0.45">
      <c r="B55">
        <v>35</v>
      </c>
    </row>
    <row r="56" spans="2:2" x14ac:dyDescent="0.45">
      <c r="B56">
        <v>76</v>
      </c>
    </row>
    <row r="57" spans="2:2" x14ac:dyDescent="0.45">
      <c r="B57">
        <v>154</v>
      </c>
    </row>
    <row r="58" spans="2:2" x14ac:dyDescent="0.45">
      <c r="B58">
        <v>319</v>
      </c>
    </row>
    <row r="59" spans="2:2" x14ac:dyDescent="0.45">
      <c r="B59">
        <v>451</v>
      </c>
    </row>
    <row r="60" spans="2:2" x14ac:dyDescent="0.45">
      <c r="B60">
        <v>514</v>
      </c>
    </row>
    <row r="61" spans="2:2" x14ac:dyDescent="0.45">
      <c r="B61">
        <v>379</v>
      </c>
    </row>
    <row r="62" spans="2:2" x14ac:dyDescent="0.45">
      <c r="B62">
        <v>58</v>
      </c>
    </row>
    <row r="63" spans="2:2" x14ac:dyDescent="0.45">
      <c r="B63">
        <v>5</v>
      </c>
    </row>
    <row r="64" spans="2:2" x14ac:dyDescent="0.45">
      <c r="B64">
        <v>16</v>
      </c>
    </row>
    <row r="65" spans="2:2" x14ac:dyDescent="0.45">
      <c r="B65">
        <v>39</v>
      </c>
    </row>
    <row r="66" spans="2:2" x14ac:dyDescent="0.45">
      <c r="B66">
        <v>84</v>
      </c>
    </row>
    <row r="67" spans="2:2" x14ac:dyDescent="0.45">
      <c r="B67">
        <v>167</v>
      </c>
    </row>
    <row r="68" spans="2:2" x14ac:dyDescent="0.45">
      <c r="B68">
        <v>324</v>
      </c>
    </row>
    <row r="69" spans="2:2" x14ac:dyDescent="0.45">
      <c r="B69">
        <v>445</v>
      </c>
    </row>
    <row r="70" spans="2:2" x14ac:dyDescent="0.45">
      <c r="B70">
        <v>504</v>
      </c>
    </row>
    <row r="71" spans="2:2" x14ac:dyDescent="0.45">
      <c r="B71">
        <v>359</v>
      </c>
    </row>
    <row r="72" spans="2:2" x14ac:dyDescent="0.45">
      <c r="B72">
        <v>57</v>
      </c>
    </row>
    <row r="73" spans="2:2" x14ac:dyDescent="0.45">
      <c r="B73">
        <v>2</v>
      </c>
    </row>
    <row r="74" spans="2:2" x14ac:dyDescent="0.45">
      <c r="B74">
        <v>10</v>
      </c>
    </row>
    <row r="75" spans="2:2" x14ac:dyDescent="0.45">
      <c r="B75">
        <v>33</v>
      </c>
    </row>
    <row r="76" spans="2:2" x14ac:dyDescent="0.45">
      <c r="B76">
        <v>63</v>
      </c>
    </row>
    <row r="77" spans="2:2" x14ac:dyDescent="0.45">
      <c r="B77">
        <v>154</v>
      </c>
    </row>
    <row r="78" spans="2:2" x14ac:dyDescent="0.45">
      <c r="B78">
        <v>295</v>
      </c>
    </row>
    <row r="79" spans="2:2" x14ac:dyDescent="0.45">
      <c r="B79">
        <v>450</v>
      </c>
    </row>
    <row r="80" spans="2:2" x14ac:dyDescent="0.45">
      <c r="B80">
        <v>544</v>
      </c>
    </row>
    <row r="81" spans="2:2" x14ac:dyDescent="0.45">
      <c r="B81">
        <v>389</v>
      </c>
    </row>
    <row r="82" spans="2:2" x14ac:dyDescent="0.45">
      <c r="B82">
        <v>60</v>
      </c>
    </row>
    <row r="83" spans="2:2" x14ac:dyDescent="0.45">
      <c r="B83">
        <v>4</v>
      </c>
    </row>
    <row r="84" spans="2:2" x14ac:dyDescent="0.45">
      <c r="B84">
        <v>8</v>
      </c>
    </row>
    <row r="85" spans="2:2" x14ac:dyDescent="0.45">
      <c r="B85">
        <v>40</v>
      </c>
    </row>
    <row r="86" spans="2:2" x14ac:dyDescent="0.45">
      <c r="B86">
        <v>66</v>
      </c>
    </row>
    <row r="87" spans="2:2" x14ac:dyDescent="0.45">
      <c r="B87">
        <v>165</v>
      </c>
    </row>
    <row r="88" spans="2:2" x14ac:dyDescent="0.45">
      <c r="B88">
        <v>312</v>
      </c>
    </row>
    <row r="89" spans="2:2" x14ac:dyDescent="0.45">
      <c r="B89">
        <v>474</v>
      </c>
    </row>
    <row r="90" spans="2:2" x14ac:dyDescent="0.45">
      <c r="B90">
        <v>520</v>
      </c>
    </row>
    <row r="91" spans="2:2" x14ac:dyDescent="0.45">
      <c r="B91">
        <v>365</v>
      </c>
    </row>
    <row r="92" spans="2:2" x14ac:dyDescent="0.45">
      <c r="B92">
        <v>46</v>
      </c>
    </row>
    <row r="93" spans="2:2" x14ac:dyDescent="0.45">
      <c r="B93">
        <v>4</v>
      </c>
    </row>
    <row r="94" spans="2:2" x14ac:dyDescent="0.45">
      <c r="B94">
        <v>9</v>
      </c>
    </row>
    <row r="95" spans="2:2" x14ac:dyDescent="0.45">
      <c r="B95">
        <v>36</v>
      </c>
    </row>
    <row r="96" spans="2:2" x14ac:dyDescent="0.45">
      <c r="B96">
        <v>63</v>
      </c>
    </row>
    <row r="97" spans="2:2" x14ac:dyDescent="0.45">
      <c r="B97">
        <v>170</v>
      </c>
    </row>
    <row r="98" spans="2:2" x14ac:dyDescent="0.45">
      <c r="B98">
        <v>298</v>
      </c>
    </row>
    <row r="99" spans="2:2" x14ac:dyDescent="0.45">
      <c r="B99">
        <v>479</v>
      </c>
    </row>
    <row r="100" spans="2:2" x14ac:dyDescent="0.45">
      <c r="B100">
        <v>522</v>
      </c>
    </row>
    <row r="101" spans="2:2" x14ac:dyDescent="0.45">
      <c r="B101">
        <v>372</v>
      </c>
    </row>
    <row r="102" spans="2:2" x14ac:dyDescent="0.45">
      <c r="B102">
        <v>47</v>
      </c>
    </row>
    <row r="103" spans="2:2" x14ac:dyDescent="0.45">
      <c r="B103">
        <v>7</v>
      </c>
    </row>
    <row r="104" spans="2:2" x14ac:dyDescent="0.45">
      <c r="B104">
        <v>7</v>
      </c>
    </row>
    <row r="105" spans="2:2" x14ac:dyDescent="0.45">
      <c r="B105">
        <v>36</v>
      </c>
    </row>
    <row r="106" spans="2:2" x14ac:dyDescent="0.45">
      <c r="B106">
        <v>68</v>
      </c>
    </row>
    <row r="107" spans="2:2" x14ac:dyDescent="0.45">
      <c r="B107">
        <v>182</v>
      </c>
    </row>
    <row r="108" spans="2:2" x14ac:dyDescent="0.45">
      <c r="B108">
        <v>301</v>
      </c>
    </row>
    <row r="109" spans="2:2" x14ac:dyDescent="0.45">
      <c r="B109">
        <v>495</v>
      </c>
    </row>
    <row r="110" spans="2:2" x14ac:dyDescent="0.45">
      <c r="B110">
        <v>520</v>
      </c>
    </row>
    <row r="111" spans="2:2" x14ac:dyDescent="0.45">
      <c r="B111">
        <v>344</v>
      </c>
    </row>
    <row r="112" spans="2:2" x14ac:dyDescent="0.45">
      <c r="B112">
        <v>40</v>
      </c>
    </row>
    <row r="113" spans="2:2" x14ac:dyDescent="0.45">
      <c r="B113">
        <v>4</v>
      </c>
    </row>
    <row r="114" spans="2:2" x14ac:dyDescent="0.45">
      <c r="B114">
        <v>6</v>
      </c>
    </row>
    <row r="115" spans="2:2" x14ac:dyDescent="0.45">
      <c r="B115">
        <v>26</v>
      </c>
    </row>
    <row r="116" spans="2:2" x14ac:dyDescent="0.45">
      <c r="B116">
        <v>65</v>
      </c>
    </row>
    <row r="117" spans="2:2" x14ac:dyDescent="0.45">
      <c r="B117">
        <v>146</v>
      </c>
    </row>
    <row r="118" spans="2:2" x14ac:dyDescent="0.45">
      <c r="B118">
        <v>283</v>
      </c>
    </row>
    <row r="119" spans="2:2" x14ac:dyDescent="0.45">
      <c r="B119">
        <v>504</v>
      </c>
    </row>
    <row r="120" spans="2:2" x14ac:dyDescent="0.45">
      <c r="B120">
        <v>530</v>
      </c>
    </row>
    <row r="121" spans="2:2" x14ac:dyDescent="0.45">
      <c r="B121">
        <v>385</v>
      </c>
    </row>
    <row r="122" spans="2:2" x14ac:dyDescent="0.45">
      <c r="B122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D834106D-BD0C-4C78-8507-9DB13830BA2E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36</vt:i4>
      </vt:variant>
    </vt:vector>
  </HeadingPairs>
  <TitlesOfParts>
    <vt:vector size="43" baseType="lpstr">
      <vt:lpstr>About</vt:lpstr>
      <vt:lpstr>Inputs</vt:lpstr>
      <vt:lpstr>Batches</vt:lpstr>
      <vt:lpstr>Results</vt:lpstr>
      <vt:lpstr>ModelRiskDSN</vt:lpstr>
      <vt:lpstr>ModelRiskSYS1</vt:lpstr>
      <vt:lpstr>ModelRiskCharts</vt:lpstr>
      <vt:lpstr>BatchesK</vt:lpstr>
      <vt:lpstr>BatchesU</vt:lpstr>
      <vt:lpstr>Checks</vt:lpstr>
      <vt:lpstr>Confidence</vt:lpstr>
      <vt:lpstr>CostCMO</vt:lpstr>
      <vt:lpstr>CostIn</vt:lpstr>
      <vt:lpstr>CumK</vt:lpstr>
      <vt:lpstr>CumU</vt:lpstr>
      <vt:lpstr>Demand</vt:lpstr>
      <vt:lpstr>FailedBatches</vt:lpstr>
      <vt:lpstr>FailPoint</vt:lpstr>
      <vt:lpstr>FailRate</vt:lpstr>
      <vt:lpstr>InHouse</vt:lpstr>
      <vt:lpstr>InputMeans</vt:lpstr>
      <vt:lpstr>Kg_22</vt:lpstr>
      <vt:lpstr>Kg_23</vt:lpstr>
      <vt:lpstr>Kg_24</vt:lpstr>
      <vt:lpstr>Kg_25</vt:lpstr>
      <vt:lpstr>Kg_26</vt:lpstr>
      <vt:lpstr>Kg_27</vt:lpstr>
      <vt:lpstr>Kg_28</vt:lpstr>
      <vt:lpstr>Kg_29</vt:lpstr>
      <vt:lpstr>Kg_30</vt:lpstr>
      <vt:lpstr>Results!Print_Area</vt:lpstr>
      <vt:lpstr>Inputs!Print_Titles</vt:lpstr>
      <vt:lpstr>Results!Print_Titles</vt:lpstr>
      <vt:lpstr>Rec_Hi</vt:lpstr>
      <vt:lpstr>Rec_Lo</vt:lpstr>
      <vt:lpstr>Rec_Mean</vt:lpstr>
      <vt:lpstr>Rec_ML</vt:lpstr>
      <vt:lpstr>RunBatches</vt:lpstr>
      <vt:lpstr>Titer_Hi</vt:lpstr>
      <vt:lpstr>Titer_Lo</vt:lpstr>
      <vt:lpstr>Titer_Mean</vt:lpstr>
      <vt:lpstr>Titer_ML</vt:lpstr>
      <vt:lpstr>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PH-06 Batch Yield and Manufacturing Capacity</dc:title>
  <dc:subject>ModelRisk industry example library — Pharmaceuticals and biotech</dc:subject>
  <dc:creator>Vose Software</dc:creator>
  <cp:keywords>ModelRisk; Monte Carlo; Pharmaceuticals and biotech</cp:keywords>
  <dc:description>How many bioreactor batches to plan for a 95% chance of meeting demand, when batches fail and yields vary — and what the uncertainty in the failure rate adds.</dc:description>
  <cp:lastModifiedBy>Timour Koupeev</cp:lastModifiedBy>
  <cp:lastPrinted>2026-10-07T08:29:31Z</cp:lastPrinted>
  <dcterms:created xsi:type="dcterms:W3CDTF">2026-10-07T08:28:11Z</dcterms:created>
  <dcterms:modified xsi:type="dcterms:W3CDTF">2026-10-07T08:29:32Z</dcterms:modified>
</cp:coreProperties>
</file>