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harmaceuticals and biotech\"/>
    </mc:Choice>
  </mc:AlternateContent>
  <xr:revisionPtr revIDLastSave="0" documentId="8_{498179D2-B208-4661-A45E-2F1F2FB12E7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Forecast" sheetId="3" r:id="rId3"/>
    <sheet name="Results" sheetId="4" r:id="rId4"/>
    <sheet name="ModelRiskDSN" sheetId="5" state="hidden" r:id="rId5"/>
    <sheet name="ModelRiskSYS1" sheetId="6" state="hidden" r:id="rId6"/>
    <sheet name="ModelRiskCharts" sheetId="7" state="hidden" r:id="rId7"/>
  </sheets>
  <definedNames>
    <definedName name="Addressable">Forecast!$D$11</definedName>
    <definedName name="AddressableBase">Forecast!$D$14</definedName>
    <definedName name="BaseCum">Forecast!$D$41</definedName>
    <definedName name="BasePeak">Forecast!$D$40</definedName>
    <definedName name="Blockbuster">Forecast!$D$39</definedName>
    <definedName name="Checks">Forecast!$D$45:$D$47</definedName>
    <definedName name="Comp">Forecast!$D$12</definedName>
    <definedName name="CompFrom">Inputs!$D$25</definedName>
    <definedName name="CompLoss">Inputs!$D$27</definedName>
    <definedName name="CompLoss_Hi">Inputs!$H$27</definedName>
    <definedName name="CompLoss_Lo">Inputs!$F$27</definedName>
    <definedName name="CompLoss_Mean">Inputs!$I$27</definedName>
    <definedName name="CompLoss_ML">Inputs!$G$27</definedName>
    <definedName name="CompTo">Inputs!$D$26</definedName>
    <definedName name="CompYear">Forecast!$D$13</definedName>
    <definedName name="CumSales">Forecast!$D$38</definedName>
    <definedName name="Eligible">Inputs!$D$13</definedName>
    <definedName name="Eligible_Hi">Inputs!$H$13</definedName>
    <definedName name="Eligible_Lo">Inputs!$F$13</definedName>
    <definedName name="Eligible_Mean">Inputs!$I$13</definedName>
    <definedName name="Eligible_ML">Inputs!$G$13</definedName>
    <definedName name="Erosion">Inputs!$D$19</definedName>
    <definedName name="InputMeans">Inputs!$I$11:$I$27</definedName>
    <definedName name="LaunchYear">Inputs!$D$32</definedName>
    <definedName name="Months">Inputs!$D$17</definedName>
    <definedName name="Months_Hi">Inputs!$H$17</definedName>
    <definedName name="Months_Lo">Inputs!$F$17</definedName>
    <definedName name="Months_Mean">Inputs!$I$17</definedName>
    <definedName name="Months_ML">Inputs!$G$17</definedName>
    <definedName name="NetPrice">Inputs!$D$18</definedName>
    <definedName name="NetPrice_Hi">Inputs!$H$18</definedName>
    <definedName name="NetPrice_Lo">Inputs!$F$18</definedName>
    <definedName name="NetPrice_Mean">Inputs!$I$18</definedName>
    <definedName name="NetPrice_ML">Inputs!$G$18</definedName>
    <definedName name="P_Comp">Inputs!$D$24</definedName>
    <definedName name="PeakSales">Forecast!$D$36</definedName>
    <definedName name="PeakYear">Forecast!$D$37</definedName>
    <definedName name="Prev">Inputs!$D$11</definedName>
    <definedName name="Prev_Hi">Inputs!$H$11</definedName>
    <definedName name="Prev_Lo">Inputs!$F$11</definedName>
    <definedName name="Prev_Mean">Inputs!$I$11</definedName>
    <definedName name="Prev_ML">Inputs!$G$11</definedName>
    <definedName name="_xlnm.Print_Area" localSheetId="3">Results!$A$1:$R$59</definedName>
    <definedName name="_xlnm.Print_Titles" localSheetId="2">Forecast!$6:$7,Forecast!$A:$D</definedName>
    <definedName name="_xlnm.Print_Titles" localSheetId="1">Inputs!$1:$4</definedName>
    <definedName name="_xlnm.Print_Titles" localSheetId="3">Results!$1:$4</definedName>
    <definedName name="ShareCorr">Inputs!$D$33</definedName>
    <definedName name="ShareHi">Inputs!$H$38:$H$47</definedName>
    <definedName name="ShareLo">Inputs!$F$38:$F$47</definedName>
    <definedName name="ShareRow">Forecast!$F$18:$O$18</definedName>
    <definedName name="ShareY5">Forecast!$D$19</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reated">Inputs!$D$12</definedName>
    <definedName name="Treated_Hi">Inputs!$H$12</definedName>
    <definedName name="Treated_Lo">Inputs!$F$12</definedName>
    <definedName name="Treated_Mean">Inputs!$I$12</definedName>
    <definedName name="Treated_ML">Inputs!$G$12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3" l="1" a="1"/>
  <c r="F28" i="3" s="1"/>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D46" i="3"/>
  <c r="D45" i="3"/>
  <c r="F30" i="3"/>
  <c r="D14" i="3"/>
  <c r="F7" i="3"/>
  <c r="B258" i="4" s="1"/>
  <c r="G6" i="3"/>
  <c r="G28" i="3" s="1" a="1"/>
  <c r="G28" i="3" s="1"/>
  <c r="B47" i="2"/>
  <c r="B46" i="2"/>
  <c r="B45" i="2"/>
  <c r="B44" i="2"/>
  <c r="B43" i="2"/>
  <c r="B42" i="2"/>
  <c r="B41" i="2"/>
  <c r="B40" i="2"/>
  <c r="B39" i="2"/>
  <c r="B38" i="2"/>
  <c r="G7" i="3"/>
  <c r="B259" i="4"/>
  <c r="G30" i="3"/>
  <c r="H6" i="3"/>
  <c r="H28" i="3" s="1" a="1"/>
  <c r="H28" i="3" s="1"/>
  <c r="H30" i="3"/>
  <c r="H7" i="3"/>
  <c r="B260" i="4"/>
  <c r="I6" i="3"/>
  <c r="J6" i="3" s="1"/>
  <c r="I28" i="3" a="1"/>
  <c r="I28" i="3" s="1"/>
  <c r="D12" i="3" a="1"/>
  <c r="F18" i="3" a="1"/>
  <c r="D13" i="3" a="1"/>
  <c r="D17" i="2" a="1"/>
  <c r="D11" i="2" a="1"/>
  <c r="I13" i="2" a="1"/>
  <c r="D27" i="2" a="1"/>
  <c r="D13" i="2" a="1"/>
  <c r="I11" i="2" a="1"/>
  <c r="I18" i="2" a="1"/>
  <c r="D12" i="2" a="1"/>
  <c r="I27" i="2" a="1"/>
  <c r="D18" i="2" a="1"/>
  <c r="I12" i="2" a="1"/>
  <c r="I17" i="2" a="1"/>
  <c r="I7" i="3" l="1"/>
  <c r="B261" i="4" s="1"/>
  <c r="D13" i="3"/>
  <c r="J18" i="3"/>
  <c r="F18" i="3"/>
  <c r="N18" i="3"/>
  <c r="D46" i="2" s="1"/>
  <c r="K18" i="3"/>
  <c r="D43" i="2" s="1"/>
  <c r="H18" i="3"/>
  <c r="D40" i="2" s="1"/>
  <c r="L18" i="3"/>
  <c r="D44" i="2" s="1"/>
  <c r="G18" i="3"/>
  <c r="D39" i="2" s="1"/>
  <c r="I18" i="3"/>
  <c r="D41" i="2" s="1"/>
  <c r="O18" i="3"/>
  <c r="D47" i="2" s="1"/>
  <c r="M18" i="3"/>
  <c r="D45" i="2" s="1"/>
  <c r="D12" i="3"/>
  <c r="J7" i="3"/>
  <c r="B262" i="4" s="1"/>
  <c r="J28" i="3" a="1"/>
  <c r="J28" i="3" s="1"/>
  <c r="J29" i="3" s="1"/>
  <c r="J31" i="3" s="1"/>
  <c r="G262" i="4" s="1"/>
  <c r="J30" i="3"/>
  <c r="K6" i="3"/>
  <c r="I30" i="3"/>
  <c r="H29" i="3"/>
  <c r="H31" i="3" s="1"/>
  <c r="G260" i="4" s="1"/>
  <c r="F29" i="3"/>
  <c r="F31" i="3" s="1"/>
  <c r="G258" i="4" s="1"/>
  <c r="G29" i="3"/>
  <c r="G31" i="3" s="1"/>
  <c r="G259" i="4" s="1"/>
  <c r="I29" i="3"/>
  <c r="I31" i="3" s="1"/>
  <c r="G261" i="4" s="1"/>
  <c r="I17" i="2"/>
  <c r="I12" i="2"/>
  <c r="D18" i="2"/>
  <c r="I27" i="2"/>
  <c r="D12" i="2"/>
  <c r="I18" i="2"/>
  <c r="I11" i="2"/>
  <c r="D13" i="2"/>
  <c r="D27" i="2"/>
  <c r="I13" i="2"/>
  <c r="D11" i="2"/>
  <c r="D17" i="2"/>
  <c r="D47" i="3" l="1"/>
  <c r="B7" i="4" s="1"/>
  <c r="D38" i="2"/>
  <c r="D11" i="3"/>
  <c r="K22" i="3"/>
  <c r="H22" i="3"/>
  <c r="G22" i="3"/>
  <c r="F22" i="3"/>
  <c r="I22" i="3"/>
  <c r="J22" i="3"/>
  <c r="F20" i="3"/>
  <c r="J20" i="3"/>
  <c r="I20" i="3"/>
  <c r="H20" i="3"/>
  <c r="G20" i="3"/>
  <c r="K20" i="3"/>
  <c r="D19" i="3" a="1"/>
  <c r="D19" i="3" s="1"/>
  <c r="D42" i="2"/>
  <c r="K28" i="3" a="1"/>
  <c r="K28" i="3" s="1"/>
  <c r="K29" i="3" s="1"/>
  <c r="L6" i="3"/>
  <c r="L22" i="3" s="1"/>
  <c r="K30" i="3"/>
  <c r="K7" i="3"/>
  <c r="B263" i="4" s="1"/>
  <c r="K31" i="3" l="1"/>
  <c r="G263" i="4" s="1"/>
  <c r="M6" i="3"/>
  <c r="L30" i="3"/>
  <c r="L28" i="3" a="1"/>
  <c r="L28" i="3" s="1"/>
  <c r="L29" i="3" s="1"/>
  <c r="L31" i="3" s="1"/>
  <c r="G264" i="4" s="1"/>
  <c r="L7" i="3"/>
  <c r="B264" i="4" s="1"/>
  <c r="I21" i="3"/>
  <c r="I23" i="3" s="1"/>
  <c r="I24" i="3" s="1" a="1"/>
  <c r="I24" i="3" s="1"/>
  <c r="F21" i="3"/>
  <c r="F23" i="3" s="1"/>
  <c r="J21" i="3"/>
  <c r="J23" i="3" s="1"/>
  <c r="J24" i="3" s="1" a="1"/>
  <c r="J24" i="3" s="1"/>
  <c r="H21" i="3"/>
  <c r="H23" i="3" s="1"/>
  <c r="H24" i="3" s="1" a="1"/>
  <c r="H24" i="3" s="1"/>
  <c r="K21" i="3"/>
  <c r="K23" i="3" s="1"/>
  <c r="K24" i="3" s="1" a="1"/>
  <c r="K24" i="3" s="1"/>
  <c r="G21" i="3"/>
  <c r="G23" i="3" s="1"/>
  <c r="G24" i="3" s="1" a="1"/>
  <c r="G24" i="3" s="1"/>
  <c r="L20" i="3"/>
  <c r="L21" i="3" s="1"/>
  <c r="L23" i="3" s="1"/>
  <c r="L24" i="3" s="1" a="1"/>
  <c r="L24" i="3" s="1"/>
  <c r="F263" i="4" a="1"/>
  <c r="E263" i="4" a="1"/>
  <c r="C263" i="4" a="1"/>
  <c r="D263" i="4" a="1"/>
  <c r="F261" i="4" a="1"/>
  <c r="E261" i="4" a="1"/>
  <c r="D261" i="4" a="1"/>
  <c r="C261" i="4" a="1"/>
  <c r="E262" i="4" a="1"/>
  <c r="D262" i="4" a="1"/>
  <c r="C262" i="4" a="1"/>
  <c r="F262" i="4" a="1"/>
  <c r="C260" i="4" a="1"/>
  <c r="D260" i="4" a="1"/>
  <c r="E260" i="4" a="1"/>
  <c r="F260" i="4" a="1"/>
  <c r="E259" i="4" a="1"/>
  <c r="D259" i="4" a="1"/>
  <c r="C259" i="4" a="1"/>
  <c r="F259" i="4" a="1"/>
  <c r="C264" i="4" a="1"/>
  <c r="F264" i="4" a="1"/>
  <c r="E264" i="4" a="1"/>
  <c r="D264" i="4" a="1"/>
  <c r="D264" i="4" l="1"/>
  <c r="E264" i="4"/>
  <c r="F264" i="4"/>
  <c r="C264" i="4"/>
  <c r="F259" i="4"/>
  <c r="C259" i="4"/>
  <c r="D259" i="4"/>
  <c r="E259" i="4"/>
  <c r="F260" i="4"/>
  <c r="E260" i="4"/>
  <c r="D260" i="4"/>
  <c r="C260" i="4"/>
  <c r="F262" i="4"/>
  <c r="C262" i="4"/>
  <c r="D262" i="4"/>
  <c r="E262" i="4"/>
  <c r="C261" i="4"/>
  <c r="D261" i="4"/>
  <c r="E261" i="4"/>
  <c r="F261" i="4"/>
  <c r="D263" i="4"/>
  <c r="C263" i="4"/>
  <c r="E263" i="4"/>
  <c r="F263" i="4"/>
  <c r="F24" i="3" a="1"/>
  <c r="F24" i="3" s="1"/>
  <c r="N6" i="3"/>
  <c r="M28" i="3" a="1"/>
  <c r="M28" i="3" s="1"/>
  <c r="M29" i="3" s="1"/>
  <c r="M31" i="3" s="1"/>
  <c r="G265" i="4" s="1"/>
  <c r="M7" i="3"/>
  <c r="B265" i="4" s="1"/>
  <c r="M30" i="3"/>
  <c r="M20" i="3"/>
  <c r="M21" i="3" s="1"/>
  <c r="M22" i="3"/>
  <c r="F258" i="4" a="1"/>
  <c r="E258" i="4" a="1"/>
  <c r="D258" i="4" a="1"/>
  <c r="C258" i="4" a="1"/>
  <c r="C258" i="4" l="1"/>
  <c r="D258" i="4"/>
  <c r="E258" i="4"/>
  <c r="F258" i="4"/>
  <c r="M23" i="3"/>
  <c r="M24" i="3" s="1" a="1"/>
  <c r="M24" i="3" s="1"/>
  <c r="N28" i="3" a="1"/>
  <c r="N28" i="3" s="1"/>
  <c r="N29" i="3" s="1"/>
  <c r="N31" i="3" s="1"/>
  <c r="G266" i="4" s="1"/>
  <c r="O6" i="3"/>
  <c r="N30" i="3"/>
  <c r="N7" i="3"/>
  <c r="B266" i="4" s="1"/>
  <c r="N22" i="3"/>
  <c r="N20" i="3"/>
  <c r="N21" i="3" s="1"/>
  <c r="F265" i="4" a="1"/>
  <c r="E265" i="4" a="1"/>
  <c r="D265" i="4" a="1"/>
  <c r="C265" i="4" a="1"/>
  <c r="N23" i="3" l="1"/>
  <c r="C265" i="4"/>
  <c r="D265" i="4"/>
  <c r="E265" i="4"/>
  <c r="F265" i="4"/>
  <c r="N24" i="3" a="1"/>
  <c r="N24" i="3" s="1"/>
  <c r="O7" i="3"/>
  <c r="B267" i="4" s="1"/>
  <c r="O28" i="3" a="1"/>
  <c r="O28" i="3" s="1"/>
  <c r="O29" i="3" s="1"/>
  <c r="O30" i="3"/>
  <c r="O20" i="3"/>
  <c r="O21" i="3" s="1"/>
  <c r="O22" i="3"/>
  <c r="F266" i="4" a="1"/>
  <c r="E266" i="4" a="1"/>
  <c r="D266" i="4" a="1"/>
  <c r="C266" i="4" a="1"/>
  <c r="O31" i="3" l="1"/>
  <c r="G267" i="4" s="1"/>
  <c r="O23" i="3"/>
  <c r="D36" i="3" s="1" a="1"/>
  <c r="D36" i="3" s="1"/>
  <c r="D39" i="3" s="1" a="1"/>
  <c r="D39" i="3" s="1"/>
  <c r="C266" i="4"/>
  <c r="D266" i="4"/>
  <c r="E266" i="4"/>
  <c r="F266" i="4"/>
  <c r="D40" i="3"/>
  <c r="D12" i="4" s="1"/>
  <c r="D31" i="3"/>
  <c r="D38" i="3" a="1"/>
  <c r="D38" i="3" s="1"/>
  <c r="D41" i="3"/>
  <c r="D27" i="4" s="1"/>
  <c r="D16" i="4" a="1"/>
  <c r="C134" i="4" a="1"/>
  <c r="C186" i="4" a="1"/>
  <c r="D13" i="4" a="1"/>
  <c r="C139" i="4" a="1"/>
  <c r="C194" i="4" a="1"/>
  <c r="D83" i="4" a="1"/>
  <c r="C159" i="4" a="1"/>
  <c r="C199" i="4" a="1"/>
  <c r="D14" i="4" a="1"/>
  <c r="D92" i="4" a="1"/>
  <c r="C136" i="4" a="1"/>
  <c r="C168" i="4" a="1"/>
  <c r="C200" i="4" a="1"/>
  <c r="D15" i="4" a="1"/>
  <c r="D93" i="4" a="1"/>
  <c r="C137" i="4" a="1"/>
  <c r="C169" i="4" a="1"/>
  <c r="C201" i="4" a="1"/>
  <c r="C166" i="4" a="1"/>
  <c r="D110" i="4" a="1"/>
  <c r="C215" i="4" a="1"/>
  <c r="C216" i="4" a="1"/>
  <c r="C153" i="4" a="1"/>
  <c r="C202" i="4" a="1"/>
  <c r="D66" i="4" a="1"/>
  <c r="C142" i="4" a="1"/>
  <c r="B6" i="4" a="1"/>
  <c r="D71" i="4" a="1"/>
  <c r="C147" i="4" a="1"/>
  <c r="C226" i="4" a="1"/>
  <c r="D91" i="4" a="1"/>
  <c r="C167" i="4" a="1"/>
  <c r="C203" i="4" a="1"/>
  <c r="D18" i="4" a="1"/>
  <c r="D96" i="4" a="1"/>
  <c r="C140" i="4" a="1"/>
  <c r="C172" i="4" a="1"/>
  <c r="C204" i="4" a="1"/>
  <c r="D65" i="4" a="1"/>
  <c r="D97" i="4" a="1"/>
  <c r="C141" i="4" a="1"/>
  <c r="C173" i="4" a="1"/>
  <c r="C205" i="4" a="1"/>
  <c r="D102" i="4" a="1"/>
  <c r="D95" i="4" a="1"/>
  <c r="D116" i="4" a="1"/>
  <c r="D108" i="4" a="1"/>
  <c r="D77" i="4" a="1"/>
  <c r="C185" i="4" a="1"/>
  <c r="C218" i="4" a="1"/>
  <c r="D74" i="4" a="1"/>
  <c r="C150" i="4" a="1"/>
  <c r="D78" i="4" a="1"/>
  <c r="D79" i="4" a="1"/>
  <c r="C155" i="4" a="1"/>
  <c r="D70" i="4" a="1"/>
  <c r="D99" i="4" a="1"/>
  <c r="C175" i="4" a="1"/>
  <c r="C207" i="4" a="1"/>
  <c r="D68" i="4" a="1"/>
  <c r="D100" i="4" a="1"/>
  <c r="C144" i="4" a="1"/>
  <c r="C176" i="4" a="1"/>
  <c r="C208" i="4" a="1"/>
  <c r="D69" i="4" a="1"/>
  <c r="D101" i="4" a="1"/>
  <c r="C145" i="4" a="1"/>
  <c r="C177" i="4" a="1"/>
  <c r="C209" i="4" a="1"/>
  <c r="D90" i="4" a="1"/>
  <c r="C171" i="4" a="1"/>
  <c r="D76" i="4" a="1"/>
  <c r="C184" i="4" a="1"/>
  <c r="C217" i="4" a="1"/>
  <c r="D86" i="4" a="1"/>
  <c r="D82" i="4" a="1"/>
  <c r="C158" i="4" a="1"/>
  <c r="C130" i="4" a="1"/>
  <c r="D87" i="4" a="1"/>
  <c r="C163" i="4" a="1"/>
  <c r="D94" i="4" a="1"/>
  <c r="D107" i="4" a="1"/>
  <c r="C206" i="4" a="1"/>
  <c r="C211" i="4" a="1"/>
  <c r="D72" i="4" a="1"/>
  <c r="D104" i="4" a="1"/>
  <c r="C148" i="4" a="1"/>
  <c r="C180" i="4" a="1"/>
  <c r="C212" i="4" a="1"/>
  <c r="D73" i="4" a="1"/>
  <c r="D105" i="4" a="1"/>
  <c r="C149" i="4" a="1"/>
  <c r="C181" i="4" a="1"/>
  <c r="C213" i="4" a="1"/>
  <c r="C146" i="4" a="1"/>
  <c r="C183" i="4" a="1"/>
  <c r="C152" i="4" a="1"/>
  <c r="D109" i="4" a="1"/>
  <c r="B43" i="4" a="1"/>
  <c r="D106" i="4" a="1"/>
  <c r="D103" i="4" a="1"/>
  <c r="D75" i="4" a="1"/>
  <c r="C223" i="4" a="1"/>
  <c r="C156" i="4" a="1"/>
  <c r="C228" i="4" a="1"/>
  <c r="C161" i="4" a="1"/>
  <c r="C192" i="4" a="1"/>
  <c r="C170" i="4" a="1"/>
  <c r="C129" i="4" a="1"/>
  <c r="C178" i="4" a="1"/>
  <c r="C128" i="4" a="1"/>
  <c r="C210" i="4" a="1"/>
  <c r="C132" i="4" a="1"/>
  <c r="D114" i="4" a="1"/>
  <c r="D111" i="4" a="1"/>
  <c r="C135" i="4" a="1"/>
  <c r="C227" i="4" a="1"/>
  <c r="C160" i="4" a="1"/>
  <c r="D81" i="4" a="1"/>
  <c r="C165" i="4" a="1"/>
  <c r="C174" i="4" a="1"/>
  <c r="C131" i="4" a="1"/>
  <c r="C143" i="4" a="1"/>
  <c r="D80" i="4" a="1"/>
  <c r="C164" i="4" a="1"/>
  <c r="C189" i="4" a="1"/>
  <c r="C188" i="4" a="1"/>
  <c r="C138" i="4" a="1"/>
  <c r="C187" i="4" a="1"/>
  <c r="D113" i="4" a="1"/>
  <c r="C162" i="4" a="1"/>
  <c r="D112" i="4" a="1"/>
  <c r="C195" i="4" a="1"/>
  <c r="C133" i="4" a="1"/>
  <c r="D98" i="4" a="1"/>
  <c r="C219" i="4" a="1"/>
  <c r="D85" i="4" a="1"/>
  <c r="C190" i="4" a="1"/>
  <c r="C191" i="4" a="1"/>
  <c r="C221" i="4" a="1"/>
  <c r="C154" i="4" a="1"/>
  <c r="C220" i="4" a="1"/>
  <c r="C225" i="4" a="1"/>
  <c r="C224" i="4" a="1"/>
  <c r="C182" i="4" a="1"/>
  <c r="C179" i="4" a="1"/>
  <c r="C151" i="4" a="1"/>
  <c r="D84" i="4" a="1"/>
  <c r="D89" i="4" a="1"/>
  <c r="C193" i="4" a="1"/>
  <c r="C214" i="4" a="1"/>
  <c r="D88" i="4" a="1"/>
  <c r="C197" i="4" a="1"/>
  <c r="C222" i="4" a="1"/>
  <c r="C196" i="4" a="1"/>
  <c r="C198" i="4" a="1"/>
  <c r="D67" i="4" a="1"/>
  <c r="C157" i="4" a="1"/>
  <c r="D30" i="4" a="1"/>
  <c r="D29" i="4" a="1"/>
  <c r="D28" i="4" a="1"/>
  <c r="D17" i="4" a="1"/>
  <c r="D37" i="3" l="1" a="1"/>
  <c r="D37" i="3" s="1"/>
  <c r="D23" i="3"/>
  <c r="O24" i="3" a="1"/>
  <c r="O24" i="3" s="1"/>
  <c r="C157" i="4"/>
  <c r="D67" i="4"/>
  <c r="C198" i="4"/>
  <c r="C196" i="4"/>
  <c r="C222" i="4"/>
  <c r="C197" i="4"/>
  <c r="D88" i="4"/>
  <c r="C214" i="4"/>
  <c r="C193" i="4"/>
  <c r="D89" i="4"/>
  <c r="D84" i="4"/>
  <c r="C151" i="4"/>
  <c r="C179" i="4"/>
  <c r="C182" i="4"/>
  <c r="C224" i="4"/>
  <c r="C225" i="4"/>
  <c r="C220" i="4"/>
  <c r="C154" i="4"/>
  <c r="C221" i="4"/>
  <c r="C191" i="4"/>
  <c r="C190" i="4"/>
  <c r="D85" i="4"/>
  <c r="C219" i="4"/>
  <c r="D98" i="4"/>
  <c r="C133" i="4"/>
  <c r="C195" i="4"/>
  <c r="D112" i="4"/>
  <c r="C162" i="4"/>
  <c r="D113" i="4"/>
  <c r="C187" i="4"/>
  <c r="C138" i="4"/>
  <c r="C188" i="4"/>
  <c r="C189" i="4"/>
  <c r="C164" i="4"/>
  <c r="D80" i="4"/>
  <c r="C143" i="4"/>
  <c r="C131" i="4"/>
  <c r="C174" i="4"/>
  <c r="C165" i="4"/>
  <c r="D81" i="4"/>
  <c r="C160" i="4"/>
  <c r="C227" i="4"/>
  <c r="C135" i="4"/>
  <c r="D111" i="4"/>
  <c r="D114" i="4"/>
  <c r="C132" i="4"/>
  <c r="C210" i="4"/>
  <c r="C128" i="4"/>
  <c r="C178" i="4"/>
  <c r="C129" i="4"/>
  <c r="C170" i="4"/>
  <c r="C192" i="4"/>
  <c r="C161" i="4"/>
  <c r="C228" i="4"/>
  <c r="C156" i="4"/>
  <c r="C223" i="4"/>
  <c r="D75" i="4"/>
  <c r="D103" i="4"/>
  <c r="D106" i="4"/>
  <c r="B43" i="4"/>
  <c r="B118" i="4" s="1"/>
  <c r="C47" i="4"/>
  <c r="E48" i="4"/>
  <c r="D46" i="4"/>
  <c r="C46" i="4"/>
  <c r="B45" i="4"/>
  <c r="B120" i="4" s="1"/>
  <c r="E46" i="4"/>
  <c r="B46" i="4"/>
  <c r="B121" i="4" s="1"/>
  <c r="B44" i="4"/>
  <c r="B119" i="4" s="1"/>
  <c r="D50" i="4"/>
  <c r="E45" i="4"/>
  <c r="B49" i="4"/>
  <c r="B124" i="4" s="1"/>
  <c r="D49" i="4"/>
  <c r="C44" i="4"/>
  <c r="D43" i="4"/>
  <c r="B50" i="4"/>
  <c r="B125" i="4" s="1"/>
  <c r="E43" i="4"/>
  <c r="E47" i="4"/>
  <c r="E44" i="4"/>
  <c r="E49" i="4"/>
  <c r="C50" i="4"/>
  <c r="C48" i="4"/>
  <c r="C49" i="4"/>
  <c r="C43" i="4"/>
  <c r="D47" i="4"/>
  <c r="D45" i="4"/>
  <c r="D44" i="4"/>
  <c r="B48" i="4"/>
  <c r="B123" i="4" s="1"/>
  <c r="B47" i="4"/>
  <c r="B122" i="4" s="1"/>
  <c r="D48" i="4"/>
  <c r="C45" i="4"/>
  <c r="E50" i="4"/>
  <c r="D109" i="4"/>
  <c r="C152" i="4"/>
  <c r="C183" i="4"/>
  <c r="C146" i="4"/>
  <c r="C213" i="4"/>
  <c r="C181" i="4"/>
  <c r="C149" i="4"/>
  <c r="D105" i="4"/>
  <c r="D73" i="4"/>
  <c r="C212" i="4"/>
  <c r="C180" i="4"/>
  <c r="C148" i="4"/>
  <c r="D104" i="4"/>
  <c r="D72" i="4"/>
  <c r="C211" i="4"/>
  <c r="C206" i="4"/>
  <c r="D107" i="4"/>
  <c r="D94" i="4"/>
  <c r="C163" i="4"/>
  <c r="D87" i="4"/>
  <c r="C130" i="4"/>
  <c r="C158" i="4"/>
  <c r="D82" i="4"/>
  <c r="D86" i="4"/>
  <c r="C217" i="4"/>
  <c r="C184" i="4"/>
  <c r="D76" i="4"/>
  <c r="C171" i="4"/>
  <c r="D90" i="4"/>
  <c r="C209" i="4"/>
  <c r="C177" i="4"/>
  <c r="C145" i="4"/>
  <c r="D101" i="4"/>
  <c r="D69" i="4"/>
  <c r="C208" i="4"/>
  <c r="C176" i="4"/>
  <c r="C144" i="4"/>
  <c r="D100" i="4"/>
  <c r="D68" i="4"/>
  <c r="C207" i="4"/>
  <c r="C175" i="4"/>
  <c r="D99" i="4"/>
  <c r="D70" i="4"/>
  <c r="C155" i="4"/>
  <c r="D79" i="4"/>
  <c r="D78" i="4"/>
  <c r="C150" i="4"/>
  <c r="D74" i="4"/>
  <c r="C218" i="4"/>
  <c r="C185" i="4"/>
  <c r="D77" i="4"/>
  <c r="D108" i="4"/>
  <c r="D116" i="4"/>
  <c r="D95" i="4"/>
  <c r="D102" i="4"/>
  <c r="C205" i="4"/>
  <c r="C173" i="4"/>
  <c r="C141" i="4"/>
  <c r="D97" i="4"/>
  <c r="D65" i="4"/>
  <c r="C204" i="4"/>
  <c r="C172" i="4"/>
  <c r="C140" i="4"/>
  <c r="D96" i="4"/>
  <c r="D18" i="4"/>
  <c r="C203" i="4"/>
  <c r="C167" i="4"/>
  <c r="D91" i="4"/>
  <c r="C226" i="4"/>
  <c r="C147" i="4"/>
  <c r="D71" i="4"/>
  <c r="B6" i="4"/>
  <c r="C142" i="4"/>
  <c r="D66" i="4"/>
  <c r="C202" i="4"/>
  <c r="C153" i="4"/>
  <c r="C216" i="4"/>
  <c r="C215" i="4"/>
  <c r="D110" i="4"/>
  <c r="C166" i="4"/>
  <c r="C201" i="4"/>
  <c r="C169" i="4"/>
  <c r="C137" i="4"/>
  <c r="D93" i="4"/>
  <c r="D15" i="4"/>
  <c r="C200" i="4"/>
  <c r="C168" i="4"/>
  <c r="C136" i="4"/>
  <c r="D92" i="4"/>
  <c r="D14" i="4"/>
  <c r="C199" i="4"/>
  <c r="C159" i="4"/>
  <c r="D83" i="4"/>
  <c r="C194" i="4"/>
  <c r="C139" i="4"/>
  <c r="D13" i="4"/>
  <c r="C186" i="4"/>
  <c r="C134" i="4"/>
  <c r="D16" i="4"/>
  <c r="D17" i="4"/>
  <c r="D28" i="4"/>
  <c r="D29" i="4"/>
  <c r="D30" i="4"/>
  <c r="D19" i="4" a="1"/>
  <c r="D267" i="4" a="1"/>
  <c r="E267" i="4" a="1"/>
  <c r="F267" i="4" a="1"/>
  <c r="C267" i="4" a="1"/>
  <c r="F125" i="4" l="1"/>
  <c r="C236" i="4"/>
  <c r="F118" i="4"/>
  <c r="D19" i="4"/>
  <c r="F122" i="4"/>
  <c r="G119" i="4"/>
  <c r="C242" i="4"/>
  <c r="C267" i="4"/>
  <c r="F267" i="4"/>
  <c r="E267" i="4"/>
  <c r="D267" i="4"/>
  <c r="C232" i="4"/>
  <c r="C248" i="4"/>
  <c r="D248" i="4" s="1"/>
  <c r="G248" i="4" s="1" a="1"/>
  <c r="G248" i="4" s="1"/>
  <c r="G125" i="4"/>
  <c r="F124" i="4"/>
  <c r="G121" i="4"/>
  <c r="C243" i="4"/>
  <c r="C255" i="4"/>
  <c r="D255" i="4" s="1"/>
  <c r="G255" i="4" s="1" a="1"/>
  <c r="G255" i="4" s="1"/>
  <c r="F121" i="4"/>
  <c r="C233" i="4"/>
  <c r="D233" i="4" s="1"/>
  <c r="G233" i="4" s="1" a="1"/>
  <c r="G233" i="4" s="1"/>
  <c r="C234" i="4"/>
  <c r="D234" i="4" s="1"/>
  <c r="G234" i="4" s="1" a="1"/>
  <c r="G234" i="4" s="1"/>
  <c r="G122" i="4"/>
  <c r="C238" i="4"/>
  <c r="D238" i="4" s="1"/>
  <c r="G238" i="4" s="1" a="1"/>
  <c r="G238" i="4" s="1"/>
  <c r="C246" i="4"/>
  <c r="D246" i="4" s="1"/>
  <c r="G246" i="4" s="1" a="1"/>
  <c r="G246" i="4" s="1"/>
  <c r="G124" i="4"/>
  <c r="C239" i="4"/>
  <c r="D239" i="4" s="1"/>
  <c r="G239" i="4" s="1" a="1"/>
  <c r="G239" i="4" s="1"/>
  <c r="C237" i="4"/>
  <c r="C251" i="4"/>
  <c r="D251" i="4" s="1"/>
  <c r="G251" i="4" s="1" a="1"/>
  <c r="G251" i="4" s="1"/>
  <c r="C253" i="4"/>
  <c r="D253" i="4" s="1"/>
  <c r="G253" i="4" s="1" a="1"/>
  <c r="G253" i="4" s="1"/>
  <c r="F119" i="4"/>
  <c r="C247" i="4"/>
  <c r="D247" i="4" s="1"/>
  <c r="G247" i="4" s="1" a="1"/>
  <c r="G247" i="4" s="1"/>
  <c r="C241" i="4"/>
  <c r="E241" i="4" s="1"/>
  <c r="G123" i="4"/>
  <c r="G118" i="4"/>
  <c r="C245" i="4"/>
  <c r="D245" i="4" s="1"/>
  <c r="G245" i="4" s="1" a="1"/>
  <c r="G245" i="4" s="1"/>
  <c r="C254" i="4"/>
  <c r="D254" i="4" s="1"/>
  <c r="G254" i="4" s="1" a="1"/>
  <c r="G254" i="4" s="1"/>
  <c r="C250" i="4"/>
  <c r="D250" i="4" s="1"/>
  <c r="G250" i="4" s="1" a="1"/>
  <c r="G250" i="4" s="1"/>
  <c r="G120" i="4"/>
  <c r="F120" i="4"/>
  <c r="C244" i="4"/>
  <c r="C231" i="4"/>
  <c r="C249" i="4"/>
  <c r="D249" i="4" s="1"/>
  <c r="G249" i="4" s="1" a="1"/>
  <c r="G249" i="4" s="1"/>
  <c r="C235" i="4"/>
  <c r="D235" i="4" s="1"/>
  <c r="G235" i="4" s="1" a="1"/>
  <c r="G235" i="4" s="1"/>
  <c r="C240" i="4"/>
  <c r="D240" i="4" s="1"/>
  <c r="G240" i="4" s="1" a="1"/>
  <c r="G240" i="4" s="1"/>
  <c r="C252" i="4"/>
  <c r="D252" i="4" s="1"/>
  <c r="G252" i="4" s="1" a="1"/>
  <c r="G252" i="4" s="1"/>
  <c r="F123" i="4"/>
  <c r="D242" i="4"/>
  <c r="G242" i="4" s="1" a="1"/>
  <c r="G242" i="4" s="1"/>
  <c r="D236" i="4"/>
  <c r="G236" i="4" s="1" a="1"/>
  <c r="G236" i="4" s="1"/>
  <c r="E236" i="4" l="1"/>
  <c r="E242" i="4"/>
  <c r="D243" i="4"/>
  <c r="G243" i="4" s="1" a="1"/>
  <c r="G243" i="4" s="1"/>
  <c r="F242" i="4" s="1"/>
  <c r="D237" i="4"/>
  <c r="G237" i="4" s="1" a="1"/>
  <c r="G237" i="4" s="1"/>
  <c r="F237" i="4" s="1"/>
  <c r="F254" i="4"/>
  <c r="E232" i="4"/>
  <c r="E254" i="4"/>
  <c r="E233" i="4"/>
  <c r="D232" i="4"/>
  <c r="G232" i="4" s="1" a="1"/>
  <c r="G232" i="4" s="1"/>
  <c r="F232" i="4" s="1"/>
  <c r="E244" i="4"/>
  <c r="E235" i="4"/>
  <c r="E240" i="4"/>
  <c r="F251" i="4"/>
  <c r="E234" i="4"/>
  <c r="E248" i="4"/>
  <c r="E251" i="4"/>
  <c r="E250" i="4"/>
  <c r="F250" i="4"/>
  <c r="E249" i="4"/>
  <c r="E239" i="4"/>
  <c r="E253" i="4"/>
  <c r="E237" i="4"/>
  <c r="E252" i="4"/>
  <c r="E246" i="4"/>
  <c r="D241" i="4"/>
  <c r="G241" i="4" s="1" a="1"/>
  <c r="G241" i="4" s="1"/>
  <c r="F240" i="4" s="1"/>
  <c r="E231" i="4"/>
  <c r="F246" i="4"/>
  <c r="F238" i="4"/>
  <c r="D231" i="4"/>
  <c r="G231" i="4" s="1" a="1"/>
  <c r="G231" i="4" s="1"/>
  <c r="F235" i="4"/>
  <c r="E243" i="4"/>
  <c r="E245" i="4"/>
  <c r="F233" i="4"/>
  <c r="F252" i="4"/>
  <c r="E247" i="4"/>
  <c r="E238" i="4"/>
  <c r="D244" i="4"/>
  <c r="G244" i="4" s="1" a="1"/>
  <c r="G244" i="4" s="1"/>
  <c r="F244" i="4" s="1"/>
  <c r="F248" i="4"/>
  <c r="F239" i="4"/>
  <c r="F234" i="4"/>
  <c r="F247" i="4"/>
  <c r="F253" i="4"/>
  <c r="F245" i="4"/>
  <c r="F249" i="4"/>
  <c r="F236" i="4" l="1"/>
  <c r="F243" i="4"/>
  <c r="F231" i="4"/>
  <c r="F241"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<sst xmlns="http://schemas.openxmlformats.org/spreadsheetml/2006/main" count="367" uniqueCount="259">
  <si>
    <t>Launch Sales Forecast: Peak Sales and Uptake</t>
  </si>
  <si>
    <t>ModelRisk example  ·  Pharmaceuticals and biotech  ·  PH-05</t>
  </si>
  <si>
    <t>How big will the new drug be?  Peak sales from the patient funnel, the uptake curve and the competition.</t>
  </si>
  <si>
    <t>Next:  Inputs  ▸</t>
  </si>
  <si>
    <t>Model card</t>
  </si>
  <si>
    <t>Industry</t>
  </si>
  <si>
    <t>Pharmaceuticals and biotech</t>
  </si>
  <si>
    <t>Difficulty</t>
  </si>
  <si>
    <t>★★★☆☆   A patient funnel of uncertain factors, an expert's uptake curve as a correlated time series between two percentiles, and a competitor that may enter; peak sales against the base case.</t>
  </si>
  <si>
    <t>Business question</t>
  </si>
  <si>
    <t>A company is preparing to launch a new oral treatment for moderate-to-severe rheumatoid arthritis in 2028. The base-case forecast says peak sales of about US$920 million. How likely is the drug to sell more than US$1 billion a year — a blockbuster — and how likely to disappoint? Which assumptions drive the range?</t>
  </si>
  <si>
    <t>Who it is for</t>
  </si>
  <si>
    <t>Commercial forecasting and brand teams, portfolio and business-development teams, finance.</t>
  </si>
  <si>
    <t>Main outputs</t>
  </si>
  <si>
    <t>Peak sales: base case, mean, P10, P90 and the chance of a blockbuster · the year of peak · sales year by year (fan chart) against the base case · cumulative sales · what drives peak sales.</t>
  </si>
  <si>
    <t>ModelRisk techniques</t>
  </si>
  <si>
    <t>A patient funnel (prevalence × treated × eligible) of PERT estimates · market share by year as an expert's time series between a P10 and a P90, Lognormal in each year and correlated across years (VoseTimeSME2Perc) · a competitor's entry as a Bernoulli event with an uncertain year · net price erosion · peak and year of peak inside the simulation · fan chart and tornado.</t>
  </si>
  <si>
    <t>File</t>
  </si>
  <si>
    <t>PH-05 Launch sales forecast peak sales and uptake  ·  Version 1.0  ·  October 2026  ·  built with ModelRisk 10</t>
  </si>
  <si>
    <t>The business question</t>
  </si>
  <si>
    <t>A company will launch a new oral treatment for moderate-to-severe rheumatoid arthritis in the US and the five largest European markets in 2028. About four million adults there have the disease; about 70% are diagnosed and treated, and about a quarter of those have moderate-to-severe disease that has failed first-line treatment — the drug's label. The commercial team has given, for each year after launch, the market share it is 90% sure to beat and the share it is 90% sure not to exceed; a drug that takes off does so in every year. Patients stay on treatment about eight and a half months a year, at a net price of about US$17,000 a year, falling 2% a year. A competitor in the same class has a 60% chance of launching three to six years after us and would take about a quarter of our share. The base case, built on the most likely values and the middle of the share range, gives peak sales of about US$920 million.</t>
  </si>
  <si>
    <t>How the model works</t>
  </si>
  <si>
    <t>Three sheets after this one, read from left to right. Each one feeds the next.</t>
  </si>
  <si>
    <t>1  Inputs</t>
  </si>
  <si>
    <t>The patients with the disease, the share treated and the share eligible (PERT); the market share the commercial team expects in each year after launch, as a P10 and a P90, and how strongly the years move together; months on treatment, net price and its erosion; the competitor's chance, entry years and impact.</t>
  </si>
  <si>
    <t>2  Forecast</t>
  </si>
  <si>
    <t>VoseTimeSME2Perc draws ten years of market share: in each year a Lognormal through the P10 and the P90, correlated across the years. Patients treated = eligible patients × share × the competitor's effect; sales = patients × months on treatment × net price. The peak and its year are found in every iteration. The base case repeats the calculation with the most likely values and the middle of the share range, without the competitor.</t>
  </si>
  <si>
    <t>3  Results</t>
  </si>
  <si>
    <t>Peak sales against the base case, the chance of a blockbuster and of falling short; sales by year; the inputs that drive peak sales.</t>
  </si>
  <si>
    <t>How to use it</t>
  </si>
  <si>
    <t>Step 1</t>
  </si>
  <si>
    <t>Enter your patient funnel and the market shares your team expects, as a P10 and a P90 for each year.</t>
  </si>
  <si>
    <t>Step 2</t>
  </si>
  <si>
    <t>Enter time on treatment, net price and the competitive threat.</t>
  </si>
  <si>
    <t>Step 3</t>
  </si>
  <si>
    <t>Run a simulation from the ModelRisk ribbon (10,000 samples with a fixed seed are set).</t>
  </si>
  <si>
    <t>Step 4</t>
  </si>
  <si>
    <t>Report peak sales as a range, not a number; spend forecasting effort on the top drivers.</t>
  </si>
  <si>
    <t>Workbook map</t>
  </si>
  <si>
    <t>Inputs</t>
  </si>
  <si>
    <t>Patients, market share by year, treatment and price, competitor.</t>
  </si>
  <si>
    <t>Forecast</t>
  </si>
  <si>
    <t>Share, patients and sales by year; peak; base case; outputs and checks.</t>
  </si>
  <si>
    <t>Results</t>
  </si>
  <si>
    <t>Peak sales, sales by year,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</si>
  <si>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</si>
  <si>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</si>
  <si>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</si>
  <si>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</si>
  <si>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</si>
  <si>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</si>
  <si>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</si>
  <si>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</si>
  <si>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</si>
  <si>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</si>
  <si>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</si>
  <si>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</si>
  <si>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</si>
  <si>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of net sales; prices in US$ thousand (US$k) per patient a year.</t>
  </si>
  <si>
    <t>Patients</t>
  </si>
  <si>
    <t>Thousand patients treated on average in the year.</t>
  </si>
  <si>
    <t>Years</t>
  </si>
  <si>
    <t>Year 1 is the launch year on the Inputs sheet: 2028 as shipped.</t>
  </si>
  <si>
    <t>Blockbuster</t>
  </si>
  <si>
    <t>A drug with peak sales above US$1 billion a year.</t>
  </si>
  <si>
    <t>Base case</t>
  </si>
  <si>
    <t>Most likely funnel, treatment and price; the middle of each year's share range (the geometric mean of the P10 and the P90); no competitor.</t>
  </si>
  <si>
    <t>Key assumptions and limitations</t>
  </si>
  <si>
    <t>Funnel</t>
  </si>
  <si>
    <t>Prevalence, treatment and eligibility constant over the ten years.</t>
  </si>
  <si>
    <t>Share</t>
  </si>
  <si>
    <t>The expert's P10 and P90 are those of a Lognormal in each year; a common factor correlates the years.</t>
  </si>
  <si>
    <t>Competitor</t>
  </si>
  <si>
    <t>Enters at the start of a year, equally likely to be year 3, 4, 5 or 6; takes a fixed fraction of our share from then on.</t>
  </si>
  <si>
    <t>Data</t>
  </si>
  <si>
    <t>The company, the drug and all figures are invented for this example.</t>
  </si>
  <si>
    <t>ModelRisk functions used</t>
  </si>
  <si>
    <t>VoseTimeSME2Perc</t>
  </si>
  <si>
    <t>Ten years of market share from an expert's P10 and P90 for each year, correlated across years (array).</t>
  </si>
  <si>
    <t>VosePERT</t>
  </si>
  <si>
    <t>The funnel, months on treatment, net price and the competitor's impact.</t>
  </si>
  <si>
    <t>VoseBernoulli, VoseStepUniform</t>
  </si>
  <si>
    <t>Whether the competitor enters, and in which year.</t>
  </si>
  <si>
    <t>VoseInput, VoseOutput</t>
  </si>
  <si>
    <t>Mark the uncertain inputs and the outputs for the tornado and the statistics.</t>
  </si>
  <si>
    <t>VoseSimMean, VoseSimPercentile, VoseSimProbability</t>
  </si>
  <si>
    <t>Statistics of the simulation on the Results sheet.</t>
  </si>
  <si>
    <t>VoseSimSensitivityMean</t>
  </si>
  <si>
    <t>The tornado chart: every VoseInput ranked by how far the mean peak sales move across its range.</t>
  </si>
  <si>
    <t>Further reading</t>
  </si>
  <si>
    <t>Forecasting</t>
  </si>
  <si>
    <t>Cook, A. G. (2015). Forecasting for the Pharmaceutical Industry, 2nd edition. Gower.</t>
  </si>
  <si>
    <t>Expert estimates</t>
  </si>
  <si>
    <t>Vose, D. (2008). Risk Analysis: A Quantitative Guide, 3rd edition. Wiley — eliciting expert opinion.</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</si>
  <si>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</si>
  <si>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</si>
  <si>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</si>
  <si>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Forecast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</si>
  <si>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</si>
  <si>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Patients</t>
  </si>
  <si>
    <t>Adults with rheumatoid arthritis in the US and the five largest European markets.</t>
  </si>
  <si>
    <t>Assumption</t>
  </si>
  <si>
    <t>Unit</t>
  </si>
  <si>
    <t>Value in model</t>
  </si>
  <si>
    <t>Uncertainty</t>
  </si>
  <si>
    <t>Low</t>
  </si>
  <si>
    <t>Most likely</t>
  </si>
  <si>
    <t>High</t>
  </si>
  <si>
    <t>Mean</t>
  </si>
  <si>
    <t>Basis / source (illustrative)</t>
  </si>
  <si>
    <t>Adults with the disease</t>
  </si>
  <si>
    <t>million</t>
  </si>
  <si>
    <t>PERT</t>
  </si>
  <si>
    <t>Epidemiology studies: 0.5–0.8% of adults.</t>
  </si>
  <si>
    <t>Diagnosed and treated</t>
  </si>
  <si>
    <t>of patients</t>
  </si>
  <si>
    <t>Moderate to severe, after first-line treatment</t>
  </si>
  <si>
    <t>of those treated</t>
  </si>
  <si>
    <t>The drug's label.</t>
  </si>
  <si>
    <t>2   Treatment and price</t>
  </si>
  <si>
    <t>Months on treatment per patient a year</t>
  </si>
  <si>
    <t>months</t>
  </si>
  <si>
    <t>Patients start and stop during the year; some pause.</t>
  </si>
  <si>
    <t>Net price per patient a year, at launch</t>
  </si>
  <si>
    <t>US$k</t>
  </si>
  <si>
    <t>After discounts and rebates; US and Europe blended.</t>
  </si>
  <si>
    <t>Change in net price each year</t>
  </si>
  <si>
    <t>per year</t>
  </si>
  <si>
    <t>Fixed</t>
  </si>
  <si>
    <t>3   Competitor</t>
  </si>
  <si>
    <t>A second drug in the same class.</t>
  </si>
  <si>
    <t>Chance the competitor launches</t>
  </si>
  <si>
    <t>probability</t>
  </si>
  <si>
    <t>Launches in year … at the earliest</t>
  </si>
  <si>
    <t>year after our launch</t>
  </si>
  <si>
    <t>… at the latest</t>
  </si>
  <si>
    <t>Every year in between equally likely.</t>
  </si>
  <si>
    <t>Share it takes from us</t>
  </si>
  <si>
    <t>of our share</t>
  </si>
  <si>
    <t>4   Launch and market share</t>
  </si>
  <si>
    <t>The year of launch, and how strongly the years move together: a drug that takes off does so in every year.</t>
  </si>
  <si>
    <t>Launch year</t>
  </si>
  <si>
    <t>year</t>
  </si>
  <si>
    <t>Year 1 of the forecast: sales by calendar year from the launch.</t>
  </si>
  <si>
    <t>Correlation between years</t>
  </si>
  <si>
    <t>0 – 1</t>
  </si>
  <si>
    <t>The CorrelationFactor of VoseTimeSME2Perc.</t>
  </si>
  <si>
    <t>5   Market share by year after launch</t>
  </si>
  <si>
    <t>The commercial team's estimates: 10% chance of a share below the P10, 10% above the P90. Value in model: this iteration's share.</t>
  </si>
  <si>
    <t>P10</t>
  </si>
  <si>
    <t>P90</t>
  </si>
  <si>
    <t>of eligible patients</t>
  </si>
  <si>
    <t>Expert range  · SME2Perc</t>
  </si>
  <si>
    <t>Analogues: the last two oral launches in this class.</t>
  </si>
  <si>
    <t>Plateau: the drug's established share.</t>
  </si>
  <si>
    <t>FORECAST   ·   Ten years of market share, patients and net sales from launch; the base case.</t>
  </si>
  <si>
    <t>◂  Inputs</t>
  </si>
  <si>
    <t>Next:  Results  ▸</t>
  </si>
  <si>
    <t>Year after launch</t>
  </si>
  <si>
    <t>Total</t>
  </si>
  <si>
    <t>Calendar year</t>
  </si>
  <si>
    <t>1   This iteration's single values</t>
  </si>
  <si>
    <t>Quantity</t>
  </si>
  <si>
    <t>Value</t>
  </si>
  <si>
    <t>How it is calculated</t>
  </si>
  <si>
    <t>Eligible patients</t>
  </si>
  <si>
    <t>thousand</t>
  </si>
  <si>
    <t>Adults with the disease × treated × eligible</t>
  </si>
  <si>
    <t>Competitor launches?  (1 = yes)</t>
  </si>
  <si>
    <t>1 / 0</t>
  </si>
  <si>
    <t>VoseBernoulli with the chance on the Inputs sheet</t>
  </si>
  <si>
    <t>…in year</t>
  </si>
  <si>
    <t>Each year from the earliest to the latest equally likely</t>
  </si>
  <si>
    <t>Eligible patients, base case</t>
  </si>
  <si>
    <t>The same funnel at the most likely values: the base case in section 3</t>
  </si>
  <si>
    <t>2   Market share, patients and sales</t>
  </si>
  <si>
    <t>VoseTimeSME2Perc: each year's share Lognormal through the expert's P10 and P90, the years correlated.</t>
  </si>
  <si>
    <t>Market share  (expert range)</t>
  </si>
  <si>
    <t>of eligible</t>
  </si>
  <si>
    <t>Market share in year 5  (marked as an input for the tornado)</t>
  </si>
  <si>
    <t>Competitor effect</t>
  </si>
  <si>
    <t>× share</t>
  </si>
  <si>
    <t>Patients treated</t>
  </si>
  <si>
    <t>Net price</t>
  </si>
  <si>
    <t>US$k a year</t>
  </si>
  <si>
    <t>Net sales</t>
  </si>
  <si>
    <t>US$m</t>
  </si>
  <si>
    <t>Net sales  (output, for the fan chart)</t>
  </si>
  <si>
    <t>3   The base case</t>
  </si>
  <si>
    <t>The rows of section 2 at the most likely funnel, treatment and price, the middle of each year's share range, and no competitor.</t>
  </si>
  <si>
    <t>Market share  (geometric mean of P10 and P90)</t>
  </si>
  <si>
    <t>4   Value in this iteration</t>
  </si>
  <si>
    <t>Key outputs, recorded by ModelRisk at every sample (VoseOutput). Their statistics appear on the Results sheet.</t>
  </si>
  <si>
    <t>Output</t>
  </si>
  <si>
    <t>Meaning</t>
  </si>
  <si>
    <t>Peak sales</t>
  </si>
  <si>
    <t>The highest year's net sales.</t>
  </si>
  <si>
    <t>Year of peak sales</t>
  </si>
  <si>
    <t>year after launch</t>
  </si>
  <si>
    <t>Net sales over ten years</t>
  </si>
  <si>
    <t>Blockbuster?  (1 = yes)</t>
  </si>
  <si>
    <t>Peak above US$1 billion.</t>
  </si>
  <si>
    <t>Base case: peak sales</t>
  </si>
  <si>
    <t>Base case: net sales over ten years</t>
  </si>
  <si>
    <t>5   Model checks</t>
  </si>
  <si>
    <t>Should all read OK. A CHECK means an input has been set outside the range the model is built for.</t>
  </si>
  <si>
    <t>Every year's P10 is below its P90</t>
  </si>
  <si>
    <t>The competitor's earliest year is not after its latest</t>
  </si>
  <si>
    <t>Shares stay below 100% in this iteration</t>
  </si>
  <si>
    <t>RESULTS   ·   Filled in automatically from the last simulation. Run a simulation after changing any input.</t>
  </si>
  <si>
    <t>◂  Forecast</t>
  </si>
  <si>
    <t>1   Peak sales</t>
  </si>
  <si>
    <t>Peak sales — distribution</t>
  </si>
  <si>
    <t>Net sales in the best year, US$m.</t>
  </si>
  <si>
    <t>Measure</t>
  </si>
  <si>
    <t>10th percentile</t>
  </si>
  <si>
    <t>Median</t>
  </si>
  <si>
    <t>90th percentile</t>
  </si>
  <si>
    <t>Chance of a blockbuster  (above US$1 billion)</t>
  </si>
  <si>
    <t>Chance of falling short of the base case</t>
  </si>
  <si>
    <t>Year of peak sales after launch, median</t>
  </si>
  <si>
    <t>2   Sales by year</t>
  </si>
  <si>
    <t>Net sales by year — 10th to 90th percentile</t>
  </si>
  <si>
    <t>Net sales from launch, US$m: the simulated range against the base case.</t>
  </si>
  <si>
    <t>Net sales over ten years, base case</t>
  </si>
  <si>
    <t>Net sales over ten years, mean</t>
  </si>
  <si>
    <t>…10th percentile</t>
  </si>
  <si>
    <t>…90th percentile</t>
  </si>
  <si>
    <t>3   What drives peak sales</t>
  </si>
  <si>
    <t>What drives peak sales  (US$m)</t>
  </si>
  <si>
    <t>Lowest and highest mean peak sales over ten equal groups of each input (VoseSimSensitivityMean), drawn from the overall mean.</t>
  </si>
  <si>
    <t>Input (ranked by influence)</t>
  </si>
  <si>
    <t>Lowest mean</t>
  </si>
  <si>
    <t>Highest mean</t>
  </si>
  <si>
    <t>Rank</t>
  </si>
  <si>
    <t>4   How to read these results</t>
  </si>
  <si>
    <t>•  The base case — the most likely funnel and price, the middle of each year's share range, no competitor — gives peak sales of about US$920 million. The simulation agrees on the middle (median about US$960 million) but not on the range: one launch in ten peaks below about US$530 million, one in ten above US$1.7 billion.</t>
  </si>
  <si>
    <t>•  The chance of a blockbuster, peak sales above US$1 billion, is about 46%; the chance of falling short of the base case is about the same, 47%. A single number — 'peak sales of US$920 million' — hides both.</t>
  </si>
  <si>
    <t>•  Market share drives most of the range: mean peak sales run from about US$510 million in the tenth of futures with the lowest year-5 share to about US$1.96 billion in the tenth with the highest. The commercial team's uptake estimates matter far more than the epidemiology, of which only the eligible share matters much. Analogues, market research and the first months of sales narrow the forecast most.</t>
  </si>
  <si>
    <t>•  The competitor matters about as much as the price and the months on treatment: it launches in 60% of futures and takes about a quarter of our share from its launch year, which the base case ignores. The ten-year total still averages about the base case, because a share above the middle of the expert's range adds more than a share below it takes away.</t>
  </si>
  <si>
    <t>•  The correlation between years matters too. With 0.9 a drug that starts well stays ahead; set it lower on the Inputs sheet and good and bad years average out, the range narrows, and the forecast understates the risk.</t>
  </si>
  <si>
    <t>Chart data</t>
  </si>
  <si>
    <t>Statistics of the last simulation behind the charts and the ranking above. Grouped: click + in the left margin to show them.</t>
  </si>
  <si>
    <t>Cumulative probability</t>
  </si>
  <si>
    <t>Exceedance</t>
  </si>
  <si>
    <t>PeakSales</t>
  </si>
  <si>
    <t>Overall mean of PeakSales</t>
  </si>
  <si>
    <t>Ranked input (chart)</t>
  </si>
  <si>
    <t>Highest − mean</t>
  </si>
  <si>
    <t>Lowest − mean</t>
  </si>
  <si>
    <t>Percentiles: PeakSales</t>
  </si>
  <si>
    <t>Histogram: PeakSales</t>
  </si>
  <si>
    <t>Edge</t>
  </si>
  <si>
    <t>Index</t>
  </si>
  <si>
    <t>Mid-point</t>
  </si>
  <si>
    <t>Probability</t>
  </si>
  <si>
    <t>Below edge</t>
  </si>
  <si>
    <t>Period</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</si>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</sst>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_);\(#,##0.00\);&quot;–&quot;_)"/>
    <numFmt numFmtId="165" formatCode="#,##0.0_);\(#,##0.0\);&quot;–&quot;_)"/>
    <numFmt numFmtId="166" formatCode="0.0%"/>
    <numFmt numFmtId="167" formatCode="#,##0_);\(#,##0\);&quot;–&quot;_)"/>
    <numFmt numFmtId="168" formatCode="#,##0_);\(#,##0\);&quot;–&quot;_);&quot;–&quot;"/>
    <numFmt numFmtId="169" formatCode="0%;\-0%;0%;&quot;–&quot;"/>
    <numFmt numFmtId="170" formatCode="0;\-0;0;&quot;–&quot;"/>
  </numFmts>
  <fonts count="26"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9"/>
      <color rgb="FF0F2A47"/>
      <name val="Calibri"/>
    </font>
    <font>
      <b/>
      <sz val="9"/>
      <color rgb="FF8AA0BA"/>
      <name val="Calibri"/>
    </font>
    <font>
      <b/>
      <sz val="10"/>
      <color rgb="FF15803D"/>
      <name val="Calibri"/>
    </font>
    <font>
      <sz val="10"/>
      <color rgb="FF3F5876"/>
      <name val="Calibri"/>
    </font>
    <font>
      <b/>
      <sz val="13"/>
      <color rgb="FF0E4F92"/>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3">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9" fontId="2" fillId="3" borderId="7" xfId="2" applyNumberFormat="1" applyBorder="1">
      <alignment horizontal="right" vertical="center"/>
    </xf>
    <xf numFmtId="9" fontId="1" fillId="2" borderId="7" xfId="1" applyNumberFormat="1" applyBorder="1">
      <alignment horizontal="right" vertical="center"/>
    </xf>
    <xf numFmtId="9" fontId="3" fillId="0" borderId="8" xfId="3" applyNumberFormat="1" applyBorder="1">
      <alignment horizontal="right" vertical="center"/>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166" fontId="1" fillId="2" borderId="7" xfId="1" applyNumberFormat="1" applyBorder="1">
      <alignment horizontal="right" vertical="center"/>
    </xf>
    <xf numFmtId="0" fontId="0" fillId="0" borderId="6" xfId="0" applyBorder="1"/>
    <xf numFmtId="1" fontId="1" fillId="2" borderId="7" xfId="1" applyNumberFormat="1" applyBorder="1">
      <alignment horizontal="right" vertical="center"/>
    </xf>
    <xf numFmtId="2" fontId="1" fillId="2" borderId="7" xfId="1" applyNumberFormat="1" applyBorder="1">
      <alignment horizontal="right" vertical="center"/>
    </xf>
    <xf numFmtId="166" fontId="2" fillId="3" borderId="7" xfId="2"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0" fillId="7" borderId="0" xfId="0" applyFont="1" applyFill="1" applyAlignment="1">
      <alignment horizontal="right" vertical="center"/>
    </xf>
    <xf numFmtId="1" fontId="19"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1" fontId="18" fillId="7" borderId="4" xfId="0" applyNumberFormat="1" applyFont="1" applyFill="1" applyBorder="1" applyAlignment="1">
      <alignment horizontal="right" vertical="center"/>
    </xf>
    <xf numFmtId="0" fontId="17" fillId="7" borderId="4" xfId="0" applyFont="1" applyFill="1" applyBorder="1" applyAlignment="1">
      <alignment horizontal="right" vertical="center"/>
    </xf>
    <xf numFmtId="1" fontId="2" fillId="3" borderId="7" xfId="2" applyNumberFormat="1" applyBorder="1">
      <alignment horizontal="right" vertical="center"/>
    </xf>
    <xf numFmtId="166" fontId="3" fillId="0" borderId="8" xfId="3" applyNumberFormat="1" applyBorder="1">
      <alignment horizontal="right" vertical="center"/>
    </xf>
    <xf numFmtId="0" fontId="12" fillId="0" borderId="6" xfId="0" applyFont="1" applyBorder="1" applyAlignment="1">
      <alignment horizontal="left" vertical="center" indent="1"/>
    </xf>
    <xf numFmtId="167" fontId="12" fillId="0" borderId="8" xfId="3" applyNumberFormat="1" applyFont="1" applyBorder="1">
      <alignment horizontal="right" vertical="center"/>
    </xf>
    <xf numFmtId="167" fontId="4" fillId="4" borderId="9" xfId="4" applyNumberFormat="1" applyBorder="1">
      <alignment horizontal="right" vertical="center"/>
    </xf>
    <xf numFmtId="1" fontId="4" fillId="4" borderId="9" xfId="4" applyNumberFormat="1" applyBorder="1">
      <alignment horizontal="right" vertical="center"/>
    </xf>
    <xf numFmtId="167" fontId="3" fillId="0" borderId="8" xfId="3" applyNumberFormat="1" applyBorder="1">
      <alignment horizontal="right" vertical="center"/>
    </xf>
    <xf numFmtId="0" fontId="21"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5" fillId="0" borderId="5" xfId="0" applyFont="1" applyBorder="1"/>
    <xf numFmtId="0" fontId="22" fillId="0" borderId="6" xfId="0" applyFont="1" applyBorder="1" applyAlignment="1">
      <alignment horizontal="left" vertical="center" indent="1"/>
    </xf>
    <xf numFmtId="168" fontId="23" fillId="5" borderId="7" xfId="5" applyNumberFormat="1" applyFont="1" applyBorder="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170" fontId="1" fillId="5" borderId="7" xfId="5" applyNumberFormat="1" applyBorder="1">
      <alignment horizontal="right" vertical="center"/>
    </xf>
    <xf numFmtId="0" fontId="17" fillId="7" borderId="4" xfId="0" applyFont="1" applyFill="1" applyBorder="1" applyAlignment="1">
      <alignment horizontal="center" vertical="center" wrapText="1"/>
    </xf>
    <xf numFmtId="170"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8" fontId="1" fillId="5" borderId="1" xfId="5" applyNumberFormat="1">
      <alignment horizontal="right" vertical="center"/>
    </xf>
    <xf numFmtId="0" fontId="22" fillId="0" borderId="0" xfId="0" applyFont="1" applyAlignment="1">
      <alignment horizontal="left" vertical="center" indent="1"/>
    </xf>
    <xf numFmtId="167" fontId="3" fillId="0" borderId="2" xfId="3" applyNumberFormat="1">
      <alignment horizontal="right" vertical="center"/>
    </xf>
    <xf numFmtId="166" fontId="3" fillId="0" borderId="2" xfId="3" applyNumberFormat="1">
      <alignment horizontal="right" vertical="center"/>
    </xf>
    <xf numFmtId="0" fontId="24"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0">
    <dxf>
      <font>
        <color rgb="FF8AA0BA"/>
      </font>
    </dxf>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Peak sales</c:v>
          </c:tx>
          <c:spPr>
            <a:solidFill>
              <a:srgbClr val="0E4F92"/>
            </a:solidFill>
            <a:ln>
              <a:noFill/>
              <a:prstDash val="solid"/>
            </a:ln>
          </c:spPr>
          <c:invertIfNegative val="1"/>
          <c:cat>
            <c:numRef>
              <c:f>Results!$E$231:$E$254</c:f>
              <c:numCache>
                <c:formatCode>#,##0.00</c:formatCode>
                <c:ptCount val="24"/>
                <c:pt idx="0">
                  <c:v>359.7799110036899</c:v>
                </c:pt>
                <c:pt idx="1">
                  <c:v>477.30639979017371</c:v>
                </c:pt>
                <c:pt idx="2">
                  <c:v>594.83288857665752</c:v>
                </c:pt>
                <c:pt idx="3">
                  <c:v>712.35937736314122</c:v>
                </c:pt>
                <c:pt idx="4">
                  <c:v>829.88586614962492</c:v>
                </c:pt>
                <c:pt idx="5">
                  <c:v>947.41235493610884</c:v>
                </c:pt>
                <c:pt idx="6">
                  <c:v>1064.9388437225925</c:v>
                </c:pt>
                <c:pt idx="7">
                  <c:v>1182.4653325090762</c:v>
                </c:pt>
                <c:pt idx="8">
                  <c:v>1299.9918212955602</c:v>
                </c:pt>
                <c:pt idx="9">
                  <c:v>1417.5183100820439</c:v>
                </c:pt>
                <c:pt idx="10">
                  <c:v>1535.0447988685276</c:v>
                </c:pt>
                <c:pt idx="11">
                  <c:v>1652.5712876550115</c:v>
                </c:pt>
                <c:pt idx="12">
                  <c:v>1770.0977764414952</c:v>
                </c:pt>
                <c:pt idx="13">
                  <c:v>1887.6242652279789</c:v>
                </c:pt>
                <c:pt idx="14">
                  <c:v>2005.1507540144626</c:v>
                </c:pt>
                <c:pt idx="15">
                  <c:v>2122.6772428009463</c:v>
                </c:pt>
                <c:pt idx="16">
                  <c:v>2240.2037315874304</c:v>
                </c:pt>
                <c:pt idx="17">
                  <c:v>2357.7302203739141</c:v>
                </c:pt>
                <c:pt idx="18">
                  <c:v>2475.2567091603978</c:v>
                </c:pt>
                <c:pt idx="19">
                  <c:v>2592.7831979468815</c:v>
                </c:pt>
                <c:pt idx="20">
                  <c:v>2710.3096867333657</c:v>
                </c:pt>
                <c:pt idx="21">
                  <c:v>2827.8361755198493</c:v>
                </c:pt>
                <c:pt idx="22">
                  <c:v>2945.362664306333</c:v>
                </c:pt>
                <c:pt idx="23">
                  <c:v>3062.8891530928167</c:v>
                </c:pt>
              </c:numCache>
            </c:numRef>
          </c:cat>
          <c:val>
            <c:numRef>
              <c:f>Results!$F$231:$F$254</c:f>
              <c:numCache>
                <c:formatCode>0.0%</c:formatCode>
                <c:ptCount val="24"/>
                <c:pt idx="0">
                  <c:v>3.0750982661806325E-2</c:v>
                </c:pt>
                <c:pt idx="1">
                  <c:v>6.632392744893037E-2</c:v>
                </c:pt>
                <c:pt idx="2">
                  <c:v>0.10033581270571776</c:v>
                </c:pt>
                <c:pt idx="3">
                  <c:v>0.11411224886035426</c:v>
                </c:pt>
                <c:pt idx="4">
                  <c:v>0.11906600735271877</c:v>
                </c:pt>
                <c:pt idx="5">
                  <c:v>0.10673855164650775</c:v>
                </c:pt>
                <c:pt idx="6">
                  <c:v>9.0421952422039431E-2</c:v>
                </c:pt>
                <c:pt idx="7">
                  <c:v>8.0222184982762013E-2</c:v>
                </c:pt>
                <c:pt idx="8">
                  <c:v>6.2046750114636007E-2</c:v>
                </c:pt>
                <c:pt idx="9">
                  <c:v>5.0622964051813435E-2</c:v>
                </c:pt>
                <c:pt idx="10">
                  <c:v>4.1820150591153737E-2</c:v>
                </c:pt>
                <c:pt idx="11">
                  <c:v>3.1766712490729265E-2</c:v>
                </c:pt>
                <c:pt idx="12">
                  <c:v>2.4880707845923444E-2</c:v>
                </c:pt>
                <c:pt idx="13">
                  <c:v>1.788693659091567E-2</c:v>
                </c:pt>
                <c:pt idx="14">
                  <c:v>1.2474520806185274E-2</c:v>
                </c:pt>
                <c:pt idx="15">
                  <c:v>1.0864335309631379E-2</c:v>
                </c:pt>
                <c:pt idx="16">
                  <c:v>7.9007413201760412E-3</c:v>
                </c:pt>
                <c:pt idx="17">
                  <c:v>6.4846806037309745E-3</c:v>
                </c:pt>
                <c:pt idx="18">
                  <c:v>3.4647431635449477E-3</c:v>
                </c:pt>
                <c:pt idx="19">
                  <c:v>3.3285471334937311E-3</c:v>
                </c:pt>
                <c:pt idx="20">
                  <c:v>3.3285471334936201E-3</c:v>
                </c:pt>
                <c:pt idx="21">
                  <c:v>1.7710728926864094E-3</c:v>
                </c:pt>
                <c:pt idx="22">
                  <c:v>1.6934609355246932E-3</c:v>
                </c:pt>
                <c:pt idx="23">
                  <c:v>1.6934609355246932E-3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2E65-4266-9443-0C2AB3CF8395}"/>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Results!$B$258:$B$267</c:f>
              <c:numCache>
                <c:formatCode>General</c:formatCode>
                <c:ptCount val="10"/>
                <c:pt idx="0">
                  <c:v>2028</c:v>
                </c:pt>
                <c:pt idx="1">
                  <c:v>2029</c:v>
                </c:pt>
                <c:pt idx="2">
                  <c:v>2030</c:v>
                </c:pt>
                <c:pt idx="3">
                  <c:v>2031</c:v>
                </c:pt>
                <c:pt idx="4">
                  <c:v>2032</c:v>
                </c:pt>
                <c:pt idx="5">
                  <c:v>2033</c:v>
                </c:pt>
                <c:pt idx="6">
                  <c:v>2034</c:v>
                </c:pt>
                <c:pt idx="7">
                  <c:v>2035</c:v>
                </c:pt>
                <c:pt idx="8">
                  <c:v>2036</c:v>
                </c:pt>
                <c:pt idx="9">
                  <c:v>2037</c:v>
                </c:pt>
              </c:numCache>
            </c:numRef>
          </c:cat>
          <c:val>
            <c:numRef>
              <c:f>Results!$E$258:$E$267</c:f>
              <c:numCache>
                <c:formatCode>#,##0.00</c:formatCode>
                <c:ptCount val="10"/>
                <c:pt idx="0">
                  <c:v>352.42152813770696</c:v>
                </c:pt>
                <c:pt idx="1">
                  <c:v>779.4652067230777</c:v>
                </c:pt>
                <c:pt idx="2">
                  <c:v>1165.0463849963471</c:v>
                </c:pt>
                <c:pt idx="3">
                  <c:v>1423.9347683506999</c:v>
                </c:pt>
                <c:pt idx="4">
                  <c:v>1496.26325157325</c:v>
                </c:pt>
                <c:pt idx="5">
                  <c:v>1463.1215605797722</c:v>
                </c:pt>
                <c:pt idx="6">
                  <c:v>1415.0899817070469</c:v>
                </c:pt>
                <c:pt idx="7">
                  <c:v>1416.9502804506992</c:v>
                </c:pt>
                <c:pt idx="8">
                  <c:v>1375.8605132695741</c:v>
                </c:pt>
                <c:pt idx="9">
                  <c:v>1351.0246122896763</c:v>
                </c:pt>
              </c:numCache>
            </c:numRef>
          </c:val>
          <c:smooth val="0"/>
          <c:extLst>
            <c:ext xmlns:c16="http://schemas.microsoft.com/office/drawing/2014/chart" uri="{C3380CC4-5D6E-409C-BE32-E72D297353CC}">
              <c16:uniqueId val="{00000000-F4DA-43BA-AA59-A17FDB17B582}"/>
            </c:ext>
          </c:extLst>
        </c:ser>
        <c:ser>
          <c:idx val="1"/>
          <c:order val="1"/>
          <c:tx>
            <c:v>Median</c:v>
          </c:tx>
          <c:spPr>
            <a:ln w="28575">
              <a:solidFill>
                <a:srgbClr val="0E4F92"/>
              </a:solidFill>
              <a:prstDash val="solid"/>
            </a:ln>
          </c:spPr>
          <c:marker>
            <c:symbol val="none"/>
          </c:marker>
          <c:cat>
            <c:numRef>
              <c:f>Results!$B$258:$B$267</c:f>
              <c:numCache>
                <c:formatCode>General</c:formatCode>
                <c:ptCount val="10"/>
                <c:pt idx="0">
                  <c:v>2028</c:v>
                </c:pt>
                <c:pt idx="1">
                  <c:v>2029</c:v>
                </c:pt>
                <c:pt idx="2">
                  <c:v>2030</c:v>
                </c:pt>
                <c:pt idx="3">
                  <c:v>2031</c:v>
                </c:pt>
                <c:pt idx="4">
                  <c:v>2032</c:v>
                </c:pt>
                <c:pt idx="5">
                  <c:v>2033</c:v>
                </c:pt>
                <c:pt idx="6">
                  <c:v>2034</c:v>
                </c:pt>
                <c:pt idx="7">
                  <c:v>2035</c:v>
                </c:pt>
                <c:pt idx="8">
                  <c:v>2036</c:v>
                </c:pt>
                <c:pt idx="9">
                  <c:v>2037</c:v>
                </c:pt>
              </c:numCache>
            </c:numRef>
          </c:cat>
          <c:val>
            <c:numRef>
              <c:f>Results!$D$258:$D$267</c:f>
              <c:numCache>
                <c:formatCode>#,##0.00</c:formatCode>
                <c:ptCount val="10"/>
                <c:pt idx="0">
                  <c:v>172.42999968737763</c:v>
                </c:pt>
                <c:pt idx="1">
                  <c:v>438.98023974443879</c:v>
                </c:pt>
                <c:pt idx="2">
                  <c:v>664.26820411525614</c:v>
                </c:pt>
                <c:pt idx="3">
                  <c:v>800.93262502744233</c:v>
                </c:pt>
                <c:pt idx="4">
                  <c:v>821.18567075230123</c:v>
                </c:pt>
                <c:pt idx="5">
                  <c:v>790.9278955189867</c:v>
                </c:pt>
                <c:pt idx="6">
                  <c:v>773.4832606449387</c:v>
                </c:pt>
                <c:pt idx="7">
                  <c:v>754.73663629602197</c:v>
                </c:pt>
                <c:pt idx="8">
                  <c:v>744.43051204266612</c:v>
                </c:pt>
                <c:pt idx="9">
                  <c:v>732.68845914443079</c:v>
                </c:pt>
              </c:numCache>
            </c:numRef>
          </c:val>
          <c:smooth val="0"/>
          <c:extLst>
            <c:ext xmlns:c16="http://schemas.microsoft.com/office/drawing/2014/chart" uri="{C3380CC4-5D6E-409C-BE32-E72D297353CC}">
              <c16:uniqueId val="{00000001-F4DA-43BA-AA59-A17FDB17B582}"/>
            </c:ext>
          </c:extLst>
        </c:ser>
        <c:ser>
          <c:idx val="2"/>
          <c:order val="2"/>
          <c:tx>
            <c:v>Mean</c:v>
          </c:tx>
          <c:spPr>
            <a:ln w="19050">
              <a:solidFill>
                <a:srgbClr val="B45309"/>
              </a:solidFill>
              <a:prstDash val="solid"/>
            </a:ln>
          </c:spPr>
          <c:marker>
            <c:symbol val="none"/>
          </c:marker>
          <c:cat>
            <c:numRef>
              <c:f>Results!$B$258:$B$267</c:f>
              <c:numCache>
                <c:formatCode>General</c:formatCode>
                <c:ptCount val="10"/>
                <c:pt idx="0">
                  <c:v>2028</c:v>
                </c:pt>
                <c:pt idx="1">
                  <c:v>2029</c:v>
                </c:pt>
                <c:pt idx="2">
                  <c:v>2030</c:v>
                </c:pt>
                <c:pt idx="3">
                  <c:v>2031</c:v>
                </c:pt>
                <c:pt idx="4">
                  <c:v>2032</c:v>
                </c:pt>
                <c:pt idx="5">
                  <c:v>2033</c:v>
                </c:pt>
                <c:pt idx="6">
                  <c:v>2034</c:v>
                </c:pt>
                <c:pt idx="7">
                  <c:v>2035</c:v>
                </c:pt>
                <c:pt idx="8">
                  <c:v>2036</c:v>
                </c:pt>
                <c:pt idx="9">
                  <c:v>2037</c:v>
                </c:pt>
              </c:numCache>
            </c:numRef>
          </c:cat>
          <c:val>
            <c:numRef>
              <c:f>Results!$F$258:$F$267</c:f>
              <c:numCache>
                <c:formatCode>#,##0.00</c:formatCode>
                <c:ptCount val="10"/>
                <c:pt idx="0">
                  <c:v>201.75289317092907</c:v>
                </c:pt>
                <c:pt idx="1">
                  <c:v>487.53530680339537</c:v>
                </c:pt>
                <c:pt idx="2">
                  <c:v>730.34288796989256</c:v>
                </c:pt>
                <c:pt idx="3">
                  <c:v>886.61070718240569</c:v>
                </c:pt>
                <c:pt idx="4">
                  <c:v>918.33912310878179</c:v>
                </c:pt>
                <c:pt idx="5">
                  <c:v>886.49864771683053</c:v>
                </c:pt>
                <c:pt idx="6">
                  <c:v>866.90651918414176</c:v>
                </c:pt>
                <c:pt idx="7">
                  <c:v>853.0999412584506</c:v>
                </c:pt>
                <c:pt idx="8">
                  <c:v>835.91266204327337</c:v>
                </c:pt>
                <c:pt idx="9">
                  <c:v>817.82516728356029</c:v>
                </c:pt>
              </c:numCache>
            </c:numRef>
          </c:val>
          <c:smooth val="0"/>
          <c:extLst>
            <c:ext xmlns:c16="http://schemas.microsoft.com/office/drawing/2014/chart" uri="{C3380CC4-5D6E-409C-BE32-E72D297353CC}">
              <c16:uniqueId val="{00000002-F4DA-43BA-AA59-A17FDB17B582}"/>
            </c:ext>
          </c:extLst>
        </c:ser>
        <c:ser>
          <c:idx val="3"/>
          <c:order val="3"/>
          <c:tx>
            <c:v>10th percentile</c:v>
          </c:tx>
          <c:spPr>
            <a:ln w="15875">
              <a:solidFill>
                <a:srgbClr val="0E4F92"/>
              </a:solidFill>
              <a:prstDash val="dash"/>
            </a:ln>
          </c:spPr>
          <c:marker>
            <c:symbol val="none"/>
          </c:marker>
          <c:cat>
            <c:numRef>
              <c:f>Results!$B$258:$B$267</c:f>
              <c:numCache>
                <c:formatCode>General</c:formatCode>
                <c:ptCount val="10"/>
                <c:pt idx="0">
                  <c:v>2028</c:v>
                </c:pt>
                <c:pt idx="1">
                  <c:v>2029</c:v>
                </c:pt>
                <c:pt idx="2">
                  <c:v>2030</c:v>
                </c:pt>
                <c:pt idx="3">
                  <c:v>2031</c:v>
                </c:pt>
                <c:pt idx="4">
                  <c:v>2032</c:v>
                </c:pt>
                <c:pt idx="5">
                  <c:v>2033</c:v>
                </c:pt>
                <c:pt idx="6">
                  <c:v>2034</c:v>
                </c:pt>
                <c:pt idx="7">
                  <c:v>2035</c:v>
                </c:pt>
                <c:pt idx="8">
                  <c:v>2036</c:v>
                </c:pt>
                <c:pt idx="9">
                  <c:v>2037</c:v>
                </c:pt>
              </c:numCache>
            </c:numRef>
          </c:cat>
          <c:val>
            <c:numRef>
              <c:f>Results!$C$258:$C$267</c:f>
              <c:numCache>
                <c:formatCode>#,##0.00</c:formatCode>
                <c:ptCount val="10"/>
                <c:pt idx="0">
                  <c:v>83.784373442797659</c:v>
                </c:pt>
                <c:pt idx="1">
                  <c:v>245.15253568353228</c:v>
                </c:pt>
                <c:pt idx="2">
                  <c:v>372.56297227842038</c:v>
                </c:pt>
                <c:pt idx="3">
                  <c:v>447.20560898692725</c:v>
                </c:pt>
                <c:pt idx="4">
                  <c:v>450.24248068494637</c:v>
                </c:pt>
                <c:pt idx="5">
                  <c:v>421.90230765960183</c:v>
                </c:pt>
                <c:pt idx="6">
                  <c:v>413.81700166991413</c:v>
                </c:pt>
                <c:pt idx="7">
                  <c:v>405.22345251745747</c:v>
                </c:pt>
                <c:pt idx="8">
                  <c:v>398.56895613941413</c:v>
                </c:pt>
                <c:pt idx="9">
                  <c:v>387.78934212003423</c:v>
                </c:pt>
              </c:numCache>
            </c:numRef>
          </c:val>
          <c:smooth val="0"/>
          <c:extLst>
            <c:ext xmlns:c16="http://schemas.microsoft.com/office/drawing/2014/chart" uri="{C3380CC4-5D6E-409C-BE32-E72D297353CC}">
              <c16:uniqueId val="{00000003-F4DA-43BA-AA59-A17FDB17B582}"/>
            </c:ext>
          </c:extLst>
        </c:ser>
        <c:ser>
          <c:idx val="4"/>
          <c:order val="4"/>
          <c:tx>
            <c:v>Base case</c:v>
          </c:tx>
          <c:spPr>
            <a:ln w="22225">
              <a:solidFill>
                <a:srgbClr val="15803D"/>
              </a:solidFill>
              <a:prstDash val="solid"/>
            </a:ln>
          </c:spPr>
          <c:marker>
            <c:symbol val="none"/>
          </c:marker>
          <c:cat>
            <c:numRef>
              <c:f>Results!$B$258:$B$267</c:f>
              <c:numCache>
                <c:formatCode>General</c:formatCode>
                <c:ptCount val="10"/>
                <c:pt idx="0">
                  <c:v>2028</c:v>
                </c:pt>
                <c:pt idx="1">
                  <c:v>2029</c:v>
                </c:pt>
                <c:pt idx="2">
                  <c:v>2030</c:v>
                </c:pt>
                <c:pt idx="3">
                  <c:v>2031</c:v>
                </c:pt>
                <c:pt idx="4">
                  <c:v>2032</c:v>
                </c:pt>
                <c:pt idx="5">
                  <c:v>2033</c:v>
                </c:pt>
                <c:pt idx="6">
                  <c:v>2034</c:v>
                </c:pt>
                <c:pt idx="7">
                  <c:v>2035</c:v>
                </c:pt>
                <c:pt idx="8">
                  <c:v>2036</c:v>
                </c:pt>
                <c:pt idx="9">
                  <c:v>2037</c:v>
                </c:pt>
              </c:numCache>
            </c:numRef>
          </c:cat>
          <c:val>
            <c:numRef>
              <c:f>Results!$G$258:$G$267</c:f>
              <c:numCache>
                <c:formatCode>#,##0.00</c:formatCode>
                <c:ptCount val="10"/>
                <c:pt idx="0">
                  <c:v>168.58333333333331</c:v>
                </c:pt>
                <c:pt idx="1">
                  <c:v>429.23250100470028</c:v>
                </c:pt>
                <c:pt idx="2">
                  <c:v>677.30738734365366</c:v>
                </c:pt>
                <c:pt idx="3">
                  <c:v>858.13536256028806</c:v>
                </c:pt>
                <c:pt idx="4">
                  <c:v>919.92614427103751</c:v>
                </c:pt>
                <c:pt idx="5">
                  <c:v>923.79091504910809</c:v>
                </c:pt>
                <c:pt idx="6">
                  <c:v>905.31509674812594</c:v>
                </c:pt>
                <c:pt idx="7">
                  <c:v>887.20879481316342</c:v>
                </c:pt>
                <c:pt idx="8">
                  <c:v>869.46461891690012</c:v>
                </c:pt>
                <c:pt idx="9">
                  <c:v>852.07532653856208</c:v>
                </c:pt>
              </c:numCache>
            </c:numRef>
          </c:val>
          <c:smooth val="0"/>
          <c:extLst>
            <c:ext xmlns:c16="http://schemas.microsoft.com/office/drawing/2014/chart" uri="{C3380CC4-5D6E-409C-BE32-E72D297353CC}">
              <c16:uniqueId val="{00000004-F4DA-43BA-AA59-A17FDB17B58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US$m</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Results!$B$118:$B$125</c:f>
              <c:strCache>
                <c:ptCount val="8"/>
                <c:pt idx="0">
                  <c:v>Market share year 5</c:v>
                </c:pt>
                <c:pt idx="1">
                  <c:v>Eligible share</c:v>
                </c:pt>
                <c:pt idx="2">
                  <c:v>Net price at launch</c:v>
                </c:pt>
                <c:pt idx="3">
                  <c:v>Months on treatment</c:v>
                </c:pt>
                <c:pt idx="4">
                  <c:v>Competitor launches</c:v>
                </c:pt>
                <c:pt idx="5">
                  <c:v>Diagnosed and treated</c:v>
                </c:pt>
                <c:pt idx="6">
                  <c:v>Adults with the disease</c:v>
                </c:pt>
                <c:pt idx="7">
                  <c:v>Share the competitor takes</c:v>
                </c:pt>
              </c:strCache>
            </c:strRef>
          </c:cat>
          <c:val>
            <c:numRef>
              <c:f>Results!$F$118:$F$125</c:f>
              <c:numCache>
                <c:formatCode>#,##0_);\(#,##0\);"–"_)</c:formatCode>
                <c:ptCount val="8"/>
                <c:pt idx="0">
                  <c:v>898.56825145945822</c:v>
                </c:pt>
                <c:pt idx="1">
                  <c:v>212.97242148829446</c:v>
                </c:pt>
                <c:pt idx="2">
                  <c:v>140.17152878985166</c:v>
                </c:pt>
                <c:pt idx="3">
                  <c:v>120.66934311629643</c:v>
                </c:pt>
                <c:pt idx="4">
                  <c:v>150.94267357565286</c:v>
                </c:pt>
                <c:pt idx="5">
                  <c:v>100.76144622194056</c:v>
                </c:pt>
                <c:pt idx="6">
                  <c:v>66.276250375568907</c:v>
                </c:pt>
                <c:pt idx="7">
                  <c:v>57.936933873141697</c:v>
                </c:pt>
              </c:numCache>
            </c:numRef>
          </c:val>
          <c:extLst>
            <c:ext xmlns:c16="http://schemas.microsoft.com/office/drawing/2014/chart" uri="{C3380CC4-5D6E-409C-BE32-E72D297353CC}">
              <c16:uniqueId val="{00000000-BD6E-4969-9221-20F54FEDE6B6}"/>
            </c:ext>
          </c:extLst>
        </c:ser>
        <c:ser>
          <c:idx val="1"/>
          <c:order val="1"/>
          <c:tx>
            <c:v>Lowest group mean</c:v>
          </c:tx>
          <c:spPr>
            <a:solidFill>
              <a:srgbClr val="B91C1C"/>
            </a:solidFill>
            <a:ln>
              <a:noFill/>
              <a:prstDash val="solid"/>
            </a:ln>
          </c:spPr>
          <c:invertIfNegative val="0"/>
          <c:cat>
            <c:strRef>
              <c:f>Results!$B$118:$B$125</c:f>
              <c:strCache>
                <c:ptCount val="8"/>
                <c:pt idx="0">
                  <c:v>Market share year 5</c:v>
                </c:pt>
                <c:pt idx="1">
                  <c:v>Eligible share</c:v>
                </c:pt>
                <c:pt idx="2">
                  <c:v>Net price at launch</c:v>
                </c:pt>
                <c:pt idx="3">
                  <c:v>Months on treatment</c:v>
                </c:pt>
                <c:pt idx="4">
                  <c:v>Competitor launches</c:v>
                </c:pt>
                <c:pt idx="5">
                  <c:v>Diagnosed and treated</c:v>
                </c:pt>
                <c:pt idx="6">
                  <c:v>Adults with the disease</c:v>
                </c:pt>
                <c:pt idx="7">
                  <c:v>Share the competitor takes</c:v>
                </c:pt>
              </c:strCache>
            </c:strRef>
          </c:cat>
          <c:val>
            <c:numRef>
              <c:f>Results!$G$118:$G$125</c:f>
              <c:numCache>
                <c:formatCode>#,##0_);\(#,##0\);"–"_)</c:formatCode>
                <c:ptCount val="8"/>
                <c:pt idx="0">
                  <c:v>-554.80234933694396</c:v>
                </c:pt>
                <c:pt idx="1">
                  <c:v>-194.89913110788473</c:v>
                </c:pt>
                <c:pt idx="2">
                  <c:v>-126.25302691176228</c:v>
                </c:pt>
                <c:pt idx="3">
                  <c:v>-142.63903084049025</c:v>
                </c:pt>
                <c:pt idx="4">
                  <c:v>-99.834321898095141</c:v>
                </c:pt>
                <c:pt idx="5">
                  <c:v>-110.15461287302708</c:v>
                </c:pt>
                <c:pt idx="6">
                  <c:v>-72.152554626882306</c:v>
                </c:pt>
                <c:pt idx="7">
                  <c:v>-59.952181878674878</c:v>
                </c:pt>
              </c:numCache>
            </c:numRef>
          </c:val>
          <c:extLst>
            <c:ext xmlns:c16="http://schemas.microsoft.com/office/drawing/2014/chart" uri="{C3380CC4-5D6E-409C-BE32-E72D297353CC}">
              <c16:uniqueId val="{00000001-BD6E-4969-9221-20F54FEDE6B6}"/>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24</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40</xdr:row>
      <xdr:rowOff>0</xdr:rowOff>
    </xdr:from>
    <xdr:ext cx="6263999" cy="216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5"/>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8" t="s">
        <v>20</v>
      </c>
      <c r="C16" s="79"/>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ht="39.4"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x14ac:dyDescent="0.45">
      <c r="B60" s="9" t="s">
        <v>72</v>
      </c>
      <c r="C60" s="10" t="s">
        <v>73</v>
      </c>
    </row>
    <row r="61" spans="2:3" x14ac:dyDescent="0.45">
      <c r="B61" s="9" t="s">
        <v>74</v>
      </c>
      <c r="C61" s="10" t="s">
        <v>75</v>
      </c>
    </row>
    <row r="62" spans="2:3" ht="12" customHeight="1" x14ac:dyDescent="0.45"/>
    <row r="63" spans="2:3" ht="22.05" customHeight="1" x14ac:dyDescent="0.5">
      <c r="B63" s="7" t="s">
        <v>76</v>
      </c>
      <c r="C63" s="8"/>
    </row>
    <row r="64" spans="2:3" x14ac:dyDescent="0.45">
      <c r="B64" s="20" t="s">
        <v>77</v>
      </c>
      <c r="C64" s="10" t="s">
        <v>78</v>
      </c>
    </row>
    <row r="65" spans="2:3" x14ac:dyDescent="0.45">
      <c r="B65" s="20" t="s">
        <v>79</v>
      </c>
      <c r="C65" s="10" t="s">
        <v>80</v>
      </c>
    </row>
    <row r="66" spans="2:3" ht="26.25" x14ac:dyDescent="0.45">
      <c r="B66" s="20" t="s">
        <v>81</v>
      </c>
      <c r="C66" s="10" t="s">
        <v>82</v>
      </c>
    </row>
    <row r="67" spans="2:3" x14ac:dyDescent="0.45">
      <c r="B67" s="20" t="s">
        <v>83</v>
      </c>
      <c r="C67" s="10" t="s">
        <v>84</v>
      </c>
    </row>
    <row r="68" spans="2:3" ht="39.4" x14ac:dyDescent="0.45">
      <c r="B68" s="20" t="s">
        <v>85</v>
      </c>
      <c r="C68" s="10" t="s">
        <v>86</v>
      </c>
    </row>
    <row r="69" spans="2:3" x14ac:dyDescent="0.45">
      <c r="B69" s="20" t="s">
        <v>87</v>
      </c>
      <c r="C69" s="10" t="s">
        <v>88</v>
      </c>
    </row>
    <row r="70" spans="2:3" ht="12" customHeight="1" x14ac:dyDescent="0.45"/>
    <row r="71" spans="2:3" ht="22.05" customHeight="1" x14ac:dyDescent="0.5">
      <c r="B71" s="7" t="s">
        <v>89</v>
      </c>
      <c r="C71" s="8"/>
    </row>
    <row r="72" spans="2:3" x14ac:dyDescent="0.45">
      <c r="B72" s="9" t="s">
        <v>90</v>
      </c>
      <c r="C72" s="10" t="s">
        <v>91</v>
      </c>
    </row>
    <row r="73" spans="2:3" x14ac:dyDescent="0.45">
      <c r="B73" s="9" t="s">
        <v>92</v>
      </c>
      <c r="C73" s="10" t="s">
        <v>93</v>
      </c>
    </row>
    <row r="74" spans="2:3" ht="16.05" customHeight="1" x14ac:dyDescent="0.45"/>
    <row r="75" spans="2:3" x14ac:dyDescent="0.45">
      <c r="B75" s="80" t="s">
        <v>94</v>
      </c>
      <c r="C75" s="79"/>
    </row>
  </sheetData>
  <mergeCells count="2">
    <mergeCell ref="B16:C16"/>
    <mergeCell ref="B75:C75"/>
  </mergeCells>
  <hyperlinks>
    <hyperlink ref="D4" location="'Inputs'!A1" display="Next:  Inputs  ▸" xr:uid="{00000000-0004-0000-0000-000000000000}"/>
    <hyperlink ref="B39" location="'Inputs'!A1" display="Inputs" xr:uid="{00000000-0004-0000-0000-000001000000}"/>
    <hyperlink ref="B40" location="'Forecast'!A1" display="Forecast"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7"/>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95</v>
      </c>
      <c r="C3" s="1"/>
      <c r="D3" s="1"/>
      <c r="E3" s="1"/>
      <c r="F3" s="1"/>
      <c r="G3" s="1"/>
      <c r="H3" s="1"/>
      <c r="I3" s="1"/>
      <c r="J3" s="1"/>
    </row>
    <row r="4" spans="1:10" ht="20" customHeight="1" x14ac:dyDescent="0.45">
      <c r="A4" s="5"/>
      <c r="B4" s="22" t="s">
        <v>96</v>
      </c>
      <c r="C4" s="5"/>
      <c r="D4" s="5"/>
      <c r="E4" s="5"/>
      <c r="F4" s="5"/>
      <c r="G4" s="5"/>
      <c r="H4" s="5"/>
      <c r="I4" s="5"/>
      <c r="J4" s="6" t="s">
        <v>97</v>
      </c>
    </row>
    <row r="5" spans="1:10" ht="8" customHeight="1" x14ac:dyDescent="0.45"/>
    <row r="6" spans="1:10" ht="30" customHeight="1" x14ac:dyDescent="0.45">
      <c r="B6" s="81" t="s">
        <v>98</v>
      </c>
      <c r="C6" s="79"/>
      <c r="D6" s="79"/>
      <c r="E6" s="79"/>
      <c r="F6" s="79"/>
      <c r="G6" s="79"/>
      <c r="H6" s="79"/>
      <c r="I6" s="79"/>
      <c r="J6" s="79"/>
    </row>
    <row r="7" spans="1:10" ht="6" customHeight="1" x14ac:dyDescent="0.45"/>
    <row r="8" spans="1:10" ht="22.05" customHeight="1" x14ac:dyDescent="0.5">
      <c r="B8" s="7" t="s">
        <v>99</v>
      </c>
      <c r="C8" s="8"/>
      <c r="D8" s="8"/>
      <c r="E8" s="8"/>
      <c r="F8" s="8"/>
      <c r="G8" s="8"/>
      <c r="H8" s="8"/>
      <c r="I8" s="8"/>
      <c r="J8" s="8"/>
    </row>
    <row r="9" spans="1:10" ht="18" customHeight="1" x14ac:dyDescent="0.45">
      <c r="B9" s="13" t="s">
        <v>100</v>
      </c>
    </row>
    <row r="10" spans="1:10" ht="18" customHeight="1" x14ac:dyDescent="0.45">
      <c r="B10" s="23" t="s">
        <v>101</v>
      </c>
      <c r="C10" s="23" t="s">
        <v>102</v>
      </c>
      <c r="D10" s="24" t="s">
        <v>103</v>
      </c>
      <c r="E10" s="23" t="s">
        <v>104</v>
      </c>
      <c r="F10" s="24" t="s">
        <v>105</v>
      </c>
      <c r="G10" s="24" t="s">
        <v>106</v>
      </c>
      <c r="H10" s="24" t="s">
        <v>107</v>
      </c>
      <c r="I10" s="24" t="s">
        <v>108</v>
      </c>
      <c r="J10" s="23" t="s">
        <v>109</v>
      </c>
    </row>
    <row r="11" spans="1:10" x14ac:dyDescent="0.45">
      <c r="B11" s="25" t="s">
        <v>110</v>
      </c>
      <c r="C11" s="26" t="s">
        <v>111</v>
      </c>
      <c r="D11" s="27" cm="1">
        <f t="array" aca="1" ref="D11" ca="1">_xll.VoseInput("Adults with the disease","million")+_xll.VosePERT(F11,G11,H11)</f>
        <v>3.8999576913770309</v>
      </c>
      <c r="E11" s="26" t="s">
        <v>112</v>
      </c>
      <c r="F11" s="28">
        <v>3.6</v>
      </c>
      <c r="G11" s="28">
        <v>4</v>
      </c>
      <c r="H11" s="28">
        <v>4.4000000000000004</v>
      </c>
      <c r="I11" s="29" cm="1">
        <f t="array" ref="I11">IF(AND(F11&lt;=G11,G11&lt;=H11,F11&lt;H11),_xll.VoseMean(_xll.VosePERTObject(F11,G11,H11)),"✗ range")</f>
        <v>4</v>
      </c>
      <c r="J11" s="30" t="s">
        <v>113</v>
      </c>
    </row>
    <row r="12" spans="1:10" x14ac:dyDescent="0.45">
      <c r="B12" s="25" t="s">
        <v>114</v>
      </c>
      <c r="C12" s="26" t="s">
        <v>115</v>
      </c>
      <c r="D12" s="31" cm="1">
        <f t="array" aca="1" ref="D12" ca="1">_xll.VoseInput("Diagnosed and treated","of patients")+_xll.VosePERT(F12,G12,H12)</f>
        <v>0.69636866916306905</v>
      </c>
      <c r="E12" s="26" t="s">
        <v>112</v>
      </c>
      <c r="F12" s="32">
        <v>0.6</v>
      </c>
      <c r="G12" s="32">
        <v>0.7</v>
      </c>
      <c r="H12" s="32">
        <v>0.8</v>
      </c>
      <c r="I12" s="33" cm="1">
        <f t="array" ref="I12">IF(AND(F12&lt;=G12,G12&lt;=H12,F12&lt;H12,F12&gt;=0,H12&lt;=1),_xll.VoseMean(_xll.VosePERTObject(F12,G12,H12)),"✗ range")</f>
        <v>0.70000000000000007</v>
      </c>
      <c r="J12" s="30"/>
    </row>
    <row r="13" spans="1:10" x14ac:dyDescent="0.45">
      <c r="B13" s="25" t="s">
        <v>116</v>
      </c>
      <c r="C13" s="26" t="s">
        <v>117</v>
      </c>
      <c r="D13" s="31" cm="1">
        <f t="array" aca="1" ref="D13" ca="1">_xll.VoseInput("Eligible share","of those treated")+_xll.VosePERT(F13,G13,H13)</f>
        <v>0.31686010584435198</v>
      </c>
      <c r="E13" s="26" t="s">
        <v>112</v>
      </c>
      <c r="F13" s="32">
        <v>0.2</v>
      </c>
      <c r="G13" s="32">
        <v>0.25</v>
      </c>
      <c r="H13" s="32">
        <v>0.35</v>
      </c>
      <c r="I13" s="33" cm="1">
        <f t="array" ref="I13">IF(AND(F13&lt;=G13,G13&lt;=H13,F13&lt;H13,F13&gt;=0,H13&lt;=1),_xll.VoseMean(_xll.VosePERTObject(F13,G13,H13)),"✗ range")</f>
        <v>0.2583333333333333</v>
      </c>
      <c r="J13" s="30" t="s">
        <v>118</v>
      </c>
    </row>
    <row r="14" spans="1:10" ht="8" customHeight="1" x14ac:dyDescent="0.45"/>
    <row r="15" spans="1:10" ht="22.05" customHeight="1" x14ac:dyDescent="0.5">
      <c r="B15" s="7" t="s">
        <v>119</v>
      </c>
      <c r="C15" s="8"/>
      <c r="D15" s="8"/>
      <c r="E15" s="8"/>
      <c r="F15" s="8"/>
      <c r="G15" s="8"/>
      <c r="H15" s="8"/>
      <c r="I15" s="8"/>
      <c r="J15" s="8"/>
    </row>
    <row r="16" spans="1:10" ht="18" customHeight="1" x14ac:dyDescent="0.45">
      <c r="B16" s="23" t="s">
        <v>101</v>
      </c>
      <c r="C16" s="23" t="s">
        <v>102</v>
      </c>
      <c r="D16" s="24" t="s">
        <v>103</v>
      </c>
      <c r="E16" s="23" t="s">
        <v>104</v>
      </c>
      <c r="F16" s="24" t="s">
        <v>105</v>
      </c>
      <c r="G16" s="24" t="s">
        <v>106</v>
      </c>
      <c r="H16" s="24" t="s">
        <v>107</v>
      </c>
      <c r="I16" s="24" t="s">
        <v>108</v>
      </c>
      <c r="J16" s="23" t="s">
        <v>109</v>
      </c>
    </row>
    <row r="17" spans="2:10" x14ac:dyDescent="0.45">
      <c r="B17" s="25" t="s">
        <v>120</v>
      </c>
      <c r="C17" s="26" t="s">
        <v>121</v>
      </c>
      <c r="D17" s="34" cm="1">
        <f t="array" aca="1" ref="D17" ca="1">_xll.VoseInput("Months on treatment","months")+_xll.VosePERT(F17,G17,H17)</f>
        <v>8.3405554430986371</v>
      </c>
      <c r="E17" s="26" t="s">
        <v>112</v>
      </c>
      <c r="F17" s="35">
        <v>7</v>
      </c>
      <c r="G17" s="35">
        <v>8.5</v>
      </c>
      <c r="H17" s="35">
        <v>10</v>
      </c>
      <c r="I17" s="36" cm="1">
        <f t="array" ref="I17">IF(AND(F17&lt;=G17,G17&lt;=H17,F17&lt;H17),_xll.VoseMean(_xll.VosePERTObject(F17,G17,H17)),"✗ range")</f>
        <v>8.5</v>
      </c>
      <c r="J17" s="30" t="s">
        <v>122</v>
      </c>
    </row>
    <row r="18" spans="2:10" x14ac:dyDescent="0.45">
      <c r="B18" s="25" t="s">
        <v>123</v>
      </c>
      <c r="C18" s="26" t="s">
        <v>124</v>
      </c>
      <c r="D18" s="34" cm="1">
        <f t="array" aca="1" ref="D18" ca="1">_xll.VoseInput("Net price at launch","US$k")+_xll.VosePERT(F18,G18,H18)</f>
        <v>17.389739923871897</v>
      </c>
      <c r="E18" s="26" t="s">
        <v>112</v>
      </c>
      <c r="F18" s="35">
        <v>14</v>
      </c>
      <c r="G18" s="35">
        <v>17</v>
      </c>
      <c r="H18" s="35">
        <v>20</v>
      </c>
      <c r="I18" s="36" cm="1">
        <f t="array" ref="I18">IF(AND(F18&lt;=G18,G18&lt;=H18,F18&lt;H18),_xll.VoseMean(_xll.VosePERTObject(F18,G18,H18)),"✗ range")</f>
        <v>17</v>
      </c>
      <c r="J18" s="30" t="s">
        <v>125</v>
      </c>
    </row>
    <row r="19" spans="2:10" x14ac:dyDescent="0.45">
      <c r="B19" s="25" t="s">
        <v>126</v>
      </c>
      <c r="C19" s="26" t="s">
        <v>127</v>
      </c>
      <c r="D19" s="37">
        <v>-0.02</v>
      </c>
      <c r="E19" s="26" t="s">
        <v>128</v>
      </c>
      <c r="F19" s="38"/>
      <c r="G19" s="38"/>
      <c r="H19" s="38"/>
      <c r="I19" s="38"/>
      <c r="J19" s="30"/>
    </row>
    <row r="20" spans="2:10" ht="8" customHeight="1" x14ac:dyDescent="0.45"/>
    <row r="21" spans="2:10" ht="22.05" customHeight="1" x14ac:dyDescent="0.5">
      <c r="B21" s="7" t="s">
        <v>129</v>
      </c>
      <c r="C21" s="8"/>
      <c r="D21" s="8"/>
      <c r="E21" s="8"/>
      <c r="F21" s="8"/>
      <c r="G21" s="8"/>
      <c r="H21" s="8"/>
      <c r="I21" s="8"/>
      <c r="J21" s="8"/>
    </row>
    <row r="22" spans="2:10" ht="18" customHeight="1" x14ac:dyDescent="0.45">
      <c r="B22" s="13" t="s">
        <v>130</v>
      </c>
    </row>
    <row r="23" spans="2:10" ht="18" customHeight="1" x14ac:dyDescent="0.45">
      <c r="B23" s="23" t="s">
        <v>101</v>
      </c>
      <c r="C23" s="23" t="s">
        <v>102</v>
      </c>
      <c r="D23" s="24" t="s">
        <v>103</v>
      </c>
      <c r="E23" s="23" t="s">
        <v>104</v>
      </c>
      <c r="F23" s="24" t="s">
        <v>105</v>
      </c>
      <c r="G23" s="24" t="s">
        <v>106</v>
      </c>
      <c r="H23" s="24" t="s">
        <v>107</v>
      </c>
      <c r="I23" s="24" t="s">
        <v>108</v>
      </c>
      <c r="J23" s="23" t="s">
        <v>109</v>
      </c>
    </row>
    <row r="24" spans="2:10" x14ac:dyDescent="0.45">
      <c r="B24" s="25" t="s">
        <v>131</v>
      </c>
      <c r="C24" s="26" t="s">
        <v>132</v>
      </c>
      <c r="D24" s="32">
        <v>0.6</v>
      </c>
      <c r="E24" s="26" t="s">
        <v>128</v>
      </c>
      <c r="F24" s="38"/>
      <c r="G24" s="38"/>
      <c r="H24" s="38"/>
      <c r="I24" s="38"/>
      <c r="J24" s="30"/>
    </row>
    <row r="25" spans="2:10" x14ac:dyDescent="0.45">
      <c r="B25" s="25" t="s">
        <v>133</v>
      </c>
      <c r="C25" s="26" t="s">
        <v>134</v>
      </c>
      <c r="D25" s="39">
        <v>3</v>
      </c>
      <c r="E25" s="26" t="s">
        <v>128</v>
      </c>
      <c r="F25" s="38"/>
      <c r="G25" s="38"/>
      <c r="H25" s="38"/>
      <c r="I25" s="38"/>
      <c r="J25" s="30"/>
    </row>
    <row r="26" spans="2:10" x14ac:dyDescent="0.45">
      <c r="B26" s="25" t="s">
        <v>135</v>
      </c>
      <c r="C26" s="26" t="s">
        <v>134</v>
      </c>
      <c r="D26" s="39">
        <v>6</v>
      </c>
      <c r="E26" s="26" t="s">
        <v>128</v>
      </c>
      <c r="F26" s="38"/>
      <c r="G26" s="38"/>
      <c r="H26" s="38"/>
      <c r="I26" s="38"/>
      <c r="J26" s="30" t="s">
        <v>136</v>
      </c>
    </row>
    <row r="27" spans="2:10" x14ac:dyDescent="0.45">
      <c r="B27" s="25" t="s">
        <v>137</v>
      </c>
      <c r="C27" s="26" t="s">
        <v>138</v>
      </c>
      <c r="D27" s="31" cm="1">
        <f t="array" aca="1" ref="D27" ca="1">_xll.VoseInput("Share the competitor takes","of our share")+_xll.VosePERT(F27,G27,H27)</f>
        <v>0.24018815932540175</v>
      </c>
      <c r="E27" s="26" t="s">
        <v>112</v>
      </c>
      <c r="F27" s="32">
        <v>0.15</v>
      </c>
      <c r="G27" s="32">
        <v>0.25</v>
      </c>
      <c r="H27" s="32">
        <v>0.4</v>
      </c>
      <c r="I27" s="33" cm="1">
        <f t="array" ref="I27">IF(AND(F27&lt;=G27,G27&lt;=H27,F27&lt;H27,F27&gt;=0,H27&lt;=1),_xll.VoseMean(_xll.VosePERTObject(F27,G27,H27)),"✗ range")</f>
        <v>0.2583333333333333</v>
      </c>
      <c r="J27" s="30"/>
    </row>
    <row r="28" spans="2:10" ht="8" customHeight="1" x14ac:dyDescent="0.45"/>
    <row r="29" spans="2:10" ht="22.05" customHeight="1" x14ac:dyDescent="0.5">
      <c r="B29" s="7" t="s">
        <v>139</v>
      </c>
      <c r="C29" s="8"/>
      <c r="D29" s="8"/>
      <c r="E29" s="8"/>
      <c r="F29" s="8"/>
      <c r="G29" s="8"/>
      <c r="H29" s="8"/>
      <c r="I29" s="8"/>
      <c r="J29" s="8"/>
    </row>
    <row r="30" spans="2:10" ht="18" customHeight="1" x14ac:dyDescent="0.45">
      <c r="B30" s="13" t="s">
        <v>140</v>
      </c>
    </row>
    <row r="31" spans="2:10" ht="18" customHeight="1" x14ac:dyDescent="0.45">
      <c r="B31" s="23" t="s">
        <v>101</v>
      </c>
      <c r="C31" s="23" t="s">
        <v>102</v>
      </c>
      <c r="D31" s="24" t="s">
        <v>103</v>
      </c>
      <c r="E31" s="23" t="s">
        <v>104</v>
      </c>
      <c r="F31" s="5"/>
      <c r="G31" s="5"/>
      <c r="H31" s="5"/>
      <c r="I31" s="5"/>
      <c r="J31" s="23" t="s">
        <v>109</v>
      </c>
    </row>
    <row r="32" spans="2:10" x14ac:dyDescent="0.45">
      <c r="B32" s="25" t="s">
        <v>141</v>
      </c>
      <c r="C32" s="26" t="s">
        <v>142</v>
      </c>
      <c r="D32" s="39">
        <v>2028</v>
      </c>
      <c r="E32" s="26" t="s">
        <v>128</v>
      </c>
      <c r="F32" s="38"/>
      <c r="G32" s="38"/>
      <c r="H32" s="38"/>
      <c r="I32" s="38"/>
      <c r="J32" s="30" t="s">
        <v>143</v>
      </c>
    </row>
    <row r="33" spans="2:10" x14ac:dyDescent="0.45">
      <c r="B33" s="25" t="s">
        <v>144</v>
      </c>
      <c r="C33" s="26" t="s">
        <v>145</v>
      </c>
      <c r="D33" s="40">
        <v>0.9</v>
      </c>
      <c r="E33" s="26" t="s">
        <v>128</v>
      </c>
      <c r="F33" s="38"/>
      <c r="G33" s="38"/>
      <c r="H33" s="38"/>
      <c r="I33" s="38"/>
      <c r="J33" s="30" t="s">
        <v>146</v>
      </c>
    </row>
    <row r="34" spans="2:10" ht="8" customHeight="1" x14ac:dyDescent="0.45"/>
    <row r="35" spans="2:10" ht="22.05" customHeight="1" x14ac:dyDescent="0.5">
      <c r="B35" s="7" t="s">
        <v>147</v>
      </c>
      <c r="C35" s="8"/>
      <c r="D35" s="8"/>
      <c r="E35" s="8"/>
      <c r="F35" s="8"/>
      <c r="G35" s="8"/>
      <c r="H35" s="8"/>
      <c r="I35" s="8"/>
      <c r="J35" s="8"/>
    </row>
    <row r="36" spans="2:10" ht="18" customHeight="1" x14ac:dyDescent="0.45">
      <c r="B36" s="13" t="s">
        <v>148</v>
      </c>
    </row>
    <row r="37" spans="2:10" ht="18" customHeight="1" x14ac:dyDescent="0.45">
      <c r="B37" s="23" t="s">
        <v>101</v>
      </c>
      <c r="C37" s="23" t="s">
        <v>102</v>
      </c>
      <c r="D37" s="24" t="s">
        <v>103</v>
      </c>
      <c r="E37" s="23" t="s">
        <v>104</v>
      </c>
      <c r="F37" s="24" t="s">
        <v>149</v>
      </c>
      <c r="G37" s="5"/>
      <c r="H37" s="24" t="s">
        <v>150</v>
      </c>
      <c r="I37" s="5"/>
      <c r="J37" s="23" t="s">
        <v>109</v>
      </c>
    </row>
    <row r="38" spans="2:10" x14ac:dyDescent="0.45">
      <c r="B38" s="25" t="str">
        <f>"Market share, year 1  ("&amp;(LaunchYear+0)&amp;")"</f>
        <v>Market share, year 1  (2028)</v>
      </c>
      <c r="C38" s="26" t="s">
        <v>151</v>
      </c>
      <c r="D38" s="41">
        <f ca="1">INDEX(ShareRow,1)</f>
        <v>1.7156114254228048E-2</v>
      </c>
      <c r="E38" s="26" t="s">
        <v>152</v>
      </c>
      <c r="F38" s="37">
        <v>0.01</v>
      </c>
      <c r="G38" s="38"/>
      <c r="H38" s="37">
        <v>0.04</v>
      </c>
      <c r="I38" s="38"/>
      <c r="J38" s="30" t="s">
        <v>153</v>
      </c>
    </row>
    <row r="39" spans="2:10" x14ac:dyDescent="0.45">
      <c r="B39" s="25" t="str">
        <f>"Market share, year 2  ("&amp;(LaunchYear+1)&amp;")"</f>
        <v>Market share, year 2  (2029)</v>
      </c>
      <c r="C39" s="26" t="s">
        <v>151</v>
      </c>
      <c r="D39" s="41">
        <f ca="1">INDEX(ShareRow,2)</f>
        <v>4.1222300602203658E-2</v>
      </c>
      <c r="E39" s="26" t="s">
        <v>152</v>
      </c>
      <c r="F39" s="37">
        <v>0.03</v>
      </c>
      <c r="G39" s="38"/>
      <c r="H39" s="37">
        <v>0.09</v>
      </c>
      <c r="I39" s="38"/>
      <c r="J39" s="30"/>
    </row>
    <row r="40" spans="2:10" x14ac:dyDescent="0.45">
      <c r="B40" s="25" t="str">
        <f>"Market share, year 3  ("&amp;(LaunchYear+2)&amp;")"</f>
        <v>Market share, year 3  (2030)</v>
      </c>
      <c r="C40" s="26" t="s">
        <v>151</v>
      </c>
      <c r="D40" s="41">
        <f ca="1">INDEX(ShareRow,3)</f>
        <v>5.9622625665280031E-2</v>
      </c>
      <c r="E40" s="26" t="s">
        <v>152</v>
      </c>
      <c r="F40" s="37">
        <v>0.05</v>
      </c>
      <c r="G40" s="38"/>
      <c r="H40" s="37">
        <v>0.14000000000000001</v>
      </c>
      <c r="I40" s="38"/>
      <c r="J40" s="30"/>
    </row>
    <row r="41" spans="2:10" x14ac:dyDescent="0.45">
      <c r="B41" s="25" t="str">
        <f>"Market share, year 4  ("&amp;(LaunchYear+3)&amp;")"</f>
        <v>Market share, year 4  (2031)</v>
      </c>
      <c r="C41" s="26" t="s">
        <v>151</v>
      </c>
      <c r="D41" s="41">
        <f ca="1">INDEX(ShareRow,4)</f>
        <v>8.6995926423866554E-2</v>
      </c>
      <c r="E41" s="26" t="s">
        <v>152</v>
      </c>
      <c r="F41" s="37">
        <v>6.5000000000000002E-2</v>
      </c>
      <c r="G41" s="38"/>
      <c r="H41" s="37">
        <v>0.18</v>
      </c>
      <c r="I41" s="38"/>
      <c r="J41" s="30"/>
    </row>
    <row r="42" spans="2:10" x14ac:dyDescent="0.45">
      <c r="B42" s="25" t="str">
        <f>"Market share, year 5  ("&amp;(LaunchYear+4)&amp;")"</f>
        <v>Market share, year 5  (2032)</v>
      </c>
      <c r="C42" s="26" t="s">
        <v>151</v>
      </c>
      <c r="D42" s="41">
        <f ca="1">INDEX(ShareRow,5)</f>
        <v>7.3610350776278186E-2</v>
      </c>
      <c r="E42" s="26" t="s">
        <v>152</v>
      </c>
      <c r="F42" s="37">
        <v>7.0000000000000007E-2</v>
      </c>
      <c r="G42" s="38"/>
      <c r="H42" s="37">
        <v>0.2</v>
      </c>
      <c r="I42" s="38"/>
      <c r="J42" s="30"/>
    </row>
    <row r="43" spans="2:10" x14ac:dyDescent="0.45">
      <c r="B43" s="25" t="str">
        <f>"Market share, year 6  ("&amp;(LaunchYear+5)&amp;")"</f>
        <v>Market share, year 6  (2033)</v>
      </c>
      <c r="C43" s="26" t="s">
        <v>151</v>
      </c>
      <c r="D43" s="41">
        <f ca="1">INDEX(ShareRow,6)</f>
        <v>8.9765460201945493E-2</v>
      </c>
      <c r="E43" s="26" t="s">
        <v>152</v>
      </c>
      <c r="F43" s="37">
        <v>7.0000000000000007E-2</v>
      </c>
      <c r="G43" s="38"/>
      <c r="H43" s="37">
        <v>0.21</v>
      </c>
      <c r="I43" s="38"/>
      <c r="J43" s="30" t="s">
        <v>154</v>
      </c>
    </row>
    <row r="44" spans="2:10" x14ac:dyDescent="0.45">
      <c r="B44" s="25" t="str">
        <f>"Market share, year 7  ("&amp;(LaunchYear+6)&amp;")"</f>
        <v>Market share, year 7  (2034)</v>
      </c>
      <c r="C44" s="26" t="s">
        <v>151</v>
      </c>
      <c r="D44" s="41">
        <f ca="1">INDEX(ShareRow,7)</f>
        <v>0.10280452790065414</v>
      </c>
      <c r="E44" s="26" t="s">
        <v>152</v>
      </c>
      <c r="F44" s="37">
        <v>7.0000000000000007E-2</v>
      </c>
      <c r="G44" s="38"/>
      <c r="H44" s="37">
        <v>0.21</v>
      </c>
      <c r="I44" s="38"/>
      <c r="J44" s="30"/>
    </row>
    <row r="45" spans="2:10" x14ac:dyDescent="0.45">
      <c r="B45" s="25" t="str">
        <f>"Market share, year 8  ("&amp;(LaunchYear+7)&amp;")"</f>
        <v>Market share, year 8  (2035)</v>
      </c>
      <c r="C45" s="26" t="s">
        <v>151</v>
      </c>
      <c r="D45" s="41">
        <f ca="1">INDEX(ShareRow,8)</f>
        <v>0.1036967513157131</v>
      </c>
      <c r="E45" s="26" t="s">
        <v>152</v>
      </c>
      <c r="F45" s="37">
        <v>7.0000000000000007E-2</v>
      </c>
      <c r="G45" s="38"/>
      <c r="H45" s="37">
        <v>0.21</v>
      </c>
      <c r="I45" s="38"/>
      <c r="J45" s="30"/>
    </row>
    <row r="46" spans="2:10" x14ac:dyDescent="0.45">
      <c r="B46" s="25" t="str">
        <f>"Market share, year 9  ("&amp;(LaunchYear+8)&amp;")"</f>
        <v>Market share, year 9  (2036)</v>
      </c>
      <c r="C46" s="26" t="s">
        <v>151</v>
      </c>
      <c r="D46" s="41">
        <f ca="1">INDEX(ShareRow,9)</f>
        <v>9.9388769490472942E-2</v>
      </c>
      <c r="E46" s="26" t="s">
        <v>152</v>
      </c>
      <c r="F46" s="37">
        <v>7.0000000000000007E-2</v>
      </c>
      <c r="G46" s="38"/>
      <c r="H46" s="37">
        <v>0.21</v>
      </c>
      <c r="I46" s="38"/>
      <c r="J46" s="30"/>
    </row>
    <row r="47" spans="2:10" x14ac:dyDescent="0.45">
      <c r="B47" s="25" t="str">
        <f>"Market share, year 10  ("&amp;(LaunchYear+9)&amp;")"</f>
        <v>Market share, year 10  (2037)</v>
      </c>
      <c r="C47" s="26" t="s">
        <v>151</v>
      </c>
      <c r="D47" s="41">
        <f ca="1">INDEX(ShareRow,10)</f>
        <v>9.2467958494135444E-2</v>
      </c>
      <c r="E47" s="26" t="s">
        <v>152</v>
      </c>
      <c r="F47" s="37">
        <v>7.0000000000000007E-2</v>
      </c>
      <c r="G47" s="38"/>
      <c r="H47" s="37">
        <v>0.21</v>
      </c>
      <c r="I47" s="38"/>
      <c r="J47" s="30"/>
    </row>
  </sheetData>
  <mergeCells count="1">
    <mergeCell ref="B6:J6"/>
  </mergeCells>
  <conditionalFormatting sqref="I11:I13">
    <cfRule type="expression" dxfId="9" priority="1">
      <formula>LEFT($I11,1)="✗"</formula>
    </cfRule>
  </conditionalFormatting>
  <conditionalFormatting sqref="I17:I18">
    <cfRule type="expression" dxfId="8" priority="4">
      <formula>LEFT($I17,1)="✗"</formula>
    </cfRule>
  </conditionalFormatting>
  <conditionalFormatting sqref="I27">
    <cfRule type="expression" dxfId="7" priority="6">
      <formula>LEFT($I27,1)="✗"</formula>
    </cfRule>
  </conditionalFormatting>
  <dataValidations count="7">
    <dataValidation type="custom" showErrorMessage="1" errorTitle="PERT range" error="Low must be below High, with Most likely between them." sqref="F11:H11 F17:H18" xr:uid="{00000000-0002-0000-0100-000000000000}">
      <formula1>AND($F11&lt;=$G11,$G11&lt;=$H11,$F11&lt;$H11)</formula1>
    </dataValidation>
    <dataValidation type="custom" showErrorMessage="1" errorTitle="PERT range" error="Low must be below High, with Most likely between them, all between 0% and 100%." sqref="F27:H27 F12:H13" xr:uid="{00000000-0002-0000-0100-000001000000}">
      <formula1>AND($F12&lt;=$G12,$G12&lt;=$H12,$F12&lt;$H12,$F12&gt;=0,$H12&lt;=1)</formula1>
    </dataValidation>
    <dataValidation type="decimal" showErrorMessage="1" errorTitle="Probability" error="Enter a value between 0% and 100%." sqref="D24" xr:uid="{00000000-0002-0000-0100-000005000000}">
      <formula1>0</formula1>
      <formula2>1</formula2>
    </dataValidation>
    <dataValidation type="whole" showErrorMessage="1" errorTitle="Whole number" error="Enter a whole number from 1 to 10." sqref="D25:D26" xr:uid="{00000000-0002-0000-0100-000006000000}">
      <formula1>1</formula1>
      <formula2>10</formula2>
    </dataValidation>
    <dataValidation type="whole" showErrorMessage="1" errorTitle="Year" error="Enter a calendar year." sqref="D32" xr:uid="{00000000-0002-0000-0100-000009000000}">
      <formula1>1900</formula1>
      <formula2>2200</formula2>
    </dataValidation>
    <dataValidation type="decimal" showErrorMessage="1" errorTitle="Factor" error="Enter a value strictly between 0 and 1." sqref="D33" xr:uid="{00000000-0002-0000-0100-00000A000000}">
      <formula1>0.01</formula1>
      <formula2>0.99</formula2>
    </dataValidation>
    <dataValidation type="custom" showErrorMessage="1" errorTitle="Share range" error="The P10 must be above 0 and below the P90, and the P90 below 100%." sqref="F38:F47" xr:uid="{00000000-0002-0000-0100-00000B000000}">
      <formula1>AND(F38&gt;0,F38&lt;H38,H38&lt;1)</formula1>
    </dataValidation>
  </dataValidations>
  <hyperlinks>
    <hyperlink ref="B4" location="'About'!A1" display="◂  About" xr:uid="{00000000-0004-0000-0100-000000000000}"/>
    <hyperlink ref="J4" location="'Forecast'!A1" display="Next:  Forecast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O48"/>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8" customWidth="1"/>
    <col min="3" max="3" width="14" customWidth="1"/>
    <col min="4" max="4" width="10" customWidth="1"/>
    <col min="5" max="5" width="3" customWidth="1"/>
    <col min="6" max="15" width="8.3984375" customWidth="1"/>
  </cols>
  <sheetData>
    <row r="1" spans="1:15" ht="6" customHeight="1" x14ac:dyDescent="0.45"/>
    <row r="2" spans="1:15" ht="30" customHeight="1" x14ac:dyDescent="0.45">
      <c r="A2" s="1"/>
      <c r="B2" s="21" t="s">
        <v>0</v>
      </c>
      <c r="C2" s="1"/>
      <c r="D2" s="1"/>
      <c r="E2" s="1"/>
      <c r="F2" s="1"/>
      <c r="G2" s="1"/>
      <c r="H2" s="1"/>
      <c r="I2" s="1"/>
      <c r="J2" s="1"/>
      <c r="K2" s="1"/>
      <c r="L2" s="1"/>
      <c r="M2" s="1"/>
      <c r="N2" s="1"/>
      <c r="O2" s="3" t="s">
        <v>1</v>
      </c>
    </row>
    <row r="3" spans="1:15" ht="20" customHeight="1" x14ac:dyDescent="0.45">
      <c r="A3" s="1"/>
      <c r="B3" s="4" t="s">
        <v>155</v>
      </c>
      <c r="C3" s="1"/>
      <c r="D3" s="1"/>
      <c r="E3" s="1"/>
      <c r="F3" s="1"/>
      <c r="G3" s="1"/>
      <c r="H3" s="1"/>
      <c r="I3" s="1"/>
      <c r="J3" s="1"/>
      <c r="K3" s="1"/>
      <c r="L3" s="1"/>
      <c r="M3" s="1"/>
      <c r="N3" s="1"/>
      <c r="O3" s="1"/>
    </row>
    <row r="4" spans="1:15" ht="20" customHeight="1" x14ac:dyDescent="0.45">
      <c r="A4" s="5"/>
      <c r="B4" s="22" t="s">
        <v>156</v>
      </c>
      <c r="C4" s="5"/>
      <c r="D4" s="5"/>
      <c r="E4" s="5"/>
      <c r="F4" s="5"/>
      <c r="G4" s="5"/>
      <c r="H4" s="5"/>
      <c r="I4" s="5"/>
      <c r="J4" s="5"/>
      <c r="K4" s="5"/>
      <c r="L4" s="5"/>
      <c r="M4" s="5"/>
      <c r="N4" s="5"/>
      <c r="O4" s="6" t="s">
        <v>157</v>
      </c>
    </row>
    <row r="5" spans="1:15" ht="8" customHeight="1" x14ac:dyDescent="0.45"/>
    <row r="6" spans="1:15" ht="16.05" customHeight="1" x14ac:dyDescent="0.45">
      <c r="B6" s="42" t="s">
        <v>158</v>
      </c>
      <c r="C6" s="43"/>
      <c r="D6" s="44" t="s">
        <v>159</v>
      </c>
      <c r="E6" s="45"/>
      <c r="F6" s="46">
        <v>1</v>
      </c>
      <c r="G6" s="46">
        <f t="shared" ref="G6:O6" si="0">F6+1</f>
        <v>2</v>
      </c>
      <c r="H6" s="46">
        <f t="shared" si="0"/>
        <v>3</v>
      </c>
      <c r="I6" s="46">
        <f t="shared" si="0"/>
        <v>4</v>
      </c>
      <c r="J6" s="46">
        <f t="shared" si="0"/>
        <v>5</v>
      </c>
      <c r="K6" s="46">
        <f t="shared" si="0"/>
        <v>6</v>
      </c>
      <c r="L6" s="46">
        <f t="shared" si="0"/>
        <v>7</v>
      </c>
      <c r="M6" s="46">
        <f t="shared" si="0"/>
        <v>8</v>
      </c>
      <c r="N6" s="46">
        <f t="shared" si="0"/>
        <v>9</v>
      </c>
      <c r="O6" s="46">
        <f t="shared" si="0"/>
        <v>10</v>
      </c>
    </row>
    <row r="7" spans="1:15" ht="16.05" customHeight="1" x14ac:dyDescent="0.45">
      <c r="B7" s="47" t="s">
        <v>160</v>
      </c>
      <c r="C7" s="5"/>
      <c r="D7" s="5"/>
      <c r="E7" s="5"/>
      <c r="F7" s="48">
        <f t="shared" ref="F7:O7" si="1">LaunchYear-1+F$6</f>
        <v>2028</v>
      </c>
      <c r="G7" s="48">
        <f t="shared" si="1"/>
        <v>2029</v>
      </c>
      <c r="H7" s="48">
        <f t="shared" si="1"/>
        <v>2030</v>
      </c>
      <c r="I7" s="48">
        <f t="shared" si="1"/>
        <v>2031</v>
      </c>
      <c r="J7" s="48">
        <f t="shared" si="1"/>
        <v>2032</v>
      </c>
      <c r="K7" s="48">
        <f t="shared" si="1"/>
        <v>2033</v>
      </c>
      <c r="L7" s="48">
        <f t="shared" si="1"/>
        <v>2034</v>
      </c>
      <c r="M7" s="48">
        <f t="shared" si="1"/>
        <v>2035</v>
      </c>
      <c r="N7" s="48">
        <f t="shared" si="1"/>
        <v>2036</v>
      </c>
      <c r="O7" s="48">
        <f t="shared" si="1"/>
        <v>2037</v>
      </c>
    </row>
    <row r="8" spans="1:15" ht="6" customHeight="1" x14ac:dyDescent="0.45"/>
    <row r="9" spans="1:15" ht="22.05" customHeight="1" x14ac:dyDescent="0.5">
      <c r="B9" s="7" t="s">
        <v>161</v>
      </c>
      <c r="C9" s="8"/>
      <c r="D9" s="8"/>
      <c r="E9" s="8"/>
      <c r="F9" s="8"/>
      <c r="G9" s="8"/>
      <c r="H9" s="8"/>
      <c r="I9" s="8"/>
      <c r="J9" s="8"/>
      <c r="K9" s="8"/>
      <c r="L9" s="8"/>
      <c r="M9" s="8"/>
      <c r="N9" s="8"/>
      <c r="O9" s="8"/>
    </row>
    <row r="10" spans="1:15" ht="18" customHeight="1" x14ac:dyDescent="0.45">
      <c r="B10" s="47" t="s">
        <v>162</v>
      </c>
      <c r="C10" s="47" t="s">
        <v>102</v>
      </c>
      <c r="D10" s="49" t="s">
        <v>163</v>
      </c>
      <c r="E10" s="5"/>
      <c r="F10" s="47" t="s">
        <v>164</v>
      </c>
      <c r="G10" s="5"/>
      <c r="H10" s="5"/>
      <c r="I10" s="5"/>
      <c r="J10" s="5"/>
      <c r="K10" s="5"/>
      <c r="L10" s="5"/>
      <c r="M10" s="5"/>
      <c r="N10" s="5"/>
      <c r="O10" s="5"/>
    </row>
    <row r="11" spans="1:15" x14ac:dyDescent="0.45">
      <c r="B11" s="25" t="s">
        <v>165</v>
      </c>
      <c r="C11" s="26" t="s">
        <v>166</v>
      </c>
      <c r="D11" s="36">
        <f ca="1">Prev*Treated*Eligible*1000</f>
        <v>860.53132039001741</v>
      </c>
      <c r="E11" s="38"/>
      <c r="F11" s="26" t="s">
        <v>167</v>
      </c>
      <c r="G11" s="38"/>
      <c r="H11" s="38"/>
      <c r="I11" s="38"/>
      <c r="J11" s="38"/>
      <c r="K11" s="38"/>
      <c r="L11" s="38"/>
      <c r="M11" s="38"/>
      <c r="N11" s="38"/>
      <c r="O11" s="38"/>
    </row>
    <row r="12" spans="1:15" x14ac:dyDescent="0.45">
      <c r="B12" s="25" t="s">
        <v>168</v>
      </c>
      <c r="C12" s="26" t="s">
        <v>169</v>
      </c>
      <c r="D12" s="50" cm="1">
        <f t="array" aca="1" ref="D12" ca="1">_xll.VoseInput("Competitor launches","1 = yes")+_xll.VoseBernoulli(P_Comp)</f>
        <v>0</v>
      </c>
      <c r="E12" s="38"/>
      <c r="F12" s="26" t="s">
        <v>170</v>
      </c>
      <c r="G12" s="38"/>
      <c r="H12" s="38"/>
      <c r="I12" s="38"/>
      <c r="J12" s="38"/>
      <c r="K12" s="38"/>
      <c r="L12" s="38"/>
      <c r="M12" s="38"/>
      <c r="N12" s="38"/>
      <c r="O12" s="38"/>
    </row>
    <row r="13" spans="1:15" x14ac:dyDescent="0.45">
      <c r="B13" s="25" t="s">
        <v>171</v>
      </c>
      <c r="C13" s="26" t="s">
        <v>142</v>
      </c>
      <c r="D13" s="50" cm="1">
        <f t="array" aca="1" ref="D13" ca="1">_xll.VoseStepUniform(CompFrom,CompTo)</f>
        <v>5</v>
      </c>
      <c r="E13" s="38"/>
      <c r="F13" s="26" t="s">
        <v>172</v>
      </c>
      <c r="G13" s="38"/>
      <c r="H13" s="38"/>
      <c r="I13" s="38"/>
      <c r="J13" s="38"/>
      <c r="K13" s="38"/>
      <c r="L13" s="38"/>
      <c r="M13" s="38"/>
      <c r="N13" s="38"/>
      <c r="O13" s="38"/>
    </row>
    <row r="14" spans="1:15" x14ac:dyDescent="0.45">
      <c r="B14" s="25" t="s">
        <v>173</v>
      </c>
      <c r="C14" s="26" t="s">
        <v>166</v>
      </c>
      <c r="D14" s="36">
        <f>Prev_ML*Treated_ML*Eligible_ML*1000</f>
        <v>700</v>
      </c>
      <c r="E14" s="38"/>
      <c r="F14" s="26" t="s">
        <v>174</v>
      </c>
      <c r="G14" s="38"/>
      <c r="H14" s="38"/>
      <c r="I14" s="38"/>
      <c r="J14" s="38"/>
      <c r="K14" s="38"/>
      <c r="L14" s="38"/>
      <c r="M14" s="38"/>
      <c r="N14" s="38"/>
      <c r="O14" s="38"/>
    </row>
    <row r="15" spans="1:15" ht="8" customHeight="1" x14ac:dyDescent="0.45"/>
    <row r="16" spans="1:15" ht="22.05" customHeight="1" x14ac:dyDescent="0.5">
      <c r="B16" s="7" t="s">
        <v>175</v>
      </c>
      <c r="C16" s="8"/>
      <c r="D16" s="8"/>
      <c r="E16" s="8"/>
      <c r="F16" s="8"/>
      <c r="G16" s="8"/>
      <c r="H16" s="8"/>
      <c r="I16" s="8"/>
      <c r="J16" s="8"/>
      <c r="K16" s="8"/>
      <c r="L16" s="8"/>
      <c r="M16" s="8"/>
      <c r="N16" s="8"/>
      <c r="O16" s="8"/>
    </row>
    <row r="17" spans="2:15" ht="18" customHeight="1" x14ac:dyDescent="0.45">
      <c r="B17" s="13" t="s">
        <v>176</v>
      </c>
    </row>
    <row r="18" spans="2:15" x14ac:dyDescent="0.45">
      <c r="B18" s="25" t="s">
        <v>177</v>
      </c>
      <c r="C18" s="26" t="s">
        <v>178</v>
      </c>
      <c r="D18" s="38"/>
      <c r="E18" s="38"/>
      <c r="F18" s="41">
        <f t="array" aca="1" ref="F18:O18" ca="1">_xll.VoseTimeSME2Perc(0.1,0.9,ShareLo,ShareHi,FALSE,ShareCorr)</f>
        <v>1.7156114254228048E-2</v>
      </c>
      <c r="G18" s="41">
        <f ca="1"/>
        <v>4.1222300602203658E-2</v>
      </c>
      <c r="H18" s="41">
        <f ca="1"/>
        <v>5.9622625665280031E-2</v>
      </c>
      <c r="I18" s="41">
        <f ca="1"/>
        <v>8.6995926423866554E-2</v>
      </c>
      <c r="J18" s="41">
        <f ca="1"/>
        <v>7.3610350776278186E-2</v>
      </c>
      <c r="K18" s="41">
        <f ca="1"/>
        <v>8.9765460201945493E-2</v>
      </c>
      <c r="L18" s="41">
        <f ca="1"/>
        <v>0.10280452790065414</v>
      </c>
      <c r="M18" s="41">
        <f ca="1"/>
        <v>0.1036967513157131</v>
      </c>
      <c r="N18" s="41">
        <f ca="1"/>
        <v>9.9388769490472942E-2</v>
      </c>
      <c r="O18" s="41">
        <f ca="1"/>
        <v>9.2467958494135444E-2</v>
      </c>
    </row>
    <row r="19" spans="2:15" x14ac:dyDescent="0.45">
      <c r="B19" s="25" t="s">
        <v>179</v>
      </c>
      <c r="C19" s="26" t="s">
        <v>178</v>
      </c>
      <c r="D19" s="51" cm="1">
        <f t="array" aca="1" ref="D19" ca="1">_xll.VoseInput("Market share year 5","of eligible")+INDEX(ShareRow,5)</f>
        <v>7.3610350776278186E-2</v>
      </c>
      <c r="E19" s="38"/>
      <c r="F19" s="38"/>
      <c r="G19" s="38"/>
      <c r="H19" s="38"/>
      <c r="I19" s="38"/>
      <c r="J19" s="38"/>
      <c r="K19" s="38"/>
      <c r="L19" s="38"/>
      <c r="M19" s="38"/>
      <c r="N19" s="38"/>
      <c r="O19" s="38"/>
    </row>
    <row r="20" spans="2:15" x14ac:dyDescent="0.45">
      <c r="B20" s="25" t="s">
        <v>180</v>
      </c>
      <c r="C20" s="26" t="s">
        <v>181</v>
      </c>
      <c r="D20" s="38"/>
      <c r="E20" s="38"/>
      <c r="F20" s="33">
        <f t="shared" ref="F20:O20" ca="1" si="2">IF(AND(Comp=1,F$6&gt;=CompYear),1-CompLoss,1)</f>
        <v>1</v>
      </c>
      <c r="G20" s="33">
        <f t="shared" ca="1" si="2"/>
        <v>1</v>
      </c>
      <c r="H20" s="33">
        <f t="shared" ca="1" si="2"/>
        <v>1</v>
      </c>
      <c r="I20" s="33">
        <f t="shared" ca="1" si="2"/>
        <v>1</v>
      </c>
      <c r="J20" s="33">
        <f t="shared" ca="1" si="2"/>
        <v>1</v>
      </c>
      <c r="K20" s="33">
        <f t="shared" ca="1" si="2"/>
        <v>1</v>
      </c>
      <c r="L20" s="33">
        <f t="shared" ca="1" si="2"/>
        <v>1</v>
      </c>
      <c r="M20" s="33">
        <f t="shared" ca="1" si="2"/>
        <v>1</v>
      </c>
      <c r="N20" s="33">
        <f t="shared" ca="1" si="2"/>
        <v>1</v>
      </c>
      <c r="O20" s="33">
        <f t="shared" ca="1" si="2"/>
        <v>1</v>
      </c>
    </row>
    <row r="21" spans="2:15" x14ac:dyDescent="0.45">
      <c r="B21" s="25" t="s">
        <v>182</v>
      </c>
      <c r="C21" s="26" t="s">
        <v>166</v>
      </c>
      <c r="D21" s="38"/>
      <c r="E21" s="38"/>
      <c r="F21" s="36">
        <f t="shared" ref="F21:O21" ca="1" si="3">Addressable*F18*F20</f>
        <v>14.763373651952861</v>
      </c>
      <c r="G21" s="36">
        <f t="shared" ca="1" si="3"/>
        <v>35.473080766728522</v>
      </c>
      <c r="H21" s="36">
        <f t="shared" ca="1" si="3"/>
        <v>51.307136788863168</v>
      </c>
      <c r="I21" s="36">
        <f t="shared" ca="1" si="3"/>
        <v>74.862719434082692</v>
      </c>
      <c r="J21" s="36">
        <f t="shared" ca="1" si="3"/>
        <v>63.344012347883009</v>
      </c>
      <c r="K21" s="36">
        <f t="shared" ca="1" si="3"/>
        <v>77.245989992997721</v>
      </c>
      <c r="L21" s="36">
        <f t="shared" ca="1" si="3"/>
        <v>88.4665161364223</v>
      </c>
      <c r="M21" s="36">
        <f t="shared" ca="1" si="3"/>
        <v>89.234302329865869</v>
      </c>
      <c r="N21" s="36">
        <f t="shared" ca="1" si="3"/>
        <v>85.527149041575754</v>
      </c>
      <c r="O21" s="36">
        <f t="shared" ca="1" si="3"/>
        <v>79.571574416727699</v>
      </c>
    </row>
    <row r="22" spans="2:15" x14ac:dyDescent="0.45">
      <c r="B22" s="25" t="s">
        <v>183</v>
      </c>
      <c r="C22" s="26" t="s">
        <v>184</v>
      </c>
      <c r="D22" s="38"/>
      <c r="E22" s="38"/>
      <c r="F22" s="29">
        <f t="shared" ref="F22:O22" ca="1" si="4">NetPrice*(1+Erosion)^(F$6-1)</f>
        <v>17.389739923871897</v>
      </c>
      <c r="G22" s="29">
        <f t="shared" ca="1" si="4"/>
        <v>17.041945125394459</v>
      </c>
      <c r="H22" s="29">
        <f t="shared" ca="1" si="4"/>
        <v>16.701106222886569</v>
      </c>
      <c r="I22" s="29">
        <f t="shared" ca="1" si="4"/>
        <v>16.367084098428837</v>
      </c>
      <c r="J22" s="29">
        <f t="shared" ca="1" si="4"/>
        <v>16.03974241646026</v>
      </c>
      <c r="K22" s="29">
        <f t="shared" ca="1" si="4"/>
        <v>15.718947568131053</v>
      </c>
      <c r="L22" s="29">
        <f t="shared" ca="1" si="4"/>
        <v>15.404568616768431</v>
      </c>
      <c r="M22" s="29">
        <f t="shared" ca="1" si="4"/>
        <v>15.096477244433064</v>
      </c>
      <c r="N22" s="29">
        <f t="shared" ca="1" si="4"/>
        <v>14.794547699544401</v>
      </c>
      <c r="O22" s="29">
        <f t="shared" ca="1" si="4"/>
        <v>14.498656745553513</v>
      </c>
    </row>
    <row r="23" spans="2:15" x14ac:dyDescent="0.45">
      <c r="B23" s="52" t="s">
        <v>185</v>
      </c>
      <c r="C23" s="26" t="s">
        <v>186</v>
      </c>
      <c r="D23" s="53">
        <f ca="1">SUM(F23:O23)</f>
        <v>7160.7892703029229</v>
      </c>
      <c r="E23" s="38"/>
      <c r="F23" s="53">
        <f t="shared" ref="F23:O23" ca="1" si="5">F21*Months/12*F22</f>
        <v>178.44008690252616</v>
      </c>
      <c r="G23" s="53">
        <f t="shared" ca="1" si="5"/>
        <v>420.17653746781059</v>
      </c>
      <c r="H23" s="53">
        <f t="shared" ca="1" si="5"/>
        <v>595.57539195977824</v>
      </c>
      <c r="I23" s="53">
        <f t="shared" ca="1" si="5"/>
        <v>851.62938989436236</v>
      </c>
      <c r="J23" s="53">
        <f t="shared" ca="1" si="5"/>
        <v>706.18206948857119</v>
      </c>
      <c r="K23" s="53">
        <f t="shared" ca="1" si="5"/>
        <v>843.94304102329625</v>
      </c>
      <c r="L23" s="53">
        <f t="shared" ca="1" si="5"/>
        <v>947.20109937620225</v>
      </c>
      <c r="M23" s="53">
        <f t="shared" ca="1" si="5"/>
        <v>936.31326631880711</v>
      </c>
      <c r="N23" s="53">
        <f t="shared" ca="1" si="5"/>
        <v>879.46673132923809</v>
      </c>
      <c r="O23" s="53">
        <f t="shared" ca="1" si="5"/>
        <v>801.86165654233037</v>
      </c>
    </row>
    <row r="24" spans="2:15" x14ac:dyDescent="0.45">
      <c r="B24" s="25" t="s">
        <v>187</v>
      </c>
      <c r="C24" s="26" t="s">
        <v>186</v>
      </c>
      <c r="D24" s="38"/>
      <c r="E24" s="38"/>
      <c r="F24" s="54" cm="1">
        <f t="array" aca="1" ref="F24" ca="1">_xll.VoseOutput("Sales year 1","US$m")+F23</f>
        <v>178.44008690252616</v>
      </c>
      <c r="G24" s="54" cm="1">
        <f t="array" aca="1" ref="G24" ca="1">_xll.VoseOutput("Sales year 2","US$m")+G23</f>
        <v>420.17653746781059</v>
      </c>
      <c r="H24" s="54" cm="1">
        <f t="array" aca="1" ref="H24" ca="1">_xll.VoseOutput("Sales year 3","US$m")+H23</f>
        <v>595.57539195977824</v>
      </c>
      <c r="I24" s="54" cm="1">
        <f t="array" aca="1" ref="I24" ca="1">_xll.VoseOutput("Sales year 4","US$m")+I23</f>
        <v>851.62938989436236</v>
      </c>
      <c r="J24" s="54" cm="1">
        <f t="array" aca="1" ref="J24" ca="1">_xll.VoseOutput("Sales year 5","US$m")+J23</f>
        <v>706.18206948857119</v>
      </c>
      <c r="K24" s="54" cm="1">
        <f t="array" aca="1" ref="K24" ca="1">_xll.VoseOutput("Sales year 6","US$m")+K23</f>
        <v>843.94304102329625</v>
      </c>
      <c r="L24" s="54" cm="1">
        <f t="array" aca="1" ref="L24" ca="1">_xll.VoseOutput("Sales year 7","US$m")+L23</f>
        <v>947.20109937620225</v>
      </c>
      <c r="M24" s="54" cm="1">
        <f t="array" aca="1" ref="M24" ca="1">_xll.VoseOutput("Sales year 8","US$m")+M23</f>
        <v>936.31326631880711</v>
      </c>
      <c r="N24" s="54" cm="1">
        <f t="array" aca="1" ref="N24" ca="1">_xll.VoseOutput("Sales year 9","US$m")+N23</f>
        <v>879.46673132923809</v>
      </c>
      <c r="O24" s="54" cm="1">
        <f t="array" aca="1" ref="O24" ca="1">_xll.VoseOutput("Sales year 10","US$m")+O23</f>
        <v>801.86165654233037</v>
      </c>
    </row>
    <row r="25" spans="2:15" ht="8" customHeight="1" x14ac:dyDescent="0.45"/>
    <row r="26" spans="2:15" ht="22.05" customHeight="1" x14ac:dyDescent="0.5">
      <c r="B26" s="7" t="s">
        <v>188</v>
      </c>
      <c r="C26" s="8"/>
      <c r="D26" s="8"/>
      <c r="E26" s="8"/>
      <c r="F26" s="8"/>
      <c r="G26" s="8"/>
      <c r="H26" s="8"/>
      <c r="I26" s="8"/>
      <c r="J26" s="8"/>
      <c r="K26" s="8"/>
      <c r="L26" s="8"/>
      <c r="M26" s="8"/>
      <c r="N26" s="8"/>
      <c r="O26" s="8"/>
    </row>
    <row r="27" spans="2:15" ht="18" customHeight="1" x14ac:dyDescent="0.45">
      <c r="B27" s="13" t="s">
        <v>189</v>
      </c>
    </row>
    <row r="28" spans="2:15" x14ac:dyDescent="0.45">
      <c r="B28" s="25" t="s">
        <v>190</v>
      </c>
      <c r="C28" s="26" t="s">
        <v>178</v>
      </c>
      <c r="D28" s="38"/>
      <c r="E28" s="38"/>
      <c r="F28" s="51" cm="1">
        <f t="array" ref="F28">SQRT(INDEX(ShareLo,F$6)*INDEX(ShareHi,F$6))</f>
        <v>0.02</v>
      </c>
      <c r="G28" s="51" cm="1">
        <f t="array" ref="G28">SQRT(INDEX(ShareLo,G$6)*INDEX(ShareHi,G$6))</f>
        <v>5.1961524227066319E-2</v>
      </c>
      <c r="H28" s="51" cm="1">
        <f t="array" ref="H28">SQRT(INDEX(ShareLo,H$6)*INDEX(ShareHi,H$6))</f>
        <v>8.3666002653407567E-2</v>
      </c>
      <c r="I28" s="51" cm="1">
        <f t="array" ref="I28">SQRT(INDEX(ShareLo,I$6)*INDEX(ShareHi,I$6))</f>
        <v>0.10816653826391968</v>
      </c>
      <c r="J28" s="51" cm="1">
        <f t="array" ref="J28">SQRT(INDEX(ShareLo,J$6)*INDEX(ShareHi,J$6))</f>
        <v>0.11832159566199232</v>
      </c>
      <c r="K28" s="51" cm="1">
        <f t="array" ref="K28">SQRT(INDEX(ShareLo,K$6)*INDEX(ShareHi,K$6))</f>
        <v>0.12124355652982141</v>
      </c>
      <c r="L28" s="51" cm="1">
        <f t="array" ref="L28">SQRT(INDEX(ShareLo,L$6)*INDEX(ShareHi,L$6))</f>
        <v>0.12124355652982141</v>
      </c>
      <c r="M28" s="51" cm="1">
        <f t="array" ref="M28">SQRT(INDEX(ShareLo,M$6)*INDEX(ShareHi,M$6))</f>
        <v>0.12124355652982141</v>
      </c>
      <c r="N28" s="51" cm="1">
        <f t="array" ref="N28">SQRT(INDEX(ShareLo,N$6)*INDEX(ShareHi,N$6))</f>
        <v>0.12124355652982141</v>
      </c>
      <c r="O28" s="51" cm="1">
        <f t="array" ref="O28">SQRT(INDEX(ShareLo,O$6)*INDEX(ShareHi,O$6))</f>
        <v>0.12124355652982141</v>
      </c>
    </row>
    <row r="29" spans="2:15" x14ac:dyDescent="0.45">
      <c r="B29" s="25" t="s">
        <v>182</v>
      </c>
      <c r="C29" s="26" t="s">
        <v>166</v>
      </c>
      <c r="D29" s="38"/>
      <c r="E29" s="38"/>
      <c r="F29" s="36">
        <f t="shared" ref="F29:O29" si="6">AddressableBase*F28</f>
        <v>14</v>
      </c>
      <c r="G29" s="36">
        <f t="shared" si="6"/>
        <v>36.373066958946424</v>
      </c>
      <c r="H29" s="36">
        <f t="shared" si="6"/>
        <v>58.566201857385295</v>
      </c>
      <c r="I29" s="36">
        <f t="shared" si="6"/>
        <v>75.716576784743779</v>
      </c>
      <c r="J29" s="36">
        <f t="shared" si="6"/>
        <v>82.82511696339462</v>
      </c>
      <c r="K29" s="36">
        <f t="shared" si="6"/>
        <v>84.870489570874994</v>
      </c>
      <c r="L29" s="36">
        <f t="shared" si="6"/>
        <v>84.870489570874994</v>
      </c>
      <c r="M29" s="36">
        <f t="shared" si="6"/>
        <v>84.870489570874994</v>
      </c>
      <c r="N29" s="36">
        <f t="shared" si="6"/>
        <v>84.870489570874994</v>
      </c>
      <c r="O29" s="36">
        <f t="shared" si="6"/>
        <v>84.870489570874994</v>
      </c>
    </row>
    <row r="30" spans="2:15" x14ac:dyDescent="0.45">
      <c r="B30" s="25" t="s">
        <v>183</v>
      </c>
      <c r="C30" s="26" t="s">
        <v>184</v>
      </c>
      <c r="D30" s="38"/>
      <c r="E30" s="38"/>
      <c r="F30" s="29">
        <f t="shared" ref="F30:O30" si="7">NetPrice_ML*(1+Erosion)^(F$6-1)</f>
        <v>17</v>
      </c>
      <c r="G30" s="29">
        <f t="shared" si="7"/>
        <v>16.66</v>
      </c>
      <c r="H30" s="29">
        <f t="shared" si="7"/>
        <v>16.326799999999999</v>
      </c>
      <c r="I30" s="29">
        <f t="shared" si="7"/>
        <v>16.000263999999998</v>
      </c>
      <c r="J30" s="29">
        <f t="shared" si="7"/>
        <v>15.680258719999998</v>
      </c>
      <c r="K30" s="29">
        <f t="shared" si="7"/>
        <v>15.366653545599997</v>
      </c>
      <c r="L30" s="29">
        <f t="shared" si="7"/>
        <v>15.059320474687997</v>
      </c>
      <c r="M30" s="29">
        <f t="shared" si="7"/>
        <v>14.758134065194238</v>
      </c>
      <c r="N30" s="29">
        <f t="shared" si="7"/>
        <v>14.462971383890352</v>
      </c>
      <c r="O30" s="29">
        <f t="shared" si="7"/>
        <v>14.173711956212545</v>
      </c>
    </row>
    <row r="31" spans="2:15" x14ac:dyDescent="0.45">
      <c r="B31" s="52" t="s">
        <v>185</v>
      </c>
      <c r="C31" s="26" t="s">
        <v>186</v>
      </c>
      <c r="D31" s="53">
        <f>SUM(F31:O31)</f>
        <v>7491.0394805788719</v>
      </c>
      <c r="E31" s="38"/>
      <c r="F31" s="53">
        <f t="shared" ref="F31:O31" si="8">F29*Months_ML/12*F30</f>
        <v>168.58333333333331</v>
      </c>
      <c r="G31" s="53">
        <f t="shared" si="8"/>
        <v>429.23250100470028</v>
      </c>
      <c r="H31" s="53">
        <f t="shared" si="8"/>
        <v>677.30738734365366</v>
      </c>
      <c r="I31" s="53">
        <f t="shared" si="8"/>
        <v>858.13536256028806</v>
      </c>
      <c r="J31" s="53">
        <f t="shared" si="8"/>
        <v>919.92614427103751</v>
      </c>
      <c r="K31" s="53">
        <f t="shared" si="8"/>
        <v>923.79091504910809</v>
      </c>
      <c r="L31" s="53">
        <f t="shared" si="8"/>
        <v>905.31509674812594</v>
      </c>
      <c r="M31" s="53">
        <f t="shared" si="8"/>
        <v>887.20879481316342</v>
      </c>
      <c r="N31" s="53">
        <f t="shared" si="8"/>
        <v>869.46461891690012</v>
      </c>
      <c r="O31" s="53">
        <f t="shared" si="8"/>
        <v>852.07532653856208</v>
      </c>
    </row>
    <row r="32" spans="2:15" ht="8" customHeight="1" x14ac:dyDescent="0.45"/>
    <row r="33" spans="2:15" ht="22.05" customHeight="1" x14ac:dyDescent="0.5">
      <c r="B33" s="7" t="s">
        <v>191</v>
      </c>
      <c r="C33" s="8"/>
      <c r="D33" s="8"/>
      <c r="E33" s="8"/>
      <c r="F33" s="8"/>
      <c r="G33" s="8"/>
      <c r="H33" s="8"/>
      <c r="I33" s="8"/>
      <c r="J33" s="8"/>
      <c r="K33" s="8"/>
      <c r="L33" s="8"/>
      <c r="M33" s="8"/>
      <c r="N33" s="8"/>
      <c r="O33" s="8"/>
    </row>
    <row r="34" spans="2:15" ht="18" customHeight="1" x14ac:dyDescent="0.45">
      <c r="B34" s="13" t="s">
        <v>192</v>
      </c>
    </row>
    <row r="35" spans="2:15" ht="18" customHeight="1" x14ac:dyDescent="0.45">
      <c r="B35" s="47" t="s">
        <v>193</v>
      </c>
      <c r="C35" s="47" t="s">
        <v>102</v>
      </c>
      <c r="D35" s="49" t="s">
        <v>163</v>
      </c>
      <c r="E35" s="5"/>
      <c r="F35" s="47" t="s">
        <v>194</v>
      </c>
      <c r="G35" s="5"/>
      <c r="H35" s="5"/>
      <c r="I35" s="5"/>
      <c r="J35" s="5"/>
      <c r="K35" s="5"/>
      <c r="L35" s="5"/>
      <c r="M35" s="5"/>
      <c r="N35" s="5"/>
      <c r="O35" s="5"/>
    </row>
    <row r="36" spans="2:15" x14ac:dyDescent="0.45">
      <c r="B36" s="25" t="s">
        <v>195</v>
      </c>
      <c r="C36" s="26" t="s">
        <v>186</v>
      </c>
      <c r="D36" s="54" cm="1">
        <f t="array" aca="1" ref="D36" ca="1">_xll.VoseOutput("Peak sales","US$m")+MAX(F23:O23)</f>
        <v>947.20109937620225</v>
      </c>
      <c r="E36" s="38"/>
      <c r="F36" s="26" t="s">
        <v>196</v>
      </c>
      <c r="G36" s="38"/>
      <c r="H36" s="38"/>
      <c r="I36" s="38"/>
      <c r="J36" s="38"/>
      <c r="K36" s="38"/>
      <c r="L36" s="38"/>
      <c r="M36" s="38"/>
      <c r="N36" s="38"/>
      <c r="O36" s="38"/>
    </row>
    <row r="37" spans="2:15" x14ac:dyDescent="0.45">
      <c r="B37" s="25" t="s">
        <v>197</v>
      </c>
      <c r="C37" s="26" t="s">
        <v>198</v>
      </c>
      <c r="D37" s="55" cm="1">
        <f t="array" aca="1" ref="D37" ca="1">_xll.VoseOutput("Year of peak","year after launch")+MATCH(PeakSales,F23:O23,0)</f>
        <v>7</v>
      </c>
      <c r="E37" s="38"/>
      <c r="F37" s="26"/>
      <c r="G37" s="38"/>
      <c r="H37" s="38"/>
      <c r="I37" s="38"/>
      <c r="J37" s="38"/>
      <c r="K37" s="38"/>
      <c r="L37" s="38"/>
      <c r="M37" s="38"/>
      <c r="N37" s="38"/>
      <c r="O37" s="38"/>
    </row>
    <row r="38" spans="2:15" x14ac:dyDescent="0.45">
      <c r="B38" s="25" t="s">
        <v>199</v>
      </c>
      <c r="C38" s="26" t="s">
        <v>186</v>
      </c>
      <c r="D38" s="54" cm="1">
        <f t="array" aca="1" ref="D38" ca="1">_xll.VoseOutput("Cumulative sales","US$m")+SUM(F23:O23)</f>
        <v>7160.7892703029229</v>
      </c>
      <c r="E38" s="38"/>
      <c r="F38" s="26"/>
      <c r="G38" s="38"/>
      <c r="H38" s="38"/>
      <c r="I38" s="38"/>
      <c r="J38" s="38"/>
      <c r="K38" s="38"/>
      <c r="L38" s="38"/>
      <c r="M38" s="38"/>
      <c r="N38" s="38"/>
      <c r="O38" s="38"/>
    </row>
    <row r="39" spans="2:15" x14ac:dyDescent="0.45">
      <c r="B39" s="25" t="s">
        <v>200</v>
      </c>
      <c r="C39" s="26" t="s">
        <v>169</v>
      </c>
      <c r="D39" s="55" cm="1">
        <f t="array" aca="1" ref="D39" ca="1">_xll.VoseOutput("Blockbuster","1 = yes")+IF(PeakSales&gt;1000,1,0)</f>
        <v>0</v>
      </c>
      <c r="E39" s="38"/>
      <c r="F39" s="26" t="s">
        <v>201</v>
      </c>
      <c r="G39" s="38"/>
      <c r="H39" s="38"/>
      <c r="I39" s="38"/>
      <c r="J39" s="38"/>
      <c r="K39" s="38"/>
      <c r="L39" s="38"/>
      <c r="M39" s="38"/>
      <c r="N39" s="38"/>
      <c r="O39" s="38"/>
    </row>
    <row r="40" spans="2:15" x14ac:dyDescent="0.45">
      <c r="B40" s="25" t="s">
        <v>202</v>
      </c>
      <c r="C40" s="26" t="s">
        <v>186</v>
      </c>
      <c r="D40" s="56">
        <f>MAX(F31:O31)</f>
        <v>923.79091504910809</v>
      </c>
      <c r="E40" s="38"/>
      <c r="F40" s="26"/>
      <c r="G40" s="38"/>
      <c r="H40" s="38"/>
      <c r="I40" s="38"/>
      <c r="J40" s="38"/>
      <c r="K40" s="38"/>
      <c r="L40" s="38"/>
      <c r="M40" s="38"/>
      <c r="N40" s="38"/>
      <c r="O40" s="38"/>
    </row>
    <row r="41" spans="2:15" x14ac:dyDescent="0.45">
      <c r="B41" s="25" t="s">
        <v>203</v>
      </c>
      <c r="C41" s="26" t="s">
        <v>186</v>
      </c>
      <c r="D41" s="56">
        <f>SUM(F31:O31)</f>
        <v>7491.0394805788719</v>
      </c>
      <c r="E41" s="38"/>
      <c r="F41" s="26"/>
      <c r="G41" s="38"/>
      <c r="H41" s="38"/>
      <c r="I41" s="38"/>
      <c r="J41" s="38"/>
      <c r="K41" s="38"/>
      <c r="L41" s="38"/>
      <c r="M41" s="38"/>
      <c r="N41" s="38"/>
      <c r="O41" s="38"/>
    </row>
    <row r="42" spans="2:15" ht="8" customHeight="1" x14ac:dyDescent="0.45"/>
    <row r="43" spans="2:15" ht="22.05" customHeight="1" x14ac:dyDescent="0.5">
      <c r="B43" s="7" t="s">
        <v>204</v>
      </c>
      <c r="C43" s="8"/>
      <c r="D43" s="8"/>
      <c r="E43" s="8"/>
      <c r="F43" s="8"/>
      <c r="G43" s="8"/>
      <c r="H43" s="8"/>
      <c r="I43" s="8"/>
      <c r="J43" s="8"/>
      <c r="K43" s="8"/>
      <c r="L43" s="8"/>
      <c r="M43" s="8"/>
      <c r="N43" s="8"/>
      <c r="O43" s="8"/>
    </row>
    <row r="44" spans="2:15" ht="18" customHeight="1" x14ac:dyDescent="0.45">
      <c r="B44" s="13" t="s">
        <v>205</v>
      </c>
    </row>
    <row r="45" spans="2:15" x14ac:dyDescent="0.45">
      <c r="B45" s="25" t="s">
        <v>206</v>
      </c>
      <c r="C45" s="38"/>
      <c r="D45" s="57" t="str">
        <f>IF(SUMPRODUCT(--(ShareLo&gt;=ShareHi))=0,"OK","CHECK")</f>
        <v>OK</v>
      </c>
      <c r="E45" s="38"/>
      <c r="F45" s="38"/>
      <c r="G45" s="38"/>
      <c r="H45" s="38"/>
      <c r="I45" s="38"/>
      <c r="J45" s="38"/>
      <c r="K45" s="38"/>
      <c r="L45" s="38"/>
      <c r="M45" s="38"/>
      <c r="N45" s="38"/>
      <c r="O45" s="38"/>
    </row>
    <row r="46" spans="2:15" x14ac:dyDescent="0.45">
      <c r="B46" s="25" t="s">
        <v>207</v>
      </c>
      <c r="C46" s="38"/>
      <c r="D46" s="57" t="str">
        <f>IF(CompFrom&lt;=CompTo,"OK","CHECK")</f>
        <v>OK</v>
      </c>
      <c r="E46" s="38"/>
      <c r="F46" s="38"/>
      <c r="G46" s="38"/>
      <c r="H46" s="38"/>
      <c r="I46" s="38"/>
      <c r="J46" s="38"/>
      <c r="K46" s="38"/>
      <c r="L46" s="38"/>
      <c r="M46" s="38"/>
      <c r="N46" s="38"/>
      <c r="O46" s="38"/>
    </row>
    <row r="47" spans="2:15" x14ac:dyDescent="0.45">
      <c r="B47" s="25" t="s">
        <v>208</v>
      </c>
      <c r="C47" s="38"/>
      <c r="D47" s="57" t="str">
        <f ca="1">IF(MAX(F18:O18)&lt;1,"OK","CHECK")</f>
        <v>OK</v>
      </c>
      <c r="E47" s="38"/>
      <c r="F47" s="38"/>
      <c r="G47" s="38"/>
      <c r="H47" s="38"/>
      <c r="I47" s="38"/>
      <c r="J47" s="38"/>
      <c r="K47" s="38"/>
      <c r="L47" s="38"/>
      <c r="M47" s="38"/>
      <c r="N47" s="38"/>
      <c r="O47" s="38"/>
    </row>
    <row r="48" spans="2:15" ht="14" customHeight="1" x14ac:dyDescent="0.45"/>
  </sheetData>
  <conditionalFormatting sqref="D45:D47">
    <cfRule type="expression" dxfId="6" priority="1">
      <formula>D45="CHECK"</formula>
    </cfRule>
  </conditionalFormatting>
  <hyperlinks>
    <hyperlink ref="B4" location="'Inputs'!A1" display="◂  Inputs" xr:uid="{00000000-0004-0000-0200-000000000000}"/>
    <hyperlink ref="O4" location="'Results'!A1" display="Next:  Results  ▸" xr:uid="{00000000-0004-0000-0200-000001000000}"/>
  </hyperlinks>
  <printOptions horizontalCentered="1"/>
  <pageMargins left="0.4" right="0.4" top="0.5" bottom="0.6" header="0.25" footer="0.25"/>
  <pageSetup paperSize="9" scale="5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67"/>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209</v>
      </c>
      <c r="C3" s="1"/>
      <c r="D3" s="1"/>
      <c r="E3" s="1"/>
      <c r="F3" s="1"/>
      <c r="G3" s="1"/>
      <c r="H3" s="1"/>
      <c r="I3" s="1"/>
      <c r="J3" s="1"/>
      <c r="K3" s="1"/>
      <c r="L3" s="1"/>
      <c r="M3" s="1"/>
      <c r="N3" s="1"/>
      <c r="O3" s="1"/>
      <c r="P3" s="1"/>
      <c r="Q3" s="1"/>
      <c r="R3" s="1"/>
    </row>
    <row r="4" spans="1:18" ht="20" customHeight="1" x14ac:dyDescent="0.45">
      <c r="A4" s="5"/>
      <c r="B4" s="22" t="s">
        <v>210</v>
      </c>
      <c r="C4" s="5"/>
      <c r="D4" s="5"/>
      <c r="E4" s="5"/>
      <c r="F4" s="5"/>
      <c r="G4" s="5"/>
      <c r="H4" s="5"/>
      <c r="I4" s="5"/>
      <c r="J4" s="5"/>
      <c r="K4" s="5"/>
      <c r="L4" s="5"/>
      <c r="M4" s="5"/>
      <c r="N4" s="5"/>
      <c r="O4" s="5"/>
      <c r="P4" s="5"/>
      <c r="Q4" s="5"/>
      <c r="R4" s="5"/>
    </row>
    <row r="5" spans="1:18" ht="8" customHeight="1" x14ac:dyDescent="0.45"/>
    <row r="6" spans="1:18" ht="26" customHeight="1" x14ac:dyDescent="0.45">
      <c r="B6" s="58" t="str" cm="1">
        <f t="array" aca="1" ref="B6" ca="1">IF(ISNUMBER(_xll.VoseSimMean(PeakSales)),"✔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9"/>
      <c r="D6" s="59"/>
      <c r="E6" s="59"/>
      <c r="F6" s="59"/>
      <c r="G6" s="59"/>
    </row>
    <row r="7" spans="1:18" x14ac:dyDescent="0.45">
      <c r="B7" s="60"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211</v>
      </c>
      <c r="C9" s="8"/>
      <c r="D9" s="8"/>
      <c r="E9" s="8"/>
      <c r="F9" s="8"/>
      <c r="G9" s="8"/>
      <c r="I9" s="61" t="s">
        <v>212</v>
      </c>
      <c r="J9" s="8"/>
      <c r="K9" s="8"/>
      <c r="L9" s="8"/>
      <c r="M9" s="8"/>
      <c r="N9" s="8"/>
      <c r="O9" s="8"/>
      <c r="P9" s="8"/>
      <c r="Q9" s="8"/>
      <c r="R9" s="8"/>
    </row>
    <row r="10" spans="1:18" ht="18" customHeight="1" x14ac:dyDescent="0.45">
      <c r="B10" s="13" t="s">
        <v>213</v>
      </c>
    </row>
    <row r="11" spans="1:18" ht="18" customHeight="1" x14ac:dyDescent="0.45">
      <c r="B11" s="23" t="s">
        <v>214</v>
      </c>
      <c r="C11" s="23" t="s">
        <v>102</v>
      </c>
      <c r="D11" s="24" t="s">
        <v>163</v>
      </c>
      <c r="E11" s="5"/>
      <c r="F11" s="5"/>
      <c r="G11" s="5"/>
    </row>
    <row r="12" spans="1:18" x14ac:dyDescent="0.45">
      <c r="B12" s="62" t="s">
        <v>65</v>
      </c>
      <c r="C12" s="26" t="s">
        <v>186</v>
      </c>
      <c r="D12" s="56">
        <f>BasePeak</f>
        <v>923.79091504910809</v>
      </c>
      <c r="E12" s="38"/>
      <c r="F12" s="38"/>
      <c r="G12" s="38"/>
    </row>
    <row r="13" spans="1:18" ht="22.05" customHeight="1" x14ac:dyDescent="0.45">
      <c r="B13" s="52" t="s">
        <v>108</v>
      </c>
      <c r="C13" s="26" t="s">
        <v>186</v>
      </c>
      <c r="D13" s="63" cm="1">
        <f t="array" aca="1" ref="D13" ca="1">_xll.VoseSimMean(PeakSales)</f>
        <v>1063.7730102802939</v>
      </c>
      <c r="E13" s="38"/>
      <c r="F13" s="38"/>
      <c r="G13" s="38"/>
    </row>
    <row r="14" spans="1:18" x14ac:dyDescent="0.45">
      <c r="B14" s="25" t="s">
        <v>215</v>
      </c>
      <c r="C14" s="26" t="s">
        <v>186</v>
      </c>
      <c r="D14" s="64" cm="1">
        <f t="array" aca="1" ref="D14" ca="1">_xll.VoseSimPercentile(PeakSales,0.1)</f>
        <v>532.8869868072436</v>
      </c>
      <c r="E14" s="38"/>
      <c r="F14" s="38"/>
      <c r="G14" s="38"/>
    </row>
    <row r="15" spans="1:18" x14ac:dyDescent="0.45">
      <c r="B15" s="25" t="s">
        <v>216</v>
      </c>
      <c r="C15" s="26" t="s">
        <v>186</v>
      </c>
      <c r="D15" s="64" cm="1">
        <f t="array" aca="1" ref="D15" ca="1">_xll.VoseSimPercentile(PeakSales,0.5)</f>
        <v>957.26570081406726</v>
      </c>
      <c r="E15" s="38"/>
      <c r="F15" s="38"/>
      <c r="G15" s="38"/>
    </row>
    <row r="16" spans="1:18" x14ac:dyDescent="0.45">
      <c r="B16" s="25" t="s">
        <v>217</v>
      </c>
      <c r="C16" s="26" t="s">
        <v>186</v>
      </c>
      <c r="D16" s="64" cm="1">
        <f t="array" aca="1" ref="D16" ca="1">_xll.VoseSimPercentile(PeakSales,0.9)</f>
        <v>1714.4900567300142</v>
      </c>
      <c r="E16" s="38"/>
      <c r="F16" s="38"/>
      <c r="G16" s="38"/>
    </row>
    <row r="17" spans="2:18" x14ac:dyDescent="0.45">
      <c r="B17" s="52" t="s">
        <v>218</v>
      </c>
      <c r="C17" s="26" t="s">
        <v>132</v>
      </c>
      <c r="D17" s="65" cm="1">
        <f t="array" aca="1" ref="D17" ca="1">_xll.VoseSimMean(Blockbuster)</f>
        <v>0.46289999999999998</v>
      </c>
      <c r="E17" s="38"/>
      <c r="F17" s="38"/>
      <c r="G17" s="38"/>
    </row>
    <row r="18" spans="2:18" x14ac:dyDescent="0.45">
      <c r="B18" s="25" t="s">
        <v>219</v>
      </c>
      <c r="C18" s="26" t="s">
        <v>132</v>
      </c>
      <c r="D18" s="65" cm="1">
        <f t="array" aca="1" ref="D18" ca="1">_xll.VoseSimProbability(PeakSales,BasePeak)</f>
        <v>0.46875312468753122</v>
      </c>
      <c r="E18" s="38"/>
      <c r="F18" s="38"/>
      <c r="G18" s="38"/>
    </row>
    <row r="19" spans="2:18" x14ac:dyDescent="0.45">
      <c r="B19" s="25" t="s">
        <v>220</v>
      </c>
      <c r="C19" s="26" t="s">
        <v>142</v>
      </c>
      <c r="D19" s="66" cm="1">
        <f t="array" aca="1" ref="D19" ca="1">_xll.VoseSimPercentile(PeakYear,0.5)</f>
        <v>6</v>
      </c>
      <c r="E19" s="38"/>
      <c r="F19" s="38"/>
      <c r="G19" s="38"/>
    </row>
    <row r="20" spans="2:18" ht="8" customHeight="1" x14ac:dyDescent="0.45"/>
    <row r="24" spans="2:18" ht="22.05" customHeight="1" x14ac:dyDescent="0.5">
      <c r="B24" s="7" t="s">
        <v>221</v>
      </c>
      <c r="C24" s="8"/>
      <c r="D24" s="8"/>
      <c r="E24" s="8"/>
      <c r="F24" s="8"/>
      <c r="G24" s="8"/>
      <c r="I24" s="61" t="s">
        <v>222</v>
      </c>
      <c r="J24" s="8"/>
      <c r="K24" s="8"/>
      <c r="L24" s="8"/>
      <c r="M24" s="8"/>
      <c r="N24" s="8"/>
      <c r="O24" s="8"/>
      <c r="P24" s="8"/>
      <c r="Q24" s="8"/>
      <c r="R24" s="8"/>
    </row>
    <row r="25" spans="2:18" ht="18" customHeight="1" x14ac:dyDescent="0.45">
      <c r="B25" s="13" t="s">
        <v>223</v>
      </c>
    </row>
    <row r="26" spans="2:18" ht="18" customHeight="1" x14ac:dyDescent="0.45">
      <c r="B26" s="23" t="s">
        <v>214</v>
      </c>
      <c r="C26" s="23" t="s">
        <v>102</v>
      </c>
      <c r="D26" s="24" t="s">
        <v>163</v>
      </c>
      <c r="E26" s="5"/>
      <c r="F26" s="5"/>
      <c r="G26" s="5"/>
    </row>
    <row r="27" spans="2:18" x14ac:dyDescent="0.45">
      <c r="B27" s="62" t="s">
        <v>224</v>
      </c>
      <c r="C27" s="26" t="s">
        <v>186</v>
      </c>
      <c r="D27" s="56">
        <f>BaseCum</f>
        <v>7491.0394805788719</v>
      </c>
      <c r="E27" s="38"/>
      <c r="F27" s="38"/>
      <c r="G27" s="38"/>
    </row>
    <row r="28" spans="2:18" x14ac:dyDescent="0.45">
      <c r="B28" s="52" t="s">
        <v>225</v>
      </c>
      <c r="C28" s="26" t="s">
        <v>186</v>
      </c>
      <c r="D28" s="64" cm="1">
        <f t="array" aca="1" ref="D28" ca="1">_xll.VoseSimMean(CumSales)</f>
        <v>7484.6373168507662</v>
      </c>
      <c r="E28" s="38"/>
      <c r="F28" s="38"/>
      <c r="G28" s="38"/>
    </row>
    <row r="29" spans="2:18" x14ac:dyDescent="0.45">
      <c r="B29" s="25" t="s">
        <v>226</v>
      </c>
      <c r="C29" s="26" t="s">
        <v>186</v>
      </c>
      <c r="D29" s="64" cm="1">
        <f t="array" aca="1" ref="D29" ca="1">_xll.VoseSimPercentile(CumSales,0.1)</f>
        <v>3797.2843334467043</v>
      </c>
      <c r="E29" s="38"/>
      <c r="F29" s="38"/>
      <c r="G29" s="38"/>
    </row>
    <row r="30" spans="2:18" x14ac:dyDescent="0.45">
      <c r="B30" s="25" t="s">
        <v>227</v>
      </c>
      <c r="C30" s="26" t="s">
        <v>186</v>
      </c>
      <c r="D30" s="64" cm="1">
        <f t="array" aca="1" ref="D30" ca="1">_xll.VoseSimPercentile(CumSales,0.9)</f>
        <v>11967.785184640008</v>
      </c>
      <c r="E30" s="38"/>
      <c r="F30" s="38"/>
      <c r="G30" s="38"/>
    </row>
    <row r="31" spans="2:18" ht="8" customHeight="1" x14ac:dyDescent="0.45"/>
    <row r="40" spans="2:18" ht="22.05" customHeight="1" x14ac:dyDescent="0.5">
      <c r="B40" s="7" t="s">
        <v>228</v>
      </c>
      <c r="C40" s="8"/>
      <c r="D40" s="8"/>
      <c r="E40" s="8"/>
      <c r="F40" s="8"/>
      <c r="G40" s="8"/>
      <c r="I40" s="61" t="s">
        <v>229</v>
      </c>
      <c r="J40" s="8"/>
      <c r="K40" s="8"/>
      <c r="L40" s="8"/>
      <c r="M40" s="8"/>
      <c r="N40" s="8"/>
      <c r="O40" s="8"/>
      <c r="P40" s="8"/>
      <c r="Q40" s="8"/>
      <c r="R40" s="8"/>
    </row>
    <row r="41" spans="2:18" ht="18" customHeight="1" x14ac:dyDescent="0.45">
      <c r="B41" s="13" t="s">
        <v>230</v>
      </c>
    </row>
    <row r="42" spans="2:18" ht="18" customHeight="1" x14ac:dyDescent="0.45">
      <c r="B42" s="23" t="s">
        <v>231</v>
      </c>
      <c r="C42" s="24" t="s">
        <v>232</v>
      </c>
      <c r="D42" s="24" t="s">
        <v>233</v>
      </c>
      <c r="E42" s="67" t="s">
        <v>234</v>
      </c>
      <c r="F42" s="5"/>
      <c r="G42" s="5"/>
    </row>
    <row r="43" spans="2:18" x14ac:dyDescent="0.45">
      <c r="B43" s="25" t="str">
        <f t="array" aca="1" ref="B43:E50" ca="1">_xll.VoseSimSensitivityMean(PeakSales,10,1,FALSE)</f>
        <v>Market share year 5</v>
      </c>
      <c r="C43" s="64">
        <f ca="1"/>
        <v>508.97066094334986</v>
      </c>
      <c r="D43" s="64">
        <f ca="1"/>
        <v>1962.3412617397521</v>
      </c>
      <c r="E43" s="68">
        <f ca="1"/>
        <v>1</v>
      </c>
      <c r="F43" s="38"/>
      <c r="G43" s="38"/>
    </row>
    <row r="44" spans="2:18" x14ac:dyDescent="0.45">
      <c r="B44" s="25" t="str">
        <f ca="1"/>
        <v>Eligible share</v>
      </c>
      <c r="C44" s="64">
        <f ca="1"/>
        <v>868.87387917240915</v>
      </c>
      <c r="D44" s="64">
        <f ca="1"/>
        <v>1276.7454317685883</v>
      </c>
      <c r="E44" s="68">
        <f ca="1"/>
        <v>2</v>
      </c>
      <c r="F44" s="38"/>
      <c r="G44" s="38"/>
    </row>
    <row r="45" spans="2:18" x14ac:dyDescent="0.45">
      <c r="B45" s="25" t="str">
        <f ca="1"/>
        <v>Net price at launch</v>
      </c>
      <c r="C45" s="64">
        <f ca="1"/>
        <v>937.5199833685316</v>
      </c>
      <c r="D45" s="64">
        <f ca="1"/>
        <v>1203.9445390701455</v>
      </c>
      <c r="E45" s="68">
        <f ca="1"/>
        <v>3</v>
      </c>
      <c r="F45" s="38"/>
      <c r="G45" s="38"/>
    </row>
    <row r="46" spans="2:18" x14ac:dyDescent="0.45">
      <c r="B46" s="25" t="str">
        <f ca="1"/>
        <v>Months on treatment</v>
      </c>
      <c r="C46" s="64">
        <f ca="1"/>
        <v>921.13397943980362</v>
      </c>
      <c r="D46" s="64">
        <f ca="1"/>
        <v>1184.4423533965903</v>
      </c>
      <c r="E46" s="68">
        <f ca="1"/>
        <v>4</v>
      </c>
      <c r="F46" s="38"/>
      <c r="G46" s="38"/>
    </row>
    <row r="47" spans="2:18" x14ac:dyDescent="0.45">
      <c r="B47" s="25" t="str">
        <f ca="1"/>
        <v>Competitor launches</v>
      </c>
      <c r="C47" s="64">
        <f ca="1"/>
        <v>963.93868838219873</v>
      </c>
      <c r="D47" s="64">
        <f ca="1"/>
        <v>1214.7156838559467</v>
      </c>
      <c r="E47" s="68">
        <f ca="1"/>
        <v>5</v>
      </c>
      <c r="F47" s="38"/>
      <c r="G47" s="38"/>
    </row>
    <row r="48" spans="2:18" x14ac:dyDescent="0.45">
      <c r="B48" s="25" t="str">
        <f ca="1"/>
        <v>Diagnosed and treated</v>
      </c>
      <c r="C48" s="64">
        <f ca="1"/>
        <v>953.6183974072668</v>
      </c>
      <c r="D48" s="64">
        <f ca="1"/>
        <v>1164.5344565022344</v>
      </c>
      <c r="E48" s="68">
        <f ca="1"/>
        <v>6</v>
      </c>
      <c r="F48" s="38"/>
      <c r="G48" s="38"/>
    </row>
    <row r="49" spans="2:7" x14ac:dyDescent="0.45">
      <c r="B49" s="25" t="str">
        <f ca="1"/>
        <v>Adults with the disease</v>
      </c>
      <c r="C49" s="64">
        <f ca="1"/>
        <v>991.62045565341157</v>
      </c>
      <c r="D49" s="64">
        <f ca="1"/>
        <v>1130.0492606558628</v>
      </c>
      <c r="E49" s="68">
        <f ca="1"/>
        <v>7</v>
      </c>
      <c r="F49" s="38"/>
      <c r="G49" s="38"/>
    </row>
    <row r="50" spans="2:7" x14ac:dyDescent="0.45">
      <c r="B50" s="25" t="str">
        <f ca="1"/>
        <v>Share the competitor takes</v>
      </c>
      <c r="C50" s="64">
        <f ca="1"/>
        <v>1003.820828401619</v>
      </c>
      <c r="D50" s="64">
        <f ca="1"/>
        <v>1121.7099441534356</v>
      </c>
      <c r="E50" s="68">
        <f ca="1"/>
        <v>8</v>
      </c>
      <c r="F50" s="38"/>
      <c r="G50" s="38"/>
    </row>
    <row r="54" spans="2:7" ht="22.05" customHeight="1" x14ac:dyDescent="0.5">
      <c r="B54" s="7" t="s">
        <v>235</v>
      </c>
      <c r="C54" s="8"/>
      <c r="D54" s="8"/>
      <c r="E54" s="8"/>
      <c r="F54" s="8"/>
      <c r="G54" s="8"/>
    </row>
    <row r="55" spans="2:7" ht="45" customHeight="1" x14ac:dyDescent="0.45">
      <c r="B55" s="78" t="s">
        <v>236</v>
      </c>
      <c r="C55" s="79"/>
      <c r="D55" s="79"/>
      <c r="E55" s="79"/>
      <c r="F55" s="79"/>
      <c r="G55" s="79"/>
    </row>
    <row r="56" spans="2:7" ht="32" customHeight="1" x14ac:dyDescent="0.45">
      <c r="B56" s="78" t="s">
        <v>237</v>
      </c>
      <c r="C56" s="79"/>
      <c r="D56" s="79"/>
      <c r="E56" s="79"/>
      <c r="F56" s="79"/>
      <c r="G56" s="79"/>
    </row>
    <row r="57" spans="2:7" ht="58.05" customHeight="1" x14ac:dyDescent="0.45">
      <c r="B57" s="78" t="s">
        <v>238</v>
      </c>
      <c r="C57" s="79"/>
      <c r="D57" s="79"/>
      <c r="E57" s="79"/>
      <c r="F57" s="79"/>
      <c r="G57" s="79"/>
    </row>
    <row r="58" spans="2:7" ht="45" customHeight="1" x14ac:dyDescent="0.45">
      <c r="B58" s="78" t="s">
        <v>239</v>
      </c>
      <c r="C58" s="79"/>
      <c r="D58" s="79"/>
      <c r="E58" s="79"/>
      <c r="F58" s="79"/>
      <c r="G58" s="79"/>
    </row>
    <row r="59" spans="2:7" ht="32" customHeight="1" x14ac:dyDescent="0.45">
      <c r="B59" s="78" t="s">
        <v>240</v>
      </c>
      <c r="C59" s="79"/>
      <c r="D59" s="79"/>
      <c r="E59" s="79"/>
      <c r="F59" s="79"/>
      <c r="G59" s="79"/>
    </row>
    <row r="60" spans="2:7" ht="14" customHeight="1" x14ac:dyDescent="0.45"/>
    <row r="61" spans="2:7" ht="14" customHeight="1" x14ac:dyDescent="0.45"/>
    <row r="62" spans="2:7" ht="22.05" customHeight="1" x14ac:dyDescent="0.5">
      <c r="B62" s="7" t="s">
        <v>241</v>
      </c>
      <c r="C62" s="8"/>
      <c r="D62" s="8"/>
      <c r="E62" s="8"/>
      <c r="F62" s="8"/>
      <c r="G62" s="8"/>
    </row>
    <row r="63" spans="2:7" ht="18" customHeight="1" x14ac:dyDescent="0.45">
      <c r="B63" s="13" t="s">
        <v>242</v>
      </c>
    </row>
    <row r="64" spans="2:7" ht="28.05" hidden="1" customHeight="1" outlineLevel="1" x14ac:dyDescent="0.45">
      <c r="B64" s="24" t="s">
        <v>243</v>
      </c>
      <c r="C64" s="24" t="s">
        <v>244</v>
      </c>
      <c r="D64" s="24" t="s">
        <v>245</v>
      </c>
      <c r="E64" s="5"/>
      <c r="F64" s="5"/>
      <c r="G64" s="5"/>
    </row>
    <row r="65" spans="2:4" hidden="1" outlineLevel="1" x14ac:dyDescent="0.45">
      <c r="B65" s="69">
        <v>0.01</v>
      </c>
      <c r="C65" s="69">
        <f t="shared" ref="C65:C96" si="0">1-B65</f>
        <v>0.99</v>
      </c>
      <c r="D65" s="70" cm="1">
        <f t="array" aca="1" ref="D65" ca="1">IF(ISNUMBER(_xll.VoseSimPercentile(PeakSales,$B65)),_xll.VoseSimPercentile(PeakSales,$B65),NA())</f>
        <v>337.82959761469232</v>
      </c>
    </row>
    <row r="66" spans="2:4" hidden="1" outlineLevel="1" x14ac:dyDescent="0.45">
      <c r="B66" s="69">
        <v>0.03</v>
      </c>
      <c r="C66" s="69">
        <f t="shared" si="0"/>
        <v>0.97</v>
      </c>
      <c r="D66" s="70" cm="1">
        <f t="array" aca="1" ref="D66" ca="1">IF(ISNUMBER(_xll.VoseSimPercentile(PeakSales,$B66)),_xll.VoseSimPercentile(PeakSales,$B66),NA())</f>
        <v>402.12378820739553</v>
      </c>
    </row>
    <row r="67" spans="2:4" hidden="1" outlineLevel="1" x14ac:dyDescent="0.45">
      <c r="B67" s="69">
        <v>0.05</v>
      </c>
      <c r="C67" s="69">
        <f t="shared" si="0"/>
        <v>0.95</v>
      </c>
      <c r="D67" s="70" cm="1">
        <f t="array" aca="1" ref="D67" ca="1">IF(ISNUMBER(_xll.VoseSimPercentile(PeakSales,$B67)),_xll.VoseSimPercentile(PeakSales,$B67),NA())</f>
        <v>450.88099863869985</v>
      </c>
    </row>
    <row r="68" spans="2:4" hidden="1" outlineLevel="1" x14ac:dyDescent="0.45">
      <c r="B68" s="69">
        <v>7.0000000000000007E-2</v>
      </c>
      <c r="C68" s="69">
        <f t="shared" si="0"/>
        <v>0.92999999999999994</v>
      </c>
      <c r="D68" s="70" cm="1">
        <f t="array" aca="1" ref="D68" ca="1">IF(ISNUMBER(_xll.VoseSimPercentile(PeakSales,$B68)),_xll.VoseSimPercentile(PeakSales,$B68),NA())</f>
        <v>489.72911904942674</v>
      </c>
    </row>
    <row r="69" spans="2:4" hidden="1" outlineLevel="1" x14ac:dyDescent="0.45">
      <c r="B69" s="69">
        <v>0.09</v>
      </c>
      <c r="C69" s="69">
        <f t="shared" si="0"/>
        <v>0.91</v>
      </c>
      <c r="D69" s="70" cm="1">
        <f t="array" aca="1" ref="D69" ca="1">IF(ISNUMBER(_xll.VoseSimPercentile(PeakSales,$B69)),_xll.VoseSimPercentile(PeakSales,$B69),NA())</f>
        <v>517.0412676107801</v>
      </c>
    </row>
    <row r="70" spans="2:4" hidden="1" outlineLevel="1" x14ac:dyDescent="0.45">
      <c r="B70" s="69">
        <v>0.11</v>
      </c>
      <c r="C70" s="69">
        <f t="shared" si="0"/>
        <v>0.89</v>
      </c>
      <c r="D70" s="70" cm="1">
        <f t="array" aca="1" ref="D70" ca="1">IF(ISNUMBER(_xll.VoseSimPercentile(PeakSales,$B70)),_xll.VoseSimPercentile(PeakSales,$B70),NA())</f>
        <v>548.22575912178002</v>
      </c>
    </row>
    <row r="71" spans="2:4" hidden="1" outlineLevel="1" x14ac:dyDescent="0.45">
      <c r="B71" s="69">
        <v>0.13</v>
      </c>
      <c r="C71" s="69">
        <f t="shared" si="0"/>
        <v>0.87</v>
      </c>
      <c r="D71" s="70" cm="1">
        <f t="array" aca="1" ref="D71" ca="1">IF(ISNUMBER(_xll.VoseSimPercentile(PeakSales,$B71)),_xll.VoseSimPercentile(PeakSales,$B71),NA())</f>
        <v>573.71592974804366</v>
      </c>
    </row>
    <row r="72" spans="2:4" hidden="1" outlineLevel="1" x14ac:dyDescent="0.45">
      <c r="B72" s="69">
        <v>0.15</v>
      </c>
      <c r="C72" s="69">
        <f t="shared" si="0"/>
        <v>0.85</v>
      </c>
      <c r="D72" s="70" cm="1">
        <f t="array" aca="1" ref="D72" ca="1">IF(ISNUMBER(_xll.VoseSimPercentile(PeakSales,$B72)),_xll.VoseSimPercentile(PeakSales,$B72),NA())</f>
        <v>598.89672249541638</v>
      </c>
    </row>
    <row r="73" spans="2:4" hidden="1" outlineLevel="1" x14ac:dyDescent="0.45">
      <c r="B73" s="69">
        <v>0.17</v>
      </c>
      <c r="C73" s="69">
        <f t="shared" si="0"/>
        <v>0.83</v>
      </c>
      <c r="D73" s="70" cm="1">
        <f t="array" aca="1" ref="D73" ca="1">IF(ISNUMBER(_xll.VoseSimPercentile(PeakSales,$B73)),_xll.VoseSimPercentile(PeakSales,$B73),NA())</f>
        <v>618.45000509772365</v>
      </c>
    </row>
    <row r="74" spans="2:4" hidden="1" outlineLevel="1" x14ac:dyDescent="0.45">
      <c r="B74" s="69">
        <v>0.19</v>
      </c>
      <c r="C74" s="69">
        <f t="shared" si="0"/>
        <v>0.81</v>
      </c>
      <c r="D74" s="70" cm="1">
        <f t="array" aca="1" ref="D74" ca="1">IF(ISNUMBER(_xll.VoseSimPercentile(PeakSales,$B74)),_xll.VoseSimPercentile(PeakSales,$B74),NA())</f>
        <v>640.26445749393838</v>
      </c>
    </row>
    <row r="75" spans="2:4" hidden="1" outlineLevel="1" x14ac:dyDescent="0.45">
      <c r="B75" s="69">
        <v>0.21</v>
      </c>
      <c r="C75" s="69">
        <f t="shared" si="0"/>
        <v>0.79</v>
      </c>
      <c r="D75" s="70" cm="1">
        <f t="array" aca="1" ref="D75" ca="1">IF(ISNUMBER(_xll.VoseSimPercentile(PeakSales,$B75)),_xll.VoseSimPercentile(PeakSales,$B75),NA())</f>
        <v>662.02188648775871</v>
      </c>
    </row>
    <row r="76" spans="2:4" hidden="1" outlineLevel="1" x14ac:dyDescent="0.45">
      <c r="B76" s="69">
        <v>0.23</v>
      </c>
      <c r="C76" s="69">
        <f t="shared" si="0"/>
        <v>0.77</v>
      </c>
      <c r="D76" s="70" cm="1">
        <f t="array" aca="1" ref="D76" ca="1">IF(ISNUMBER(_xll.VoseSimPercentile(PeakSales,$B76)),_xll.VoseSimPercentile(PeakSales,$B76),NA())</f>
        <v>681.40028862455802</v>
      </c>
    </row>
    <row r="77" spans="2:4" hidden="1" outlineLevel="1" x14ac:dyDescent="0.45">
      <c r="B77" s="69">
        <v>0.25</v>
      </c>
      <c r="C77" s="69">
        <f t="shared" si="0"/>
        <v>0.75</v>
      </c>
      <c r="D77" s="70" cm="1">
        <f t="array" aca="1" ref="D77" ca="1">IF(ISNUMBER(_xll.VoseSimPercentile(PeakSales,$B77)),_xll.VoseSimPercentile(PeakSales,$B77),NA())</f>
        <v>703.84032691378843</v>
      </c>
    </row>
    <row r="78" spans="2:4" hidden="1" outlineLevel="1" x14ac:dyDescent="0.45">
      <c r="B78" s="69">
        <v>0.27</v>
      </c>
      <c r="C78" s="69">
        <f t="shared" si="0"/>
        <v>0.73</v>
      </c>
      <c r="D78" s="70" cm="1">
        <f t="array" aca="1" ref="D78" ca="1">IF(ISNUMBER(_xll.VoseSimPercentile(PeakSales,$B78)),_xll.VoseSimPercentile(PeakSales,$B78),NA())</f>
        <v>724.09885630601593</v>
      </c>
    </row>
    <row r="79" spans="2:4" hidden="1" outlineLevel="1" x14ac:dyDescent="0.45">
      <c r="B79" s="69">
        <v>0.28999999999999998</v>
      </c>
      <c r="C79" s="69">
        <f t="shared" si="0"/>
        <v>0.71</v>
      </c>
      <c r="D79" s="70" cm="1">
        <f t="array" aca="1" ref="D79" ca="1">IF(ISNUMBER(_xll.VoseSimPercentile(PeakSales,$B79)),_xll.VoseSimPercentile(PeakSales,$B79),NA())</f>
        <v>744.63829783256278</v>
      </c>
    </row>
    <row r="80" spans="2:4" hidden="1" outlineLevel="1" x14ac:dyDescent="0.45">
      <c r="B80" s="69">
        <v>0.31</v>
      </c>
      <c r="C80" s="69">
        <f t="shared" si="0"/>
        <v>0.69</v>
      </c>
      <c r="D80" s="70" cm="1">
        <f t="array" aca="1" ref="D80" ca="1">IF(ISNUMBER(_xll.VoseSimPercentile(PeakSales,$B80)),_xll.VoseSimPercentile(PeakSales,$B80),NA())</f>
        <v>764.30302858474761</v>
      </c>
    </row>
    <row r="81" spans="2:4" hidden="1" outlineLevel="1" x14ac:dyDescent="0.45">
      <c r="B81" s="69">
        <v>0.33</v>
      </c>
      <c r="C81" s="69">
        <f t="shared" si="0"/>
        <v>0.66999999999999993</v>
      </c>
      <c r="D81" s="70" cm="1">
        <f t="array" aca="1" ref="D81" ca="1">IF(ISNUMBER(_xll.VoseSimPercentile(PeakSales,$B81)),_xll.VoseSimPercentile(PeakSales,$B81),NA())</f>
        <v>784.35552155842345</v>
      </c>
    </row>
    <row r="82" spans="2:4" hidden="1" outlineLevel="1" x14ac:dyDescent="0.45">
      <c r="B82" s="69">
        <v>0.35</v>
      </c>
      <c r="C82" s="69">
        <f t="shared" si="0"/>
        <v>0.65</v>
      </c>
      <c r="D82" s="70" cm="1">
        <f t="array" aca="1" ref="D82" ca="1">IF(ISNUMBER(_xll.VoseSimPercentile(PeakSales,$B82)),_xll.VoseSimPercentile(PeakSales,$B82),NA())</f>
        <v>803.18209449886422</v>
      </c>
    </row>
    <row r="83" spans="2:4" hidden="1" outlineLevel="1" x14ac:dyDescent="0.45">
      <c r="B83" s="69">
        <v>0.37</v>
      </c>
      <c r="C83" s="69">
        <f t="shared" si="0"/>
        <v>0.63</v>
      </c>
      <c r="D83" s="70" cm="1">
        <f t="array" aca="1" ref="D83" ca="1">IF(ISNUMBER(_xll.VoseSimPercentile(PeakSales,$B83)),_xll.VoseSimPercentile(PeakSales,$B83),NA())</f>
        <v>823.67724443028146</v>
      </c>
    </row>
    <row r="84" spans="2:4" hidden="1" outlineLevel="1" x14ac:dyDescent="0.45">
      <c r="B84" s="69">
        <v>0.39</v>
      </c>
      <c r="C84" s="69">
        <f t="shared" si="0"/>
        <v>0.61</v>
      </c>
      <c r="D84" s="70" cm="1">
        <f t="array" aca="1" ref="D84" ca="1">IF(ISNUMBER(_xll.VoseSimPercentile(PeakSales,$B84)),_xll.VoseSimPercentile(PeakSales,$B84),NA())</f>
        <v>843.97704066465894</v>
      </c>
    </row>
    <row r="85" spans="2:4" hidden="1" outlineLevel="1" x14ac:dyDescent="0.45">
      <c r="B85" s="69">
        <v>0.41</v>
      </c>
      <c r="C85" s="69">
        <f t="shared" si="0"/>
        <v>0.59000000000000008</v>
      </c>
      <c r="D85" s="70" cm="1">
        <f t="array" aca="1" ref="D85" ca="1">IF(ISNUMBER(_xll.VoseSimPercentile(PeakSales,$B85)),_xll.VoseSimPercentile(PeakSales,$B85),NA())</f>
        <v>863.18174878990555</v>
      </c>
    </row>
    <row r="86" spans="2:4" hidden="1" outlineLevel="1" x14ac:dyDescent="0.45">
      <c r="B86" s="69">
        <v>0.43</v>
      </c>
      <c r="C86" s="69">
        <f t="shared" si="0"/>
        <v>0.57000000000000006</v>
      </c>
      <c r="D86" s="70" cm="1">
        <f t="array" aca="1" ref="D86" ca="1">IF(ISNUMBER(_xll.VoseSimPercentile(PeakSales,$B86)),_xll.VoseSimPercentile(PeakSales,$B86),NA())</f>
        <v>882.37841685750152</v>
      </c>
    </row>
    <row r="87" spans="2:4" hidden="1" outlineLevel="1" x14ac:dyDescent="0.45">
      <c r="B87" s="69">
        <v>0.45</v>
      </c>
      <c r="C87" s="69">
        <f t="shared" si="0"/>
        <v>0.55000000000000004</v>
      </c>
      <c r="D87" s="70" cm="1">
        <f t="array" aca="1" ref="D87" ca="1">IF(ISNUMBER(_xll.VoseSimPercentile(PeakSales,$B87)),_xll.VoseSimPercentile(PeakSales,$B87),NA())</f>
        <v>904.82294193613529</v>
      </c>
    </row>
    <row r="88" spans="2:4" hidden="1" outlineLevel="1" x14ac:dyDescent="0.45">
      <c r="B88" s="69">
        <v>0.47</v>
      </c>
      <c r="C88" s="69">
        <f t="shared" si="0"/>
        <v>0.53</v>
      </c>
      <c r="D88" s="70" cm="1">
        <f t="array" aca="1" ref="D88" ca="1">IF(ISNUMBER(_xll.VoseSimPercentile(PeakSales,$B88)),_xll.VoseSimPercentile(PeakSales,$B88),NA())</f>
        <v>924.92733727069651</v>
      </c>
    </row>
    <row r="89" spans="2:4" hidden="1" outlineLevel="1" x14ac:dyDescent="0.45">
      <c r="B89" s="69">
        <v>0.49</v>
      </c>
      <c r="C89" s="69">
        <f t="shared" si="0"/>
        <v>0.51</v>
      </c>
      <c r="D89" s="70" cm="1">
        <f t="array" aca="1" ref="D89" ca="1">IF(ISNUMBER(_xll.VoseSimPercentile(PeakSales,$B89)),_xll.VoseSimPercentile(PeakSales,$B89),NA())</f>
        <v>946.98006069115456</v>
      </c>
    </row>
    <row r="90" spans="2:4" hidden="1" outlineLevel="1" x14ac:dyDescent="0.45">
      <c r="B90" s="69">
        <v>0.51</v>
      </c>
      <c r="C90" s="69">
        <f t="shared" si="0"/>
        <v>0.49</v>
      </c>
      <c r="D90" s="70" cm="1">
        <f t="array" aca="1" ref="D90" ca="1">IF(ISNUMBER(_xll.VoseSimPercentile(PeakSales,$B90)),_xll.VoseSimPercentile(PeakSales,$B90),NA())</f>
        <v>969.00162580662777</v>
      </c>
    </row>
    <row r="91" spans="2:4" hidden="1" outlineLevel="1" x14ac:dyDescent="0.45">
      <c r="B91" s="69">
        <v>0.53</v>
      </c>
      <c r="C91" s="69">
        <f t="shared" si="0"/>
        <v>0.47</v>
      </c>
      <c r="D91" s="70" cm="1">
        <f t="array" aca="1" ref="D91" ca="1">IF(ISNUMBER(_xll.VoseSimPercentile(PeakSales,$B91)),_xll.VoseSimPercentile(PeakSales,$B91),NA())</f>
        <v>992.16892521886234</v>
      </c>
    </row>
    <row r="92" spans="2:4" hidden="1" outlineLevel="1" x14ac:dyDescent="0.45">
      <c r="B92" s="69">
        <v>0.55000000000000004</v>
      </c>
      <c r="C92" s="69">
        <f t="shared" si="0"/>
        <v>0.44999999999999996</v>
      </c>
      <c r="D92" s="70" cm="1">
        <f t="array" aca="1" ref="D92" ca="1">IF(ISNUMBER(_xll.VoseSimPercentile(PeakSales,$B92)),_xll.VoseSimPercentile(PeakSales,$B92),NA())</f>
        <v>1016.6971453099586</v>
      </c>
    </row>
    <row r="93" spans="2:4" hidden="1" outlineLevel="1" x14ac:dyDescent="0.45">
      <c r="B93" s="69">
        <v>0.56999999999999995</v>
      </c>
      <c r="C93" s="69">
        <f t="shared" si="0"/>
        <v>0.43000000000000005</v>
      </c>
      <c r="D93" s="70" cm="1">
        <f t="array" aca="1" ref="D93" ca="1">IF(ISNUMBER(_xll.VoseSimPercentile(PeakSales,$B93)),_xll.VoseSimPercentile(PeakSales,$B93),NA())</f>
        <v>1041.901840545803</v>
      </c>
    </row>
    <row r="94" spans="2:4" hidden="1" outlineLevel="1" x14ac:dyDescent="0.45">
      <c r="B94" s="69">
        <v>0.59</v>
      </c>
      <c r="C94" s="69">
        <f t="shared" si="0"/>
        <v>0.41000000000000003</v>
      </c>
      <c r="D94" s="70" cm="1">
        <f t="array" aca="1" ref="D94" ca="1">IF(ISNUMBER(_xll.VoseSimPercentile(PeakSales,$B94)),_xll.VoseSimPercentile(PeakSales,$B94),NA())</f>
        <v>1066.028780110988</v>
      </c>
    </row>
    <row r="95" spans="2:4" hidden="1" outlineLevel="1" x14ac:dyDescent="0.45">
      <c r="B95" s="69">
        <v>0.61</v>
      </c>
      <c r="C95" s="69">
        <f t="shared" si="0"/>
        <v>0.39</v>
      </c>
      <c r="D95" s="70" cm="1">
        <f t="array" aca="1" ref="D95" ca="1">IF(ISNUMBER(_xll.VoseSimPercentile(PeakSales,$B95)),_xll.VoseSimPercentile(PeakSales,$B95),NA())</f>
        <v>1092.6810472904181</v>
      </c>
    </row>
    <row r="96" spans="2:4" hidden="1" outlineLevel="1" x14ac:dyDescent="0.45">
      <c r="B96" s="69">
        <v>0.63</v>
      </c>
      <c r="C96" s="69">
        <f t="shared" si="0"/>
        <v>0.37</v>
      </c>
      <c r="D96" s="70" cm="1">
        <f t="array" aca="1" ref="D96" ca="1">IF(ISNUMBER(_xll.VoseSimPercentile(PeakSales,$B96)),_xll.VoseSimPercentile(PeakSales,$B96),NA())</f>
        <v>1119.820360226171</v>
      </c>
    </row>
    <row r="97" spans="2:4" hidden="1" outlineLevel="1" x14ac:dyDescent="0.45">
      <c r="B97" s="69">
        <v>0.65</v>
      </c>
      <c r="C97" s="69">
        <f t="shared" ref="C97:C128" si="1">1-B97</f>
        <v>0.35</v>
      </c>
      <c r="D97" s="70" cm="1">
        <f t="array" aca="1" ref="D97" ca="1">IF(ISNUMBER(_xll.VoseSimPercentile(PeakSales,$B97)),_xll.VoseSimPercentile(PeakSales,$B97),NA())</f>
        <v>1147.5885029502165</v>
      </c>
    </row>
    <row r="98" spans="2:4" hidden="1" outlineLevel="1" x14ac:dyDescent="0.45">
      <c r="B98" s="69">
        <v>0.67</v>
      </c>
      <c r="C98" s="69">
        <f t="shared" si="1"/>
        <v>0.32999999999999996</v>
      </c>
      <c r="D98" s="70" cm="1">
        <f t="array" aca="1" ref="D98" ca="1">IF(ISNUMBER(_xll.VoseSimPercentile(PeakSales,$B98)),_xll.VoseSimPercentile(PeakSales,$B98),NA())</f>
        <v>1175.1221713454581</v>
      </c>
    </row>
    <row r="99" spans="2:4" hidden="1" outlineLevel="1" x14ac:dyDescent="0.45">
      <c r="B99" s="69">
        <v>0.69</v>
      </c>
      <c r="C99" s="69">
        <f t="shared" si="1"/>
        <v>0.31000000000000005</v>
      </c>
      <c r="D99" s="70" cm="1">
        <f t="array" aca="1" ref="D99" ca="1">IF(ISNUMBER(_xll.VoseSimPercentile(PeakSales,$B99)),_xll.VoseSimPercentile(PeakSales,$B99),NA())</f>
        <v>1205.900899721325</v>
      </c>
    </row>
    <row r="100" spans="2:4" hidden="1" outlineLevel="1" x14ac:dyDescent="0.45">
      <c r="B100" s="69">
        <v>0.71</v>
      </c>
      <c r="C100" s="69">
        <f t="shared" si="1"/>
        <v>0.29000000000000004</v>
      </c>
      <c r="D100" s="70" cm="1">
        <f t="array" aca="1" ref="D100" ca="1">IF(ISNUMBER(_xll.VoseSimPercentile(PeakSales,$B100)),_xll.VoseSimPercentile(PeakSales,$B100),NA())</f>
        <v>1236.9366512701686</v>
      </c>
    </row>
    <row r="101" spans="2:4" hidden="1" outlineLevel="1" x14ac:dyDescent="0.45">
      <c r="B101" s="69">
        <v>0.73</v>
      </c>
      <c r="C101" s="69">
        <f t="shared" si="1"/>
        <v>0.27</v>
      </c>
      <c r="D101" s="70" cm="1">
        <f t="array" aca="1" ref="D101" ca="1">IF(ISNUMBER(_xll.VoseSimPercentile(PeakSales,$B101)),_xll.VoseSimPercentile(PeakSales,$B101),NA())</f>
        <v>1269.8043378485888</v>
      </c>
    </row>
    <row r="102" spans="2:4" hidden="1" outlineLevel="1" x14ac:dyDescent="0.45">
      <c r="B102" s="69">
        <v>0.75</v>
      </c>
      <c r="C102" s="69">
        <f t="shared" si="1"/>
        <v>0.25</v>
      </c>
      <c r="D102" s="70" cm="1">
        <f t="array" aca="1" ref="D102" ca="1">IF(ISNUMBER(_xll.VoseSimPercentile(PeakSales,$B102)),_xll.VoseSimPercentile(PeakSales,$B102),NA())</f>
        <v>1303.3856839971038</v>
      </c>
    </row>
    <row r="103" spans="2:4" hidden="1" outlineLevel="1" x14ac:dyDescent="0.45">
      <c r="B103" s="69">
        <v>0.77</v>
      </c>
      <c r="C103" s="69">
        <f t="shared" si="1"/>
        <v>0.22999999999999998</v>
      </c>
      <c r="D103" s="70" cm="1">
        <f t="array" aca="1" ref="D103" ca="1">IF(ISNUMBER(_xll.VoseSimPercentile(PeakSales,$B103)),_xll.VoseSimPercentile(PeakSales,$B103),NA())</f>
        <v>1348.2338521200606</v>
      </c>
    </row>
    <row r="104" spans="2:4" hidden="1" outlineLevel="1" x14ac:dyDescent="0.45">
      <c r="B104" s="69">
        <v>0.79</v>
      </c>
      <c r="C104" s="69">
        <f t="shared" si="1"/>
        <v>0.20999999999999996</v>
      </c>
      <c r="D104" s="70" cm="1">
        <f t="array" aca="1" ref="D104" ca="1">IF(ISNUMBER(_xll.VoseSimPercentile(PeakSales,$B104)),_xll.VoseSimPercentile(PeakSales,$B104),NA())</f>
        <v>1393.2779954528087</v>
      </c>
    </row>
    <row r="105" spans="2:4" hidden="1" outlineLevel="1" x14ac:dyDescent="0.45">
      <c r="B105" s="69">
        <v>0.81</v>
      </c>
      <c r="C105" s="69">
        <f t="shared" si="1"/>
        <v>0.18999999999999995</v>
      </c>
      <c r="D105" s="70" cm="1">
        <f t="array" aca="1" ref="D105" ca="1">IF(ISNUMBER(_xll.VoseSimPercentile(PeakSales,$B105)),_xll.VoseSimPercentile(PeakSales,$B105),NA())</f>
        <v>1441.2355407944137</v>
      </c>
    </row>
    <row r="106" spans="2:4" hidden="1" outlineLevel="1" x14ac:dyDescent="0.45">
      <c r="B106" s="69">
        <v>0.83</v>
      </c>
      <c r="C106" s="69">
        <f t="shared" si="1"/>
        <v>0.17000000000000004</v>
      </c>
      <c r="D106" s="70" cm="1">
        <f t="array" aca="1" ref="D106" ca="1">IF(ISNUMBER(_xll.VoseSimPercentile(PeakSales,$B106)),_xll.VoseSimPercentile(PeakSales,$B106),NA())</f>
        <v>1487.5088290357262</v>
      </c>
    </row>
    <row r="107" spans="2:4" hidden="1" outlineLevel="1" x14ac:dyDescent="0.45">
      <c r="B107" s="69">
        <v>0.85</v>
      </c>
      <c r="C107" s="69">
        <f t="shared" si="1"/>
        <v>0.15000000000000002</v>
      </c>
      <c r="D107" s="70" cm="1">
        <f t="array" aca="1" ref="D107" ca="1">IF(ISNUMBER(_xll.VoseSimPercentile(PeakSales,$B107)),_xll.VoseSimPercentile(PeakSales,$B107),NA())</f>
        <v>1539.6661504995684</v>
      </c>
    </row>
    <row r="108" spans="2:4" hidden="1" outlineLevel="1" x14ac:dyDescent="0.45">
      <c r="B108" s="69">
        <v>0.87</v>
      </c>
      <c r="C108" s="69">
        <f t="shared" si="1"/>
        <v>0.13</v>
      </c>
      <c r="D108" s="70" cm="1">
        <f t="array" aca="1" ref="D108" ca="1">IF(ISNUMBER(_xll.VoseSimPercentile(PeakSales,$B108)),_xll.VoseSimPercentile(PeakSales,$B108),NA())</f>
        <v>1602.4839652411383</v>
      </c>
    </row>
    <row r="109" spans="2:4" hidden="1" outlineLevel="1" x14ac:dyDescent="0.45">
      <c r="B109" s="69">
        <v>0.89</v>
      </c>
      <c r="C109" s="69">
        <f t="shared" si="1"/>
        <v>0.10999999999999999</v>
      </c>
      <c r="D109" s="70" cm="1">
        <f t="array" aca="1" ref="D109" ca="1">IF(ISNUMBER(_xll.VoseSimPercentile(PeakSales,$B109)),_xll.VoseSimPercentile(PeakSales,$B109),NA())</f>
        <v>1673.6023912447699</v>
      </c>
    </row>
    <row r="110" spans="2:4" hidden="1" outlineLevel="1" x14ac:dyDescent="0.45">
      <c r="B110" s="69">
        <v>0.91</v>
      </c>
      <c r="C110" s="69">
        <f t="shared" si="1"/>
        <v>8.9999999999999969E-2</v>
      </c>
      <c r="D110" s="70" cm="1">
        <f t="array" aca="1" ref="D110" ca="1">IF(ISNUMBER(_xll.VoseSimPercentile(PeakSales,$B110)),_xll.VoseSimPercentile(PeakSales,$B110),NA())</f>
        <v>1759.2941180154749</v>
      </c>
    </row>
    <row r="111" spans="2:4" hidden="1" outlineLevel="1" x14ac:dyDescent="0.45">
      <c r="B111" s="69">
        <v>0.93</v>
      </c>
      <c r="C111" s="69">
        <f t="shared" si="1"/>
        <v>6.9999999999999951E-2</v>
      </c>
      <c r="D111" s="70" cm="1">
        <f t="array" aca="1" ref="D111" ca="1">IF(ISNUMBER(_xll.VoseSimPercentile(PeakSales,$B111)),_xll.VoseSimPercentile(PeakSales,$B111),NA())</f>
        <v>1859.5996716609855</v>
      </c>
    </row>
    <row r="112" spans="2:4" hidden="1" outlineLevel="1" x14ac:dyDescent="0.45">
      <c r="B112" s="69">
        <v>0.95</v>
      </c>
      <c r="C112" s="69">
        <f t="shared" si="1"/>
        <v>5.0000000000000044E-2</v>
      </c>
      <c r="D112" s="70" cm="1">
        <f t="array" aca="1" ref="D112" ca="1">IF(ISNUMBER(_xll.VoseSimPercentile(PeakSales,$B112)),_xll.VoseSimPercentile(PeakSales,$B112),NA())</f>
        <v>2023.3391069732195</v>
      </c>
    </row>
    <row r="113" spans="2:7" hidden="1" outlineLevel="1" x14ac:dyDescent="0.45">
      <c r="B113" s="69">
        <v>0.97</v>
      </c>
      <c r="C113" s="69">
        <f t="shared" si="1"/>
        <v>3.0000000000000027E-2</v>
      </c>
      <c r="D113" s="70" cm="1">
        <f t="array" aca="1" ref="D113" ca="1">IF(ISNUMBER(_xll.VoseSimPercentile(PeakSales,$B113)),_xll.VoseSimPercentile(PeakSales,$B113),NA())</f>
        <v>2240.3279352010836</v>
      </c>
    </row>
    <row r="114" spans="2:7" hidden="1" outlineLevel="1" x14ac:dyDescent="0.45">
      <c r="B114" s="69">
        <v>0.99</v>
      </c>
      <c r="C114" s="69">
        <f t="shared" si="1"/>
        <v>1.0000000000000009E-2</v>
      </c>
      <c r="D114" s="70" cm="1">
        <f t="array" aca="1" ref="D114" ca="1">IF(ISNUMBER(_xll.VoseSimPercentile(PeakSales,$B114)),_xll.VoseSimPercentile(PeakSales,$B114),NA())</f>
        <v>2774.6515121362245</v>
      </c>
    </row>
    <row r="115" spans="2:7" hidden="1" outlineLevel="1" x14ac:dyDescent="0.45"/>
    <row r="116" spans="2:7" hidden="1" outlineLevel="1" x14ac:dyDescent="0.45">
      <c r="B116" s="71" t="s">
        <v>246</v>
      </c>
      <c r="D116" s="72" cm="1">
        <f t="array" aca="1" ref="D116" ca="1">_xll.VoseSimMean(PeakSales)</f>
        <v>1063.7730102802939</v>
      </c>
    </row>
    <row r="117" spans="2:7" ht="18" hidden="1" customHeight="1" outlineLevel="1" x14ac:dyDescent="0.45">
      <c r="B117" s="23" t="s">
        <v>247</v>
      </c>
      <c r="C117" s="5"/>
      <c r="D117" s="5"/>
      <c r="E117" s="5"/>
      <c r="F117" s="24" t="s">
        <v>248</v>
      </c>
      <c r="G117" s="24" t="s">
        <v>249</v>
      </c>
    </row>
    <row r="118" spans="2:7" hidden="1" outlineLevel="1" x14ac:dyDescent="0.45">
      <c r="B118" s="73" t="str">
        <f t="shared" ref="B118:B125" ca="1" si="2">B43</f>
        <v>Market share year 5</v>
      </c>
      <c r="F118" s="74">
        <f t="shared" ref="F118:F125" ca="1" si="3">IFERROR(D43-$D$116,NA())</f>
        <v>898.56825145945822</v>
      </c>
      <c r="G118" s="74">
        <f t="shared" ref="G118:G125" ca="1" si="4">IFERROR(C43-$D$116,NA())</f>
        <v>-554.80234933694396</v>
      </c>
    </row>
    <row r="119" spans="2:7" hidden="1" outlineLevel="1" x14ac:dyDescent="0.45">
      <c r="B119" s="73" t="str">
        <f t="shared" ca="1" si="2"/>
        <v>Eligible share</v>
      </c>
      <c r="F119" s="74">
        <f t="shared" ca="1" si="3"/>
        <v>212.97242148829446</v>
      </c>
      <c r="G119" s="74">
        <f t="shared" ca="1" si="4"/>
        <v>-194.89913110788473</v>
      </c>
    </row>
    <row r="120" spans="2:7" hidden="1" outlineLevel="1" x14ac:dyDescent="0.45">
      <c r="B120" s="73" t="str">
        <f t="shared" ca="1" si="2"/>
        <v>Net price at launch</v>
      </c>
      <c r="F120" s="74">
        <f t="shared" ca="1" si="3"/>
        <v>140.17152878985166</v>
      </c>
      <c r="G120" s="74">
        <f t="shared" ca="1" si="4"/>
        <v>-126.25302691176228</v>
      </c>
    </row>
    <row r="121" spans="2:7" hidden="1" outlineLevel="1" x14ac:dyDescent="0.45">
      <c r="B121" s="73" t="str">
        <f t="shared" ca="1" si="2"/>
        <v>Months on treatment</v>
      </c>
      <c r="F121" s="74">
        <f t="shared" ca="1" si="3"/>
        <v>120.66934311629643</v>
      </c>
      <c r="G121" s="74">
        <f t="shared" ca="1" si="4"/>
        <v>-142.63903084049025</v>
      </c>
    </row>
    <row r="122" spans="2:7" hidden="1" outlineLevel="1" x14ac:dyDescent="0.45">
      <c r="B122" s="73" t="str">
        <f t="shared" ca="1" si="2"/>
        <v>Competitor launches</v>
      </c>
      <c r="F122" s="74">
        <f t="shared" ca="1" si="3"/>
        <v>150.94267357565286</v>
      </c>
      <c r="G122" s="74">
        <f t="shared" ca="1" si="4"/>
        <v>-99.834321898095141</v>
      </c>
    </row>
    <row r="123" spans="2:7" hidden="1" outlineLevel="1" x14ac:dyDescent="0.45">
      <c r="B123" s="73" t="str">
        <f t="shared" ca="1" si="2"/>
        <v>Diagnosed and treated</v>
      </c>
      <c r="F123" s="74">
        <f t="shared" ca="1" si="3"/>
        <v>100.76144622194056</v>
      </c>
      <c r="G123" s="74">
        <f t="shared" ca="1" si="4"/>
        <v>-110.15461287302708</v>
      </c>
    </row>
    <row r="124" spans="2:7" hidden="1" outlineLevel="1" x14ac:dyDescent="0.45">
      <c r="B124" s="73" t="str">
        <f t="shared" ca="1" si="2"/>
        <v>Adults with the disease</v>
      </c>
      <c r="F124" s="74">
        <f t="shared" ca="1" si="3"/>
        <v>66.276250375568907</v>
      </c>
      <c r="G124" s="74">
        <f t="shared" ca="1" si="4"/>
        <v>-72.152554626882306</v>
      </c>
    </row>
    <row r="125" spans="2:7" hidden="1" outlineLevel="1" x14ac:dyDescent="0.45">
      <c r="B125" s="73" t="str">
        <f t="shared" ca="1" si="2"/>
        <v>Share the competitor takes</v>
      </c>
      <c r="F125" s="74">
        <f t="shared" ca="1" si="3"/>
        <v>57.936933873141697</v>
      </c>
      <c r="G125" s="74">
        <f t="shared" ca="1" si="4"/>
        <v>-59.952181878674878</v>
      </c>
    </row>
    <row r="126" spans="2:7" hidden="1" outlineLevel="1" x14ac:dyDescent="0.45"/>
    <row r="127" spans="2:7" ht="18" hidden="1" customHeight="1" outlineLevel="1" x14ac:dyDescent="0.45">
      <c r="B127" s="23" t="s">
        <v>250</v>
      </c>
      <c r="C127" s="24" t="s">
        <v>163</v>
      </c>
      <c r="D127" s="5"/>
      <c r="E127" s="5"/>
      <c r="F127" s="5"/>
      <c r="G127" s="5"/>
    </row>
    <row r="128" spans="2:7" hidden="1" outlineLevel="1" x14ac:dyDescent="0.45">
      <c r="B128" s="75">
        <v>5.0000000000000001E-3</v>
      </c>
      <c r="C128" s="70" cm="1">
        <f t="array" aca="1" ref="C128" ca="1">IF(ISNUMBER(_xll.VoseSimPercentile(PeakSales,0.005)),_xll.VoseSimPercentile(PeakSales,0.005),NA())</f>
        <v>301.01666661044806</v>
      </c>
    </row>
    <row r="129" spans="2:3" hidden="1" outlineLevel="1" x14ac:dyDescent="0.45">
      <c r="B129" s="75">
        <v>0.01</v>
      </c>
      <c r="C129" s="70" cm="1">
        <f t="array" aca="1" ref="C129" ca="1">IF(ISNUMBER(_xll.VoseSimPercentile(PeakSales,0.01)),_xll.VoseSimPercentile(PeakSales,0.01),NA())</f>
        <v>337.82959761469232</v>
      </c>
    </row>
    <row r="130" spans="2:3" hidden="1" outlineLevel="1" x14ac:dyDescent="0.45">
      <c r="B130" s="75">
        <v>0.02</v>
      </c>
      <c r="C130" s="70" cm="1">
        <f t="array" aca="1" ref="C130" ca="1">IF(ISNUMBER(_xll.VoseSimPercentile(PeakSales,0.02)),_xll.VoseSimPercentile(PeakSales,0.02),NA())</f>
        <v>377.37962203657617</v>
      </c>
    </row>
    <row r="131" spans="2:3" hidden="1" outlineLevel="1" x14ac:dyDescent="0.45">
      <c r="B131" s="75">
        <v>0.03</v>
      </c>
      <c r="C131" s="70" cm="1">
        <f t="array" aca="1" ref="C131" ca="1">IF(ISNUMBER(_xll.VoseSimPercentile(PeakSales,0.03)),_xll.VoseSimPercentile(PeakSales,0.03),NA())</f>
        <v>402.12378820739553</v>
      </c>
    </row>
    <row r="132" spans="2:3" hidden="1" outlineLevel="1" x14ac:dyDescent="0.45">
      <c r="B132" s="75">
        <v>0.04</v>
      </c>
      <c r="C132" s="70" cm="1">
        <f t="array" aca="1" ref="C132" ca="1">IF(ISNUMBER(_xll.VoseSimPercentile(PeakSales,0.04)),_xll.VoseSimPercentile(PeakSales,0.04),NA())</f>
        <v>430.67433018447588</v>
      </c>
    </row>
    <row r="133" spans="2:3" hidden="1" outlineLevel="1" x14ac:dyDescent="0.45">
      <c r="B133" s="75">
        <v>0.05</v>
      </c>
      <c r="C133" s="70" cm="1">
        <f t="array" aca="1" ref="C133" ca="1">IF(ISNUMBER(_xll.VoseSimPercentile(PeakSales,0.05)),_xll.VoseSimPercentile(PeakSales,0.05),NA())</f>
        <v>450.88099863869985</v>
      </c>
    </row>
    <row r="134" spans="2:3" hidden="1" outlineLevel="1" x14ac:dyDescent="0.45">
      <c r="B134" s="75">
        <v>0.06</v>
      </c>
      <c r="C134" s="70" cm="1">
        <f t="array" aca="1" ref="C134" ca="1">IF(ISNUMBER(_xll.VoseSimPercentile(PeakSales,0.06)),_xll.VoseSimPercentile(PeakSales,0.06),NA())</f>
        <v>471.6154396766122</v>
      </c>
    </row>
    <row r="135" spans="2:3" hidden="1" outlineLevel="1" x14ac:dyDescent="0.45">
      <c r="B135" s="75">
        <v>7.0000000000000007E-2</v>
      </c>
      <c r="C135" s="70" cm="1">
        <f t="array" aca="1" ref="C135" ca="1">IF(ISNUMBER(_xll.VoseSimPercentile(PeakSales,0.07)),_xll.VoseSimPercentile(PeakSales,0.07),NA())</f>
        <v>489.72911904942674</v>
      </c>
    </row>
    <row r="136" spans="2:3" hidden="1" outlineLevel="1" x14ac:dyDescent="0.45">
      <c r="B136" s="75">
        <v>0.08</v>
      </c>
      <c r="C136" s="70" cm="1">
        <f t="array" aca="1" ref="C136" ca="1">IF(ISNUMBER(_xll.VoseSimPercentile(PeakSales,0.08)),_xll.VoseSimPercentile(PeakSales,0.08),NA())</f>
        <v>503.89536351344009</v>
      </c>
    </row>
    <row r="137" spans="2:3" hidden="1" outlineLevel="1" x14ac:dyDescent="0.45">
      <c r="B137" s="75">
        <v>0.09</v>
      </c>
      <c r="C137" s="70" cm="1">
        <f t="array" aca="1" ref="C137" ca="1">IF(ISNUMBER(_xll.VoseSimPercentile(PeakSales,0.09)),_xll.VoseSimPercentile(PeakSales,0.09),NA())</f>
        <v>517.0412676107801</v>
      </c>
    </row>
    <row r="138" spans="2:3" hidden="1" outlineLevel="1" x14ac:dyDescent="0.45">
      <c r="B138" s="75">
        <v>0.1</v>
      </c>
      <c r="C138" s="70" cm="1">
        <f t="array" aca="1" ref="C138" ca="1">IF(ISNUMBER(_xll.VoseSimPercentile(PeakSales,0.1)),_xll.VoseSimPercentile(PeakSales,0.1),NA())</f>
        <v>532.8869868072436</v>
      </c>
    </row>
    <row r="139" spans="2:3" hidden="1" outlineLevel="1" x14ac:dyDescent="0.45">
      <c r="B139" s="75">
        <v>0.11</v>
      </c>
      <c r="C139" s="70" cm="1">
        <f t="array" aca="1" ref="C139" ca="1">IF(ISNUMBER(_xll.VoseSimPercentile(PeakSales,0.11)),_xll.VoseSimPercentile(PeakSales,0.11),NA())</f>
        <v>548.22575912178002</v>
      </c>
    </row>
    <row r="140" spans="2:3" hidden="1" outlineLevel="1" x14ac:dyDescent="0.45">
      <c r="B140" s="75">
        <v>0.12</v>
      </c>
      <c r="C140" s="70" cm="1">
        <f t="array" aca="1" ref="C140" ca="1">IF(ISNUMBER(_xll.VoseSimPercentile(PeakSales,0.12)),_xll.VoseSimPercentile(PeakSales,0.12),NA())</f>
        <v>560.98080547336792</v>
      </c>
    </row>
    <row r="141" spans="2:3" hidden="1" outlineLevel="1" x14ac:dyDescent="0.45">
      <c r="B141" s="75">
        <v>0.13</v>
      </c>
      <c r="C141" s="70" cm="1">
        <f t="array" aca="1" ref="C141" ca="1">IF(ISNUMBER(_xll.VoseSimPercentile(PeakSales,0.13)),_xll.VoseSimPercentile(PeakSales,0.13),NA())</f>
        <v>573.71592974804366</v>
      </c>
    </row>
    <row r="142" spans="2:3" hidden="1" outlineLevel="1" x14ac:dyDescent="0.45">
      <c r="B142" s="75">
        <v>0.14000000000000001</v>
      </c>
      <c r="C142" s="70" cm="1">
        <f t="array" aca="1" ref="C142" ca="1">IF(ISNUMBER(_xll.VoseSimPercentile(PeakSales,0.14)),_xll.VoseSimPercentile(PeakSales,0.14),NA())</f>
        <v>587.46606443496273</v>
      </c>
    </row>
    <row r="143" spans="2:3" hidden="1" outlineLevel="1" x14ac:dyDescent="0.45">
      <c r="B143" s="75">
        <v>0.15</v>
      </c>
      <c r="C143" s="70" cm="1">
        <f t="array" aca="1" ref="C143" ca="1">IF(ISNUMBER(_xll.VoseSimPercentile(PeakSales,0.15)),_xll.VoseSimPercentile(PeakSales,0.15),NA())</f>
        <v>598.89672249541638</v>
      </c>
    </row>
    <row r="144" spans="2:3" hidden="1" outlineLevel="1" x14ac:dyDescent="0.45">
      <c r="B144" s="75">
        <v>0.16</v>
      </c>
      <c r="C144" s="70" cm="1">
        <f t="array" aca="1" ref="C144" ca="1">IF(ISNUMBER(_xll.VoseSimPercentile(PeakSales,0.16)),_xll.VoseSimPercentile(PeakSales,0.16),NA())</f>
        <v>608.75716628935902</v>
      </c>
    </row>
    <row r="145" spans="2:3" hidden="1" outlineLevel="1" x14ac:dyDescent="0.45">
      <c r="B145" s="75">
        <v>0.17</v>
      </c>
      <c r="C145" s="70" cm="1">
        <f t="array" aca="1" ref="C145" ca="1">IF(ISNUMBER(_xll.VoseSimPercentile(PeakSales,0.17)),_xll.VoseSimPercentile(PeakSales,0.17),NA())</f>
        <v>618.45000509772365</v>
      </c>
    </row>
    <row r="146" spans="2:3" hidden="1" outlineLevel="1" x14ac:dyDescent="0.45">
      <c r="B146" s="75">
        <v>0.18</v>
      </c>
      <c r="C146" s="70" cm="1">
        <f t="array" aca="1" ref="C146" ca="1">IF(ISNUMBER(_xll.VoseSimPercentile(PeakSales,0.18)),_xll.VoseSimPercentile(PeakSales,0.18),NA())</f>
        <v>629.48041118540561</v>
      </c>
    </row>
    <row r="147" spans="2:3" hidden="1" outlineLevel="1" x14ac:dyDescent="0.45">
      <c r="B147" s="75">
        <v>0.19</v>
      </c>
      <c r="C147" s="70" cm="1">
        <f t="array" aca="1" ref="C147" ca="1">IF(ISNUMBER(_xll.VoseSimPercentile(PeakSales,0.19)),_xll.VoseSimPercentile(PeakSales,0.19),NA())</f>
        <v>640.26445749393838</v>
      </c>
    </row>
    <row r="148" spans="2:3" hidden="1" outlineLevel="1" x14ac:dyDescent="0.45">
      <c r="B148" s="75">
        <v>0.2</v>
      </c>
      <c r="C148" s="70" cm="1">
        <f t="array" aca="1" ref="C148" ca="1">IF(ISNUMBER(_xll.VoseSimPercentile(PeakSales,0.2)),_xll.VoseSimPercentile(PeakSales,0.2),NA())</f>
        <v>650.91970466716668</v>
      </c>
    </row>
    <row r="149" spans="2:3" hidden="1" outlineLevel="1" x14ac:dyDescent="0.45">
      <c r="B149" s="75">
        <v>0.21</v>
      </c>
      <c r="C149" s="70" cm="1">
        <f t="array" aca="1" ref="C149" ca="1">IF(ISNUMBER(_xll.VoseSimPercentile(PeakSales,0.21)),_xll.VoseSimPercentile(PeakSales,0.21),NA())</f>
        <v>662.02188648775871</v>
      </c>
    </row>
    <row r="150" spans="2:3" hidden="1" outlineLevel="1" x14ac:dyDescent="0.45">
      <c r="B150" s="75">
        <v>0.22</v>
      </c>
      <c r="C150" s="70" cm="1">
        <f t="array" aca="1" ref="C150" ca="1">IF(ISNUMBER(_xll.VoseSimPercentile(PeakSales,0.22)),_xll.VoseSimPercentile(PeakSales,0.22),NA())</f>
        <v>672.07123304248978</v>
      </c>
    </row>
    <row r="151" spans="2:3" hidden="1" outlineLevel="1" x14ac:dyDescent="0.45">
      <c r="B151" s="75">
        <v>0.23</v>
      </c>
      <c r="C151" s="70" cm="1">
        <f t="array" aca="1" ref="C151" ca="1">IF(ISNUMBER(_xll.VoseSimPercentile(PeakSales,0.23)),_xll.VoseSimPercentile(PeakSales,0.23),NA())</f>
        <v>681.40028862455802</v>
      </c>
    </row>
    <row r="152" spans="2:3" hidden="1" outlineLevel="1" x14ac:dyDescent="0.45">
      <c r="B152" s="75">
        <v>0.24</v>
      </c>
      <c r="C152" s="70" cm="1">
        <f t="array" aca="1" ref="C152" ca="1">IF(ISNUMBER(_xll.VoseSimPercentile(PeakSales,0.24)),_xll.VoseSimPercentile(PeakSales,0.24),NA())</f>
        <v>693.49214506273404</v>
      </c>
    </row>
    <row r="153" spans="2:3" hidden="1" outlineLevel="1" x14ac:dyDescent="0.45">
      <c r="B153" s="75">
        <v>0.25</v>
      </c>
      <c r="C153" s="70" cm="1">
        <f t="array" aca="1" ref="C153" ca="1">IF(ISNUMBER(_xll.VoseSimPercentile(PeakSales,0.25)),_xll.VoseSimPercentile(PeakSales,0.25),NA())</f>
        <v>703.84032691378843</v>
      </c>
    </row>
    <row r="154" spans="2:3" hidden="1" outlineLevel="1" x14ac:dyDescent="0.45">
      <c r="B154" s="75">
        <v>0.26</v>
      </c>
      <c r="C154" s="70" cm="1">
        <f t="array" aca="1" ref="C154" ca="1">IF(ISNUMBER(_xll.VoseSimPercentile(PeakSales,0.26)),_xll.VoseSimPercentile(PeakSales,0.26),NA())</f>
        <v>713.45209753460063</v>
      </c>
    </row>
    <row r="155" spans="2:3" hidden="1" outlineLevel="1" x14ac:dyDescent="0.45">
      <c r="B155" s="75">
        <v>0.27</v>
      </c>
      <c r="C155" s="70" cm="1">
        <f t="array" aca="1" ref="C155" ca="1">IF(ISNUMBER(_xll.VoseSimPercentile(PeakSales,0.27)),_xll.VoseSimPercentile(PeakSales,0.27),NA())</f>
        <v>724.09885630601593</v>
      </c>
    </row>
    <row r="156" spans="2:3" hidden="1" outlineLevel="1" x14ac:dyDescent="0.45">
      <c r="B156" s="75">
        <v>0.28000000000000003</v>
      </c>
      <c r="C156" s="70" cm="1">
        <f t="array" aca="1" ref="C156" ca="1">IF(ISNUMBER(_xll.VoseSimPercentile(PeakSales,0.28)),_xll.VoseSimPercentile(PeakSales,0.28),NA())</f>
        <v>733.73314954616978</v>
      </c>
    </row>
    <row r="157" spans="2:3" hidden="1" outlineLevel="1" x14ac:dyDescent="0.45">
      <c r="B157" s="75">
        <v>0.28999999999999998</v>
      </c>
      <c r="C157" s="70" cm="1">
        <f t="array" aca="1" ref="C157" ca="1">IF(ISNUMBER(_xll.VoseSimPercentile(PeakSales,0.29)),_xll.VoseSimPercentile(PeakSales,0.29),NA())</f>
        <v>744.63829783256278</v>
      </c>
    </row>
    <row r="158" spans="2:3" hidden="1" outlineLevel="1" x14ac:dyDescent="0.45">
      <c r="B158" s="75">
        <v>0.3</v>
      </c>
      <c r="C158" s="70" cm="1">
        <f t="array" aca="1" ref="C158" ca="1">IF(ISNUMBER(_xll.VoseSimPercentile(PeakSales,0.3)),_xll.VoseSimPercentile(PeakSales,0.3),NA())</f>
        <v>753.95732059085572</v>
      </c>
    </row>
    <row r="159" spans="2:3" hidden="1" outlineLevel="1" x14ac:dyDescent="0.45">
      <c r="B159" s="75">
        <v>0.31</v>
      </c>
      <c r="C159" s="70" cm="1">
        <f t="array" aca="1" ref="C159" ca="1">IF(ISNUMBER(_xll.VoseSimPercentile(PeakSales,0.31)),_xll.VoseSimPercentile(PeakSales,0.31),NA())</f>
        <v>764.30302858474761</v>
      </c>
    </row>
    <row r="160" spans="2:3" hidden="1" outlineLevel="1" x14ac:dyDescent="0.45">
      <c r="B160" s="75">
        <v>0.32</v>
      </c>
      <c r="C160" s="70" cm="1">
        <f t="array" aca="1" ref="C160" ca="1">IF(ISNUMBER(_xll.VoseSimPercentile(PeakSales,0.32)),_xll.VoseSimPercentile(PeakSales,0.32),NA())</f>
        <v>774.75776226982759</v>
      </c>
    </row>
    <row r="161" spans="2:3" hidden="1" outlineLevel="1" x14ac:dyDescent="0.45">
      <c r="B161" s="75">
        <v>0.33</v>
      </c>
      <c r="C161" s="70" cm="1">
        <f t="array" aca="1" ref="C161" ca="1">IF(ISNUMBER(_xll.VoseSimPercentile(PeakSales,0.33)),_xll.VoseSimPercentile(PeakSales,0.33),NA())</f>
        <v>784.35552155842345</v>
      </c>
    </row>
    <row r="162" spans="2:3" hidden="1" outlineLevel="1" x14ac:dyDescent="0.45">
      <c r="B162" s="75">
        <v>0.34</v>
      </c>
      <c r="C162" s="70" cm="1">
        <f t="array" aca="1" ref="C162" ca="1">IF(ISNUMBER(_xll.VoseSimPercentile(PeakSales,0.34)),_xll.VoseSimPercentile(PeakSales,0.34),NA())</f>
        <v>794.045104351296</v>
      </c>
    </row>
    <row r="163" spans="2:3" hidden="1" outlineLevel="1" x14ac:dyDescent="0.45">
      <c r="B163" s="75">
        <v>0.35</v>
      </c>
      <c r="C163" s="70" cm="1">
        <f t="array" aca="1" ref="C163" ca="1">IF(ISNUMBER(_xll.VoseSimPercentile(PeakSales,0.35)),_xll.VoseSimPercentile(PeakSales,0.35),NA())</f>
        <v>803.18209449886422</v>
      </c>
    </row>
    <row r="164" spans="2:3" hidden="1" outlineLevel="1" x14ac:dyDescent="0.45">
      <c r="B164" s="75">
        <v>0.36</v>
      </c>
      <c r="C164" s="70" cm="1">
        <f t="array" aca="1" ref="C164" ca="1">IF(ISNUMBER(_xll.VoseSimPercentile(PeakSales,0.36)),_xll.VoseSimPercentile(PeakSales,0.36),NA())</f>
        <v>813.31372299264524</v>
      </c>
    </row>
    <row r="165" spans="2:3" hidden="1" outlineLevel="1" x14ac:dyDescent="0.45">
      <c r="B165" s="75">
        <v>0.37</v>
      </c>
      <c r="C165" s="70" cm="1">
        <f t="array" aca="1" ref="C165" ca="1">IF(ISNUMBER(_xll.VoseSimPercentile(PeakSales,0.37)),_xll.VoseSimPercentile(PeakSales,0.37),NA())</f>
        <v>823.67724443028146</v>
      </c>
    </row>
    <row r="166" spans="2:3" hidden="1" outlineLevel="1" x14ac:dyDescent="0.45">
      <c r="B166" s="75">
        <v>0.38</v>
      </c>
      <c r="C166" s="70" cm="1">
        <f t="array" aca="1" ref="C166" ca="1">IF(ISNUMBER(_xll.VoseSimPercentile(PeakSales,0.38)),_xll.VoseSimPercentile(PeakSales,0.38),NA())</f>
        <v>833.549412451492</v>
      </c>
    </row>
    <row r="167" spans="2:3" hidden="1" outlineLevel="1" x14ac:dyDescent="0.45">
      <c r="B167" s="75">
        <v>0.39</v>
      </c>
      <c r="C167" s="70" cm="1">
        <f t="array" aca="1" ref="C167" ca="1">IF(ISNUMBER(_xll.VoseSimPercentile(PeakSales,0.39)),_xll.VoseSimPercentile(PeakSales,0.39),NA())</f>
        <v>843.97704066465894</v>
      </c>
    </row>
    <row r="168" spans="2:3" hidden="1" outlineLevel="1" x14ac:dyDescent="0.45">
      <c r="B168" s="75">
        <v>0.4</v>
      </c>
      <c r="C168" s="70" cm="1">
        <f t="array" aca="1" ref="C168" ca="1">IF(ISNUMBER(_xll.VoseSimPercentile(PeakSales,0.4)),_xll.VoseSimPercentile(PeakSales,0.4),NA())</f>
        <v>853.36272919943428</v>
      </c>
    </row>
    <row r="169" spans="2:3" hidden="1" outlineLevel="1" x14ac:dyDescent="0.45">
      <c r="B169" s="75">
        <v>0.41</v>
      </c>
      <c r="C169" s="70" cm="1">
        <f t="array" aca="1" ref="C169" ca="1">IF(ISNUMBER(_xll.VoseSimPercentile(PeakSales,0.41)),_xll.VoseSimPercentile(PeakSales,0.41),NA())</f>
        <v>863.18174878990555</v>
      </c>
    </row>
    <row r="170" spans="2:3" hidden="1" outlineLevel="1" x14ac:dyDescent="0.45">
      <c r="B170" s="75">
        <v>0.42</v>
      </c>
      <c r="C170" s="70" cm="1">
        <f t="array" aca="1" ref="C170" ca="1">IF(ISNUMBER(_xll.VoseSimPercentile(PeakSales,0.42)),_xll.VoseSimPercentile(PeakSales,0.42),NA())</f>
        <v>872.42329890663245</v>
      </c>
    </row>
    <row r="171" spans="2:3" hidden="1" outlineLevel="1" x14ac:dyDescent="0.45">
      <c r="B171" s="75">
        <v>0.43</v>
      </c>
      <c r="C171" s="70" cm="1">
        <f t="array" aca="1" ref="C171" ca="1">IF(ISNUMBER(_xll.VoseSimPercentile(PeakSales,0.43)),_xll.VoseSimPercentile(PeakSales,0.43),NA())</f>
        <v>882.37841685750152</v>
      </c>
    </row>
    <row r="172" spans="2:3" hidden="1" outlineLevel="1" x14ac:dyDescent="0.45">
      <c r="B172" s="75">
        <v>0.44</v>
      </c>
      <c r="C172" s="70" cm="1">
        <f t="array" aca="1" ref="C172" ca="1">IF(ISNUMBER(_xll.VoseSimPercentile(PeakSales,0.44)),_xll.VoseSimPercentile(PeakSales,0.44),NA())</f>
        <v>893.59816495860593</v>
      </c>
    </row>
    <row r="173" spans="2:3" hidden="1" outlineLevel="1" x14ac:dyDescent="0.45">
      <c r="B173" s="75">
        <v>0.45</v>
      </c>
      <c r="C173" s="70" cm="1">
        <f t="array" aca="1" ref="C173" ca="1">IF(ISNUMBER(_xll.VoseSimPercentile(PeakSales,0.45)),_xll.VoseSimPercentile(PeakSales,0.45),NA())</f>
        <v>904.82294193613529</v>
      </c>
    </row>
    <row r="174" spans="2:3" hidden="1" outlineLevel="1" x14ac:dyDescent="0.45">
      <c r="B174" s="75">
        <v>0.46</v>
      </c>
      <c r="C174" s="70" cm="1">
        <f t="array" aca="1" ref="C174" ca="1">IF(ISNUMBER(_xll.VoseSimPercentile(PeakSales,0.46)),_xll.VoseSimPercentile(PeakSales,0.46),NA())</f>
        <v>914.55057484558552</v>
      </c>
    </row>
    <row r="175" spans="2:3" hidden="1" outlineLevel="1" x14ac:dyDescent="0.45">
      <c r="B175" s="75">
        <v>0.47</v>
      </c>
      <c r="C175" s="70" cm="1">
        <f t="array" aca="1" ref="C175" ca="1">IF(ISNUMBER(_xll.VoseSimPercentile(PeakSales,0.47)),_xll.VoseSimPercentile(PeakSales,0.47),NA())</f>
        <v>924.92733727069651</v>
      </c>
    </row>
    <row r="176" spans="2:3" hidden="1" outlineLevel="1" x14ac:dyDescent="0.45">
      <c r="B176" s="75">
        <v>0.48</v>
      </c>
      <c r="C176" s="70" cm="1">
        <f t="array" aca="1" ref="C176" ca="1">IF(ISNUMBER(_xll.VoseSimPercentile(PeakSales,0.48)),_xll.VoseSimPercentile(PeakSales,0.48),NA())</f>
        <v>936.5098813878983</v>
      </c>
    </row>
    <row r="177" spans="2:3" hidden="1" outlineLevel="1" x14ac:dyDescent="0.45">
      <c r="B177" s="75">
        <v>0.49</v>
      </c>
      <c r="C177" s="70" cm="1">
        <f t="array" aca="1" ref="C177" ca="1">IF(ISNUMBER(_xll.VoseSimPercentile(PeakSales,0.49)),_xll.VoseSimPercentile(PeakSales,0.49),NA())</f>
        <v>946.98006069115456</v>
      </c>
    </row>
    <row r="178" spans="2:3" hidden="1" outlineLevel="1" x14ac:dyDescent="0.45">
      <c r="B178" s="75">
        <v>0.5</v>
      </c>
      <c r="C178" s="70" cm="1">
        <f t="array" aca="1" ref="C178" ca="1">IF(ISNUMBER(_xll.VoseSimPercentile(PeakSales,0.5)),_xll.VoseSimPercentile(PeakSales,0.5),NA())</f>
        <v>957.26570081406726</v>
      </c>
    </row>
    <row r="179" spans="2:3" hidden="1" outlineLevel="1" x14ac:dyDescent="0.45">
      <c r="B179" s="75">
        <v>0.51</v>
      </c>
      <c r="C179" s="70" cm="1">
        <f t="array" aca="1" ref="C179" ca="1">IF(ISNUMBER(_xll.VoseSimPercentile(PeakSales,0.51)),_xll.VoseSimPercentile(PeakSales,0.51),NA())</f>
        <v>969.00162580662777</v>
      </c>
    </row>
    <row r="180" spans="2:3" hidden="1" outlineLevel="1" x14ac:dyDescent="0.45">
      <c r="B180" s="75">
        <v>0.52</v>
      </c>
      <c r="C180" s="70" cm="1">
        <f t="array" aca="1" ref="C180" ca="1">IF(ISNUMBER(_xll.VoseSimPercentile(PeakSales,0.52)),_xll.VoseSimPercentile(PeakSales,0.52),NA())</f>
        <v>979.43760374030933</v>
      </c>
    </row>
    <row r="181" spans="2:3" hidden="1" outlineLevel="1" x14ac:dyDescent="0.45">
      <c r="B181" s="75">
        <v>0.53</v>
      </c>
      <c r="C181" s="70" cm="1">
        <f t="array" aca="1" ref="C181" ca="1">IF(ISNUMBER(_xll.VoseSimPercentile(PeakSales,0.53)),_xll.VoseSimPercentile(PeakSales,0.53),NA())</f>
        <v>992.16892521886234</v>
      </c>
    </row>
    <row r="182" spans="2:3" hidden="1" outlineLevel="1" x14ac:dyDescent="0.45">
      <c r="B182" s="75">
        <v>0.54</v>
      </c>
      <c r="C182" s="70" cm="1">
        <f t="array" aca="1" ref="C182" ca="1">IF(ISNUMBER(_xll.VoseSimPercentile(PeakSales,0.54)),_xll.VoseSimPercentile(PeakSales,0.54),NA())</f>
        <v>1002.9837689035595</v>
      </c>
    </row>
    <row r="183" spans="2:3" hidden="1" outlineLevel="1" x14ac:dyDescent="0.45">
      <c r="B183" s="75">
        <v>0.55000000000000004</v>
      </c>
      <c r="C183" s="70" cm="1">
        <f t="array" aca="1" ref="C183" ca="1">IF(ISNUMBER(_xll.VoseSimPercentile(PeakSales,0.55)),_xll.VoseSimPercentile(PeakSales,0.55),NA())</f>
        <v>1016.6971453099586</v>
      </c>
    </row>
    <row r="184" spans="2:3" hidden="1" outlineLevel="1" x14ac:dyDescent="0.45">
      <c r="B184" s="75">
        <v>0.56000000000000005</v>
      </c>
      <c r="C184" s="70" cm="1">
        <f t="array" aca="1" ref="C184" ca="1">IF(ISNUMBER(_xll.VoseSimPercentile(PeakSales,0.56)),_xll.VoseSimPercentile(PeakSales,0.56),NA())</f>
        <v>1030.3623844854474</v>
      </c>
    </row>
    <row r="185" spans="2:3" hidden="1" outlineLevel="1" x14ac:dyDescent="0.45">
      <c r="B185" s="75">
        <v>0.56999999999999995</v>
      </c>
      <c r="C185" s="70" cm="1">
        <f t="array" aca="1" ref="C185" ca="1">IF(ISNUMBER(_xll.VoseSimPercentile(PeakSales,0.57)),_xll.VoseSimPercentile(PeakSales,0.57),NA())</f>
        <v>1041.901840545803</v>
      </c>
    </row>
    <row r="186" spans="2:3" hidden="1" outlineLevel="1" x14ac:dyDescent="0.45">
      <c r="B186" s="75">
        <v>0.57999999999999996</v>
      </c>
      <c r="C186" s="70" cm="1">
        <f t="array" aca="1" ref="C186" ca="1">IF(ISNUMBER(_xll.VoseSimPercentile(PeakSales,0.58)),_xll.VoseSimPercentile(PeakSales,0.58),NA())</f>
        <v>1053.3713569743111</v>
      </c>
    </row>
    <row r="187" spans="2:3" hidden="1" outlineLevel="1" x14ac:dyDescent="0.45">
      <c r="B187" s="75">
        <v>0.59</v>
      </c>
      <c r="C187" s="70" cm="1">
        <f t="array" aca="1" ref="C187" ca="1">IF(ISNUMBER(_xll.VoseSimPercentile(PeakSales,0.59)),_xll.VoseSimPercentile(PeakSales,0.59),NA())</f>
        <v>1066.028780110988</v>
      </c>
    </row>
    <row r="188" spans="2:3" hidden="1" outlineLevel="1" x14ac:dyDescent="0.45">
      <c r="B188" s="75">
        <v>0.6</v>
      </c>
      <c r="C188" s="70" cm="1">
        <f t="array" aca="1" ref="C188" ca="1">IF(ISNUMBER(_xll.VoseSimPercentile(PeakSales,0.6)),_xll.VoseSimPercentile(PeakSales,0.6),NA())</f>
        <v>1079.7053984450345</v>
      </c>
    </row>
    <row r="189" spans="2:3" hidden="1" outlineLevel="1" x14ac:dyDescent="0.45">
      <c r="B189" s="75">
        <v>0.61</v>
      </c>
      <c r="C189" s="70" cm="1">
        <f t="array" aca="1" ref="C189" ca="1">IF(ISNUMBER(_xll.VoseSimPercentile(PeakSales,0.61)),_xll.VoseSimPercentile(PeakSales,0.61),NA())</f>
        <v>1092.6810472904181</v>
      </c>
    </row>
    <row r="190" spans="2:3" hidden="1" outlineLevel="1" x14ac:dyDescent="0.45">
      <c r="B190" s="75">
        <v>0.62</v>
      </c>
      <c r="C190" s="70" cm="1">
        <f t="array" aca="1" ref="C190" ca="1">IF(ISNUMBER(_xll.VoseSimPercentile(PeakSales,0.62)),_xll.VoseSimPercentile(PeakSales,0.62),NA())</f>
        <v>1106.5394630857902</v>
      </c>
    </row>
    <row r="191" spans="2:3" hidden="1" outlineLevel="1" x14ac:dyDescent="0.45">
      <c r="B191" s="75">
        <v>0.63</v>
      </c>
      <c r="C191" s="70" cm="1">
        <f t="array" aca="1" ref="C191" ca="1">IF(ISNUMBER(_xll.VoseSimPercentile(PeakSales,0.63)),_xll.VoseSimPercentile(PeakSales,0.63),NA())</f>
        <v>1119.820360226171</v>
      </c>
    </row>
    <row r="192" spans="2:3" hidden="1" outlineLevel="1" x14ac:dyDescent="0.45">
      <c r="B192" s="75">
        <v>0.64</v>
      </c>
      <c r="C192" s="70" cm="1">
        <f t="array" aca="1" ref="C192" ca="1">IF(ISNUMBER(_xll.VoseSimPercentile(PeakSales,0.64)),_xll.VoseSimPercentile(PeakSales,0.64),NA())</f>
        <v>1133.9383880561347</v>
      </c>
    </row>
    <row r="193" spans="2:3" hidden="1" outlineLevel="1" x14ac:dyDescent="0.45">
      <c r="B193" s="75">
        <v>0.65</v>
      </c>
      <c r="C193" s="70" cm="1">
        <f t="array" aca="1" ref="C193" ca="1">IF(ISNUMBER(_xll.VoseSimPercentile(PeakSales,0.65)),_xll.VoseSimPercentile(PeakSales,0.65),NA())</f>
        <v>1147.5885029502165</v>
      </c>
    </row>
    <row r="194" spans="2:3" hidden="1" outlineLevel="1" x14ac:dyDescent="0.45">
      <c r="B194" s="75">
        <v>0.66</v>
      </c>
      <c r="C194" s="70" cm="1">
        <f t="array" aca="1" ref="C194" ca="1">IF(ISNUMBER(_xll.VoseSimPercentile(PeakSales,0.66)),_xll.VoseSimPercentile(PeakSales,0.66),NA())</f>
        <v>1158.9305186902563</v>
      </c>
    </row>
    <row r="195" spans="2:3" hidden="1" outlineLevel="1" x14ac:dyDescent="0.45">
      <c r="B195" s="75">
        <v>0.67</v>
      </c>
      <c r="C195" s="70" cm="1">
        <f t="array" aca="1" ref="C195" ca="1">IF(ISNUMBER(_xll.VoseSimPercentile(PeakSales,0.67)),_xll.VoseSimPercentile(PeakSales,0.67),NA())</f>
        <v>1175.1221713454581</v>
      </c>
    </row>
    <row r="196" spans="2:3" hidden="1" outlineLevel="1" x14ac:dyDescent="0.45">
      <c r="B196" s="75">
        <v>0.68</v>
      </c>
      <c r="C196" s="70" cm="1">
        <f t="array" aca="1" ref="C196" ca="1">IF(ISNUMBER(_xll.VoseSimPercentile(PeakSales,0.68)),_xll.VoseSimPercentile(PeakSales,0.68),NA())</f>
        <v>1189.9875191759024</v>
      </c>
    </row>
    <row r="197" spans="2:3" hidden="1" outlineLevel="1" x14ac:dyDescent="0.45">
      <c r="B197" s="75">
        <v>0.69</v>
      </c>
      <c r="C197" s="70" cm="1">
        <f t="array" aca="1" ref="C197" ca="1">IF(ISNUMBER(_xll.VoseSimPercentile(PeakSales,0.69)),_xll.VoseSimPercentile(PeakSales,0.69),NA())</f>
        <v>1205.900899721325</v>
      </c>
    </row>
    <row r="198" spans="2:3" hidden="1" outlineLevel="1" x14ac:dyDescent="0.45">
      <c r="B198" s="75">
        <v>0.7</v>
      </c>
      <c r="C198" s="70" cm="1">
        <f t="array" aca="1" ref="C198" ca="1">IF(ISNUMBER(_xll.VoseSimPercentile(PeakSales,0.7)),_xll.VoseSimPercentile(PeakSales,0.7),NA())</f>
        <v>1222.9665493560942</v>
      </c>
    </row>
    <row r="199" spans="2:3" hidden="1" outlineLevel="1" x14ac:dyDescent="0.45">
      <c r="B199" s="75">
        <v>0.71</v>
      </c>
      <c r="C199" s="70" cm="1">
        <f t="array" aca="1" ref="C199" ca="1">IF(ISNUMBER(_xll.VoseSimPercentile(PeakSales,0.71)),_xll.VoseSimPercentile(PeakSales,0.71),NA())</f>
        <v>1236.9366512701686</v>
      </c>
    </row>
    <row r="200" spans="2:3" hidden="1" outlineLevel="1" x14ac:dyDescent="0.45">
      <c r="B200" s="75">
        <v>0.72</v>
      </c>
      <c r="C200" s="70" cm="1">
        <f t="array" aca="1" ref="C200" ca="1">IF(ISNUMBER(_xll.VoseSimPercentile(PeakSales,0.72)),_xll.VoseSimPercentile(PeakSales,0.72),NA())</f>
        <v>1251.3794676123669</v>
      </c>
    </row>
    <row r="201" spans="2:3" hidden="1" outlineLevel="1" x14ac:dyDescent="0.45">
      <c r="B201" s="75">
        <v>0.73</v>
      </c>
      <c r="C201" s="70" cm="1">
        <f t="array" aca="1" ref="C201" ca="1">IF(ISNUMBER(_xll.VoseSimPercentile(PeakSales,0.73)),_xll.VoseSimPercentile(PeakSales,0.73),NA())</f>
        <v>1269.8043378485888</v>
      </c>
    </row>
    <row r="202" spans="2:3" hidden="1" outlineLevel="1" x14ac:dyDescent="0.45">
      <c r="B202" s="75">
        <v>0.74</v>
      </c>
      <c r="C202" s="70" cm="1">
        <f t="array" aca="1" ref="C202" ca="1">IF(ISNUMBER(_xll.VoseSimPercentile(PeakSales,0.74)),_xll.VoseSimPercentile(PeakSales,0.74),NA())</f>
        <v>1286.9556751617768</v>
      </c>
    </row>
    <row r="203" spans="2:3" hidden="1" outlineLevel="1" x14ac:dyDescent="0.45">
      <c r="B203" s="75">
        <v>0.75</v>
      </c>
      <c r="C203" s="70" cm="1">
        <f t="array" aca="1" ref="C203" ca="1">IF(ISNUMBER(_xll.VoseSimPercentile(PeakSales,0.75)),_xll.VoseSimPercentile(PeakSales,0.75),NA())</f>
        <v>1303.3856839971038</v>
      </c>
    </row>
    <row r="204" spans="2:3" hidden="1" outlineLevel="1" x14ac:dyDescent="0.45">
      <c r="B204" s="75">
        <v>0.76</v>
      </c>
      <c r="C204" s="70" cm="1">
        <f t="array" aca="1" ref="C204" ca="1">IF(ISNUMBER(_xll.VoseSimPercentile(PeakSales,0.76)),_xll.VoseSimPercentile(PeakSales,0.76),NA())</f>
        <v>1323.7842553444425</v>
      </c>
    </row>
    <row r="205" spans="2:3" hidden="1" outlineLevel="1" x14ac:dyDescent="0.45">
      <c r="B205" s="75">
        <v>0.77</v>
      </c>
      <c r="C205" s="70" cm="1">
        <f t="array" aca="1" ref="C205" ca="1">IF(ISNUMBER(_xll.VoseSimPercentile(PeakSales,0.77)),_xll.VoseSimPercentile(PeakSales,0.77),NA())</f>
        <v>1348.2338521200606</v>
      </c>
    </row>
    <row r="206" spans="2:3" hidden="1" outlineLevel="1" x14ac:dyDescent="0.45">
      <c r="B206" s="75">
        <v>0.78</v>
      </c>
      <c r="C206" s="70" cm="1">
        <f t="array" aca="1" ref="C206" ca="1">IF(ISNUMBER(_xll.VoseSimPercentile(PeakSales,0.78)),_xll.VoseSimPercentile(PeakSales,0.78),NA())</f>
        <v>1369.1990510312096</v>
      </c>
    </row>
    <row r="207" spans="2:3" hidden="1" outlineLevel="1" x14ac:dyDescent="0.45">
      <c r="B207" s="75">
        <v>0.79</v>
      </c>
      <c r="C207" s="70" cm="1">
        <f t="array" aca="1" ref="C207" ca="1">IF(ISNUMBER(_xll.VoseSimPercentile(PeakSales,0.79)),_xll.VoseSimPercentile(PeakSales,0.79),NA())</f>
        <v>1393.2779954528087</v>
      </c>
    </row>
    <row r="208" spans="2:3" hidden="1" outlineLevel="1" x14ac:dyDescent="0.45">
      <c r="B208" s="75">
        <v>0.8</v>
      </c>
      <c r="C208" s="70" cm="1">
        <f t="array" aca="1" ref="C208" ca="1">IF(ISNUMBER(_xll.VoseSimPercentile(PeakSales,0.8)),_xll.VoseSimPercentile(PeakSales,0.8),NA())</f>
        <v>1416.6995986962668</v>
      </c>
    </row>
    <row r="209" spans="2:3" hidden="1" outlineLevel="1" x14ac:dyDescent="0.45">
      <c r="B209" s="75">
        <v>0.81</v>
      </c>
      <c r="C209" s="70" cm="1">
        <f t="array" aca="1" ref="C209" ca="1">IF(ISNUMBER(_xll.VoseSimPercentile(PeakSales,0.81)),_xll.VoseSimPercentile(PeakSales,0.81),NA())</f>
        <v>1441.2355407944137</v>
      </c>
    </row>
    <row r="210" spans="2:3" hidden="1" outlineLevel="1" x14ac:dyDescent="0.45">
      <c r="B210" s="75">
        <v>0.82</v>
      </c>
      <c r="C210" s="70" cm="1">
        <f t="array" aca="1" ref="C210" ca="1">IF(ISNUMBER(_xll.VoseSimPercentile(PeakSales,0.82)),_xll.VoseSimPercentile(PeakSales,0.82),NA())</f>
        <v>1461.750033019604</v>
      </c>
    </row>
    <row r="211" spans="2:3" hidden="1" outlineLevel="1" x14ac:dyDescent="0.45">
      <c r="B211" s="75">
        <v>0.83</v>
      </c>
      <c r="C211" s="70" cm="1">
        <f t="array" aca="1" ref="C211" ca="1">IF(ISNUMBER(_xll.VoseSimPercentile(PeakSales,0.83)),_xll.VoseSimPercentile(PeakSales,0.83),NA())</f>
        <v>1487.5088290357262</v>
      </c>
    </row>
    <row r="212" spans="2:3" hidden="1" outlineLevel="1" x14ac:dyDescent="0.45">
      <c r="B212" s="75">
        <v>0.84</v>
      </c>
      <c r="C212" s="70" cm="1">
        <f t="array" aca="1" ref="C212" ca="1">IF(ISNUMBER(_xll.VoseSimPercentile(PeakSales,0.84)),_xll.VoseSimPercentile(PeakSales,0.84),NA())</f>
        <v>1513.3278347419428</v>
      </c>
    </row>
    <row r="213" spans="2:3" hidden="1" outlineLevel="1" x14ac:dyDescent="0.45">
      <c r="B213" s="75">
        <v>0.85</v>
      </c>
      <c r="C213" s="70" cm="1">
        <f t="array" aca="1" ref="C213" ca="1">IF(ISNUMBER(_xll.VoseSimPercentile(PeakSales,0.85)),_xll.VoseSimPercentile(PeakSales,0.85),NA())</f>
        <v>1539.6661504995684</v>
      </c>
    </row>
    <row r="214" spans="2:3" hidden="1" outlineLevel="1" x14ac:dyDescent="0.45">
      <c r="B214" s="75">
        <v>0.86</v>
      </c>
      <c r="C214" s="70" cm="1">
        <f t="array" aca="1" ref="C214" ca="1">IF(ISNUMBER(_xll.VoseSimPercentile(PeakSales,0.86)),_xll.VoseSimPercentile(PeakSales,0.86),NA())</f>
        <v>1568.3061664862528</v>
      </c>
    </row>
    <row r="215" spans="2:3" hidden="1" outlineLevel="1" x14ac:dyDescent="0.45">
      <c r="B215" s="75">
        <v>0.87</v>
      </c>
      <c r="C215" s="70" cm="1">
        <f t="array" aca="1" ref="C215" ca="1">IF(ISNUMBER(_xll.VoseSimPercentile(PeakSales,0.87)),_xll.VoseSimPercentile(PeakSales,0.87),NA())</f>
        <v>1602.4839652411383</v>
      </c>
    </row>
    <row r="216" spans="2:3" hidden="1" outlineLevel="1" x14ac:dyDescent="0.45">
      <c r="B216" s="75">
        <v>0.88</v>
      </c>
      <c r="C216" s="70" cm="1">
        <f t="array" aca="1" ref="C216" ca="1">IF(ISNUMBER(_xll.VoseSimPercentile(PeakSales,0.88)),_xll.VoseSimPercentile(PeakSales,0.88),NA())</f>
        <v>1635.4114121522223</v>
      </c>
    </row>
    <row r="217" spans="2:3" hidden="1" outlineLevel="1" x14ac:dyDescent="0.45">
      <c r="B217" s="75">
        <v>0.89</v>
      </c>
      <c r="C217" s="70" cm="1">
        <f t="array" aca="1" ref="C217" ca="1">IF(ISNUMBER(_xll.VoseSimPercentile(PeakSales,0.89)),_xll.VoseSimPercentile(PeakSales,0.89),NA())</f>
        <v>1673.6023912447699</v>
      </c>
    </row>
    <row r="218" spans="2:3" hidden="1" outlineLevel="1" x14ac:dyDescent="0.45">
      <c r="B218" s="75">
        <v>0.9</v>
      </c>
      <c r="C218" s="70" cm="1">
        <f t="array" aca="1" ref="C218" ca="1">IF(ISNUMBER(_xll.VoseSimPercentile(PeakSales,0.9)),_xll.VoseSimPercentile(PeakSales,0.9),NA())</f>
        <v>1714.4900567300142</v>
      </c>
    </row>
    <row r="219" spans="2:3" hidden="1" outlineLevel="1" x14ac:dyDescent="0.45">
      <c r="B219" s="75">
        <v>0.91</v>
      </c>
      <c r="C219" s="70" cm="1">
        <f t="array" aca="1" ref="C219" ca="1">IF(ISNUMBER(_xll.VoseSimPercentile(PeakSales,0.91)),_xll.VoseSimPercentile(PeakSales,0.91),NA())</f>
        <v>1759.2941180154749</v>
      </c>
    </row>
    <row r="220" spans="2:3" hidden="1" outlineLevel="1" x14ac:dyDescent="0.45">
      <c r="B220" s="75">
        <v>0.92</v>
      </c>
      <c r="C220" s="70" cm="1">
        <f t="array" aca="1" ref="C220" ca="1">IF(ISNUMBER(_xll.VoseSimPercentile(PeakSales,0.92)),_xll.VoseSimPercentile(PeakSales,0.92),NA())</f>
        <v>1807.4210831352852</v>
      </c>
    </row>
    <row r="221" spans="2:3" hidden="1" outlineLevel="1" x14ac:dyDescent="0.45">
      <c r="B221" s="75">
        <v>0.93</v>
      </c>
      <c r="C221" s="70" cm="1">
        <f t="array" aca="1" ref="C221" ca="1">IF(ISNUMBER(_xll.VoseSimPercentile(PeakSales,0.93)),_xll.VoseSimPercentile(PeakSales,0.93),NA())</f>
        <v>1859.5996716609855</v>
      </c>
    </row>
    <row r="222" spans="2:3" hidden="1" outlineLevel="1" x14ac:dyDescent="0.45">
      <c r="B222" s="75">
        <v>0.94</v>
      </c>
      <c r="C222" s="70" cm="1">
        <f t="array" aca="1" ref="C222" ca="1">IF(ISNUMBER(_xll.VoseSimPercentile(PeakSales,0.94)),_xll.VoseSimPercentile(PeakSales,0.94),NA())</f>
        <v>1927.1990050725713</v>
      </c>
    </row>
    <row r="223" spans="2:3" hidden="1" outlineLevel="1" x14ac:dyDescent="0.45">
      <c r="B223" s="75">
        <v>0.95</v>
      </c>
      <c r="C223" s="70" cm="1">
        <f t="array" aca="1" ref="C223" ca="1">IF(ISNUMBER(_xll.VoseSimPercentile(PeakSales,0.95)),_xll.VoseSimPercentile(PeakSales,0.95),NA())</f>
        <v>2023.3391069732195</v>
      </c>
    </row>
    <row r="224" spans="2:3" hidden="1" outlineLevel="1" x14ac:dyDescent="0.45">
      <c r="B224" s="75">
        <v>0.96</v>
      </c>
      <c r="C224" s="70" cm="1">
        <f t="array" aca="1" ref="C224" ca="1">IF(ISNUMBER(_xll.VoseSimPercentile(PeakSales,0.96)),_xll.VoseSimPercentile(PeakSales,0.96),NA())</f>
        <v>2114.1023395202833</v>
      </c>
    </row>
    <row r="225" spans="2:7" hidden="1" outlineLevel="1" x14ac:dyDescent="0.45">
      <c r="B225" s="75">
        <v>0.97</v>
      </c>
      <c r="C225" s="70" cm="1">
        <f t="array" aca="1" ref="C225" ca="1">IF(ISNUMBER(_xll.VoseSimPercentile(PeakSales,0.97)),_xll.VoseSimPercentile(PeakSales,0.97),NA())</f>
        <v>2240.3279352010836</v>
      </c>
    </row>
    <row r="226" spans="2:7" hidden="1" outlineLevel="1" x14ac:dyDescent="0.45">
      <c r="B226" s="75">
        <v>0.98</v>
      </c>
      <c r="C226" s="70" cm="1">
        <f t="array" aca="1" ref="C226" ca="1">IF(ISNUMBER(_xll.VoseSimPercentile(PeakSales,0.98)),_xll.VoseSimPercentile(PeakSales,0.98),NA())</f>
        <v>2421.5650630850168</v>
      </c>
    </row>
    <row r="227" spans="2:7" hidden="1" outlineLevel="1" x14ac:dyDescent="0.45">
      <c r="B227" s="75">
        <v>0.99</v>
      </c>
      <c r="C227" s="70" cm="1">
        <f t="array" aca="1" ref="C227" ca="1">IF(ISNUMBER(_xll.VoseSimPercentile(PeakSales,0.99)),_xll.VoseSimPercentile(PeakSales,0.99),NA())</f>
        <v>2774.6515121362245</v>
      </c>
    </row>
    <row r="228" spans="2:7" hidden="1" outlineLevel="1" x14ac:dyDescent="0.45">
      <c r="B228" s="75">
        <v>0.995</v>
      </c>
      <c r="C228" s="70" cm="1">
        <f t="array" aca="1" ref="C228" ca="1">IF(ISNUMBER(_xll.VoseSimPercentile(PeakSales,0.995)),_xll.VoseSimPercentile(PeakSales,0.995),NA())</f>
        <v>3121.6523974860584</v>
      </c>
    </row>
    <row r="229" spans="2:7" hidden="1" outlineLevel="1" x14ac:dyDescent="0.45"/>
    <row r="230" spans="2:7" ht="18" hidden="1" customHeight="1" outlineLevel="1" x14ac:dyDescent="0.45">
      <c r="B230" s="23" t="s">
        <v>251</v>
      </c>
      <c r="C230" s="24" t="s">
        <v>252</v>
      </c>
      <c r="D230" s="24" t="s">
        <v>253</v>
      </c>
      <c r="E230" s="24" t="s">
        <v>254</v>
      </c>
      <c r="F230" s="24" t="s">
        <v>255</v>
      </c>
      <c r="G230" s="24" t="s">
        <v>256</v>
      </c>
    </row>
    <row r="231" spans="2:7" hidden="1" outlineLevel="1" x14ac:dyDescent="0.45">
      <c r="B231" s="76">
        <v>0</v>
      </c>
      <c r="C231" s="70">
        <f ca="1">IF(ISNUMBER($C$128),$C$128+($C$228-$C$128)*0/24,NA())</f>
        <v>301.01666661044806</v>
      </c>
      <c r="D231" s="77">
        <f t="shared" ref="D231:D255" ca="1" si="5">IF(ISNUMBER(C231),MATCH(C231,$C$128:$C$228,1),NA())</f>
        <v>1</v>
      </c>
      <c r="E231" s="70">
        <f t="shared" ref="E231:E254" ca="1" si="6">IF(ISNUMBER(C231),(C231+C232)/2,NA())</f>
        <v>359.7799110036899</v>
      </c>
      <c r="F231" s="75">
        <f t="shared" ref="F231:F254" ca="1" si="7">IF(ISNUMBER(G232),G232-G231,NA())</f>
        <v>3.0750982661806325E-2</v>
      </c>
      <c r="G231" s="75" cm="1">
        <f t="array" aca="1" ref="G231" ca="1">IF(ISNUMBER(D231),IF(D231&gt;=101,INDEX($B$128:$B$228,101),INDEX($B$128:$B$228,D231)+(C231-INDEX($C$128:$C$228,D231))/MAX(0.000000000001,INDEX($C$128:$C$228,D231+1)-INDEX($C$128:$C$228,D231))*(INDEX($B$128:$B$228,D231+1)-INDEX($B$128:$B$228,D231))),NA())</f>
        <v>5.0000000000000001E-3</v>
      </c>
    </row>
    <row r="232" spans="2:7" hidden="1" outlineLevel="1" x14ac:dyDescent="0.45">
      <c r="B232" s="76">
        <v>1</v>
      </c>
      <c r="C232" s="70">
        <f ca="1">IF(ISNUMBER($C$128),$C$128+($C$228-$C$128)*1/24,NA())</f>
        <v>418.54315539693181</v>
      </c>
      <c r="D232" s="77">
        <f t="shared" ca="1" si="5"/>
        <v>4</v>
      </c>
      <c r="E232" s="70">
        <f t="shared" ca="1" si="6"/>
        <v>477.30639979017371</v>
      </c>
      <c r="F232" s="75">
        <f t="shared" ca="1" si="7"/>
        <v>6.632392744893037E-2</v>
      </c>
      <c r="G232" s="75" cm="1">
        <f t="array" aca="1" ref="G232" ca="1">IF(ISNUMBER(D232),IF(D232&gt;=101,INDEX($B$128:$B$228,101),INDEX($B$128:$B$228,D232)+(C232-INDEX($C$128:$C$228,D232))/MAX(0.000000000001,INDEX($C$128:$C$228,D232+1)-INDEX($C$128:$C$228,D232))*(INDEX($B$128:$B$228,D232+1)-INDEX($B$128:$B$228,D232))),NA())</f>
        <v>3.5750982661806326E-2</v>
      </c>
    </row>
    <row r="233" spans="2:7" hidden="1" outlineLevel="1" x14ac:dyDescent="0.45">
      <c r="B233" s="76">
        <v>2</v>
      </c>
      <c r="C233" s="70">
        <f ca="1">IF(ISNUMBER($C$128),$C$128+($C$228-$C$128)*2/24,NA())</f>
        <v>536.06964418341556</v>
      </c>
      <c r="D233" s="77">
        <f t="shared" ca="1" si="5"/>
        <v>11</v>
      </c>
      <c r="E233" s="70">
        <f t="shared" ca="1" si="6"/>
        <v>594.83288857665752</v>
      </c>
      <c r="F233" s="75">
        <f t="shared" ca="1" si="7"/>
        <v>0.10033581270571776</v>
      </c>
      <c r="G233" s="75" cm="1">
        <f t="array" aca="1" ref="G233" ca="1">IF(ISNUMBER(D233),IF(D233&gt;=101,INDEX($B$128:$B$228,101),INDEX($B$128:$B$228,D233)+(C233-INDEX($C$128:$C$228,D233))/MAX(0.000000000001,INDEX($C$128:$C$228,D233+1)-INDEX($C$128:$C$228,D233))*(INDEX($B$128:$B$228,D233+1)-INDEX($B$128:$B$228,D233))),NA())</f>
        <v>0.10207491011073669</v>
      </c>
    </row>
    <row r="234" spans="2:7" hidden="1" outlineLevel="1" x14ac:dyDescent="0.45">
      <c r="B234" s="76">
        <v>3</v>
      </c>
      <c r="C234" s="70">
        <f ca="1">IF(ISNUMBER($C$128),$C$128+($C$228-$C$128)*3/24,NA())</f>
        <v>653.59613296989937</v>
      </c>
      <c r="D234" s="77">
        <f t="shared" ca="1" si="5"/>
        <v>21</v>
      </c>
      <c r="E234" s="70">
        <f t="shared" ca="1" si="6"/>
        <v>712.35937736314122</v>
      </c>
      <c r="F234" s="75">
        <f t="shared" ca="1" si="7"/>
        <v>0.11411224886035426</v>
      </c>
      <c r="G234" s="75" cm="1">
        <f t="array" aca="1" ref="G234" ca="1">IF(ISNUMBER(D234),IF(D234&gt;=101,INDEX($B$128:$B$228,101),INDEX($B$128:$B$228,D234)+(C234-INDEX($C$128:$C$228,D234))/MAX(0.000000000001,INDEX($C$128:$C$228,D234+1)-INDEX($C$128:$C$228,D234))*(INDEX($B$128:$B$228,D234+1)-INDEX($B$128:$B$228,D234))),NA())</f>
        <v>0.20241072281645445</v>
      </c>
    </row>
    <row r="235" spans="2:7" hidden="1" outlineLevel="1" x14ac:dyDescent="0.45">
      <c r="B235" s="76">
        <v>4</v>
      </c>
      <c r="C235" s="70">
        <f ca="1">IF(ISNUMBER($C$128),$C$128+($C$228-$C$128)*4/24,NA())</f>
        <v>771.12262175638307</v>
      </c>
      <c r="D235" s="77">
        <f t="shared" ca="1" si="5"/>
        <v>32</v>
      </c>
      <c r="E235" s="70">
        <f t="shared" ca="1" si="6"/>
        <v>829.88586614962492</v>
      </c>
      <c r="F235" s="75">
        <f t="shared" ca="1" si="7"/>
        <v>0.11906600735271877</v>
      </c>
      <c r="G235" s="75" cm="1">
        <f t="array" aca="1" ref="G235" ca="1">IF(ISNUMBER(D235),IF(D235&gt;=101,INDEX($B$128:$B$228,101),INDEX($B$128:$B$228,D235)+(C235-INDEX($C$128:$C$228,D235))/MAX(0.000000000001,INDEX($C$128:$C$228,D235+1)-INDEX($C$128:$C$228,D235))*(INDEX($B$128:$B$228,D235+1)-INDEX($B$128:$B$228,D235))),NA())</f>
        <v>0.31652297167680871</v>
      </c>
    </row>
    <row r="236" spans="2:7" hidden="1" outlineLevel="1" x14ac:dyDescent="0.45">
      <c r="B236" s="76">
        <v>5</v>
      </c>
      <c r="C236" s="70">
        <f ca="1">IF(ISNUMBER($C$128),$C$128+($C$228-$C$128)*5/24,NA())</f>
        <v>888.64911054286688</v>
      </c>
      <c r="D236" s="77">
        <f t="shared" ca="1" si="5"/>
        <v>44</v>
      </c>
      <c r="E236" s="70">
        <f t="shared" ca="1" si="6"/>
        <v>947.41235493610884</v>
      </c>
      <c r="F236" s="75">
        <f t="shared" ca="1" si="7"/>
        <v>0.10673855164650775</v>
      </c>
      <c r="G236" s="75" cm="1">
        <f t="array" aca="1" ref="G236" ca="1">IF(ISNUMBER(D236),IF(D236&gt;=101,INDEX($B$128:$B$228,101),INDEX($B$128:$B$228,D236)+(C236-INDEX($C$128:$C$228,D236))/MAX(0.000000000001,INDEX($C$128:$C$228,D236+1)-INDEX($C$128:$C$228,D236))*(INDEX($B$128:$B$228,D236+1)-INDEX($B$128:$B$228,D236))),NA())</f>
        <v>0.43558897902952748</v>
      </c>
    </row>
    <row r="237" spans="2:7" hidden="1" outlineLevel="1" x14ac:dyDescent="0.45">
      <c r="B237" s="76">
        <v>6</v>
      </c>
      <c r="C237" s="70">
        <f ca="1">IF(ISNUMBER($C$128),$C$128+($C$228-$C$128)*6/24,NA())</f>
        <v>1006.1755993293507</v>
      </c>
      <c r="D237" s="77">
        <f t="shared" ca="1" si="5"/>
        <v>55</v>
      </c>
      <c r="E237" s="70">
        <f t="shared" ca="1" si="6"/>
        <v>1064.9388437225925</v>
      </c>
      <c r="F237" s="75">
        <f t="shared" ca="1" si="7"/>
        <v>9.0421952422039431E-2</v>
      </c>
      <c r="G237" s="75" cm="1">
        <f t="array" aca="1" ref="G237" ca="1">IF(ISNUMBER(D237),IF(D237&gt;=101,INDEX($B$128:$B$228,101),INDEX($B$128:$B$228,D237)+(C237-INDEX($C$128:$C$228,D237))/MAX(0.000000000001,INDEX($C$128:$C$228,D237+1)-INDEX($C$128:$C$228,D237))*(INDEX($B$128:$B$228,D237+1)-INDEX($B$128:$B$228,D237))),NA())</f>
        <v>0.54232753067603523</v>
      </c>
    </row>
    <row r="238" spans="2:7" hidden="1" outlineLevel="1" x14ac:dyDescent="0.45">
      <c r="B238" s="76">
        <v>7</v>
      </c>
      <c r="C238" s="70">
        <f ca="1">IF(ISNUMBER($C$128),$C$128+($C$228-$C$128)*7/24,NA())</f>
        <v>1123.7020881158344</v>
      </c>
      <c r="D238" s="77">
        <f t="shared" ca="1" si="5"/>
        <v>64</v>
      </c>
      <c r="E238" s="70">
        <f t="shared" ca="1" si="6"/>
        <v>1182.4653325090762</v>
      </c>
      <c r="F238" s="75">
        <f t="shared" ca="1" si="7"/>
        <v>8.0222184982762013E-2</v>
      </c>
      <c r="G238" s="75" cm="1">
        <f t="array" aca="1" ref="G238" ca="1">IF(ISNUMBER(D238),IF(D238&gt;=101,INDEX($B$128:$B$228,101),INDEX($B$128:$B$228,D238)+(C238-INDEX($C$128:$C$228,D238))/MAX(0.000000000001,INDEX($C$128:$C$228,D238+1)-INDEX($C$128:$C$228,D238))*(INDEX($B$128:$B$228,D238+1)-INDEX($B$128:$B$228,D238))),NA())</f>
        <v>0.63274948309807466</v>
      </c>
    </row>
    <row r="239" spans="2:7" hidden="1" outlineLevel="1" x14ac:dyDescent="0.45">
      <c r="B239" s="76">
        <v>8</v>
      </c>
      <c r="C239" s="70">
        <f ca="1">IF(ISNUMBER($C$128),$C$128+($C$228-$C$128)*8/24,NA())</f>
        <v>1241.2285769023183</v>
      </c>
      <c r="D239" s="77">
        <f t="shared" ca="1" si="5"/>
        <v>72</v>
      </c>
      <c r="E239" s="70">
        <f t="shared" ca="1" si="6"/>
        <v>1299.9918212955602</v>
      </c>
      <c r="F239" s="75">
        <f t="shared" ca="1" si="7"/>
        <v>6.2046750114636007E-2</v>
      </c>
      <c r="G239" s="75" cm="1">
        <f t="array" aca="1" ref="G239" ca="1">IF(ISNUMBER(D239),IF(D239&gt;=101,INDEX($B$128:$B$228,101),INDEX($B$128:$B$228,D239)+(C239-INDEX($C$128:$C$228,D239))/MAX(0.000000000001,INDEX($C$128:$C$228,D239+1)-INDEX($C$128:$C$228,D239))*(INDEX($B$128:$B$228,D239+1)-INDEX($B$128:$B$228,D239))),NA())</f>
        <v>0.71297166808083667</v>
      </c>
    </row>
    <row r="240" spans="2:7" hidden="1" outlineLevel="1" x14ac:dyDescent="0.45">
      <c r="B240" s="76">
        <v>9</v>
      </c>
      <c r="C240" s="70">
        <f ca="1">IF(ISNUMBER($C$128),$C$128+($C$228-$C$128)*9/24,NA())</f>
        <v>1358.755065688802</v>
      </c>
      <c r="D240" s="77">
        <f t="shared" ca="1" si="5"/>
        <v>78</v>
      </c>
      <c r="E240" s="70">
        <f t="shared" ca="1" si="6"/>
        <v>1417.5183100820439</v>
      </c>
      <c r="F240" s="75">
        <f t="shared" ca="1" si="7"/>
        <v>5.0622964051813435E-2</v>
      </c>
      <c r="G240" s="75" cm="1">
        <f t="array" aca="1" ref="G240" ca="1">IF(ISNUMBER(D240),IF(D240&gt;=101,INDEX($B$128:$B$228,101),INDEX($B$128:$B$228,D240)+(C240-INDEX($C$128:$C$228,D240))/MAX(0.000000000001,INDEX($C$128:$C$228,D240+1)-INDEX($C$128:$C$228,D240))*(INDEX($B$128:$B$228,D240+1)-INDEX($B$128:$B$228,D240))),NA())</f>
        <v>0.77501841819547268</v>
      </c>
    </row>
    <row r="241" spans="2:7" hidden="1" outlineLevel="1" x14ac:dyDescent="0.45">
      <c r="B241" s="76">
        <v>10</v>
      </c>
      <c r="C241" s="70">
        <f ca="1">IF(ISNUMBER($C$128),$C$128+($C$228-$C$128)*10/24,NA())</f>
        <v>1476.2815544752857</v>
      </c>
      <c r="D241" s="77">
        <f t="shared" ca="1" si="5"/>
        <v>83</v>
      </c>
      <c r="E241" s="70">
        <f t="shared" ca="1" si="6"/>
        <v>1535.0447988685276</v>
      </c>
      <c r="F241" s="75">
        <f t="shared" ca="1" si="7"/>
        <v>4.1820150591153737E-2</v>
      </c>
      <c r="G241" s="75" cm="1">
        <f t="array" aca="1" ref="G241" ca="1">IF(ISNUMBER(D241),IF(D241&gt;=101,INDEX($B$128:$B$228,101),INDEX($B$128:$B$228,D241)+(C241-INDEX($C$128:$C$228,D241))/MAX(0.000000000001,INDEX($C$128:$C$228,D241+1)-INDEX($C$128:$C$228,D241))*(INDEX($B$128:$B$228,D241+1)-INDEX($B$128:$B$228,D241))),NA())</f>
        <v>0.82564138224728612</v>
      </c>
    </row>
    <row r="242" spans="2:7" hidden="1" outlineLevel="1" x14ac:dyDescent="0.45">
      <c r="B242" s="76">
        <v>11</v>
      </c>
      <c r="C242" s="70">
        <f ca="1">IF(ISNUMBER($C$128),$C$128+($C$228-$C$128)*11/24,NA())</f>
        <v>1593.8080432617694</v>
      </c>
      <c r="D242" s="77">
        <f t="shared" ca="1" si="5"/>
        <v>87</v>
      </c>
      <c r="E242" s="70">
        <f t="shared" ca="1" si="6"/>
        <v>1652.5712876550115</v>
      </c>
      <c r="F242" s="75">
        <f t="shared" ca="1" si="7"/>
        <v>3.1766712490729265E-2</v>
      </c>
      <c r="G242" s="75" cm="1">
        <f t="array" aca="1" ref="G242" ca="1">IF(ISNUMBER(D242),IF(D242&gt;=101,INDEX($B$128:$B$228,101),INDEX($B$128:$B$228,D242)+(C242-INDEX($C$128:$C$228,D242))/MAX(0.000000000001,INDEX($C$128:$C$228,D242+1)-INDEX($C$128:$C$228,D242))*(INDEX($B$128:$B$228,D242+1)-INDEX($B$128:$B$228,D242))),NA())</f>
        <v>0.86746153283843985</v>
      </c>
    </row>
    <row r="243" spans="2:7" hidden="1" outlineLevel="1" x14ac:dyDescent="0.45">
      <c r="B243" s="76">
        <v>12</v>
      </c>
      <c r="C243" s="70">
        <f ca="1">IF(ISNUMBER($C$128),$C$128+($C$228-$C$128)*12/24,NA())</f>
        <v>1711.3345320482533</v>
      </c>
      <c r="D243" s="77">
        <f t="shared" ca="1" si="5"/>
        <v>90</v>
      </c>
      <c r="E243" s="70">
        <f t="shared" ca="1" si="6"/>
        <v>1770.0977764414952</v>
      </c>
      <c r="F243" s="75">
        <f t="shared" ca="1" si="7"/>
        <v>2.4880707845923444E-2</v>
      </c>
      <c r="G243" s="75" cm="1">
        <f t="array" aca="1" ref="G243" ca="1">IF(ISNUMBER(D243),IF(D243&gt;=101,INDEX($B$128:$B$228,101),INDEX($B$128:$B$228,D243)+(C243-INDEX($C$128:$C$228,D243))/MAX(0.000000000001,INDEX($C$128:$C$228,D243+1)-INDEX($C$128:$C$228,D243))*(INDEX($B$128:$B$228,D243+1)-INDEX($B$128:$B$228,D243))),NA())</f>
        <v>0.89922824532916912</v>
      </c>
    </row>
    <row r="244" spans="2:7" hidden="1" outlineLevel="1" x14ac:dyDescent="0.45">
      <c r="B244" s="76">
        <v>13</v>
      </c>
      <c r="C244" s="70">
        <f ca="1">IF(ISNUMBER($C$128),$C$128+($C$228-$C$128)*13/24,NA())</f>
        <v>1828.8610208347372</v>
      </c>
      <c r="D244" s="77">
        <f t="shared" ca="1" si="5"/>
        <v>93</v>
      </c>
      <c r="E244" s="70">
        <f t="shared" ca="1" si="6"/>
        <v>1887.6242652279789</v>
      </c>
      <c r="F244" s="75">
        <f t="shared" ca="1" si="7"/>
        <v>1.788693659091567E-2</v>
      </c>
      <c r="G244" s="75" cm="1">
        <f t="array" aca="1" ref="G244" ca="1">IF(ISNUMBER(D244),IF(D244&gt;=101,INDEX($B$128:$B$228,101),INDEX($B$128:$B$228,D244)+(C244-INDEX($C$128:$C$228,D244))/MAX(0.000000000001,INDEX($C$128:$C$228,D244+1)-INDEX($C$128:$C$228,D244))*(INDEX($B$128:$B$228,D244+1)-INDEX($B$128:$B$228,D244))),NA())</f>
        <v>0.92410895317509256</v>
      </c>
    </row>
    <row r="245" spans="2:7" hidden="1" outlineLevel="1" x14ac:dyDescent="0.45">
      <c r="B245" s="76">
        <v>14</v>
      </c>
      <c r="C245" s="70">
        <f ca="1">IF(ISNUMBER($C$128),$C$128+($C$228-$C$128)*14/24,NA())</f>
        <v>1946.3875096212207</v>
      </c>
      <c r="D245" s="77">
        <f t="shared" ca="1" si="5"/>
        <v>95</v>
      </c>
      <c r="E245" s="70">
        <f t="shared" ca="1" si="6"/>
        <v>2005.1507540144626</v>
      </c>
      <c r="F245" s="75">
        <f t="shared" ca="1" si="7"/>
        <v>1.2474520806185274E-2</v>
      </c>
      <c r="G245" s="75" cm="1">
        <f t="array" aca="1" ref="G245" ca="1">IF(ISNUMBER(D245),IF(D245&gt;=101,INDEX($B$128:$B$228,101),INDEX($B$128:$B$228,D245)+(C245-INDEX($C$128:$C$228,D245))/MAX(0.000000000001,INDEX($C$128:$C$228,D245+1)-INDEX($C$128:$C$228,D245))*(INDEX($B$128:$B$228,D245+1)-INDEX($B$128:$B$228,D245))),NA())</f>
        <v>0.94199588976600823</v>
      </c>
    </row>
    <row r="246" spans="2:7" hidden="1" outlineLevel="1" x14ac:dyDescent="0.45">
      <c r="B246" s="76">
        <v>15</v>
      </c>
      <c r="C246" s="70">
        <f ca="1">IF(ISNUMBER($C$128),$C$128+($C$228-$C$128)*15/24,NA())</f>
        <v>2063.9139984077046</v>
      </c>
      <c r="D246" s="77">
        <f t="shared" ca="1" si="5"/>
        <v>96</v>
      </c>
      <c r="E246" s="70">
        <f t="shared" ca="1" si="6"/>
        <v>2122.6772428009463</v>
      </c>
      <c r="F246" s="75">
        <f t="shared" ca="1" si="7"/>
        <v>1.0864335309631379E-2</v>
      </c>
      <c r="G246" s="75" cm="1">
        <f t="array" aca="1" ref="G246" ca="1">IF(ISNUMBER(D246),IF(D246&gt;=101,INDEX($B$128:$B$228,101),INDEX($B$128:$B$228,D246)+(C246-INDEX($C$128:$C$228,D246))/MAX(0.000000000001,INDEX($C$128:$C$228,D246+1)-INDEX($C$128:$C$228,D246))*(INDEX($B$128:$B$228,D246+1)-INDEX($B$128:$B$228,D246))),NA())</f>
        <v>0.95447041057219351</v>
      </c>
    </row>
    <row r="247" spans="2:7" hidden="1" outlineLevel="1" x14ac:dyDescent="0.45">
      <c r="B247" s="76">
        <v>16</v>
      </c>
      <c r="C247" s="70">
        <f ca="1">IF(ISNUMBER($C$128),$C$128+($C$228-$C$128)*16/24,NA())</f>
        <v>2181.4404871941883</v>
      </c>
      <c r="D247" s="77">
        <f t="shared" ca="1" si="5"/>
        <v>97</v>
      </c>
      <c r="E247" s="70">
        <f t="shared" ca="1" si="6"/>
        <v>2240.2037315874304</v>
      </c>
      <c r="F247" s="75">
        <f t="shared" ca="1" si="7"/>
        <v>7.9007413201760412E-3</v>
      </c>
      <c r="G247" s="75" cm="1">
        <f t="array" aca="1" ref="G247" ca="1">IF(ISNUMBER(D247),IF(D247&gt;=101,INDEX($B$128:$B$228,101),INDEX($B$128:$B$228,D247)+(C247-INDEX($C$128:$C$228,D247))/MAX(0.000000000001,INDEX($C$128:$C$228,D247+1)-INDEX($C$128:$C$228,D247))*(INDEX($B$128:$B$228,D247+1)-INDEX($B$128:$B$228,D247))),NA())</f>
        <v>0.96533474588182488</v>
      </c>
    </row>
    <row r="248" spans="2:7" hidden="1" outlineLevel="1" x14ac:dyDescent="0.45">
      <c r="B248" s="76">
        <v>17</v>
      </c>
      <c r="C248" s="70">
        <f ca="1">IF(ISNUMBER($C$128),$C$128+($C$228-$C$128)*17/24,NA())</f>
        <v>2298.966975980672</v>
      </c>
      <c r="D248" s="77">
        <f t="shared" ca="1" si="5"/>
        <v>98</v>
      </c>
      <c r="E248" s="70">
        <f t="shared" ca="1" si="6"/>
        <v>2357.7302203739141</v>
      </c>
      <c r="F248" s="75">
        <f t="shared" ca="1" si="7"/>
        <v>6.4846806037309745E-3</v>
      </c>
      <c r="G248" s="75" cm="1">
        <f t="array" aca="1" ref="G248" ca="1">IF(ISNUMBER(D248),IF(D248&gt;=101,INDEX($B$128:$B$228,101),INDEX($B$128:$B$228,D248)+(C248-INDEX($C$128:$C$228,D248))/MAX(0.000000000001,INDEX($C$128:$C$228,D248+1)-INDEX($C$128:$C$228,D248))*(INDEX($B$128:$B$228,D248+1)-INDEX($B$128:$B$228,D248))),NA())</f>
        <v>0.97323548720200093</v>
      </c>
    </row>
    <row r="249" spans="2:7" hidden="1" outlineLevel="1" x14ac:dyDescent="0.45">
      <c r="B249" s="76">
        <v>18</v>
      </c>
      <c r="C249" s="70">
        <f ca="1">IF(ISNUMBER($C$128),$C$128+($C$228-$C$128)*18/24,NA())</f>
        <v>2416.4934647671562</v>
      </c>
      <c r="D249" s="77">
        <f t="shared" ca="1" si="5"/>
        <v>98</v>
      </c>
      <c r="E249" s="70">
        <f t="shared" ca="1" si="6"/>
        <v>2475.2567091603978</v>
      </c>
      <c r="F249" s="75">
        <f t="shared" ca="1" si="7"/>
        <v>3.4647431635449477E-3</v>
      </c>
      <c r="G249" s="75" cm="1">
        <f t="array" aca="1" ref="G249" ca="1">IF(ISNUMBER(D249),IF(D249&gt;=101,INDEX($B$128:$B$228,101),INDEX($B$128:$B$228,D249)+(C249-INDEX($C$128:$C$228,D249))/MAX(0.000000000001,INDEX($C$128:$C$228,D249+1)-INDEX($C$128:$C$228,D249))*(INDEX($B$128:$B$228,D249+1)-INDEX($B$128:$B$228,D249))),NA())</f>
        <v>0.9797201678057319</v>
      </c>
    </row>
    <row r="250" spans="2:7" hidden="1" outlineLevel="1" x14ac:dyDescent="0.45">
      <c r="B250" s="76">
        <v>19</v>
      </c>
      <c r="C250" s="70">
        <f ca="1">IF(ISNUMBER($C$128),$C$128+($C$228-$C$128)*19/24,NA())</f>
        <v>2534.0199535536394</v>
      </c>
      <c r="D250" s="77">
        <f t="shared" ca="1" si="5"/>
        <v>99</v>
      </c>
      <c r="E250" s="70">
        <f t="shared" ca="1" si="6"/>
        <v>2592.7831979468815</v>
      </c>
      <c r="F250" s="75">
        <f t="shared" ca="1" si="7"/>
        <v>3.3285471334937311E-3</v>
      </c>
      <c r="G250" s="75" cm="1">
        <f t="array" aca="1" ref="G250" ca="1">IF(ISNUMBER(D250),IF(D250&gt;=101,INDEX($B$128:$B$228,101),INDEX($B$128:$B$228,D250)+(C250-INDEX($C$128:$C$228,D250))/MAX(0.000000000001,INDEX($C$128:$C$228,D250+1)-INDEX($C$128:$C$228,D250))*(INDEX($B$128:$B$228,D250+1)-INDEX($B$128:$B$228,D250))),NA())</f>
        <v>0.98318491096927685</v>
      </c>
    </row>
    <row r="251" spans="2:7" hidden="1" outlineLevel="1" x14ac:dyDescent="0.45">
      <c r="B251" s="76">
        <v>20</v>
      </c>
      <c r="C251" s="70">
        <f ca="1">IF(ISNUMBER($C$128),$C$128+($C$228-$C$128)*20/24,NA())</f>
        <v>2651.5464423401236</v>
      </c>
      <c r="D251" s="77">
        <f t="shared" ca="1" si="5"/>
        <v>99</v>
      </c>
      <c r="E251" s="70">
        <f t="shared" ca="1" si="6"/>
        <v>2710.3096867333657</v>
      </c>
      <c r="F251" s="75">
        <f t="shared" ca="1" si="7"/>
        <v>3.3285471334936201E-3</v>
      </c>
      <c r="G251" s="75" cm="1">
        <f t="array" aca="1" ref="G251" ca="1">IF(ISNUMBER(D251),IF(D251&gt;=101,INDEX($B$128:$B$228,101),INDEX($B$128:$B$228,D251)+(C251-INDEX($C$128:$C$228,D251))/MAX(0.000000000001,INDEX($C$128:$C$228,D251+1)-INDEX($C$128:$C$228,D251))*(INDEX($B$128:$B$228,D251+1)-INDEX($B$128:$B$228,D251))),NA())</f>
        <v>0.98651345810277058</v>
      </c>
    </row>
    <row r="252" spans="2:7" hidden="1" outlineLevel="1" x14ac:dyDescent="0.45">
      <c r="B252" s="76">
        <v>21</v>
      </c>
      <c r="C252" s="70">
        <f ca="1">IF(ISNUMBER($C$128),$C$128+($C$228-$C$128)*21/24,NA())</f>
        <v>2769.0729311266077</v>
      </c>
      <c r="D252" s="77">
        <f t="shared" ca="1" si="5"/>
        <v>99</v>
      </c>
      <c r="E252" s="70">
        <f t="shared" ca="1" si="6"/>
        <v>2827.8361755198493</v>
      </c>
      <c r="F252" s="75">
        <f t="shared" ca="1" si="7"/>
        <v>1.7710728926864094E-3</v>
      </c>
      <c r="G252" s="75" cm="1">
        <f t="array" aca="1" ref="G252" ca="1">IF(ISNUMBER(D252),IF(D252&gt;=101,INDEX($B$128:$B$228,101),INDEX($B$128:$B$228,D252)+(C252-INDEX($C$128:$C$228,D252))/MAX(0.000000000001,INDEX($C$128:$C$228,D252+1)-INDEX($C$128:$C$228,D252))*(INDEX($B$128:$B$228,D252+1)-INDEX($B$128:$B$228,D252))),NA())</f>
        <v>0.9898420052362642</v>
      </c>
    </row>
    <row r="253" spans="2:7" hidden="1" outlineLevel="1" x14ac:dyDescent="0.45">
      <c r="B253" s="76">
        <v>22</v>
      </c>
      <c r="C253" s="70">
        <f ca="1">IF(ISNUMBER($C$128),$C$128+($C$228-$C$128)*22/24,NA())</f>
        <v>2886.599419913091</v>
      </c>
      <c r="D253" s="77">
        <f t="shared" ca="1" si="5"/>
        <v>100</v>
      </c>
      <c r="E253" s="70">
        <f t="shared" ca="1" si="6"/>
        <v>2945.362664306333</v>
      </c>
      <c r="F253" s="75">
        <f t="shared" ca="1" si="7"/>
        <v>1.6934609355246932E-3</v>
      </c>
      <c r="G253" s="75" cm="1">
        <f t="array" aca="1" ref="G253" ca="1">IF(ISNUMBER(D253),IF(D253&gt;=101,INDEX($B$128:$B$228,101),INDEX($B$128:$B$228,D253)+(C253-INDEX($C$128:$C$228,D253))/MAX(0.000000000001,INDEX($C$128:$C$228,D253+1)-INDEX($C$128:$C$228,D253))*(INDEX($B$128:$B$228,D253+1)-INDEX($B$128:$B$228,D253))),NA())</f>
        <v>0.99161307812895061</v>
      </c>
    </row>
    <row r="254" spans="2:7" hidden="1" outlineLevel="1" x14ac:dyDescent="0.45">
      <c r="B254" s="76">
        <v>23</v>
      </c>
      <c r="C254" s="70">
        <f ca="1">IF(ISNUMBER($C$128),$C$128+($C$228-$C$128)*23/24,NA())</f>
        <v>3004.1259086995751</v>
      </c>
      <c r="D254" s="77">
        <f t="shared" ca="1" si="5"/>
        <v>100</v>
      </c>
      <c r="E254" s="70">
        <f t="shared" ca="1" si="6"/>
        <v>3062.8891530928167</v>
      </c>
      <c r="F254" s="75">
        <f t="shared" ca="1" si="7"/>
        <v>1.6934609355246932E-3</v>
      </c>
      <c r="G254" s="75" cm="1">
        <f t="array" aca="1" ref="G254" ca="1">IF(ISNUMBER(D254),IF(D254&gt;=101,INDEX($B$128:$B$228,101),INDEX($B$128:$B$228,D254)+(C254-INDEX($C$128:$C$228,D254))/MAX(0.000000000001,INDEX($C$128:$C$228,D254+1)-INDEX($C$128:$C$228,D254))*(INDEX($B$128:$B$228,D254+1)-INDEX($B$128:$B$228,D254))),NA())</f>
        <v>0.9933065390644753</v>
      </c>
    </row>
    <row r="255" spans="2:7" hidden="1" outlineLevel="1" x14ac:dyDescent="0.45">
      <c r="B255" s="76">
        <v>24</v>
      </c>
      <c r="C255" s="70">
        <f ca="1">IF(ISNUMBER($C$128),$C$128+($C$228-$C$128)*24/24,NA())</f>
        <v>3121.6523974860584</v>
      </c>
      <c r="D255" s="77">
        <f t="shared" ca="1" si="5"/>
        <v>101</v>
      </c>
      <c r="G255" s="75" cm="1">
        <f t="array" aca="1" ref="G255" ca="1">IF(ISNUMBER(D255),IF(D255&gt;=101,INDEX($B$128:$B$228,101),INDEX($B$128:$B$228,D255)+(C255-INDEX($C$128:$C$228,D255))/MAX(0.000000000001,INDEX($C$128:$C$228,D255+1)-INDEX($C$128:$C$228,D255))*(INDEX($B$128:$B$228,D255+1)-INDEX($B$128:$B$228,D255))),NA())</f>
        <v>0.995</v>
      </c>
    </row>
    <row r="256" spans="2:7" hidden="1" outlineLevel="1" x14ac:dyDescent="0.45"/>
    <row r="257" spans="2:7" ht="28.05" hidden="1" customHeight="1" outlineLevel="1" x14ac:dyDescent="0.45">
      <c r="B257" s="23" t="s">
        <v>257</v>
      </c>
      <c r="C257" s="24" t="s">
        <v>215</v>
      </c>
      <c r="D257" s="24" t="s">
        <v>216</v>
      </c>
      <c r="E257" s="24" t="s">
        <v>217</v>
      </c>
      <c r="F257" s="24" t="s">
        <v>108</v>
      </c>
      <c r="G257" s="24" t="s">
        <v>65</v>
      </c>
    </row>
    <row r="258" spans="2:7" hidden="1" outlineLevel="1" x14ac:dyDescent="0.45">
      <c r="B258" s="73">
        <f>Forecast!F7</f>
        <v>2028</v>
      </c>
      <c r="C258" s="70" cm="1">
        <f t="array" aca="1" ref="C258" ca="1">IF(ISNUMBER(_xll.VoseSimPercentile(Forecast!F24,0.1)),_xll.VoseSimPercentile(Forecast!F24,0.1),NA())</f>
        <v>83.784373442797659</v>
      </c>
      <c r="D258" s="70" cm="1">
        <f t="array" aca="1" ref="D258" ca="1">IF(ISNUMBER(_xll.VoseSimPercentile(Forecast!F24,0.5)),_xll.VoseSimPercentile(Forecast!F24,0.5),NA())</f>
        <v>172.42999968737763</v>
      </c>
      <c r="E258" s="70" cm="1">
        <f t="array" aca="1" ref="E258" ca="1">IF(ISNUMBER(_xll.VoseSimPercentile(Forecast!F24,0.9)),_xll.VoseSimPercentile(Forecast!F24,0.9),NA())</f>
        <v>352.42152813770696</v>
      </c>
      <c r="F258" s="70" cm="1">
        <f t="array" aca="1" ref="F258" ca="1">IF(ISNUMBER(_xll.VoseSimMean(Forecast!F24)),_xll.VoseSimMean(Forecast!F24),NA())</f>
        <v>201.75289317092907</v>
      </c>
      <c r="G258" s="70">
        <f>Forecast!F31</f>
        <v>168.58333333333331</v>
      </c>
    </row>
    <row r="259" spans="2:7" hidden="1" outlineLevel="1" x14ac:dyDescent="0.45">
      <c r="B259" s="73">
        <f>Forecast!G7</f>
        <v>2029</v>
      </c>
      <c r="C259" s="70" cm="1">
        <f t="array" aca="1" ref="C259" ca="1">IF(ISNUMBER(_xll.VoseSimPercentile(Forecast!G24,0.1)),_xll.VoseSimPercentile(Forecast!G24,0.1),NA())</f>
        <v>245.15253568353228</v>
      </c>
      <c r="D259" s="70" cm="1">
        <f t="array" aca="1" ref="D259" ca="1">IF(ISNUMBER(_xll.VoseSimPercentile(Forecast!G24,0.5)),_xll.VoseSimPercentile(Forecast!G24,0.5),NA())</f>
        <v>438.98023974443879</v>
      </c>
      <c r="E259" s="70" cm="1">
        <f t="array" aca="1" ref="E259" ca="1">IF(ISNUMBER(_xll.VoseSimPercentile(Forecast!G24,0.9)),_xll.VoseSimPercentile(Forecast!G24,0.9),NA())</f>
        <v>779.4652067230777</v>
      </c>
      <c r="F259" s="70" cm="1">
        <f t="array" aca="1" ref="F259" ca="1">IF(ISNUMBER(_xll.VoseSimMean(Forecast!G24)),_xll.VoseSimMean(Forecast!G24),NA())</f>
        <v>487.53530680339537</v>
      </c>
      <c r="G259" s="70">
        <f>Forecast!G31</f>
        <v>429.23250100470028</v>
      </c>
    </row>
    <row r="260" spans="2:7" hidden="1" outlineLevel="1" x14ac:dyDescent="0.45">
      <c r="B260" s="73">
        <f>Forecast!H7</f>
        <v>2030</v>
      </c>
      <c r="C260" s="70" cm="1">
        <f t="array" aca="1" ref="C260" ca="1">IF(ISNUMBER(_xll.VoseSimPercentile(Forecast!H24,0.1)),_xll.VoseSimPercentile(Forecast!H24,0.1),NA())</f>
        <v>372.56297227842038</v>
      </c>
      <c r="D260" s="70" cm="1">
        <f t="array" aca="1" ref="D260" ca="1">IF(ISNUMBER(_xll.VoseSimPercentile(Forecast!H24,0.5)),_xll.VoseSimPercentile(Forecast!H24,0.5),NA())</f>
        <v>664.26820411525614</v>
      </c>
      <c r="E260" s="70" cm="1">
        <f t="array" aca="1" ref="E260" ca="1">IF(ISNUMBER(_xll.VoseSimPercentile(Forecast!H24,0.9)),_xll.VoseSimPercentile(Forecast!H24,0.9),NA())</f>
        <v>1165.0463849963471</v>
      </c>
      <c r="F260" s="70" cm="1">
        <f t="array" aca="1" ref="F260" ca="1">IF(ISNUMBER(_xll.VoseSimMean(Forecast!H24)),_xll.VoseSimMean(Forecast!H24),NA())</f>
        <v>730.34288796989256</v>
      </c>
      <c r="G260" s="70">
        <f>Forecast!H31</f>
        <v>677.30738734365366</v>
      </c>
    </row>
    <row r="261" spans="2:7" hidden="1" outlineLevel="1" x14ac:dyDescent="0.45">
      <c r="B261" s="73">
        <f>Forecast!I7</f>
        <v>2031</v>
      </c>
      <c r="C261" s="70" cm="1">
        <f t="array" aca="1" ref="C261" ca="1">IF(ISNUMBER(_xll.VoseSimPercentile(Forecast!I24,0.1)),_xll.VoseSimPercentile(Forecast!I24,0.1),NA())</f>
        <v>447.20560898692725</v>
      </c>
      <c r="D261" s="70" cm="1">
        <f t="array" aca="1" ref="D261" ca="1">IF(ISNUMBER(_xll.VoseSimPercentile(Forecast!I24,0.5)),_xll.VoseSimPercentile(Forecast!I24,0.5),NA())</f>
        <v>800.93262502744233</v>
      </c>
      <c r="E261" s="70" cm="1">
        <f t="array" aca="1" ref="E261" ca="1">IF(ISNUMBER(_xll.VoseSimPercentile(Forecast!I24,0.9)),_xll.VoseSimPercentile(Forecast!I24,0.9),NA())</f>
        <v>1423.9347683506999</v>
      </c>
      <c r="F261" s="70" cm="1">
        <f t="array" aca="1" ref="F261" ca="1">IF(ISNUMBER(_xll.VoseSimMean(Forecast!I24)),_xll.VoseSimMean(Forecast!I24),NA())</f>
        <v>886.61070718240569</v>
      </c>
      <c r="G261" s="70">
        <f>Forecast!I31</f>
        <v>858.13536256028806</v>
      </c>
    </row>
    <row r="262" spans="2:7" hidden="1" outlineLevel="1" x14ac:dyDescent="0.45">
      <c r="B262" s="73">
        <f>Forecast!J7</f>
        <v>2032</v>
      </c>
      <c r="C262" s="70" cm="1">
        <f t="array" aca="1" ref="C262" ca="1">IF(ISNUMBER(_xll.VoseSimPercentile(Forecast!J24,0.1)),_xll.VoseSimPercentile(Forecast!J24,0.1),NA())</f>
        <v>450.24248068494637</v>
      </c>
      <c r="D262" s="70" cm="1">
        <f t="array" aca="1" ref="D262" ca="1">IF(ISNUMBER(_xll.VoseSimPercentile(Forecast!J24,0.5)),_xll.VoseSimPercentile(Forecast!J24,0.5),NA())</f>
        <v>821.18567075230123</v>
      </c>
      <c r="E262" s="70" cm="1">
        <f t="array" aca="1" ref="E262" ca="1">IF(ISNUMBER(_xll.VoseSimPercentile(Forecast!J24,0.9)),_xll.VoseSimPercentile(Forecast!J24,0.9),NA())</f>
        <v>1496.26325157325</v>
      </c>
      <c r="F262" s="70" cm="1">
        <f t="array" aca="1" ref="F262" ca="1">IF(ISNUMBER(_xll.VoseSimMean(Forecast!J24)),_xll.VoseSimMean(Forecast!J24),NA())</f>
        <v>918.33912310878179</v>
      </c>
      <c r="G262" s="70">
        <f>Forecast!J31</f>
        <v>919.92614427103751</v>
      </c>
    </row>
    <row r="263" spans="2:7" hidden="1" outlineLevel="1" x14ac:dyDescent="0.45">
      <c r="B263" s="73">
        <f>Forecast!K7</f>
        <v>2033</v>
      </c>
      <c r="C263" s="70" cm="1">
        <f t="array" aca="1" ref="C263" ca="1">IF(ISNUMBER(_xll.VoseSimPercentile(Forecast!K24,0.1)),_xll.VoseSimPercentile(Forecast!K24,0.1),NA())</f>
        <v>421.90230765960183</v>
      </c>
      <c r="D263" s="70" cm="1">
        <f t="array" aca="1" ref="D263" ca="1">IF(ISNUMBER(_xll.VoseSimPercentile(Forecast!K24,0.5)),_xll.VoseSimPercentile(Forecast!K24,0.5),NA())</f>
        <v>790.9278955189867</v>
      </c>
      <c r="E263" s="70" cm="1">
        <f t="array" aca="1" ref="E263" ca="1">IF(ISNUMBER(_xll.VoseSimPercentile(Forecast!K24,0.9)),_xll.VoseSimPercentile(Forecast!K24,0.9),NA())</f>
        <v>1463.1215605797722</v>
      </c>
      <c r="F263" s="70" cm="1">
        <f t="array" aca="1" ref="F263" ca="1">IF(ISNUMBER(_xll.VoseSimMean(Forecast!K24)),_xll.VoseSimMean(Forecast!K24),NA())</f>
        <v>886.49864771683053</v>
      </c>
      <c r="G263" s="70">
        <f>Forecast!K31</f>
        <v>923.79091504910809</v>
      </c>
    </row>
    <row r="264" spans="2:7" hidden="1" outlineLevel="1" x14ac:dyDescent="0.45">
      <c r="B264" s="73">
        <f>Forecast!L7</f>
        <v>2034</v>
      </c>
      <c r="C264" s="70" cm="1">
        <f t="array" aca="1" ref="C264" ca="1">IF(ISNUMBER(_xll.VoseSimPercentile(Forecast!L24,0.1)),_xll.VoseSimPercentile(Forecast!L24,0.1),NA())</f>
        <v>413.81700166991413</v>
      </c>
      <c r="D264" s="70" cm="1">
        <f t="array" aca="1" ref="D264" ca="1">IF(ISNUMBER(_xll.VoseSimPercentile(Forecast!L24,0.5)),_xll.VoseSimPercentile(Forecast!L24,0.5),NA())</f>
        <v>773.4832606449387</v>
      </c>
      <c r="E264" s="70" cm="1">
        <f t="array" aca="1" ref="E264" ca="1">IF(ISNUMBER(_xll.VoseSimPercentile(Forecast!L24,0.9)),_xll.VoseSimPercentile(Forecast!L24,0.9),NA())</f>
        <v>1415.0899817070469</v>
      </c>
      <c r="F264" s="70" cm="1">
        <f t="array" aca="1" ref="F264" ca="1">IF(ISNUMBER(_xll.VoseSimMean(Forecast!L24)),_xll.VoseSimMean(Forecast!L24),NA())</f>
        <v>866.90651918414176</v>
      </c>
      <c r="G264" s="70">
        <f>Forecast!L31</f>
        <v>905.31509674812594</v>
      </c>
    </row>
    <row r="265" spans="2:7" hidden="1" outlineLevel="1" x14ac:dyDescent="0.45">
      <c r="B265" s="73">
        <f>Forecast!M7</f>
        <v>2035</v>
      </c>
      <c r="C265" s="70" cm="1">
        <f t="array" aca="1" ref="C265" ca="1">IF(ISNUMBER(_xll.VoseSimPercentile(Forecast!M24,0.1)),_xll.VoseSimPercentile(Forecast!M24,0.1),NA())</f>
        <v>405.22345251745747</v>
      </c>
      <c r="D265" s="70" cm="1">
        <f t="array" aca="1" ref="D265" ca="1">IF(ISNUMBER(_xll.VoseSimPercentile(Forecast!M24,0.5)),_xll.VoseSimPercentile(Forecast!M24,0.5),NA())</f>
        <v>754.73663629602197</v>
      </c>
      <c r="E265" s="70" cm="1">
        <f t="array" aca="1" ref="E265" ca="1">IF(ISNUMBER(_xll.VoseSimPercentile(Forecast!M24,0.9)),_xll.VoseSimPercentile(Forecast!M24,0.9),NA())</f>
        <v>1416.9502804506992</v>
      </c>
      <c r="F265" s="70" cm="1">
        <f t="array" aca="1" ref="F265" ca="1">IF(ISNUMBER(_xll.VoseSimMean(Forecast!M24)),_xll.VoseSimMean(Forecast!M24),NA())</f>
        <v>853.0999412584506</v>
      </c>
      <c r="G265" s="70">
        <f>Forecast!M31</f>
        <v>887.20879481316342</v>
      </c>
    </row>
    <row r="266" spans="2:7" hidden="1" outlineLevel="1" x14ac:dyDescent="0.45">
      <c r="B266" s="73">
        <f>Forecast!N7</f>
        <v>2036</v>
      </c>
      <c r="C266" s="70" cm="1">
        <f t="array" aca="1" ref="C266" ca="1">IF(ISNUMBER(_xll.VoseSimPercentile(Forecast!N24,0.1)),_xll.VoseSimPercentile(Forecast!N24,0.1),NA())</f>
        <v>398.56895613941413</v>
      </c>
      <c r="D266" s="70" cm="1">
        <f t="array" aca="1" ref="D266" ca="1">IF(ISNUMBER(_xll.VoseSimPercentile(Forecast!N24,0.5)),_xll.VoseSimPercentile(Forecast!N24,0.5),NA())</f>
        <v>744.43051204266612</v>
      </c>
      <c r="E266" s="70" cm="1">
        <f t="array" aca="1" ref="E266" ca="1">IF(ISNUMBER(_xll.VoseSimPercentile(Forecast!N24,0.9)),_xll.VoseSimPercentile(Forecast!N24,0.9),NA())</f>
        <v>1375.8605132695741</v>
      </c>
      <c r="F266" s="70" cm="1">
        <f t="array" aca="1" ref="F266" ca="1">IF(ISNUMBER(_xll.VoseSimMean(Forecast!N24)),_xll.VoseSimMean(Forecast!N24),NA())</f>
        <v>835.91266204327337</v>
      </c>
      <c r="G266" s="70">
        <f>Forecast!N31</f>
        <v>869.46461891690012</v>
      </c>
    </row>
    <row r="267" spans="2:7" hidden="1" outlineLevel="1" x14ac:dyDescent="0.45">
      <c r="B267" s="73">
        <f>Forecast!O7</f>
        <v>2037</v>
      </c>
      <c r="C267" s="70" cm="1">
        <f t="array" aca="1" ref="C267" ca="1">IF(ISNUMBER(_xll.VoseSimPercentile(Forecast!O24,0.1)),_xll.VoseSimPercentile(Forecast!O24,0.1),NA())</f>
        <v>387.78934212003423</v>
      </c>
      <c r="D267" s="70" cm="1">
        <f t="array" aca="1" ref="D267" ca="1">IF(ISNUMBER(_xll.VoseSimPercentile(Forecast!O24,0.5)),_xll.VoseSimPercentile(Forecast!O24,0.5),NA())</f>
        <v>732.68845914443079</v>
      </c>
      <c r="E267" s="70" cm="1">
        <f t="array" aca="1" ref="E267" ca="1">IF(ISNUMBER(_xll.VoseSimPercentile(Forecast!O24,0.9)),_xll.VoseSimPercentile(Forecast!O24,0.9),NA())</f>
        <v>1351.0246122896763</v>
      </c>
      <c r="F267" s="70" cm="1">
        <f t="array" aca="1" ref="F267" ca="1">IF(ISNUMBER(_xll.VoseSimMean(Forecast!O24)),_xll.VoseSimMean(Forecast!O24),NA())</f>
        <v>817.82516728356029</v>
      </c>
      <c r="G267" s="70">
        <f>Forecast!O31</f>
        <v>852.07532653856208</v>
      </c>
    </row>
  </sheetData>
  <mergeCells count="5">
    <mergeCell ref="B59:G59"/>
    <mergeCell ref="B57:G57"/>
    <mergeCell ref="B58:G58"/>
    <mergeCell ref="B56:G56"/>
    <mergeCell ref="B55:G55"/>
  </mergeCells>
  <conditionalFormatting sqref="B7">
    <cfRule type="expression" dxfId="5" priority="2">
      <formula>LEFT($B$7,1)="✗"</formula>
    </cfRule>
  </conditionalFormatting>
  <conditionalFormatting sqref="B6:G6">
    <cfRule type="expression" dxfId="4" priority="1">
      <formula>LEFT($B$6,1)&lt;&gt;"✔"</formula>
    </cfRule>
  </conditionalFormatting>
  <conditionalFormatting sqref="C258:F267">
    <cfRule type="expression" dxfId="3" priority="6">
      <formula>ISNA(C258)</formula>
    </cfRule>
  </conditionalFormatting>
  <conditionalFormatting sqref="C128:G255">
    <cfRule type="expression" dxfId="2" priority="5">
      <formula>ISNA($C$128)</formula>
    </cfRule>
  </conditionalFormatting>
  <conditionalFormatting sqref="D65:D114">
    <cfRule type="expression" dxfId="1" priority="3">
      <formula>ISNA(D65)</formula>
    </cfRule>
  </conditionalFormatting>
  <conditionalFormatting sqref="F118:G125">
    <cfRule type="expression" dxfId="0" priority="4">
      <formula>ISNA(F118)</formula>
    </cfRule>
  </conditionalFormatting>
  <hyperlinks>
    <hyperlink ref="B4" location="'Forecast'!A1" display="◂  Forecast"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34377-80AD-47EB-8ECB-2F8F834D213F}">
  <dimension ref="A1:B1"/>
  <sheetViews>
    <sheetView workbookViewId="0"/>
  </sheetViews>
  <sheetFormatPr defaultRowHeight="14.25" x14ac:dyDescent="0.45"/>
  <sheetData>
    <row r="1" spans="1:2" x14ac:dyDescent="0.45">
      <c r="A1" s="82" t="s">
        <v>258</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AC690-B6F4-4F98-939E-B3DBA7EC8A8F}">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FB698-02C3-4884-B816-F7959CE9D56F}">
  <dimension ref="B3:B222"/>
  <sheetViews>
    <sheetView workbookViewId="0"/>
  </sheetViews>
  <sheetFormatPr defaultRowHeight="14.25" x14ac:dyDescent="0.45"/>
  <sheetData>
    <row r="3" spans="2:2" x14ac:dyDescent="0.45">
      <c r="B3">
        <v>775</v>
      </c>
    </row>
    <row r="4" spans="2:2" x14ac:dyDescent="0.45">
      <c r="B4">
        <v>0</v>
      </c>
    </row>
    <row r="5" spans="2:2" x14ac:dyDescent="0.45">
      <c r="B5">
        <v>0</v>
      </c>
    </row>
    <row r="6" spans="2:2" x14ac:dyDescent="0.45">
      <c r="B6">
        <v>0</v>
      </c>
    </row>
    <row r="7" spans="2:2" x14ac:dyDescent="0.45">
      <c r="B7">
        <v>0</v>
      </c>
    </row>
    <row r="8" spans="2:2" x14ac:dyDescent="0.45">
      <c r="B8">
        <v>0</v>
      </c>
    </row>
    <row r="9" spans="2:2" x14ac:dyDescent="0.45">
      <c r="B9">
        <v>0</v>
      </c>
    </row>
    <row r="10" spans="2:2" x14ac:dyDescent="0.45">
      <c r="B10">
        <v>0</v>
      </c>
    </row>
    <row r="11" spans="2:2" x14ac:dyDescent="0.45">
      <c r="B11">
        <v>0</v>
      </c>
    </row>
    <row r="12" spans="2:2" x14ac:dyDescent="0.45">
      <c r="B12">
        <v>1225</v>
      </c>
    </row>
    <row r="13" spans="2:2" x14ac:dyDescent="0.45">
      <c r="B13">
        <v>451</v>
      </c>
    </row>
    <row r="14" spans="2:2" x14ac:dyDescent="0.45">
      <c r="B14">
        <v>921</v>
      </c>
    </row>
    <row r="15" spans="2:2" x14ac:dyDescent="0.45">
      <c r="B15">
        <v>427</v>
      </c>
    </row>
    <row r="16" spans="2:2" x14ac:dyDescent="0.45">
      <c r="B16">
        <v>139</v>
      </c>
    </row>
    <row r="17" spans="2:2" x14ac:dyDescent="0.45">
      <c r="B17">
        <v>37</v>
      </c>
    </row>
    <row r="18" spans="2:2" x14ac:dyDescent="0.45">
      <c r="B18">
        <v>14</v>
      </c>
    </row>
    <row r="19" spans="2:2" x14ac:dyDescent="0.45">
      <c r="B19">
        <v>7</v>
      </c>
    </row>
    <row r="20" spans="2:2" x14ac:dyDescent="0.45">
      <c r="B20">
        <v>3</v>
      </c>
    </row>
    <row r="21" spans="2:2" x14ac:dyDescent="0.45">
      <c r="B21">
        <v>0</v>
      </c>
    </row>
    <row r="22" spans="2:2" x14ac:dyDescent="0.45">
      <c r="B22">
        <v>1</v>
      </c>
    </row>
    <row r="23" spans="2:2" x14ac:dyDescent="0.45">
      <c r="B23">
        <v>697</v>
      </c>
    </row>
    <row r="24" spans="2:2" x14ac:dyDescent="0.45">
      <c r="B24">
        <v>794</v>
      </c>
    </row>
    <row r="25" spans="2:2" x14ac:dyDescent="0.45">
      <c r="B25">
        <v>325</v>
      </c>
    </row>
    <row r="26" spans="2:2" x14ac:dyDescent="0.45">
      <c r="B26">
        <v>115</v>
      </c>
    </row>
    <row r="27" spans="2:2" x14ac:dyDescent="0.45">
      <c r="B27">
        <v>31</v>
      </c>
    </row>
    <row r="28" spans="2:2" x14ac:dyDescent="0.45">
      <c r="B28">
        <v>20</v>
      </c>
    </row>
    <row r="29" spans="2:2" x14ac:dyDescent="0.45">
      <c r="B29">
        <v>7</v>
      </c>
    </row>
    <row r="30" spans="2:2" x14ac:dyDescent="0.45">
      <c r="B30">
        <v>5</v>
      </c>
    </row>
    <row r="31" spans="2:2" x14ac:dyDescent="0.45">
      <c r="B31">
        <v>5</v>
      </c>
    </row>
    <row r="32" spans="2:2" x14ac:dyDescent="0.45">
      <c r="B32">
        <v>1</v>
      </c>
    </row>
    <row r="33" spans="2:2" x14ac:dyDescent="0.45">
      <c r="B33">
        <v>448</v>
      </c>
    </row>
    <row r="34" spans="2:2" x14ac:dyDescent="0.45">
      <c r="B34">
        <v>812</v>
      </c>
    </row>
    <row r="35" spans="2:2" x14ac:dyDescent="0.45">
      <c r="B35">
        <v>470</v>
      </c>
    </row>
    <row r="36" spans="2:2" x14ac:dyDescent="0.45">
      <c r="B36">
        <v>178</v>
      </c>
    </row>
    <row r="37" spans="2:2" x14ac:dyDescent="0.45">
      <c r="B37">
        <v>53</v>
      </c>
    </row>
    <row r="38" spans="2:2" x14ac:dyDescent="0.45">
      <c r="B38">
        <v>19</v>
      </c>
    </row>
    <row r="39" spans="2:2" x14ac:dyDescent="0.45">
      <c r="B39">
        <v>13</v>
      </c>
    </row>
    <row r="40" spans="2:2" x14ac:dyDescent="0.45">
      <c r="B40">
        <v>1</v>
      </c>
    </row>
    <row r="41" spans="2:2" x14ac:dyDescent="0.45">
      <c r="B41">
        <v>2</v>
      </c>
    </row>
    <row r="42" spans="2:2" x14ac:dyDescent="0.45">
      <c r="B42">
        <v>4</v>
      </c>
    </row>
    <row r="43" spans="2:2" x14ac:dyDescent="0.45">
      <c r="B43">
        <v>348</v>
      </c>
    </row>
    <row r="44" spans="2:2" x14ac:dyDescent="0.45">
      <c r="B44">
        <v>764</v>
      </c>
    </row>
    <row r="45" spans="2:2" x14ac:dyDescent="0.45">
      <c r="B45">
        <v>514</v>
      </c>
    </row>
    <row r="46" spans="2:2" x14ac:dyDescent="0.45">
      <c r="B46">
        <v>237</v>
      </c>
    </row>
    <row r="47" spans="2:2" x14ac:dyDescent="0.45">
      <c r="B47">
        <v>78</v>
      </c>
    </row>
    <row r="48" spans="2:2" x14ac:dyDescent="0.45">
      <c r="B48">
        <v>34</v>
      </c>
    </row>
    <row r="49" spans="2:2" x14ac:dyDescent="0.45">
      <c r="B49">
        <v>16</v>
      </c>
    </row>
    <row r="50" spans="2:2" x14ac:dyDescent="0.45">
      <c r="B50">
        <v>2</v>
      </c>
    </row>
    <row r="51" spans="2:2" x14ac:dyDescent="0.45">
      <c r="B51">
        <v>5</v>
      </c>
    </row>
    <row r="52" spans="2:2" x14ac:dyDescent="0.45">
      <c r="B52">
        <v>2</v>
      </c>
    </row>
    <row r="53" spans="2:2" x14ac:dyDescent="0.45">
      <c r="B53">
        <v>534</v>
      </c>
    </row>
    <row r="54" spans="2:2" x14ac:dyDescent="0.45">
      <c r="B54">
        <v>900</v>
      </c>
    </row>
    <row r="55" spans="2:2" x14ac:dyDescent="0.45">
      <c r="B55">
        <v>386</v>
      </c>
    </row>
    <row r="56" spans="2:2" x14ac:dyDescent="0.45">
      <c r="B56">
        <v>120</v>
      </c>
    </row>
    <row r="57" spans="2:2" x14ac:dyDescent="0.45">
      <c r="B57">
        <v>37</v>
      </c>
    </row>
    <row r="58" spans="2:2" x14ac:dyDescent="0.45">
      <c r="B58">
        <v>13</v>
      </c>
    </row>
    <row r="59" spans="2:2" x14ac:dyDescent="0.45">
      <c r="B59">
        <v>4</v>
      </c>
    </row>
    <row r="60" spans="2:2" x14ac:dyDescent="0.45">
      <c r="B60">
        <v>4</v>
      </c>
    </row>
    <row r="61" spans="2:2" x14ac:dyDescent="0.45">
      <c r="B61">
        <v>0</v>
      </c>
    </row>
    <row r="62" spans="2:2" x14ac:dyDescent="0.45">
      <c r="B62">
        <v>2</v>
      </c>
    </row>
    <row r="63" spans="2:2" x14ac:dyDescent="0.45">
      <c r="B63">
        <v>431</v>
      </c>
    </row>
    <row r="64" spans="2:2" x14ac:dyDescent="0.45">
      <c r="B64">
        <v>839</v>
      </c>
    </row>
    <row r="65" spans="2:2" x14ac:dyDescent="0.45">
      <c r="B65">
        <v>446</v>
      </c>
    </row>
    <row r="66" spans="2:2" x14ac:dyDescent="0.45">
      <c r="B66">
        <v>182</v>
      </c>
    </row>
    <row r="67" spans="2:2" x14ac:dyDescent="0.45">
      <c r="B67">
        <v>60</v>
      </c>
    </row>
    <row r="68" spans="2:2" x14ac:dyDescent="0.45">
      <c r="B68">
        <v>28</v>
      </c>
    </row>
    <row r="69" spans="2:2" x14ac:dyDescent="0.45">
      <c r="B69">
        <v>6</v>
      </c>
    </row>
    <row r="70" spans="2:2" x14ac:dyDescent="0.45">
      <c r="B70">
        <v>3</v>
      </c>
    </row>
    <row r="71" spans="2:2" x14ac:dyDescent="0.45">
      <c r="B71">
        <v>3</v>
      </c>
    </row>
    <row r="72" spans="2:2" x14ac:dyDescent="0.45">
      <c r="B72">
        <v>2</v>
      </c>
    </row>
    <row r="73" spans="2:2" x14ac:dyDescent="0.45">
      <c r="B73">
        <v>528</v>
      </c>
    </row>
    <row r="74" spans="2:2" x14ac:dyDescent="0.45">
      <c r="B74">
        <v>756</v>
      </c>
    </row>
    <row r="75" spans="2:2" x14ac:dyDescent="0.45">
      <c r="B75">
        <v>433</v>
      </c>
    </row>
    <row r="76" spans="2:2" x14ac:dyDescent="0.45">
      <c r="B76">
        <v>155</v>
      </c>
    </row>
    <row r="77" spans="2:2" x14ac:dyDescent="0.45">
      <c r="B77">
        <v>79</v>
      </c>
    </row>
    <row r="78" spans="2:2" x14ac:dyDescent="0.45">
      <c r="B78">
        <v>28</v>
      </c>
    </row>
    <row r="79" spans="2:2" x14ac:dyDescent="0.45">
      <c r="B79">
        <v>11</v>
      </c>
    </row>
    <row r="80" spans="2:2" x14ac:dyDescent="0.45">
      <c r="B80">
        <v>4</v>
      </c>
    </row>
    <row r="81" spans="2:2" x14ac:dyDescent="0.45">
      <c r="B81">
        <v>3</v>
      </c>
    </row>
    <row r="82" spans="2:2" x14ac:dyDescent="0.45">
      <c r="B82">
        <v>3</v>
      </c>
    </row>
    <row r="83" spans="2:2" x14ac:dyDescent="0.45">
      <c r="B83">
        <v>540</v>
      </c>
    </row>
    <row r="84" spans="2:2" x14ac:dyDescent="0.45">
      <c r="B84">
        <v>838</v>
      </c>
    </row>
    <row r="85" spans="2:2" x14ac:dyDescent="0.45">
      <c r="B85">
        <v>390</v>
      </c>
    </row>
    <row r="86" spans="2:2" x14ac:dyDescent="0.45">
      <c r="B86">
        <v>146</v>
      </c>
    </row>
    <row r="87" spans="2:2" x14ac:dyDescent="0.45">
      <c r="B87">
        <v>50</v>
      </c>
    </row>
    <row r="88" spans="2:2" x14ac:dyDescent="0.45">
      <c r="B88">
        <v>24</v>
      </c>
    </row>
    <row r="89" spans="2:2" x14ac:dyDescent="0.45">
      <c r="B89">
        <v>5</v>
      </c>
    </row>
    <row r="90" spans="2:2" x14ac:dyDescent="0.45">
      <c r="B90">
        <v>2</v>
      </c>
    </row>
    <row r="91" spans="2:2" x14ac:dyDescent="0.45">
      <c r="B91">
        <v>1</v>
      </c>
    </row>
    <row r="92" spans="2:2" x14ac:dyDescent="0.45">
      <c r="B92">
        <v>4</v>
      </c>
    </row>
    <row r="93" spans="2:2" x14ac:dyDescent="0.45">
      <c r="B93">
        <v>669</v>
      </c>
    </row>
    <row r="94" spans="2:2" x14ac:dyDescent="0.45">
      <c r="B94">
        <v>847</v>
      </c>
    </row>
    <row r="95" spans="2:2" x14ac:dyDescent="0.45">
      <c r="B95">
        <v>326</v>
      </c>
    </row>
    <row r="96" spans="2:2" x14ac:dyDescent="0.45">
      <c r="B96">
        <v>110</v>
      </c>
    </row>
    <row r="97" spans="2:2" x14ac:dyDescent="0.45">
      <c r="B97">
        <v>29</v>
      </c>
    </row>
    <row r="98" spans="2:2" x14ac:dyDescent="0.45">
      <c r="B98">
        <v>12</v>
      </c>
    </row>
    <row r="99" spans="2:2" x14ac:dyDescent="0.45">
      <c r="B99">
        <v>2</v>
      </c>
    </row>
    <row r="100" spans="2:2" x14ac:dyDescent="0.45">
      <c r="B100">
        <v>2</v>
      </c>
    </row>
    <row r="101" spans="2:2" x14ac:dyDescent="0.45">
      <c r="B101">
        <v>2</v>
      </c>
    </row>
    <row r="102" spans="2:2" x14ac:dyDescent="0.45">
      <c r="B102">
        <v>1</v>
      </c>
    </row>
    <row r="103" spans="2:2" x14ac:dyDescent="0.45">
      <c r="B103">
        <v>641</v>
      </c>
    </row>
    <row r="104" spans="2:2" x14ac:dyDescent="0.45">
      <c r="B104">
        <v>799</v>
      </c>
    </row>
    <row r="105" spans="2:2" x14ac:dyDescent="0.45">
      <c r="B105">
        <v>365</v>
      </c>
    </row>
    <row r="106" spans="2:2" x14ac:dyDescent="0.45">
      <c r="B106">
        <v>129</v>
      </c>
    </row>
    <row r="107" spans="2:2" x14ac:dyDescent="0.45">
      <c r="B107">
        <v>42</v>
      </c>
    </row>
    <row r="108" spans="2:2" x14ac:dyDescent="0.45">
      <c r="B108">
        <v>15</v>
      </c>
    </row>
    <row r="109" spans="2:2" x14ac:dyDescent="0.45">
      <c r="B109">
        <v>4</v>
      </c>
    </row>
    <row r="110" spans="2:2" x14ac:dyDescent="0.45">
      <c r="B110">
        <v>3</v>
      </c>
    </row>
    <row r="111" spans="2:2" x14ac:dyDescent="0.45">
      <c r="B111">
        <v>1</v>
      </c>
    </row>
    <row r="112" spans="2:2" x14ac:dyDescent="0.45">
      <c r="B112">
        <v>1</v>
      </c>
    </row>
    <row r="113" spans="2:2" x14ac:dyDescent="0.45">
      <c r="B113">
        <v>660</v>
      </c>
    </row>
    <row r="114" spans="2:2" x14ac:dyDescent="0.45">
      <c r="B114">
        <v>851</v>
      </c>
    </row>
    <row r="115" spans="2:2" x14ac:dyDescent="0.45">
      <c r="B115">
        <v>324</v>
      </c>
    </row>
    <row r="116" spans="2:2" x14ac:dyDescent="0.45">
      <c r="B116">
        <v>114</v>
      </c>
    </row>
    <row r="117" spans="2:2" x14ac:dyDescent="0.45">
      <c r="B117">
        <v>32</v>
      </c>
    </row>
    <row r="118" spans="2:2" x14ac:dyDescent="0.45">
      <c r="B118">
        <v>11</v>
      </c>
    </row>
    <row r="119" spans="2:2" x14ac:dyDescent="0.45">
      <c r="B119">
        <v>4</v>
      </c>
    </row>
    <row r="120" spans="2:2" x14ac:dyDescent="0.45">
      <c r="B120">
        <v>0</v>
      </c>
    </row>
    <row r="121" spans="2:2" x14ac:dyDescent="0.45">
      <c r="B121">
        <v>2</v>
      </c>
    </row>
    <row r="122" spans="2:2" x14ac:dyDescent="0.45">
      <c r="B122">
        <v>2</v>
      </c>
    </row>
    <row r="123" spans="2:2" x14ac:dyDescent="0.45">
      <c r="B123">
        <v>446</v>
      </c>
    </row>
    <row r="124" spans="2:2" x14ac:dyDescent="0.45">
      <c r="B124">
        <v>824</v>
      </c>
    </row>
    <row r="125" spans="2:2" x14ac:dyDescent="0.45">
      <c r="B125">
        <v>456</v>
      </c>
    </row>
    <row r="126" spans="2:2" x14ac:dyDescent="0.45">
      <c r="B126">
        <v>176</v>
      </c>
    </row>
    <row r="127" spans="2:2" x14ac:dyDescent="0.45">
      <c r="B127">
        <v>57</v>
      </c>
    </row>
    <row r="128" spans="2:2" x14ac:dyDescent="0.45">
      <c r="B128">
        <v>25</v>
      </c>
    </row>
    <row r="129" spans="2:2" x14ac:dyDescent="0.45">
      <c r="B129">
        <v>8</v>
      </c>
    </row>
    <row r="130" spans="2:2" x14ac:dyDescent="0.45">
      <c r="B130">
        <v>3</v>
      </c>
    </row>
    <row r="131" spans="2:2" x14ac:dyDescent="0.45">
      <c r="B131">
        <v>1</v>
      </c>
    </row>
    <row r="132" spans="2:2" x14ac:dyDescent="0.45">
      <c r="B132">
        <v>4</v>
      </c>
    </row>
    <row r="133" spans="2:2" x14ac:dyDescent="0.45">
      <c r="B133">
        <v>62</v>
      </c>
    </row>
    <row r="134" spans="2:2" x14ac:dyDescent="0.45">
      <c r="B134">
        <v>403</v>
      </c>
    </row>
    <row r="135" spans="2:2" x14ac:dyDescent="0.45">
      <c r="B135">
        <v>483</v>
      </c>
    </row>
    <row r="136" spans="2:2" x14ac:dyDescent="0.45">
      <c r="B136">
        <v>0</v>
      </c>
    </row>
    <row r="137" spans="2:2" x14ac:dyDescent="0.45">
      <c r="B137">
        <v>310</v>
      </c>
    </row>
    <row r="138" spans="2:2" x14ac:dyDescent="0.45">
      <c r="B138">
        <v>252</v>
      </c>
    </row>
    <row r="139" spans="2:2" x14ac:dyDescent="0.45">
      <c r="B139">
        <v>0</v>
      </c>
    </row>
    <row r="140" spans="2:2" x14ac:dyDescent="0.45">
      <c r="B140">
        <v>205</v>
      </c>
    </row>
    <row r="141" spans="2:2" x14ac:dyDescent="0.45">
      <c r="B141">
        <v>177</v>
      </c>
    </row>
    <row r="142" spans="2:2" x14ac:dyDescent="0.45">
      <c r="B142">
        <v>108</v>
      </c>
    </row>
    <row r="143" spans="2:2" x14ac:dyDescent="0.45">
      <c r="B143">
        <v>500</v>
      </c>
    </row>
    <row r="144" spans="2:2" x14ac:dyDescent="0.45">
      <c r="B144">
        <v>802</v>
      </c>
    </row>
    <row r="145" spans="2:2" x14ac:dyDescent="0.45">
      <c r="B145">
        <v>448</v>
      </c>
    </row>
    <row r="146" spans="2:2" x14ac:dyDescent="0.45">
      <c r="B146">
        <v>163</v>
      </c>
    </row>
    <row r="147" spans="2:2" x14ac:dyDescent="0.45">
      <c r="B147">
        <v>50</v>
      </c>
    </row>
    <row r="148" spans="2:2" x14ac:dyDescent="0.45">
      <c r="B148">
        <v>24</v>
      </c>
    </row>
    <row r="149" spans="2:2" x14ac:dyDescent="0.45">
      <c r="B149">
        <v>4</v>
      </c>
    </row>
    <row r="150" spans="2:2" x14ac:dyDescent="0.45">
      <c r="B150">
        <v>5</v>
      </c>
    </row>
    <row r="151" spans="2:2" x14ac:dyDescent="0.45">
      <c r="B151">
        <v>0</v>
      </c>
    </row>
    <row r="152" spans="2:2" x14ac:dyDescent="0.45">
      <c r="B152">
        <v>4</v>
      </c>
    </row>
    <row r="153" spans="2:2" x14ac:dyDescent="0.45">
      <c r="B153">
        <v>1086</v>
      </c>
    </row>
    <row r="154" spans="2:2" x14ac:dyDescent="0.45">
      <c r="B154">
        <v>0</v>
      </c>
    </row>
    <row r="155" spans="2:2" x14ac:dyDescent="0.45">
      <c r="B155">
        <v>0</v>
      </c>
    </row>
    <row r="156" spans="2:2" x14ac:dyDescent="0.45">
      <c r="B156">
        <v>0</v>
      </c>
    </row>
    <row r="157" spans="2:2" x14ac:dyDescent="0.45">
      <c r="B157">
        <v>0</v>
      </c>
    </row>
    <row r="158" spans="2:2" x14ac:dyDescent="0.45">
      <c r="B158">
        <v>0</v>
      </c>
    </row>
    <row r="159" spans="2:2" x14ac:dyDescent="0.45">
      <c r="B159">
        <v>0</v>
      </c>
    </row>
    <row r="160" spans="2:2" x14ac:dyDescent="0.45">
      <c r="B160">
        <v>0</v>
      </c>
    </row>
    <row r="161" spans="2:2" x14ac:dyDescent="0.45">
      <c r="B161">
        <v>0</v>
      </c>
    </row>
    <row r="162" spans="2:2" x14ac:dyDescent="0.45">
      <c r="B162">
        <v>914</v>
      </c>
    </row>
    <row r="163" spans="2:2" x14ac:dyDescent="0.45">
      <c r="B163">
        <v>59</v>
      </c>
    </row>
    <row r="164" spans="2:2" x14ac:dyDescent="0.45">
      <c r="B164">
        <v>128</v>
      </c>
    </row>
    <row r="165" spans="2:2" x14ac:dyDescent="0.45">
      <c r="B165">
        <v>213</v>
      </c>
    </row>
    <row r="166" spans="2:2" x14ac:dyDescent="0.45">
      <c r="B166">
        <v>279</v>
      </c>
    </row>
    <row r="167" spans="2:2" x14ac:dyDescent="0.45">
      <c r="B167">
        <v>358</v>
      </c>
    </row>
    <row r="168" spans="2:2" x14ac:dyDescent="0.45">
      <c r="B168">
        <v>336</v>
      </c>
    </row>
    <row r="169" spans="2:2" x14ac:dyDescent="0.45">
      <c r="B169">
        <v>271</v>
      </c>
    </row>
    <row r="170" spans="2:2" x14ac:dyDescent="0.45">
      <c r="B170">
        <v>207</v>
      </c>
    </row>
    <row r="171" spans="2:2" x14ac:dyDescent="0.45">
      <c r="B171">
        <v>112</v>
      </c>
    </row>
    <row r="172" spans="2:2" x14ac:dyDescent="0.45">
      <c r="B172">
        <v>37</v>
      </c>
    </row>
    <row r="173" spans="2:2" x14ac:dyDescent="0.45">
      <c r="B173">
        <v>34</v>
      </c>
    </row>
    <row r="174" spans="2:2" x14ac:dyDescent="0.45">
      <c r="B174">
        <v>107</v>
      </c>
    </row>
    <row r="175" spans="2:2" x14ac:dyDescent="0.45">
      <c r="B175">
        <v>236</v>
      </c>
    </row>
    <row r="176" spans="2:2" x14ac:dyDescent="0.45">
      <c r="B176">
        <v>254</v>
      </c>
    </row>
    <row r="177" spans="2:2" x14ac:dyDescent="0.45">
      <c r="B177">
        <v>320</v>
      </c>
    </row>
    <row r="178" spans="2:2" x14ac:dyDescent="0.45">
      <c r="B178">
        <v>335</v>
      </c>
    </row>
    <row r="179" spans="2:2" x14ac:dyDescent="0.45">
      <c r="B179">
        <v>298</v>
      </c>
    </row>
    <row r="180" spans="2:2" x14ac:dyDescent="0.45">
      <c r="B180">
        <v>241</v>
      </c>
    </row>
    <row r="181" spans="2:2" x14ac:dyDescent="0.45">
      <c r="B181">
        <v>132</v>
      </c>
    </row>
    <row r="182" spans="2:2" x14ac:dyDescent="0.45">
      <c r="B182">
        <v>43</v>
      </c>
    </row>
    <row r="183" spans="2:2" x14ac:dyDescent="0.45">
      <c r="B183">
        <v>114</v>
      </c>
    </row>
    <row r="184" spans="2:2" x14ac:dyDescent="0.45">
      <c r="B184">
        <v>240</v>
      </c>
    </row>
    <row r="185" spans="2:2" x14ac:dyDescent="0.45">
      <c r="B185">
        <v>349</v>
      </c>
    </row>
    <row r="186" spans="2:2" x14ac:dyDescent="0.45">
      <c r="B186">
        <v>365</v>
      </c>
    </row>
    <row r="187" spans="2:2" x14ac:dyDescent="0.45">
      <c r="B187">
        <v>314</v>
      </c>
    </row>
    <row r="188" spans="2:2" x14ac:dyDescent="0.45">
      <c r="B188">
        <v>261</v>
      </c>
    </row>
    <row r="189" spans="2:2" x14ac:dyDescent="0.45">
      <c r="B189">
        <v>185</v>
      </c>
    </row>
    <row r="190" spans="2:2" x14ac:dyDescent="0.45">
      <c r="B190">
        <v>108</v>
      </c>
    </row>
    <row r="191" spans="2:2" x14ac:dyDescent="0.45">
      <c r="B191">
        <v>51</v>
      </c>
    </row>
    <row r="192" spans="2:2" x14ac:dyDescent="0.45">
      <c r="B192">
        <v>13</v>
      </c>
    </row>
    <row r="193" spans="2:2" x14ac:dyDescent="0.45">
      <c r="B193">
        <v>26</v>
      </c>
    </row>
    <row r="194" spans="2:2" x14ac:dyDescent="0.45">
      <c r="B194">
        <v>95</v>
      </c>
    </row>
    <row r="195" spans="2:2" x14ac:dyDescent="0.45">
      <c r="B195">
        <v>217</v>
      </c>
    </row>
    <row r="196" spans="2:2" x14ac:dyDescent="0.45">
      <c r="B196">
        <v>305</v>
      </c>
    </row>
    <row r="197" spans="2:2" x14ac:dyDescent="0.45">
      <c r="B197">
        <v>348</v>
      </c>
    </row>
    <row r="198" spans="2:2" x14ac:dyDescent="0.45">
      <c r="B198">
        <v>361</v>
      </c>
    </row>
    <row r="199" spans="2:2" x14ac:dyDescent="0.45">
      <c r="B199">
        <v>277</v>
      </c>
    </row>
    <row r="200" spans="2:2" x14ac:dyDescent="0.45">
      <c r="B200">
        <v>226</v>
      </c>
    </row>
    <row r="201" spans="2:2" x14ac:dyDescent="0.45">
      <c r="B201">
        <v>115</v>
      </c>
    </row>
    <row r="202" spans="2:2" x14ac:dyDescent="0.45">
      <c r="B202">
        <v>30</v>
      </c>
    </row>
    <row r="203" spans="2:2" x14ac:dyDescent="0.45">
      <c r="B203">
        <v>16</v>
      </c>
    </row>
    <row r="204" spans="2:2" x14ac:dyDescent="0.45">
      <c r="B204">
        <v>88</v>
      </c>
    </row>
    <row r="205" spans="2:2" x14ac:dyDescent="0.45">
      <c r="B205">
        <v>208</v>
      </c>
    </row>
    <row r="206" spans="2:2" x14ac:dyDescent="0.45">
      <c r="B206">
        <v>304</v>
      </c>
    </row>
    <row r="207" spans="2:2" x14ac:dyDescent="0.45">
      <c r="B207">
        <v>316</v>
      </c>
    </row>
    <row r="208" spans="2:2" x14ac:dyDescent="0.45">
      <c r="B208">
        <v>339</v>
      </c>
    </row>
    <row r="209" spans="2:2" x14ac:dyDescent="0.45">
      <c r="B209">
        <v>307</v>
      </c>
    </row>
    <row r="210" spans="2:2" x14ac:dyDescent="0.45">
      <c r="B210">
        <v>227</v>
      </c>
    </row>
    <row r="211" spans="2:2" x14ac:dyDescent="0.45">
      <c r="B211">
        <v>153</v>
      </c>
    </row>
    <row r="212" spans="2:2" x14ac:dyDescent="0.45">
      <c r="B212">
        <v>42</v>
      </c>
    </row>
    <row r="213" spans="2:2" x14ac:dyDescent="0.45">
      <c r="B213">
        <v>58</v>
      </c>
    </row>
    <row r="214" spans="2:2" x14ac:dyDescent="0.45">
      <c r="B214">
        <v>177</v>
      </c>
    </row>
    <row r="215" spans="2:2" x14ac:dyDescent="0.45">
      <c r="B215">
        <v>273</v>
      </c>
    </row>
    <row r="216" spans="2:2" x14ac:dyDescent="0.45">
      <c r="B216">
        <v>382</v>
      </c>
    </row>
    <row r="217" spans="2:2" x14ac:dyDescent="0.45">
      <c r="B217">
        <v>384</v>
      </c>
    </row>
    <row r="218" spans="2:2" x14ac:dyDescent="0.45">
      <c r="B218">
        <v>315</v>
      </c>
    </row>
    <row r="219" spans="2:2" x14ac:dyDescent="0.45">
      <c r="B219">
        <v>235</v>
      </c>
    </row>
    <row r="220" spans="2:2" x14ac:dyDescent="0.45">
      <c r="B220">
        <v>120</v>
      </c>
    </row>
    <row r="221" spans="2:2" x14ac:dyDescent="0.45">
      <c r="B221">
        <v>48</v>
      </c>
    </row>
    <row r="222" spans="2:2" x14ac:dyDescent="0.45">
      <c r="B222">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BC85D2E3-3A24-48D4-873E-90C1FF68AE57}">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56</vt:i4>
      </vt:variant>
    </vt:vector>
  </HeadingPairs>
  <TitlesOfParts>
    <vt:vector size="63" baseType="lpstr">
      <vt:lpstr>About</vt:lpstr>
      <vt:lpstr>Inputs</vt:lpstr>
      <vt:lpstr>Forecast</vt:lpstr>
      <vt:lpstr>Results</vt:lpstr>
      <vt:lpstr>ModelRiskDSN</vt:lpstr>
      <vt:lpstr>ModelRiskSYS1</vt:lpstr>
      <vt:lpstr>ModelRiskCharts</vt:lpstr>
      <vt:lpstr>Addressable</vt:lpstr>
      <vt:lpstr>AddressableBase</vt:lpstr>
      <vt:lpstr>BaseCum</vt:lpstr>
      <vt:lpstr>BasePeak</vt:lpstr>
      <vt:lpstr>Blockbuster</vt:lpstr>
      <vt:lpstr>Checks</vt:lpstr>
      <vt:lpstr>Comp</vt:lpstr>
      <vt:lpstr>CompFrom</vt:lpstr>
      <vt:lpstr>CompLoss</vt:lpstr>
      <vt:lpstr>CompLoss_Hi</vt:lpstr>
      <vt:lpstr>CompLoss_Lo</vt:lpstr>
      <vt:lpstr>CompLoss_Mean</vt:lpstr>
      <vt:lpstr>CompLoss_ML</vt:lpstr>
      <vt:lpstr>CompTo</vt:lpstr>
      <vt:lpstr>CompYear</vt:lpstr>
      <vt:lpstr>CumSales</vt:lpstr>
      <vt:lpstr>Eligible</vt:lpstr>
      <vt:lpstr>Eligible_Hi</vt:lpstr>
      <vt:lpstr>Eligible_Lo</vt:lpstr>
      <vt:lpstr>Eligible_Mean</vt:lpstr>
      <vt:lpstr>Eligible_ML</vt:lpstr>
      <vt:lpstr>Erosion</vt:lpstr>
      <vt:lpstr>InputMeans</vt:lpstr>
      <vt:lpstr>LaunchYear</vt:lpstr>
      <vt:lpstr>Months</vt:lpstr>
      <vt:lpstr>Months_Hi</vt:lpstr>
      <vt:lpstr>Months_Lo</vt:lpstr>
      <vt:lpstr>Months_Mean</vt:lpstr>
      <vt:lpstr>Months_ML</vt:lpstr>
      <vt:lpstr>NetPrice</vt:lpstr>
      <vt:lpstr>NetPrice_Hi</vt:lpstr>
      <vt:lpstr>NetPrice_Lo</vt:lpstr>
      <vt:lpstr>NetPrice_Mean</vt:lpstr>
      <vt:lpstr>NetPrice_ML</vt:lpstr>
      <vt:lpstr>P_Comp</vt:lpstr>
      <vt:lpstr>PeakSales</vt:lpstr>
      <vt:lpstr>PeakYear</vt:lpstr>
      <vt:lpstr>Prev</vt:lpstr>
      <vt:lpstr>Prev_Hi</vt:lpstr>
      <vt:lpstr>Prev_Lo</vt:lpstr>
      <vt:lpstr>Prev_Mean</vt:lpstr>
      <vt:lpstr>Prev_ML</vt:lpstr>
      <vt:lpstr>Results!Print_Area</vt:lpstr>
      <vt:lpstr>Forecast!Print_Titles</vt:lpstr>
      <vt:lpstr>Inputs!Print_Titles</vt:lpstr>
      <vt:lpstr>Results!Print_Titles</vt:lpstr>
      <vt:lpstr>ShareCorr</vt:lpstr>
      <vt:lpstr>ShareHi</vt:lpstr>
      <vt:lpstr>ShareLo</vt:lpstr>
      <vt:lpstr>ShareRow</vt:lpstr>
      <vt:lpstr>ShareY5</vt:lpstr>
      <vt:lpstr>Treated</vt:lpstr>
      <vt:lpstr>Treated_Hi</vt:lpstr>
      <vt:lpstr>Treated_Lo</vt:lpstr>
      <vt:lpstr>Treated_Mean</vt:lpstr>
      <vt:lpstr>Treated_ML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PH-05 Launch Sales Forecast: Peak Sales and Uptake</dc:title>
  <dc:subject>ModelRisk industry example library — Pharmaceuticals and biotech</dc:subject>
  <dc:creator>Vose Software</dc:creator>
  <cp:keywords>ModelRisk; Monte Carlo; Pharmaceuticals and biotech</cp:keywords>
  <dc:description>Peak sales of a new drug from a patient funnel, an expert's uptake curve between two percentiles and a possible competitor: the chance of a blockbuster.</dc:description>
  <cp:lastModifiedBy>Timour Koupeev</cp:lastModifiedBy>
  <cp:lastPrinted>2026-10-05T18:13:08Z</cp:lastPrinted>
  <dcterms:created xsi:type="dcterms:W3CDTF">2026-10-05T18:07:46Z</dcterms:created>
  <dcterms:modified xsi:type="dcterms:W3CDTF">2026-10-05T18:13:11Z</dcterms:modified>
</cp:coreProperties>
</file>