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imourKoupeev\source\repos\ModelRisk-Examples\models\Pharmaceuticals and biotech\"/>
    </mc:Choice>
  </mc:AlternateContent>
  <xr:revisionPtr revIDLastSave="0" documentId="8_{93AC592A-4AE2-4AAE-B0E0-AFFFC152D0AB}" xr6:coauthVersionLast="47" xr6:coauthVersionMax="47" xr10:uidLastSave="{00000000-0000-0000-0000-000000000000}"/>
  <bookViews>
    <workbookView xWindow="-98" yWindow="-98" windowWidth="21795" windowHeight="12975" xr2:uid="{00000000-000D-0000-FFFF-FFFF00000000}"/>
  </bookViews>
  <sheets>
    <sheet name="About" sheetId="1" r:id="rId1"/>
    <sheet name="Inputs" sheetId="2" r:id="rId2"/>
    <sheet name="Projects" sheetId="3" r:id="rId3"/>
    <sheet name="Pipeline" sheetId="4" r:id="rId4"/>
    <sheet name="Spend" sheetId="5" r:id="rId5"/>
    <sheet name="Results" sheetId="6" r:id="rId6"/>
    <sheet name="ModelRiskDSN" sheetId="7" state="hidden" r:id="rId7"/>
    <sheet name="ModelRiskSYS1" sheetId="8" state="hidden" r:id="rId8"/>
    <sheet name="ModelRiskCharts" sheetId="9" state="hidden" r:id="rId9"/>
  </sheets>
  <definedNames>
    <definedName name="Both_BH">Spend!$D$93</definedName>
    <definedName name="Both_CD">Spend!$D$94</definedName>
    <definedName name="Both_EF">Spend!$D$95</definedName>
    <definedName name="Budget">Inputs!$D$10</definedName>
    <definedName name="BudgetYears">Inputs!$D$11</definedName>
    <definedName name="ChartPort">Inputs!$D$17</definedName>
    <definedName name="Checks">Spend!$D$99:$D$102</definedName>
    <definedName name="CpyPh">Projects!$E$10:$I$10</definedName>
    <definedName name="Disc">Inputs!$D$13</definedName>
    <definedName name="DurPh">Projects!$E$9:$I$9</definedName>
    <definedName name="Fund_1">Projects!$E$29:$E$36</definedName>
    <definedName name="Fund_2">Projects!$F$29:$F$36</definedName>
    <definedName name="Fund_3">Projects!$G$29:$G$36</definedName>
    <definedName name="Fund_4">Projects!$H$29:$H$36</definedName>
    <definedName name="Launched_A">Pipeline!$K$20</definedName>
    <definedName name="Launched_B">Pipeline!$K$21</definedName>
    <definedName name="Launched_C">Pipeline!$K$22</definedName>
    <definedName name="Launched_D">Pipeline!$K$23</definedName>
    <definedName name="Launched_E">Pipeline!$K$24</definedName>
    <definedName name="Launched_F">Pipeline!$K$25</definedName>
    <definedName name="Launched_G">Pipeline!$K$26</definedName>
    <definedName name="Launched_H">Pipeline!$K$27</definedName>
    <definedName name="LaunchedCol">Pipeline!$K$20:$K$27</definedName>
    <definedName name="LaunchT_A">Pipeline!$K$34</definedName>
    <definedName name="LaunchT_B">Pipeline!$K$35</definedName>
    <definedName name="LaunchT_C">Pipeline!$K$36</definedName>
    <definedName name="LaunchT_D">Pipeline!$K$37</definedName>
    <definedName name="LaunchT_E">Pipeline!$K$38</definedName>
    <definedName name="LaunchT_F">Pipeline!$K$39</definedName>
    <definedName name="LaunchT_G">Pipeline!$K$40</definedName>
    <definedName name="LaunchT_H">Pipeline!$K$41</definedName>
    <definedName name="NPV_A">Pipeline!$H$48</definedName>
    <definedName name="NPV_B">Pipeline!$H$49</definedName>
    <definedName name="NPV_C">Pipeline!$H$50</definedName>
    <definedName name="NPV_D">Pipeline!$H$51</definedName>
    <definedName name="NPV_E">Pipeline!$H$52</definedName>
    <definedName name="NPV_F">Pipeline!$H$53</definedName>
    <definedName name="NPV_G">Pipeline!$H$54</definedName>
    <definedName name="NPV_H">Pipeline!$H$55</definedName>
    <definedName name="NPVCol">Pipeline!$H$48:$H$55</definedName>
    <definedName name="OCost_A">Spend!$D$85</definedName>
    <definedName name="OCost_B">Spend!$D$86</definedName>
    <definedName name="OCost_C">Spend!$D$87</definedName>
    <definedName name="OCost_D">Spend!$D$88</definedName>
    <definedName name="OCost_E">Spend!$D$89</definedName>
    <definedName name="OCost_F">Spend!$D$90</definedName>
    <definedName name="OCost_G">Spend!$D$91</definedName>
    <definedName name="OCost_H">Spend!$D$92</definedName>
    <definedName name="OLaunch_A">Spend!$D$77</definedName>
    <definedName name="OLaunch_B">Spend!$D$78</definedName>
    <definedName name="OLaunch_C">Spend!$D$79</definedName>
    <definedName name="OLaunch_D">Spend!$D$80</definedName>
    <definedName name="OLaunch_E">Spend!$D$81</definedName>
    <definedName name="OLaunch_F">Spend!$D$82</definedName>
    <definedName name="OLaunch_G">Spend!$D$83</definedName>
    <definedName name="OLaunch_H">Spend!$D$84</definedName>
    <definedName name="ONPV_A">Spend!$D$69</definedName>
    <definedName name="ONPV_B">Spend!$D$70</definedName>
    <definedName name="ONPV_C">Spend!$D$71</definedName>
    <definedName name="ONPV_D">Spend!$D$72</definedName>
    <definedName name="ONPV_E">Spend!$D$73</definedName>
    <definedName name="ONPV_F">Spend!$D$74</definedName>
    <definedName name="ONPV_G">Spend!$D$75</definedName>
    <definedName name="ONPV_H">Spend!$D$76</definedName>
    <definedName name="PLaunch_1">Spend!$D$57</definedName>
    <definedName name="PLaunch_2">Spend!$D$58</definedName>
    <definedName name="PLaunch_3">Spend!$D$59</definedName>
    <definedName name="PLaunch_4">Spend!$D$60</definedName>
    <definedName name="PNone_1">Spend!$D$61</definedName>
    <definedName name="PNone_2">Spend!$D$62</definedName>
    <definedName name="PNone_3">Spend!$D$63</definedName>
    <definedName name="PNone_4">Spend!$D$64</definedName>
    <definedName name="PNPV_1">Spend!$D$53</definedName>
    <definedName name="PNPV_2">Spend!$D$54</definedName>
    <definedName name="PNPV_3">Spend!$D$55</definedName>
    <definedName name="PNPV_4">Spend!$D$56</definedName>
    <definedName name="POver_1">Spend!$D$65</definedName>
    <definedName name="POver_2">Spend!$D$66</definedName>
    <definedName name="POver_3">Spend!$D$67</definedName>
    <definedName name="POver_4">Spend!$D$68</definedName>
    <definedName name="_xlnm.Print_Area" localSheetId="5">Results!$A$1:$R$54</definedName>
    <definedName name="_xlnm.Print_Titles" localSheetId="1">Inputs!$1:$4</definedName>
    <definedName name="_xlnm.Print_Titles" localSheetId="5">Results!$1:$4</definedName>
    <definedName name="_xlnm.Print_Titles" localSheetId="4">Spend!$6:$7,Spend!$A:$D</definedName>
    <definedName name="PrjStage">Projects!$D$16:$D$23</definedName>
    <definedName name="PVCost_A">Pipeline!$G$48</definedName>
    <definedName name="PVCost_B">Pipeline!$G$49</definedName>
    <definedName name="PVCost_C">Pipeline!$G$50</definedName>
    <definedName name="PVCost_D">Pipeline!$G$51</definedName>
    <definedName name="PVCost_E">Pipeline!$G$52</definedName>
    <definedName name="PVCost_F">Pipeline!$G$53</definedName>
    <definedName name="PVCost_G">Pipeline!$G$54</definedName>
    <definedName name="PVCost_H">Pipeline!$G$55</definedName>
    <definedName name="Rho">Inputs!$D$12</definedName>
    <definedName name="SimOpt_AccountDomain" hidden="1">""</definedName>
    <definedName name="SimOpt_AccountName" hidden="1">""</definedName>
    <definedName name="SimOpt_AccountPassword" hidden="1">""</definedName>
    <definedName name="SimOpt_CheckPrecisionAfter" hidden="1">10</definedName>
    <definedName name="SimOpt_GotoSample" hidden="1">0</definedName>
    <definedName name="SimOpt_Macros0" hidden="1">""</definedName>
    <definedName name="SimOpt_Macros1" hidden="1">""</definedName>
    <definedName name="SimOpt_Macros2" hidden="1">""</definedName>
    <definedName name="SimOpt_Macros3" hidden="1">""</definedName>
    <definedName name="SimOpt_MacrosUsage" hidden="1">0</definedName>
    <definedName name="SimOpt_MinSimBufferSize" hidden="1">0</definedName>
    <definedName name="SimOpt_RefreshExcel" hidden="1">0</definedName>
    <definedName name="SimOpt_RefreshRate" hidden="1">1</definedName>
    <definedName name="SimOpt_SamplesCount" hidden="1">10000</definedName>
    <definedName name="SimOpt_Seed0" hidden="1">1</definedName>
    <definedName name="SimOpt_SeedFixed" hidden="1">1</definedName>
    <definedName name="SimOpt_SeedMultiplyType" hidden="1">0</definedName>
    <definedName name="SimOpt_ServerAddress" hidden="1">""</definedName>
    <definedName name="SimOpt_ShowResultsAtEnd" hidden="1">1</definedName>
    <definedName name="SimOpt_ShowSparklines" hidden="1">0</definedName>
    <definedName name="SimOpt_SimsCount" hidden="1">1</definedName>
    <definedName name="SimOpt_SkipTurboConsistency" hidden="1">0</definedName>
    <definedName name="SimOpt_StopOnOutputError" hidden="1">0</definedName>
    <definedName name="SimOpt_TurboParityChecked" hidden="1">0</definedName>
    <definedName name="SimOpt_UploadEnabled" hidden="1">0</definedName>
    <definedName name="SimOpt_UploadModel" hidden="1">0</definedName>
    <definedName name="SimOpt_UploadProfile" hidden="1">"MODELRISK"</definedName>
    <definedName name="SimOpt_UploadRemotely" hidden="1">0</definedName>
    <definedName name="SimOpt_UseTurboByDefault" hidden="1">0</definedName>
    <definedName name="StageIdx">Pipeline!$C$20:$C$27</definedName>
    <definedName name="Stop_A">Pipeline!$J$34</definedName>
    <definedName name="Stop_B">Pipeline!$J$35</definedName>
    <definedName name="Stop_C">Pipeline!$J$36</definedName>
    <definedName name="Stop_D">Pipeline!$J$37</definedName>
    <definedName name="Stop_E">Pipeline!$J$38</definedName>
    <definedName name="Stop_F">Pipeline!$J$39</definedName>
    <definedName name="Stop_G">Pipeline!$J$40</definedName>
    <definedName name="Stop_H">Pipeline!$J$41</definedName>
    <definedName name="U_B">Pipeline!$D$9</definedName>
    <definedName name="U_C">Pipeline!$D$11</definedName>
    <definedName name="U_D">Pipeline!$D$12</definedName>
    <definedName name="U_E">Pipeline!$D$13</definedName>
    <definedName name="U_F">Pipeline!$D$14</definedName>
    <definedName name="U_H">Pipeline!$D$10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1" i="6" l="1"/>
  <c r="G120" i="6"/>
  <c r="G119" i="6"/>
  <c r="G118" i="6"/>
  <c r="G117" i="6"/>
  <c r="G116" i="6"/>
  <c r="G115" i="6"/>
  <c r="G114" i="6"/>
  <c r="G113" i="6"/>
  <c r="G112" i="6"/>
  <c r="B112"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36" i="6"/>
  <c r="C35" i="6"/>
  <c r="C34" i="6"/>
  <c r="C33" i="6"/>
  <c r="C32" i="6"/>
  <c r="C31" i="6"/>
  <c r="C30" i="6"/>
  <c r="C29" i="6"/>
  <c r="B17" i="6"/>
  <c r="B16" i="6"/>
  <c r="B15" i="6"/>
  <c r="B14" i="6"/>
  <c r="B13" i="6"/>
  <c r="D102" i="5"/>
  <c r="D100" i="5"/>
  <c r="F41" i="5"/>
  <c r="F9" i="5"/>
  <c r="G6" i="5"/>
  <c r="G9" i="5" s="1"/>
  <c r="C27" i="4"/>
  <c r="C26" i="4"/>
  <c r="E26" i="4" a="1"/>
  <c r="E26" i="4" s="1"/>
  <c r="C25" i="4"/>
  <c r="C24" i="4"/>
  <c r="D24" i="4" s="1" a="1"/>
  <c r="D24" i="4" s="1"/>
  <c r="C23" i="4"/>
  <c r="D23" i="4" s="1" a="1"/>
  <c r="D23" i="4" s="1"/>
  <c r="C22" i="4"/>
  <c r="E22" i="4" s="1" a="1"/>
  <c r="E22" i="4" s="1"/>
  <c r="E36" i="4"/>
  <c r="C21" i="4"/>
  <c r="D21" i="4" s="1" a="1"/>
  <c r="D21" i="4" s="1"/>
  <c r="C20" i="4"/>
  <c r="E20" i="4" s="1" a="1"/>
  <c r="E20" i="4" s="1"/>
  <c r="D13" i="4" a="1"/>
  <c r="D13" i="4" s="1"/>
  <c r="D11" i="4" a="1"/>
  <c r="D12" i="4" s="1"/>
  <c r="D9" i="4" a="1"/>
  <c r="D10" i="4" s="1"/>
  <c r="H37" i="3"/>
  <c r="G37" i="3"/>
  <c r="F37" i="3"/>
  <c r="E37" i="3"/>
  <c r="F20" i="4" a="1"/>
  <c r="F20" i="4" s="1"/>
  <c r="D20" i="4" a="1"/>
  <c r="D20" i="4"/>
  <c r="E21" i="4" a="1"/>
  <c r="E21" i="4" s="1"/>
  <c r="D22" i="4" a="1"/>
  <c r="D22" i="4" s="1"/>
  <c r="D35" i="4"/>
  <c r="D41" i="4"/>
  <c r="E41" i="4"/>
  <c r="F41" i="4"/>
  <c r="G41" i="4"/>
  <c r="H41" i="4"/>
  <c r="K41" i="4" s="1"/>
  <c r="D40" i="4"/>
  <c r="D37" i="4"/>
  <c r="E37" i="4" s="1"/>
  <c r="F37" i="4" s="1"/>
  <c r="G37" i="4" s="1"/>
  <c r="H37" i="4" s="1"/>
  <c r="K37" i="4" s="1"/>
  <c r="D38" i="4"/>
  <c r="E38" i="4" s="1"/>
  <c r="F38" i="4" s="1"/>
  <c r="E34" i="4"/>
  <c r="D99" i="5"/>
  <c r="D34" i="4"/>
  <c r="B113" i="6"/>
  <c r="D39" i="4"/>
  <c r="E39" i="4"/>
  <c r="F39" i="4" s="1"/>
  <c r="G39" i="4" s="1"/>
  <c r="H6" i="5"/>
  <c r="F34" i="4"/>
  <c r="G34" i="4" s="1"/>
  <c r="H34" i="4" s="1"/>
  <c r="K34" i="4" s="1"/>
  <c r="B114" i="6"/>
  <c r="E50" i="4" a="1"/>
  <c r="E48" i="4" a="1"/>
  <c r="D27" i="4" a="1"/>
  <c r="G27" i="4" a="1"/>
  <c r="G21" i="4" a="1"/>
  <c r="H23" i="4" a="1"/>
  <c r="H22" i="4" a="1"/>
  <c r="G25" i="4" a="1"/>
  <c r="H20" i="4" a="1"/>
  <c r="G24" i="4" a="1"/>
  <c r="E23" i="4" a="1"/>
  <c r="F27" i="4" a="1"/>
  <c r="H25" i="4" a="1"/>
  <c r="E51" i="4" a="1"/>
  <c r="E55" i="4" a="1"/>
  <c r="E25" i="4" a="1"/>
  <c r="G20" i="4" a="1"/>
  <c r="H27" i="4" a="1"/>
  <c r="E27" i="4" a="1"/>
  <c r="E53" i="4" a="1"/>
  <c r="H24" i="4" a="1"/>
  <c r="G23" i="4" a="1"/>
  <c r="F23" i="4" a="1"/>
  <c r="G22" i="4" a="1"/>
  <c r="D25" i="4" a="1"/>
  <c r="H26" i="4" a="1"/>
  <c r="E54" i="4" a="1"/>
  <c r="E52" i="4" a="1"/>
  <c r="H21" i="4" a="1"/>
  <c r="E49" i="4" a="1"/>
  <c r="E24" i="4" a="1"/>
  <c r="F24" i="4" a="1"/>
  <c r="G26" i="4" a="1"/>
  <c r="D36" i="4" l="1"/>
  <c r="F36" i="4"/>
  <c r="G36" i="4" s="1"/>
  <c r="H36" i="4" s="1"/>
  <c r="K36" i="4" s="1"/>
  <c r="E35" i="4"/>
  <c r="F35" i="4" s="1"/>
  <c r="G35" i="4" s="1"/>
  <c r="H35" i="4" s="1"/>
  <c r="K35" i="4" s="1"/>
  <c r="H9" i="5"/>
  <c r="I6" i="5"/>
  <c r="B115" i="6" s="1"/>
  <c r="G41" i="5"/>
  <c r="H41" i="5"/>
  <c r="G26" i="4"/>
  <c r="F24" i="4"/>
  <c r="E24" i="4"/>
  <c r="E49" i="4"/>
  <c r="H21" i="4"/>
  <c r="E52" i="4"/>
  <c r="E54" i="4"/>
  <c r="H26" i="4"/>
  <c r="D25" i="4"/>
  <c r="G22" i="4"/>
  <c r="F23" i="4"/>
  <c r="G23" i="4"/>
  <c r="H24" i="4"/>
  <c r="E53" i="4"/>
  <c r="E27" i="4"/>
  <c r="H27" i="4"/>
  <c r="G20" i="4"/>
  <c r="E25" i="4"/>
  <c r="E55" i="4"/>
  <c r="E51" i="4"/>
  <c r="H25" i="4"/>
  <c r="F27" i="4"/>
  <c r="E23" i="4"/>
  <c r="G24" i="4"/>
  <c r="H20" i="4"/>
  <c r="G25" i="4"/>
  <c r="H22" i="4"/>
  <c r="H23" i="4"/>
  <c r="G21" i="4"/>
  <c r="G27" i="4"/>
  <c r="D27" i="4"/>
  <c r="E48" i="4"/>
  <c r="E50" i="4"/>
  <c r="H39" i="4"/>
  <c r="K39" i="4" s="1"/>
  <c r="D11" i="4"/>
  <c r="G38" i="4"/>
  <c r="H38" i="4" s="1"/>
  <c r="K38" i="4" s="1"/>
  <c r="E40" i="4"/>
  <c r="D14" i="4"/>
  <c r="D9" i="4"/>
  <c r="F40" i="4"/>
  <c r="G40" i="4" s="1"/>
  <c r="H40" i="4" s="1"/>
  <c r="K40" i="4" s="1"/>
  <c r="D26" i="4" a="1"/>
  <c r="D26" i="4" s="1"/>
  <c r="F22" i="4" a="1"/>
  <c r="F25" i="4" a="1"/>
  <c r="F26" i="4" a="1"/>
  <c r="F21" i="4" a="1"/>
  <c r="J24" i="4" l="1"/>
  <c r="J20" i="4"/>
  <c r="J23" i="4"/>
  <c r="J25" i="4"/>
  <c r="J39" i="4" s="1" a="1"/>
  <c r="J39" i="4" s="1"/>
  <c r="I18" i="5" s="1"/>
  <c r="I30" i="5" s="1" a="1"/>
  <c r="I30" i="5" s="1"/>
  <c r="J27" i="4"/>
  <c r="J41" i="4" s="1" a="1"/>
  <c r="J41" i="4" s="1"/>
  <c r="I41" i="5"/>
  <c r="I9" i="5"/>
  <c r="J6" i="5"/>
  <c r="B116" i="6" s="1"/>
  <c r="F21" i="4"/>
  <c r="J21" i="4" s="1"/>
  <c r="F26" i="4"/>
  <c r="J26" i="4" s="1"/>
  <c r="F25" i="4"/>
  <c r="F22" i="4"/>
  <c r="J22" i="4" s="1"/>
  <c r="J37" i="4" a="1"/>
  <c r="J37" i="4" s="1"/>
  <c r="I16" i="5" s="1"/>
  <c r="I28" i="5" s="1" a="1"/>
  <c r="I28" i="5" s="1"/>
  <c r="K23" i="4" a="1"/>
  <c r="K23" i="4" s="1"/>
  <c r="J34" i="4" a="1"/>
  <c r="J34" i="4" s="1"/>
  <c r="I13" i="5" s="1"/>
  <c r="I25" i="5" s="1" a="1"/>
  <c r="I25" i="5" s="1"/>
  <c r="K20" i="4" a="1"/>
  <c r="K20" i="4" s="1"/>
  <c r="K24" i="4" a="1"/>
  <c r="K24" i="4" s="1"/>
  <c r="J38" i="4" a="1"/>
  <c r="J38" i="4" s="1"/>
  <c r="I17" i="5" s="1"/>
  <c r="I29" i="5" s="1" a="1"/>
  <c r="I29" i="5" s="1"/>
  <c r="K25" i="4" l="1" a="1"/>
  <c r="K25" i="4" s="1"/>
  <c r="D53" i="4" s="1"/>
  <c r="F53" i="4" s="1"/>
  <c r="K27" i="4" a="1"/>
  <c r="K27" i="4" s="1"/>
  <c r="F20" i="5"/>
  <c r="F32" i="5" s="1" a="1"/>
  <c r="F32" i="5" s="1"/>
  <c r="G20" i="5"/>
  <c r="G32" i="5" s="1" a="1"/>
  <c r="G32" i="5" s="1"/>
  <c r="H20" i="5"/>
  <c r="H32" i="5" s="1" a="1"/>
  <c r="H32" i="5" s="1"/>
  <c r="D82" i="5" a="1"/>
  <c r="D82" i="5" s="1"/>
  <c r="F18" i="5"/>
  <c r="F30" i="5" s="1" a="1"/>
  <c r="F30" i="5" s="1"/>
  <c r="H18" i="5"/>
  <c r="H30" i="5" s="1" a="1"/>
  <c r="H30" i="5" s="1"/>
  <c r="G18" i="5"/>
  <c r="G30" i="5" s="1" a="1"/>
  <c r="G30" i="5" s="1"/>
  <c r="D48" i="4"/>
  <c r="F48" i="4" s="1"/>
  <c r="D77" i="5" a="1"/>
  <c r="D77" i="5" s="1"/>
  <c r="F13" i="5"/>
  <c r="F25" i="5" s="1" a="1"/>
  <c r="F25" i="5" s="1"/>
  <c r="G13" i="5"/>
  <c r="G25" i="5" s="1" a="1"/>
  <c r="G25" i="5" s="1"/>
  <c r="H13" i="5"/>
  <c r="H25" i="5" s="1" a="1"/>
  <c r="H25" i="5" s="1"/>
  <c r="F17" i="5"/>
  <c r="F29" i="5" s="1" a="1"/>
  <c r="F29" i="5" s="1"/>
  <c r="H17" i="5"/>
  <c r="H29" i="5" s="1" a="1"/>
  <c r="H29" i="5" s="1"/>
  <c r="G17" i="5"/>
  <c r="G29" i="5" s="1" a="1"/>
  <c r="G29" i="5" s="1"/>
  <c r="D51" i="4"/>
  <c r="F51" i="4" s="1"/>
  <c r="D80" i="5" a="1"/>
  <c r="D80" i="5" s="1"/>
  <c r="J18" i="5"/>
  <c r="J30" i="5" s="1" a="1"/>
  <c r="J30" i="5" s="1"/>
  <c r="J16" i="5"/>
  <c r="J28" i="5" s="1" a="1"/>
  <c r="J28" i="5" s="1"/>
  <c r="J13" i="5"/>
  <c r="J25" i="5" s="1" a="1"/>
  <c r="J25" i="5" s="1"/>
  <c r="J20" i="5"/>
  <c r="J32" i="5" s="1" a="1"/>
  <c r="J32" i="5" s="1"/>
  <c r="J9" i="5"/>
  <c r="K6" i="5"/>
  <c r="B117" i="6" s="1"/>
  <c r="J41" i="5"/>
  <c r="J17" i="5"/>
  <c r="J29" i="5" s="1" a="1"/>
  <c r="J29" i="5" s="1"/>
  <c r="D52" i="4"/>
  <c r="F52" i="4" s="1"/>
  <c r="D81" i="5" a="1"/>
  <c r="D81" i="5" s="1"/>
  <c r="D95" i="5" a="1"/>
  <c r="D95" i="5" s="1"/>
  <c r="H16" i="5"/>
  <c r="H28" i="5" s="1" a="1"/>
  <c r="H28" i="5" s="1"/>
  <c r="F16" i="5"/>
  <c r="F28" i="5" s="1" a="1"/>
  <c r="F28" i="5" s="1"/>
  <c r="G16" i="5"/>
  <c r="G28" i="5" s="1" a="1"/>
  <c r="G28" i="5" s="1"/>
  <c r="D55" i="4"/>
  <c r="F55" i="4" s="1"/>
  <c r="D84" i="5" a="1"/>
  <c r="D84" i="5" s="1"/>
  <c r="I20" i="5"/>
  <c r="I32" i="5" s="1" a="1"/>
  <c r="I32" i="5" s="1"/>
  <c r="J40" i="4" a="1"/>
  <c r="J40" i="4" s="1"/>
  <c r="J19" i="5" s="1"/>
  <c r="J31" i="5" s="1" a="1"/>
  <c r="J31" i="5" s="1"/>
  <c r="K26" i="4" a="1"/>
  <c r="K26" i="4" s="1"/>
  <c r="J35" i="4" a="1"/>
  <c r="J35" i="4" s="1"/>
  <c r="J14" i="5" s="1"/>
  <c r="J26" i="5" s="1" a="1"/>
  <c r="J26" i="5" s="1"/>
  <c r="K21" i="4" a="1"/>
  <c r="K21" i="4" s="1"/>
  <c r="J36" i="4" a="1"/>
  <c r="J36" i="4" s="1"/>
  <c r="J15" i="5" s="1"/>
  <c r="J27" i="5" s="1" a="1"/>
  <c r="J27" i="5" s="1"/>
  <c r="K22" i="4" a="1"/>
  <c r="K22" i="4" s="1"/>
  <c r="D29" i="6" a="1"/>
  <c r="D36" i="6" a="1"/>
  <c r="D34" i="6" a="1"/>
  <c r="D33" i="6" a="1"/>
  <c r="C47" i="6" a="1"/>
  <c r="D32" i="6" a="1"/>
  <c r="D60" i="5" l="1" a="1"/>
  <c r="D60" i="5" s="1"/>
  <c r="D32" i="6"/>
  <c r="C47" i="6"/>
  <c r="D33" i="6"/>
  <c r="D34" i="6"/>
  <c r="D36" i="6"/>
  <c r="D29" i="6"/>
  <c r="D64" i="5" a="1"/>
  <c r="D64" i="5" s="1"/>
  <c r="D49" i="4"/>
  <c r="F49" i="4" s="1"/>
  <c r="D78" i="5" a="1"/>
  <c r="D78" i="5" s="1"/>
  <c r="D93" i="5" a="1"/>
  <c r="D93" i="5" s="1"/>
  <c r="D59" i="5" a="1"/>
  <c r="D59" i="5" s="1"/>
  <c r="D50" i="4"/>
  <c r="F50" i="4" s="1"/>
  <c r="D79" i="5" a="1"/>
  <c r="D79" i="5" s="1"/>
  <c r="D94" i="5" a="1"/>
  <c r="D94" i="5" s="1"/>
  <c r="D58" i="5" a="1"/>
  <c r="D58" i="5" s="1"/>
  <c r="G15" i="5"/>
  <c r="G27" i="5" s="1" a="1"/>
  <c r="G27" i="5" s="1"/>
  <c r="F15" i="5"/>
  <c r="F27" i="5" s="1" a="1"/>
  <c r="F27" i="5" s="1"/>
  <c r="H15" i="5"/>
  <c r="H27" i="5" s="1" a="1"/>
  <c r="H27" i="5" s="1"/>
  <c r="I15" i="5"/>
  <c r="I27" i="5" s="1" a="1"/>
  <c r="I27" i="5" s="1"/>
  <c r="D57" i="5" a="1"/>
  <c r="D57" i="5" s="1"/>
  <c r="J39" i="5"/>
  <c r="J48" i="5" s="1"/>
  <c r="J38" i="5"/>
  <c r="J47" i="5" s="1"/>
  <c r="J36" i="5"/>
  <c r="J45" i="5" s="1"/>
  <c r="J37" i="5"/>
  <c r="G19" i="5"/>
  <c r="G31" i="5" s="1" a="1"/>
  <c r="G31" i="5" s="1"/>
  <c r="F19" i="5"/>
  <c r="F31" i="5" s="1" a="1"/>
  <c r="F31" i="5" s="1"/>
  <c r="H19" i="5"/>
  <c r="H31" i="5" s="1" a="1"/>
  <c r="H31" i="5" s="1"/>
  <c r="I19" i="5"/>
  <c r="I31" i="5" s="1" a="1"/>
  <c r="I31" i="5" s="1"/>
  <c r="G14" i="5"/>
  <c r="G26" i="5" s="1" a="1"/>
  <c r="G26" i="5" s="1"/>
  <c r="G36" i="5" s="1"/>
  <c r="G45" i="5" s="1"/>
  <c r="F14" i="5"/>
  <c r="F26" i="5" s="1" a="1"/>
  <c r="F26" i="5" s="1"/>
  <c r="H14" i="5"/>
  <c r="H26" i="5" s="1" a="1"/>
  <c r="H26" i="5" s="1"/>
  <c r="I14" i="5"/>
  <c r="I26" i="5" s="1" a="1"/>
  <c r="I26" i="5" s="1"/>
  <c r="D54" i="4"/>
  <c r="F54" i="4" s="1"/>
  <c r="D83" i="5" a="1"/>
  <c r="D83" i="5" s="1"/>
  <c r="K9" i="5"/>
  <c r="K41" i="5"/>
  <c r="K17" i="5"/>
  <c r="K29" i="5" s="1" a="1"/>
  <c r="K29" i="5" s="1"/>
  <c r="K20" i="5"/>
  <c r="K32" i="5" s="1" a="1"/>
  <c r="K32" i="5" s="1"/>
  <c r="K14" i="5"/>
  <c r="K26" i="5" s="1" a="1"/>
  <c r="K26" i="5" s="1"/>
  <c r="L6" i="5"/>
  <c r="B118" i="6" s="1"/>
  <c r="K13" i="5"/>
  <c r="K25" i="5" s="1" a="1"/>
  <c r="K25" i="5" s="1"/>
  <c r="K15" i="5"/>
  <c r="K27" i="5" s="1" a="1"/>
  <c r="K27" i="5" s="1"/>
  <c r="K18" i="5"/>
  <c r="K30" i="5" s="1" a="1"/>
  <c r="K30" i="5" s="1"/>
  <c r="K16" i="5"/>
  <c r="K28" i="5" s="1" a="1"/>
  <c r="K28" i="5" s="1"/>
  <c r="K19" i="5"/>
  <c r="K31" i="5" s="1" a="1"/>
  <c r="K31" i="5" s="1"/>
  <c r="E16" i="6" a="1"/>
  <c r="E15" i="6" a="1"/>
  <c r="E13" i="6" a="1"/>
  <c r="D31" i="6" a="1"/>
  <c r="C46" i="6" a="1"/>
  <c r="F16" i="6" a="1"/>
  <c r="E14" i="6" a="1"/>
  <c r="D30" i="6" a="1"/>
  <c r="C45" i="6" a="1"/>
  <c r="D35" i="6" a="1"/>
  <c r="F36" i="5" l="1"/>
  <c r="F45" i="5" s="1"/>
  <c r="H37" i="5"/>
  <c r="H40" i="5" s="1" a="1"/>
  <c r="H40" i="5" s="1"/>
  <c r="F38" i="5"/>
  <c r="E16" i="6"/>
  <c r="G37" i="5"/>
  <c r="G40" i="5" s="1" a="1"/>
  <c r="G40" i="5" s="1"/>
  <c r="D47" i="6"/>
  <c r="E47" i="6" s="1"/>
  <c r="D35" i="6"/>
  <c r="C45" i="6"/>
  <c r="D30" i="6"/>
  <c r="D45" i="6" s="1"/>
  <c r="E14" i="6"/>
  <c r="F16" i="6"/>
  <c r="C46" i="6"/>
  <c r="D31" i="6"/>
  <c r="D46" i="6" s="1"/>
  <c r="E13" i="6"/>
  <c r="E15" i="6"/>
  <c r="F39" i="5"/>
  <c r="F48" i="5" s="1"/>
  <c r="G39" i="5"/>
  <c r="G48" i="5" s="1"/>
  <c r="H39" i="5"/>
  <c r="H48" i="5" s="1"/>
  <c r="H38" i="5"/>
  <c r="H47" i="5" s="1"/>
  <c r="D62" i="5" a="1"/>
  <c r="D62" i="5" s="1"/>
  <c r="F37" i="5"/>
  <c r="F40" i="5" s="1" a="1"/>
  <c r="F40" i="5" s="1"/>
  <c r="D61" i="5" a="1"/>
  <c r="D61" i="5" s="1"/>
  <c r="D63" i="5" a="1"/>
  <c r="D63" i="5" s="1"/>
  <c r="H36" i="5"/>
  <c r="H45" i="5" s="1"/>
  <c r="G38" i="5"/>
  <c r="G47" i="5" s="1"/>
  <c r="I37" i="5"/>
  <c r="I39" i="5"/>
  <c r="I48" i="5" s="1"/>
  <c r="I38" i="5"/>
  <c r="I47" i="5" s="1"/>
  <c r="I36" i="5"/>
  <c r="I45" i="5" s="1"/>
  <c r="L19" i="5"/>
  <c r="L31" i="5" s="1" a="1"/>
  <c r="L31" i="5" s="1"/>
  <c r="L14" i="5"/>
  <c r="L26" i="5" s="1" a="1"/>
  <c r="L26" i="5" s="1"/>
  <c r="L41" i="5"/>
  <c r="L17" i="5"/>
  <c r="L29" i="5" s="1" a="1"/>
  <c r="L29" i="5" s="1"/>
  <c r="L18" i="5"/>
  <c r="L30" i="5" s="1" a="1"/>
  <c r="L30" i="5" s="1"/>
  <c r="L15" i="5"/>
  <c r="L27" i="5" s="1" a="1"/>
  <c r="L27" i="5" s="1"/>
  <c r="L20" i="5"/>
  <c r="L32" i="5" s="1" a="1"/>
  <c r="L32" i="5" s="1"/>
  <c r="L13" i="5"/>
  <c r="L25" i="5" s="1" a="1"/>
  <c r="L25" i="5" s="1"/>
  <c r="L16" i="5"/>
  <c r="L28" i="5" s="1" a="1"/>
  <c r="L28" i="5" s="1"/>
  <c r="L9" i="5"/>
  <c r="M6" i="5"/>
  <c r="B119" i="6" s="1"/>
  <c r="J40" i="5" a="1"/>
  <c r="J40" i="5" s="1"/>
  <c r="J46" i="5"/>
  <c r="F47" i="5"/>
  <c r="K38" i="5"/>
  <c r="K47" i="5" s="1"/>
  <c r="K36" i="5"/>
  <c r="K45" i="5" s="1"/>
  <c r="K39" i="5"/>
  <c r="K48" i="5" s="1"/>
  <c r="K37" i="5"/>
  <c r="E112" i="6" a="1"/>
  <c r="C112" i="6" a="1"/>
  <c r="F112" i="6" a="1"/>
  <c r="D112" i="6" a="1"/>
  <c r="F114" i="6" a="1"/>
  <c r="E114" i="6" a="1"/>
  <c r="C114" i="6" a="1"/>
  <c r="D114" i="6" a="1"/>
  <c r="F14" i="6" a="1"/>
  <c r="F13" i="6" a="1"/>
  <c r="F116" i="6" a="1"/>
  <c r="E116" i="6" a="1"/>
  <c r="C116" i="6" a="1"/>
  <c r="D116" i="6" a="1"/>
  <c r="F15" i="6" a="1"/>
  <c r="E113" i="6" a="1"/>
  <c r="C113" i="6" a="1"/>
  <c r="F113" i="6" a="1"/>
  <c r="D113" i="6" a="1"/>
  <c r="H46" i="5" l="1"/>
  <c r="G46" i="5"/>
  <c r="F46" i="5"/>
  <c r="D113" i="6"/>
  <c r="F113" i="6"/>
  <c r="C113" i="6"/>
  <c r="E113" i="6"/>
  <c r="F15" i="6"/>
  <c r="D116" i="6"/>
  <c r="C116" i="6"/>
  <c r="E116" i="6"/>
  <c r="F116" i="6"/>
  <c r="F13" i="6"/>
  <c r="F14" i="6"/>
  <c r="D114" i="6"/>
  <c r="C114" i="6"/>
  <c r="E114" i="6"/>
  <c r="F114" i="6"/>
  <c r="D112" i="6"/>
  <c r="F112" i="6"/>
  <c r="C112" i="6"/>
  <c r="E112" i="6"/>
  <c r="E46" i="6"/>
  <c r="E45" i="6"/>
  <c r="L38" i="5"/>
  <c r="L36" i="5"/>
  <c r="L45" i="5" s="1"/>
  <c r="L39" i="5"/>
  <c r="L48" i="5" s="1"/>
  <c r="L37" i="5"/>
  <c r="I40" i="5" a="1"/>
  <c r="I40" i="5" s="1"/>
  <c r="I46" i="5"/>
  <c r="M14" i="5"/>
  <c r="M26" i="5" s="1" a="1"/>
  <c r="M26" i="5" s="1"/>
  <c r="M9" i="5"/>
  <c r="M20" i="5"/>
  <c r="M32" i="5" s="1" a="1"/>
  <c r="M32" i="5" s="1"/>
  <c r="M41" i="5"/>
  <c r="M17" i="5"/>
  <c r="M29" i="5" s="1" a="1"/>
  <c r="M29" i="5" s="1"/>
  <c r="M19" i="5"/>
  <c r="M31" i="5" s="1" a="1"/>
  <c r="M31" i="5" s="1"/>
  <c r="M15" i="5"/>
  <c r="M27" i="5" s="1" a="1"/>
  <c r="M27" i="5" s="1"/>
  <c r="N6" i="5"/>
  <c r="B120" i="6" s="1"/>
  <c r="M16" i="5"/>
  <c r="M28" i="5" s="1" a="1"/>
  <c r="M28" i="5" s="1"/>
  <c r="M18" i="5"/>
  <c r="M30" i="5" s="1" a="1"/>
  <c r="M30" i="5" s="1"/>
  <c r="M13" i="5"/>
  <c r="M25" i="5" s="1" a="1"/>
  <c r="M25" i="5" s="1"/>
  <c r="K40" i="5" a="1"/>
  <c r="K40" i="5" s="1"/>
  <c r="K46" i="5"/>
  <c r="D117" i="6" a="1"/>
  <c r="F117" i="6" a="1"/>
  <c r="E117" i="6" a="1"/>
  <c r="C117" i="6" a="1"/>
  <c r="F115" i="6" a="1"/>
  <c r="E115" i="6" a="1"/>
  <c r="C115" i="6" a="1"/>
  <c r="D115" i="6" a="1"/>
  <c r="D115" i="6" l="1"/>
  <c r="C115" i="6"/>
  <c r="E115" i="6"/>
  <c r="F115" i="6"/>
  <c r="C117" i="6"/>
  <c r="E117" i="6"/>
  <c r="F117" i="6"/>
  <c r="D117" i="6"/>
  <c r="N18" i="5"/>
  <c r="N30" i="5" s="1" a="1"/>
  <c r="N30" i="5" s="1"/>
  <c r="N20" i="5"/>
  <c r="N32" i="5" s="1" a="1"/>
  <c r="N32" i="5" s="1"/>
  <c r="N13" i="5"/>
  <c r="N25" i="5" s="1" a="1"/>
  <c r="N25" i="5" s="1"/>
  <c r="O6" i="5"/>
  <c r="B121" i="6" s="1"/>
  <c r="N14" i="5"/>
  <c r="N26" i="5" s="1" a="1"/>
  <c r="N26" i="5" s="1"/>
  <c r="N17" i="5"/>
  <c r="N29" i="5" s="1" a="1"/>
  <c r="N29" i="5" s="1"/>
  <c r="N9" i="5"/>
  <c r="N15" i="5"/>
  <c r="N27" i="5" s="1" a="1"/>
  <c r="N27" i="5" s="1"/>
  <c r="N41" i="5"/>
  <c r="N19" i="5"/>
  <c r="N31" i="5" s="1" a="1"/>
  <c r="N31" i="5" s="1"/>
  <c r="N16" i="5"/>
  <c r="N28" i="5" s="1" a="1"/>
  <c r="N28" i="5" s="1"/>
  <c r="L40" i="5" a="1"/>
  <c r="L40" i="5" s="1"/>
  <c r="L46" i="5"/>
  <c r="M36" i="5"/>
  <c r="M38" i="5"/>
  <c r="M47" i="5" s="1"/>
  <c r="M39" i="5"/>
  <c r="M37" i="5"/>
  <c r="L47" i="5"/>
  <c r="F118" i="6" a="1"/>
  <c r="E118" i="6" a="1"/>
  <c r="C118" i="6" a="1"/>
  <c r="D118" i="6" a="1"/>
  <c r="D118" i="6" l="1"/>
  <c r="C118" i="6"/>
  <c r="E118" i="6"/>
  <c r="F118" i="6"/>
  <c r="M48" i="5"/>
  <c r="M40" i="5" a="1"/>
  <c r="M40" i="5" s="1"/>
  <c r="M46" i="5"/>
  <c r="M45" i="5"/>
  <c r="O15" i="5"/>
  <c r="O27" i="5" s="1" a="1"/>
  <c r="O27" i="5" s="1"/>
  <c r="D27" i="5" s="1"/>
  <c r="O19" i="5"/>
  <c r="O31" i="5" s="1" a="1"/>
  <c r="O31" i="5" s="1"/>
  <c r="O16" i="5"/>
  <c r="O28" i="5" s="1" a="1"/>
  <c r="O28" i="5" s="1"/>
  <c r="O17" i="5"/>
  <c r="O29" i="5" s="1" a="1"/>
  <c r="O29" i="5" s="1"/>
  <c r="O18" i="5"/>
  <c r="O30" i="5" s="1" a="1"/>
  <c r="O30" i="5" s="1"/>
  <c r="O9" i="5"/>
  <c r="O20" i="5"/>
  <c r="O32" i="5" s="1" a="1"/>
  <c r="O32" i="5" s="1"/>
  <c r="O14" i="5"/>
  <c r="O26" i="5" s="1" a="1"/>
  <c r="O26" i="5" s="1"/>
  <c r="D26" i="5" s="1"/>
  <c r="O13" i="5"/>
  <c r="O25" i="5" s="1" a="1"/>
  <c r="O25" i="5" s="1"/>
  <c r="D25" i="5" s="1"/>
  <c r="O41" i="5"/>
  <c r="D101" i="5"/>
  <c r="B7" i="6" s="1"/>
  <c r="N39" i="5"/>
  <c r="N48" i="5" s="1"/>
  <c r="N37" i="5"/>
  <c r="N36" i="5"/>
  <c r="N45" i="5" s="1"/>
  <c r="N38" i="5"/>
  <c r="N47" i="5" s="1"/>
  <c r="F119" i="6" a="1"/>
  <c r="C119" i="6" a="1"/>
  <c r="D119" i="6" a="1"/>
  <c r="E119" i="6" a="1"/>
  <c r="G54" i="4" l="1"/>
  <c r="D91" i="5" s="1" a="1"/>
  <c r="D91" i="5" s="1"/>
  <c r="E119" i="6"/>
  <c r="D119" i="6"/>
  <c r="C119" i="6"/>
  <c r="F119" i="6"/>
  <c r="D30" i="5"/>
  <c r="G53" i="4"/>
  <c r="O37" i="5"/>
  <c r="O36" i="5"/>
  <c r="O45" i="5" s="1"/>
  <c r="D45" i="5" s="1"/>
  <c r="D65" i="5" s="1" a="1"/>
  <c r="D65" i="5" s="1"/>
  <c r="O39" i="5"/>
  <c r="O48" i="5" s="1"/>
  <c r="D48" i="5" s="1"/>
  <c r="D68" i="5" s="1" a="1"/>
  <c r="D68" i="5" s="1"/>
  <c r="O38" i="5"/>
  <c r="G48" i="4"/>
  <c r="G49" i="4"/>
  <c r="N40" i="5" a="1"/>
  <c r="N40" i="5" s="1"/>
  <c r="N46" i="5"/>
  <c r="G55" i="4"/>
  <c r="D32" i="5"/>
  <c r="D31" i="5"/>
  <c r="G52" i="4"/>
  <c r="D29" i="5"/>
  <c r="G51" i="4"/>
  <c r="D28" i="5"/>
  <c r="G50" i="4"/>
  <c r="F35" i="6" a="1"/>
  <c r="F120" i="6" a="1"/>
  <c r="E120" i="6" a="1"/>
  <c r="D120" i="6" a="1"/>
  <c r="C120" i="6" a="1"/>
  <c r="G13" i="6" a="1"/>
  <c r="G16" i="6" a="1"/>
  <c r="H54" i="4" l="1"/>
  <c r="D75" i="5" s="1" a="1"/>
  <c r="D75" i="5" s="1"/>
  <c r="G16" i="6"/>
  <c r="G13" i="6"/>
  <c r="C120" i="6"/>
  <c r="D120" i="6"/>
  <c r="E120" i="6"/>
  <c r="F120" i="6"/>
  <c r="F35" i="6"/>
  <c r="D39" i="5"/>
  <c r="D90" i="5" a="1"/>
  <c r="D90" i="5" s="1"/>
  <c r="H53" i="4"/>
  <c r="D74" i="5" s="1" a="1"/>
  <c r="D74" i="5" s="1"/>
  <c r="D87" i="5" a="1"/>
  <c r="D87" i="5" s="1"/>
  <c r="H50" i="4"/>
  <c r="D71" i="5" s="1" a="1"/>
  <c r="D71" i="5" s="1"/>
  <c r="D86" i="5" a="1"/>
  <c r="D86" i="5" s="1"/>
  <c r="H49" i="4"/>
  <c r="D70" i="5" s="1" a="1"/>
  <c r="D70" i="5" s="1"/>
  <c r="D36" i="5"/>
  <c r="D85" i="5" a="1"/>
  <c r="D85" i="5" s="1"/>
  <c r="H48" i="4"/>
  <c r="D88" i="5" a="1"/>
  <c r="D88" i="5" s="1"/>
  <c r="H51" i="4"/>
  <c r="D72" i="5" s="1" a="1"/>
  <c r="D72" i="5" s="1"/>
  <c r="D92" i="5" a="1"/>
  <c r="D92" i="5" s="1"/>
  <c r="H55" i="4"/>
  <c r="D76" i="5" s="1" a="1"/>
  <c r="D76" i="5" s="1"/>
  <c r="D38" i="5"/>
  <c r="O47" i="5"/>
  <c r="D47" i="5" s="1"/>
  <c r="D67" i="5" s="1" a="1"/>
  <c r="D67" i="5" s="1"/>
  <c r="D89" i="5" a="1"/>
  <c r="D89" i="5" s="1"/>
  <c r="H52" i="4"/>
  <c r="D73" i="5" s="1" a="1"/>
  <c r="D73" i="5" s="1"/>
  <c r="O40" i="5" a="1"/>
  <c r="O40" i="5" s="1"/>
  <c r="O46" i="5"/>
  <c r="D46" i="5" s="1"/>
  <c r="D66" i="5" s="1" a="1"/>
  <c r="D66" i="5" s="1"/>
  <c r="D37" i="5"/>
  <c r="E35" i="6" a="1"/>
  <c r="F31" i="6" a="1"/>
  <c r="E32" i="6" a="1"/>
  <c r="G14" i="6" a="1"/>
  <c r="E31" i="6" a="1"/>
  <c r="F36" i="6" a="1"/>
  <c r="F30" i="6" a="1"/>
  <c r="E36" i="6" a="1"/>
  <c r="E30" i="6" a="1"/>
  <c r="G15" i="6" a="1"/>
  <c r="F29" i="6" a="1"/>
  <c r="F33" i="6" a="1"/>
  <c r="F34" i="6" a="1"/>
  <c r="E33" i="6" a="1"/>
  <c r="E34" i="6" a="1"/>
  <c r="F32" i="6" a="1"/>
  <c r="E121" i="6" a="1"/>
  <c r="D121" i="6" a="1"/>
  <c r="C121" i="6" a="1"/>
  <c r="F121" i="6" a="1"/>
  <c r="E35" i="6" l="1"/>
  <c r="G35" i="6" s="1"/>
  <c r="F121" i="6"/>
  <c r="C121" i="6"/>
  <c r="D121" i="6"/>
  <c r="E121" i="6"/>
  <c r="F32" i="6"/>
  <c r="E34" i="6"/>
  <c r="E33" i="6"/>
  <c r="F34" i="6"/>
  <c r="F33" i="6"/>
  <c r="F29" i="6"/>
  <c r="G15" i="6"/>
  <c r="E30" i="6"/>
  <c r="E36" i="6"/>
  <c r="F30" i="6"/>
  <c r="F36" i="6"/>
  <c r="E31" i="6"/>
  <c r="G14" i="6"/>
  <c r="E32" i="6"/>
  <c r="F31" i="6"/>
  <c r="D53" i="5" a="1"/>
  <c r="D53" i="5" s="1"/>
  <c r="D54" i="5" a="1"/>
  <c r="D54" i="5" s="1"/>
  <c r="D55" i="5" a="1"/>
  <c r="D55" i="5" s="1"/>
  <c r="D56" i="5" a="1"/>
  <c r="D56" i="5" s="1"/>
  <c r="D69" i="5" a="1"/>
  <c r="D69" i="5" s="1"/>
  <c r="D60" i="6" a="1"/>
  <c r="D101" i="6" a="1"/>
  <c r="D81" i="6" a="1"/>
  <c r="D85" i="6" a="1"/>
  <c r="D84" i="6" a="1"/>
  <c r="D63" i="6" a="1"/>
  <c r="D92" i="6" a="1"/>
  <c r="D97" i="6" a="1"/>
  <c r="D77" i="6" a="1"/>
  <c r="D100" i="6" a="1"/>
  <c r="D102" i="6" a="1"/>
  <c r="D78" i="6" a="1"/>
  <c r="D80" i="6" a="1"/>
  <c r="D99" i="6" a="1"/>
  <c r="D107" i="6" a="1"/>
  <c r="D68" i="6" a="1"/>
  <c r="D88" i="6" a="1"/>
  <c r="D66" i="6" a="1"/>
  <c r="D108" i="6" a="1"/>
  <c r="D71" i="6" a="1"/>
  <c r="D96" i="6" a="1"/>
  <c r="D74" i="6" a="1"/>
  <c r="D109" i="6" a="1"/>
  <c r="C13" i="6" a="1"/>
  <c r="D79" i="6" a="1"/>
  <c r="D82" i="6" a="1"/>
  <c r="D89" i="6" a="1"/>
  <c r="D62" i="6" a="1"/>
  <c r="D86" i="6" a="1"/>
  <c r="D87" i="6" a="1"/>
  <c r="D67" i="6" a="1"/>
  <c r="D90" i="6" a="1"/>
  <c r="D103" i="6" a="1"/>
  <c r="D69" i="6" a="1"/>
  <c r="D70" i="6" a="1"/>
  <c r="D95" i="6" a="1"/>
  <c r="D75" i="6" a="1"/>
  <c r="D98" i="6" a="1"/>
  <c r="D104" i="6" a="1"/>
  <c r="D76" i="6" a="1"/>
  <c r="D64" i="6" a="1"/>
  <c r="D94" i="6" a="1"/>
  <c r="D83" i="6" a="1"/>
  <c r="D65" i="6" a="1"/>
  <c r="D105" i="6" a="1"/>
  <c r="D61" i="6" a="1"/>
  <c r="D13" i="6" a="1"/>
  <c r="D72" i="6" a="1"/>
  <c r="D93" i="6" a="1"/>
  <c r="D91" i="6" a="1"/>
  <c r="D73" i="6" a="1"/>
  <c r="D106" i="6" a="1"/>
  <c r="F80" i="6" a="1"/>
  <c r="F71" i="6" a="1"/>
  <c r="F67" i="6" a="1"/>
  <c r="F76" i="6" a="1"/>
  <c r="F77" i="6" a="1"/>
  <c r="F103" i="6" a="1"/>
  <c r="F84" i="6" a="1"/>
  <c r="F79" i="6" a="1"/>
  <c r="F104" i="6" a="1"/>
  <c r="F92" i="6" a="1"/>
  <c r="F87" i="6" a="1"/>
  <c r="F105" i="6" a="1"/>
  <c r="F65" i="6" a="1"/>
  <c r="F100" i="6" a="1"/>
  <c r="F95" i="6" a="1"/>
  <c r="F106" i="6" a="1"/>
  <c r="F73" i="6" a="1"/>
  <c r="F98" i="6" a="1"/>
  <c r="F94" i="6" a="1"/>
  <c r="F64" i="6" a="1"/>
  <c r="F89" i="6" a="1"/>
  <c r="F61" i="6" a="1"/>
  <c r="F90" i="6" a="1"/>
  <c r="F97" i="6" a="1"/>
  <c r="F69" i="6" a="1"/>
  <c r="F82" i="6" a="1"/>
  <c r="F74" i="6" a="1"/>
  <c r="F75" i="6" a="1"/>
  <c r="F88" i="6" a="1"/>
  <c r="F62" i="6" a="1"/>
  <c r="F85" i="6" a="1"/>
  <c r="F107" i="6" a="1"/>
  <c r="F72" i="6" a="1"/>
  <c r="F81" i="6" a="1"/>
  <c r="F83" i="6" a="1"/>
  <c r="F96" i="6" a="1"/>
  <c r="F70" i="6" a="1"/>
  <c r="F93" i="6" a="1"/>
  <c r="F108" i="6" a="1"/>
  <c r="F66" i="6" a="1"/>
  <c r="F91" i="6" a="1"/>
  <c r="D15" i="6" a="1"/>
  <c r="F78" i="6" a="1"/>
  <c r="F109" i="6" a="1"/>
  <c r="F60" i="6" a="1"/>
  <c r="F101" i="6" a="1"/>
  <c r="C15" i="6" a="1"/>
  <c r="F68" i="6" a="1"/>
  <c r="F99" i="6" a="1"/>
  <c r="F63" i="6" a="1"/>
  <c r="F86" i="6" a="1"/>
  <c r="F102" i="6" a="1"/>
  <c r="G108" i="6" a="1"/>
  <c r="G64" i="6" a="1"/>
  <c r="G95" i="6" a="1"/>
  <c r="C16" i="6" a="1"/>
  <c r="G101" i="6" a="1"/>
  <c r="G61" i="6" a="1"/>
  <c r="G86" i="6" a="1"/>
  <c r="G65" i="6" a="1"/>
  <c r="G109" i="6" a="1"/>
  <c r="G72" i="6" a="1"/>
  <c r="G94" i="6" a="1"/>
  <c r="G82" i="6" a="1"/>
  <c r="G76" i="6" a="1"/>
  <c r="G80" i="6" a="1"/>
  <c r="G104" i="6" a="1"/>
  <c r="G68" i="6" a="1"/>
  <c r="G84" i="6" a="1"/>
  <c r="G88" i="6" a="1"/>
  <c r="G60" i="6" a="1"/>
  <c r="G103" i="6" a="1"/>
  <c r="G71" i="6" a="1"/>
  <c r="G91" i="6" a="1"/>
  <c r="G90" i="6" a="1"/>
  <c r="G79" i="6" a="1"/>
  <c r="G67" i="6" a="1"/>
  <c r="G98" i="6" a="1"/>
  <c r="G87" i="6" a="1"/>
  <c r="G75" i="6" a="1"/>
  <c r="G69" i="6" a="1"/>
  <c r="G92" i="6" a="1"/>
  <c r="G81" i="6" a="1"/>
  <c r="G96" i="6" a="1"/>
  <c r="G107" i="6" a="1"/>
  <c r="G83" i="6" a="1"/>
  <c r="G77" i="6" a="1"/>
  <c r="G100" i="6" a="1"/>
  <c r="G89" i="6" a="1"/>
  <c r="G102" i="6" a="1"/>
  <c r="G62" i="6" a="1"/>
  <c r="G85" i="6" a="1"/>
  <c r="G97" i="6" a="1"/>
  <c r="D16" i="6" a="1"/>
  <c r="G70" i="6" a="1"/>
  <c r="G66" i="6" a="1"/>
  <c r="G106" i="6" a="1"/>
  <c r="G74" i="6" a="1"/>
  <c r="G73" i="6" a="1"/>
  <c r="G93" i="6" a="1"/>
  <c r="G99" i="6" a="1"/>
  <c r="G105" i="6" a="1"/>
  <c r="G63" i="6" a="1"/>
  <c r="G78" i="6" a="1"/>
  <c r="E29" i="6" a="1"/>
  <c r="E87" i="6" a="1"/>
  <c r="E103" i="6" a="1"/>
  <c r="E85" i="6" a="1"/>
  <c r="E106" i="6" a="1"/>
  <c r="E73" i="6" a="1"/>
  <c r="E81" i="6" a="1"/>
  <c r="E93" i="6" a="1"/>
  <c r="E88" i="6" a="1"/>
  <c r="E89" i="6" a="1"/>
  <c r="E101" i="6" a="1"/>
  <c r="E64" i="6" a="1"/>
  <c r="E97" i="6" a="1"/>
  <c r="E104" i="6" a="1"/>
  <c r="E65" i="6" a="1"/>
  <c r="E102" i="6" a="1"/>
  <c r="E92" i="6" a="1"/>
  <c r="E72" i="6" a="1"/>
  <c r="E78" i="6" a="1"/>
  <c r="E100" i="6" a="1"/>
  <c r="B6" i="6" a="1"/>
  <c r="E86" i="6" a="1"/>
  <c r="E109" i="6" a="1"/>
  <c r="E66" i="6" a="1"/>
  <c r="E94" i="6" a="1"/>
  <c r="E67" i="6" a="1"/>
  <c r="C14" i="6" a="1"/>
  <c r="E79" i="6" a="1"/>
  <c r="E74" i="6" a="1"/>
  <c r="E108" i="6" a="1"/>
  <c r="E107" i="6" a="1"/>
  <c r="E60" i="6" a="1"/>
  <c r="E75" i="6" a="1"/>
  <c r="E63" i="6" a="1"/>
  <c r="E71" i="6" a="1"/>
  <c r="E82" i="6" a="1"/>
  <c r="E96" i="6" a="1"/>
  <c r="E61" i="6" a="1"/>
  <c r="E68" i="6" a="1"/>
  <c r="E83" i="6" a="1"/>
  <c r="D14" i="6" a="1"/>
  <c r="E80" i="6" a="1"/>
  <c r="E90" i="6" a="1"/>
  <c r="E105" i="6" a="1"/>
  <c r="E69" i="6" a="1"/>
  <c r="E76" i="6" a="1"/>
  <c r="E91" i="6" a="1"/>
  <c r="E70" i="6" a="1"/>
  <c r="E62" i="6" a="1"/>
  <c r="E98" i="6" a="1"/>
  <c r="E95" i="6" a="1"/>
  <c r="E77" i="6" a="1"/>
  <c r="E84" i="6" a="1"/>
  <c r="E99" i="6" a="1"/>
  <c r="G34" i="6" l="1"/>
  <c r="G32" i="6"/>
  <c r="G33" i="6"/>
  <c r="E99" i="6"/>
  <c r="E84" i="6"/>
  <c r="E77" i="6"/>
  <c r="E95" i="6"/>
  <c r="E98" i="6"/>
  <c r="E62" i="6"/>
  <c r="E70" i="6"/>
  <c r="E91" i="6"/>
  <c r="E76" i="6"/>
  <c r="E69" i="6"/>
  <c r="E105" i="6"/>
  <c r="E90" i="6"/>
  <c r="E80" i="6"/>
  <c r="D14" i="6"/>
  <c r="E83" i="6"/>
  <c r="E68" i="6"/>
  <c r="E61" i="6"/>
  <c r="E96" i="6"/>
  <c r="E82" i="6"/>
  <c r="E71" i="6"/>
  <c r="E63" i="6"/>
  <c r="E75" i="6"/>
  <c r="E60" i="6"/>
  <c r="E107" i="6"/>
  <c r="E108" i="6"/>
  <c r="E74" i="6"/>
  <c r="E79" i="6"/>
  <c r="C14" i="6"/>
  <c r="E67" i="6"/>
  <c r="E94" i="6"/>
  <c r="E66" i="6"/>
  <c r="E109" i="6"/>
  <c r="E86" i="6"/>
  <c r="B6" i="6"/>
  <c r="E100" i="6"/>
  <c r="E78" i="6"/>
  <c r="E72" i="6"/>
  <c r="E92" i="6"/>
  <c r="E102" i="6"/>
  <c r="E65" i="6"/>
  <c r="E104" i="6"/>
  <c r="E97" i="6"/>
  <c r="E64" i="6"/>
  <c r="E101" i="6"/>
  <c r="E89" i="6"/>
  <c r="E88" i="6"/>
  <c r="E93" i="6"/>
  <c r="E81" i="6"/>
  <c r="E73" i="6"/>
  <c r="E106" i="6"/>
  <c r="E85" i="6"/>
  <c r="E103" i="6"/>
  <c r="E87" i="6"/>
  <c r="E29" i="6"/>
  <c r="G29" i="6" s="1"/>
  <c r="G78" i="6"/>
  <c r="G63" i="6"/>
  <c r="G105" i="6"/>
  <c r="G99" i="6"/>
  <c r="G93" i="6"/>
  <c r="G73" i="6"/>
  <c r="G74" i="6"/>
  <c r="G106" i="6"/>
  <c r="G66" i="6"/>
  <c r="G70" i="6"/>
  <c r="D16" i="6"/>
  <c r="G97" i="6"/>
  <c r="G85" i="6"/>
  <c r="G62" i="6"/>
  <c r="G102" i="6"/>
  <c r="G89" i="6"/>
  <c r="G100" i="6"/>
  <c r="G77" i="6"/>
  <c r="G83" i="6"/>
  <c r="G107" i="6"/>
  <c r="G96" i="6"/>
  <c r="G81" i="6"/>
  <c r="G92" i="6"/>
  <c r="G69" i="6"/>
  <c r="G75" i="6"/>
  <c r="G87" i="6"/>
  <c r="G98" i="6"/>
  <c r="G67" i="6"/>
  <c r="G79" i="6"/>
  <c r="G90" i="6"/>
  <c r="G91" i="6"/>
  <c r="G71" i="6"/>
  <c r="G103" i="6"/>
  <c r="G60" i="6"/>
  <c r="G88" i="6"/>
  <c r="G84" i="6"/>
  <c r="G68" i="6"/>
  <c r="G104" i="6"/>
  <c r="G80" i="6"/>
  <c r="G76" i="6"/>
  <c r="G82" i="6"/>
  <c r="G94" i="6"/>
  <c r="G72" i="6"/>
  <c r="G109" i="6"/>
  <c r="G65" i="6"/>
  <c r="G86" i="6"/>
  <c r="G61" i="6"/>
  <c r="G101" i="6"/>
  <c r="C16" i="6"/>
  <c r="G95" i="6"/>
  <c r="G64" i="6"/>
  <c r="G108" i="6"/>
  <c r="F102" i="6"/>
  <c r="F86" i="6"/>
  <c r="F63" i="6"/>
  <c r="F99" i="6"/>
  <c r="F68" i="6"/>
  <c r="C15" i="6"/>
  <c r="F101" i="6"/>
  <c r="F60" i="6"/>
  <c r="F109" i="6"/>
  <c r="F78" i="6"/>
  <c r="D15" i="6"/>
  <c r="F91" i="6"/>
  <c r="F66" i="6"/>
  <c r="F108" i="6"/>
  <c r="F93" i="6"/>
  <c r="F70" i="6"/>
  <c r="F96" i="6"/>
  <c r="F83" i="6"/>
  <c r="F81" i="6"/>
  <c r="F72" i="6"/>
  <c r="F107" i="6"/>
  <c r="F85" i="6"/>
  <c r="F62" i="6"/>
  <c r="F88" i="6"/>
  <c r="F75" i="6"/>
  <c r="F74" i="6"/>
  <c r="F82" i="6"/>
  <c r="F69" i="6"/>
  <c r="F97" i="6"/>
  <c r="F90" i="6"/>
  <c r="F61" i="6"/>
  <c r="F89" i="6"/>
  <c r="F64" i="6"/>
  <c r="F94" i="6"/>
  <c r="F98" i="6"/>
  <c r="F73" i="6"/>
  <c r="F106" i="6"/>
  <c r="F95" i="6"/>
  <c r="F100" i="6"/>
  <c r="F65" i="6"/>
  <c r="F105" i="6"/>
  <c r="F87" i="6"/>
  <c r="F92" i="6"/>
  <c r="F104" i="6"/>
  <c r="F79" i="6"/>
  <c r="F84" i="6"/>
  <c r="F103" i="6"/>
  <c r="F77" i="6"/>
  <c r="F76" i="6"/>
  <c r="F67" i="6"/>
  <c r="F71" i="6"/>
  <c r="F80" i="6"/>
  <c r="D106" i="6"/>
  <c r="D73" i="6"/>
  <c r="D91" i="6"/>
  <c r="D93" i="6"/>
  <c r="D72" i="6"/>
  <c r="D13" i="6"/>
  <c r="D61" i="6"/>
  <c r="D105" i="6"/>
  <c r="D65" i="6"/>
  <c r="D83" i="6"/>
  <c r="D94" i="6"/>
  <c r="D64" i="6"/>
  <c r="D76" i="6"/>
  <c r="D104" i="6"/>
  <c r="D98" i="6"/>
  <c r="D75" i="6"/>
  <c r="D95" i="6"/>
  <c r="D70" i="6"/>
  <c r="D69" i="6"/>
  <c r="D103" i="6"/>
  <c r="D90" i="6"/>
  <c r="D67" i="6"/>
  <c r="D87" i="6"/>
  <c r="D86" i="6"/>
  <c r="D62" i="6"/>
  <c r="D89" i="6"/>
  <c r="D82" i="6"/>
  <c r="D79" i="6"/>
  <c r="C13" i="6"/>
  <c r="D109" i="6"/>
  <c r="D74" i="6"/>
  <c r="D96" i="6"/>
  <c r="D71" i="6"/>
  <c r="D108" i="6"/>
  <c r="D66" i="6"/>
  <c r="D88" i="6"/>
  <c r="D68" i="6"/>
  <c r="D107" i="6"/>
  <c r="D99" i="6"/>
  <c r="D80" i="6"/>
  <c r="D78" i="6"/>
  <c r="D102" i="6"/>
  <c r="D100" i="6"/>
  <c r="D77" i="6"/>
  <c r="D97" i="6"/>
  <c r="D92" i="6"/>
  <c r="D63" i="6"/>
  <c r="D84" i="6"/>
  <c r="D85" i="6"/>
  <c r="D81" i="6"/>
  <c r="D101" i="6"/>
  <c r="D60" i="6"/>
  <c r="G31" i="6"/>
  <c r="G36" i="6"/>
  <c r="G30"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<sst xmlns="http://schemas.openxmlformats.org/spreadsheetml/2006/main" count="526" uniqueCount="322">
  <si>
    <t>R&amp;D Portfolio: Which Projects to Fund</t>
  </si>
  <si>
    <t>ModelRisk example  ·  Pharmaceuticals and biotech  ·  PH-04</t>
  </si>
  <si>
    <t>Eight projects, one budget: which to fund for value, for a steady pipeline, and within the money we have?</t>
  </si>
  <si>
    <t>Next:  Inputs  ▸</t>
  </si>
  <si>
    <t>Model card</t>
  </si>
  <si>
    <t>Industry</t>
  </si>
  <si>
    <t>Pharmaceuticals and biotech</t>
  </si>
  <si>
    <t>Difficulty</t>
  </si>
  <si>
    <t>★★★★★   Eight projects at different stages, each with phase-by-phase attrition and spending year by year; shared mechanisms that correlate their Phase II results; four portfolios compared on value, launches and the budget.</t>
  </si>
  <si>
    <t>Business question</t>
  </si>
  <si>
    <t>A mid-sized pharma company has eight development projects, from preclinical to Phase III, and an R&amp;D budget of US$170 million a year. Funding them all would break the budget. Three pairs of projects share a biological mechanism, so if the mechanism fails in one, it probably fails in the other. Which projects should it fund to create the most value, keep a launch coming, and stay within the budget?</t>
  </si>
  <si>
    <t>Who it is for</t>
  </si>
  <si>
    <t>R&amp;D portfolio committees, heads of development and strategy, finance teams in pharma and biotech.</t>
  </si>
  <si>
    <t>Main outputs</t>
  </si>
  <si>
    <t>For four candidate portfolios: NPV (mean and 1 in 10), expected launches, the chance of no launch, and the chance of breaking the budget · for each project: chance of launch, mean NPV, R&amp;D cost and value per dollar · the effect of shared mechanisms · spending by year against the budget.</t>
  </si>
  <si>
    <t>ModelRisk techniques</t>
  </si>
  <si>
    <t>Phase-by-phase attrition for eight projects (VoseBernoulli) · shared-mechanism correlation of Phase II results through bivariate Normal copulas (VoseCopulaBiNormal, passed to VoseBernoulli's U argument) · value at launch as a Lognormal from P10 and P90 (VoseLognormalAlt) · spending year by year that stops when a project fails · four portfolios on the same simulated outcomes · fan chart of spending against the budget.</t>
  </si>
  <si>
    <t>File</t>
  </si>
  <si>
    <t>PH-04 R&amp;D portfolio which projects to fund  ·  Version 1.0  ·  October 2026  ·  built with ModelRisk 10</t>
  </si>
  <si>
    <t>The business question</t>
  </si>
  <si>
    <t>A mid-sized pharma company has eight projects in development: a solid-tumour drug in Phase III, three projects in Phase II, two in Phase I and two in preclinical work. Three pairs share a mechanism — two oncology projects act on the same apoptosis pathway, two immunology projects on the same interleukin, and two neurology projects on amyloid — so their Phase II results tend to agree. Each phase costs money, takes time and may fail; a project that fails stops spending. The R&amp;D budget is US$170 million a year for the next five years, and funding everything would need more in the early years. The portfolio committee is weighing four options: fund everything, fund one project per mechanism, fund only the late-stage projects, or fund a set that stays within the budget.</t>
  </si>
  <si>
    <t>How the model works</t>
  </si>
  <si>
    <t>Five sheets after this one, read from left to right. Each one feeds the next.</t>
  </si>
  <si>
    <t>1  Inputs</t>
  </si>
  <si>
    <t>The annual R&amp;D budget, the correlation between the Phase II results of projects that share a mechanism, the discount rate and the portfolio to chart.</t>
  </si>
  <si>
    <t>2  Projects</t>
  </si>
  <si>
    <t>The duration and yearly cost of each phase; each project's current stage, chance of success in each phase and value at launch (P10 and P90); which projects each portfolio funds.</t>
  </si>
  <si>
    <t>3  Pipeline</t>
  </si>
  <si>
    <t>Three bivariate Normal copulas draw correlated uniforms for the Phase II results of each pair. VoseBernoulli decides every remaining phase. The last phase each project works on (its first failure, or the review), the year each phase would end and the launch year follow; the value at launch is discounted to today.</t>
  </si>
  <si>
    <t>4  Spend</t>
  </si>
  <si>
    <t>The phase each project works on in each year — a Gantt chart of the iteration — gives its spending: the yearly cost of that phase. Each portfolio adds up the projects it funds; its NPV, its launches, and whether it spends more than the budget in a year of the budget horizon.</t>
  </si>
  <si>
    <t>5  Results</t>
  </si>
  <si>
    <t>The portfolios side by side; the projects ranked by value per dollar; how shared mechanisms make successes and failures come in pairs; spending against the budget.</t>
  </si>
  <si>
    <t>How to use it</t>
  </si>
  <si>
    <t>Step 1</t>
  </si>
  <si>
    <t>Enter your projects on the Projects sheet: stage, success rates by phase, value at launch.</t>
  </si>
  <si>
    <t>Step 2</t>
  </si>
  <si>
    <t>Mark which projects each candidate portfolio funds, and set the budget on the Inputs sheet.</t>
  </si>
  <si>
    <t>Step 3</t>
  </si>
  <si>
    <t>Run a simulation from the ModelRisk ribbon (10,000 samples with a fixed seed are set).</t>
  </si>
  <si>
    <t>Step 4</t>
  </si>
  <si>
    <t>Compare the portfolios on value, launches and budget risk; try other combinations.</t>
  </si>
  <si>
    <t>Workbook map</t>
  </si>
  <si>
    <t>Inputs</t>
  </si>
  <si>
    <t>Budget, correlation, discount rate, chart choice.</t>
  </si>
  <si>
    <t>Projects</t>
  </si>
  <si>
    <t>Phases, projects, portfolios.</t>
  </si>
  <si>
    <t>Pipeline</t>
  </si>
  <si>
    <t>Correlated Phase II results, phase results, schedule, project values.</t>
  </si>
  <si>
    <t>Spend</t>
  </si>
  <si>
    <t>The phase under way (a Gantt chart), spending by year, the budget; outputs and checks.</t>
  </si>
  <si>
    <t>Results</t>
  </si>
  <si>
    <t>Portfolios, projects, shared mechanisms, spending.</t>
  </si>
  <si>
    <t>Colour key</t>
  </si>
  <si>
    <t>Input</t>
  </si>
  <si>
    <t>An assumption you may change. Only these cells are inputs.</t>
  </si>
  <si>
    <t>Uncertain variable</t>
  </si>
  <si>
    <t>A ModelRisk distribution: a new random value is drawn at every recalculation (F9) and every simulation sample.</t>
  </si>
  <si>
    <t>Calculation</t>
  </si>
  <si>
    <t>A formula. Do not overwrite.</t>
  </si>
  <si>
    <t>Key output</t>
  </si>
  <si>
    <t>Marked with VoseOutput; its full distribution is recorded when you simulate.</t>
  </si>
  <si>
    <t>Simulation result</t>
  </si>
  <si>
    <t>A VoseSim… function: a statistic of the last simulation, filled in automatically.</t>
  </si>
  <si>
    <t>Units and conventions</t>
  </si>
  <si>
    <t>Money</t>
  </si>
  <si>
    <t>US$ million (US$m); costs discounted from the middle of each year, values from the launch year.</t>
  </si>
  <si>
    <t>Time</t>
  </si>
  <si>
    <t>Years from now; year 1 is the coming year.</t>
  </si>
  <si>
    <t>Value at launch</t>
  </si>
  <si>
    <t>The NPV, at launch, of the product's sales after all commercial costs.</t>
  </si>
  <si>
    <t>Over budget</t>
  </si>
  <si>
    <t>A portfolio's spending exceeds the budget in at least one year of the budget horizon (five years as shipped).</t>
  </si>
  <si>
    <t>Key assumptions and limitations</t>
  </si>
  <si>
    <t>Phases</t>
  </si>
  <si>
    <t>Whole years, back to back; a project stops spending when a phase fails.</t>
  </si>
  <si>
    <t>Correlation</t>
  </si>
  <si>
    <t>Only through the Phase II results of projects sharing a mechanism; all other results are independent.</t>
  </si>
  <si>
    <t>Unfunded projects</t>
  </si>
  <si>
    <t>Shelved: no cost and no value. Partnering them out could recover some value.</t>
  </si>
  <si>
    <t>Data</t>
  </si>
  <si>
    <t>The company, the projects and all figures are invented for this example.</t>
  </si>
  <si>
    <t>ModelRisk functions used</t>
  </si>
  <si>
    <t>VoseCopulaBiNormal</t>
  </si>
  <si>
    <t>Correlated uniforms for the Phase II results of two projects sharing a mechanism (array).</t>
  </si>
  <si>
    <t>VoseBernoulli</t>
  </si>
  <si>
    <t>Whether each phase succeeds; the U argument takes the copula's uniform for Phase II.</t>
  </si>
  <si>
    <t>VoseLognormalAlt</t>
  </si>
  <si>
    <t>Each project's value at launch from its P10 and P90.</t>
  </si>
  <si>
    <t>VoseOutput, VoseSimMean, VoseSimPercentile</t>
  </si>
  <si>
    <t>Outputs and their statistics on the Results sheet.</t>
  </si>
  <si>
    <t>Further reading</t>
  </si>
  <si>
    <t>R&amp;D productivity</t>
  </si>
  <si>
    <t>Paul, S. M. et al. (2010). How to improve R&amp;D productivity: the pharmaceutical industry's grand challenge. Nature Reviews Drug Discovery 9, 203–214.</t>
  </si>
  <si>
    <t>Portfolio decisions</t>
  </si>
  <si>
    <t>Vose, D. (2008). Risk Analysis: A Quantitative Guide, 3rd edition. Wiley.</t>
  </si>
  <si>
    <t>© 2026 Vose Software   ·   www.vosesoftware.com   ·   An illustrative example: the figures are invented for teaching and do not describe a real company, project or asset.</t>
  </si>
  <si>
    <t>INPUTS   ·   The budget, the correlation and the discount rate. The phases, the projects and the portfolios are on the Projects sheet. Change only the yellow cells.</t>
  </si>
  <si>
    <t>◂  About</t>
  </si>
  <si>
    <t>Next:  Projects  ▸</t>
  </si>
  <si>
    <t>How to read this sheet:  yellow cells are inputs.</t>
  </si>
  <si>
    <t>1   Budget and finance</t>
  </si>
  <si>
    <t>Assumption</t>
  </si>
  <si>
    <t>Unit</t>
  </si>
  <si>
    <t>Value in model</t>
  </si>
  <si>
    <t>Uncertainty</t>
  </si>
  <si>
    <t>Basis / source (illustrative)</t>
  </si>
  <si>
    <t>R&amp;D budget</t>
  </si>
  <si>
    <t>US$m a year</t>
  </si>
  <si>
    <t>Fixed</t>
  </si>
  <si>
    <t>For each year of the budget horizon below.</t>
  </si>
  <si>
    <t>Budget horizon</t>
  </si>
  <si>
    <t>years</t>
  </si>
  <si>
    <t>The years the budget is set for.</t>
  </si>
  <si>
    <t>Correlation of Phase II results within a mechanism</t>
  </si>
  <si>
    <t>copula ρ</t>
  </si>
  <si>
    <t>On the Normal scale: if the mechanism fails in one project, it probably fails in the other.</t>
  </si>
  <si>
    <t>Discount rate</t>
  </si>
  <si>
    <t>per year</t>
  </si>
  <si>
    <t>2   Chart</t>
  </si>
  <si>
    <t>Portfolio shown in the spending chart</t>
  </si>
  <si>
    <t>1 – 4</t>
  </si>
  <si>
    <t>1 Everything · 2 One per mechanism · 3 Late stage · 4 Within budget.</t>
  </si>
  <si>
    <t>PROJECTS   ·   Phases, projects and the portfolios to compare. Change only the yellow cells.</t>
  </si>
  <si>
    <t>◂  Inputs</t>
  </si>
  <si>
    <t>Next:  Pipeline  ▸</t>
  </si>
  <si>
    <t>1   Development phases</t>
  </si>
  <si>
    <t>Duration and yearly cost of each phase, the same for every project.</t>
  </si>
  <si>
    <t>Preclinical</t>
  </si>
  <si>
    <t>Phase I</t>
  </si>
  <si>
    <t>Phase II</t>
  </si>
  <si>
    <t>Phase III</t>
  </si>
  <si>
    <t>Review</t>
  </si>
  <si>
    <t>Duration</t>
  </si>
  <si>
    <t>Cost per year</t>
  </si>
  <si>
    <t>US$m</t>
  </si>
  <si>
    <t>2   Projects</t>
  </si>
  <si>
    <t>Stage now, chance of success in each remaining phase, and value at launch (the NPV of its sales at launch).</t>
  </si>
  <si>
    <t>Project</t>
  </si>
  <si>
    <t>Mechanism</t>
  </si>
  <si>
    <t>Stage now</t>
  </si>
  <si>
    <t>Value P10</t>
  </si>
  <si>
    <t>Value P90</t>
  </si>
  <si>
    <t>chance of success</t>
  </si>
  <si>
    <t>US$m at launch</t>
  </si>
  <si>
    <t>A   ONC-301  solid tumours</t>
  </si>
  <si>
    <t>Kinase inhibitor (own)</t>
  </si>
  <si>
    <t>B   ONC-210  leukaemia</t>
  </si>
  <si>
    <t>Mechanism 1: apoptosis</t>
  </si>
  <si>
    <t>C   IMM-220  psoriasis</t>
  </si>
  <si>
    <t>Mechanism 2: IL pathway</t>
  </si>
  <si>
    <t>D   IMM-110  Crohn's disease</t>
  </si>
  <si>
    <t>E   NEU-120  Alzheimer's disease</t>
  </si>
  <si>
    <t>Mechanism 3: amyloid</t>
  </si>
  <si>
    <t>F   NEU-010  Parkinson's disease</t>
  </si>
  <si>
    <t>G   RARE-230  enzyme deficiency</t>
  </si>
  <si>
    <t>Enzyme replacement (own)</t>
  </si>
  <si>
    <t>H   ONC-020  lymphoma</t>
  </si>
  <si>
    <t>Phases before the current stage are already passed: their chances are not used. Pairs sharing a mechanism: B and H, C and D, E and F.</t>
  </si>
  <si>
    <t>3   Portfolios</t>
  </si>
  <si>
    <t>1 = the portfolio funds the project; 0 = shelved.</t>
  </si>
  <si>
    <t>Everything</t>
  </si>
  <si>
    <t>One per mechanism</t>
  </si>
  <si>
    <t>Late stage</t>
  </si>
  <si>
    <t>Within budget</t>
  </si>
  <si>
    <t>Projects funded</t>
  </si>
  <si>
    <t>PIPELINE   ·   This iteration's results phase by phase, the schedule, and each project's value (US$m).</t>
  </si>
  <si>
    <t>◂  Projects</t>
  </si>
  <si>
    <t>Next:  Spend  ▸</t>
  </si>
  <si>
    <t>1   Shared mechanisms: correlated Phase II results</t>
  </si>
  <si>
    <t>VoseCopulaBiNormal: two uniforms whose Normal scores have the correlation on the Inputs sheet, one pair per mechanism.</t>
  </si>
  <si>
    <t>Uniform</t>
  </si>
  <si>
    <t>Pair</t>
  </si>
  <si>
    <t>B and H share a mechanism</t>
  </si>
  <si>
    <t>C and D share a mechanism</t>
  </si>
  <si>
    <t>E and F share a mechanism</t>
  </si>
  <si>
    <t>2   Phase results</t>
  </si>
  <si>
    <t>1 = the phase succeeds. Phases already passed show 1; VoseBernoulli decides the others (Phase II of a paired project takes its copula uniform). The project works until the first phase that fails.</t>
  </si>
  <si>
    <t>Last phase</t>
  </si>
  <si>
    <t>Launched</t>
  </si>
  <si>
    <t>phase number</t>
  </si>
  <si>
    <t>Stage now and last phase are phase numbers: 1 Preclinical, 2 Phase I, 3 Phase II, 4 Phase III, 5 Review. Last phase: the first one that fails, or 5. Launched: the last phase succeeded.</t>
  </si>
  <si>
    <t>3   Schedule</t>
  </si>
  <si>
    <t>The year each remaining phase would end if everything succeeds: the previous end plus the phase's duration. Phases already passed show –.</t>
  </si>
  <si>
    <t>Now</t>
  </si>
  <si>
    <t>Stops after</t>
  </si>
  <si>
    <t>Launch</t>
  </si>
  <si>
    <t>Stops after: the end of the last phase it works on. Launch: the end of the review.</t>
  </si>
  <si>
    <t>4   Value of each project</t>
  </si>
  <si>
    <t>VoseLognormalAlt: value at launch from the P10 and the P90, discounted from the launch year; less the R&amp;D spending, discounted.</t>
  </si>
  <si>
    <t>Value at</t>
  </si>
  <si>
    <t>PV of</t>
  </si>
  <si>
    <t>NPV</t>
  </si>
  <si>
    <t>1 / 0</t>
  </si>
  <si>
    <t>launch</t>
  </si>
  <si>
    <t>value</t>
  </si>
  <si>
    <t>R&amp;D cost</t>
  </si>
  <si>
    <t>SPEND   ·   R&amp;D spending by project and by portfolio, year by year; each portfolio's results (US$m).</t>
  </si>
  <si>
    <t>◂  Pipeline</t>
  </si>
  <si>
    <t>Next:  Results  ▸</t>
  </si>
  <si>
    <t>Year</t>
  </si>
  <si>
    <t>Total</t>
  </si>
  <si>
    <t>Discount factor  (mid-year)</t>
  </si>
  <si>
    <t>1   Phase under way</t>
  </si>
  <si>
    <t>The phase each project works on in the year, if it is still going: one more than the phases that ended before the year (COUNTIF over its schedule). A Gantt chart of this iteration.</t>
  </si>
  <si>
    <t>phase</t>
  </si>
  <si>
    <t>Phases: Pre = preclinical, Ph I – Ph III, Review. Empty: stopped, launched or not yet started.</t>
  </si>
  <si>
    <t>2   Spending by project</t>
  </si>
  <si>
    <t>The yearly cost of the phase under way.</t>
  </si>
  <si>
    <t>3   Spending by portfolio</t>
  </si>
  <si>
    <t>The projects each portfolio funds, added up.</t>
  </si>
  <si>
    <t>Portfolio in the chart  (output)</t>
  </si>
  <si>
    <t>Budget</t>
  </si>
  <si>
    <t>4   Over budget</t>
  </si>
  <si>
    <t>1 = the portfolio spends more than the budget in the year, within the budget horizon.</t>
  </si>
  <si>
    <t>5   Value in this iteration</t>
  </si>
  <si>
    <t>Key outputs, recorded by ModelRisk at every sample (VoseOutput). Their statistics appear on the Results sheet.</t>
  </si>
  <si>
    <t>Output</t>
  </si>
  <si>
    <t>Value</t>
  </si>
  <si>
    <t>Meaning</t>
  </si>
  <si>
    <t>Everything: NPV</t>
  </si>
  <si>
    <t>The funded projects' NPVs added up.</t>
  </si>
  <si>
    <t>One per mechanism: NPV</t>
  </si>
  <si>
    <t>Late stage: NPV</t>
  </si>
  <si>
    <t>Within budget: NPV</t>
  </si>
  <si>
    <t>Everything: launches</t>
  </si>
  <si>
    <t>products</t>
  </si>
  <si>
    <t>One per mechanism: launches</t>
  </si>
  <si>
    <t>Late stage: launches</t>
  </si>
  <si>
    <t>Within budget: launches</t>
  </si>
  <si>
    <t>Everything: no launch?  (1 = yes)</t>
  </si>
  <si>
    <t>One per mechanism: no launch?  (1 = yes)</t>
  </si>
  <si>
    <t>Late stage: no launch?  (1 = yes)</t>
  </si>
  <si>
    <t>Within budget: no launch?  (1 = yes)</t>
  </si>
  <si>
    <t>Everything: over budget?  (1 = yes)</t>
  </si>
  <si>
    <t>In at least one year of the horizon.</t>
  </si>
  <si>
    <t>One per mechanism: over budget?  (1 = yes)</t>
  </si>
  <si>
    <t>Late stage: over budget?  (1 = yes)</t>
  </si>
  <si>
    <t>Within budget: over budget?  (1 = yes)</t>
  </si>
  <si>
    <t>Project A: NPV</t>
  </si>
  <si>
    <t>If funded.</t>
  </si>
  <si>
    <t>Project B: NPV</t>
  </si>
  <si>
    <t>Project C: NPV</t>
  </si>
  <si>
    <t>Project D: NPV</t>
  </si>
  <si>
    <t>Project E: NPV</t>
  </si>
  <si>
    <t>Project F: NPV</t>
  </si>
  <si>
    <t>Project G: NPV</t>
  </si>
  <si>
    <t>Project H: NPV</t>
  </si>
  <si>
    <t>Project A: launched?  (1 = yes)</t>
  </si>
  <si>
    <t>Project B: launched?  (1 = yes)</t>
  </si>
  <si>
    <t>Project C: launched?  (1 = yes)</t>
  </si>
  <si>
    <t>Project D: launched?  (1 = yes)</t>
  </si>
  <si>
    <t>Project E: launched?  (1 = yes)</t>
  </si>
  <si>
    <t>Project F: launched?  (1 = yes)</t>
  </si>
  <si>
    <t>Project G: launched?  (1 = yes)</t>
  </si>
  <si>
    <t>Project H: launched?  (1 = yes)</t>
  </si>
  <si>
    <t>Project A: PV of R&amp;D cost</t>
  </si>
  <si>
    <t>Project B: PV of R&amp;D cost</t>
  </si>
  <si>
    <t>Project C: PV of R&amp;D cost</t>
  </si>
  <si>
    <t>Project D: PV of R&amp;D cost</t>
  </si>
  <si>
    <t>Project E: PV of R&amp;D cost</t>
  </si>
  <si>
    <t>Project F: PV of R&amp;D cost</t>
  </si>
  <si>
    <t>Project G: PV of R&amp;D cost</t>
  </si>
  <si>
    <t>Project H: PV of R&amp;D cost</t>
  </si>
  <si>
    <t>Projects B and H both launched?  (1 = yes)</t>
  </si>
  <si>
    <t>Projects C and D both launched?  (1 = yes)</t>
  </si>
  <si>
    <t>Projects E and F both launched?  (1 = yes)</t>
  </si>
  <si>
    <t>6   Model checks</t>
  </si>
  <si>
    <t>Should all read OK. A CHECK means an input has been set outside the range the model is built for.</t>
  </si>
  <si>
    <t>Every stage is one of the four on the list</t>
  </si>
  <si>
    <t>Phase durations are whole years</t>
  </si>
  <si>
    <t>Every launch falls within the years modelled</t>
  </si>
  <si>
    <t>The portfolio in the chart is 1 to 4</t>
  </si>
  <si>
    <t>RESULTS   ·   Filled in automatically from the last simulation. Run a simulation after changing any input.</t>
  </si>
  <si>
    <t>◂  Spend</t>
  </si>
  <si>
    <t>1   Which portfolio?</t>
  </si>
  <si>
    <t>Portfolio NPV — cumulative probability</t>
  </si>
  <si>
    <t>Value (NPV, US$m), launches and budget risk of each candidate portfolio.</t>
  </si>
  <si>
    <t>Portfolio</t>
  </si>
  <si>
    <t>Mean NPV</t>
  </si>
  <si>
    <t>Launches</t>
  </si>
  <si>
    <t>No launch</t>
  </si>
  <si>
    <t>1 in 10 (P10)</t>
  </si>
  <si>
    <t>expected</t>
  </si>
  <si>
    <t>chance</t>
  </si>
  <si>
    <t>2   The projects</t>
  </si>
  <si>
    <t>Spending of the charted portfolio against the budget</t>
  </si>
  <si>
    <t>Each project as if funded: chance of launch, value and R&amp;D cost (US$m).</t>
  </si>
  <si>
    <t>Stage</t>
  </si>
  <si>
    <t>Value per</t>
  </si>
  <si>
    <t>PV, mean</t>
  </si>
  <si>
    <t>US$ of R&amp;D</t>
  </si>
  <si>
    <t>Value per US$ of R&amp;D: the expected present value of the launch ÷ the expected R&amp;D cost. Below 1, the project destroys value.</t>
  </si>
  <si>
    <t>3   Shared mechanisms</t>
  </si>
  <si>
    <t>Projects that share a mechanism succeed — and fail — together.</t>
  </si>
  <si>
    <t>Both launch</t>
  </si>
  <si>
    <t>Ratio</t>
  </si>
  <si>
    <t>simulated</t>
  </si>
  <si>
    <t>if independent</t>
  </si>
  <si>
    <t>B and H</t>
  </si>
  <si>
    <t>C and D</t>
  </si>
  <si>
    <t>E and F</t>
  </si>
  <si>
    <t>4   How to read these results</t>
  </si>
  <si>
    <t>•  Funding everything gives the most value on average, about US$540 million, but it needs more than the US$170 million budget in the early years in every future: the Phase III drug and three Phase II projects all spend at once.</t>
  </si>
  <si>
    <t>•  Funding one project per mechanism keeps almost all of that value, about US$538 million. The three projects it drops — D, F and H — are early and worth little on average: about a dollar of value per dollar of R&amp;D. It still breaks the budget about one time in three, when several Phase II trials succeed and their Phase III trials start together.</t>
  </si>
  <si>
    <t>•  The portfolio that stays within the budget (A, E, F and G) gives up about US$56 million of value, and its chance of no launch rises from 18% to 28%, because it leaves out two Phase II projects. The choice is between value and a steady flow of launches on one side and the budget on the other — unless more money is found, for example by partnering a Phase III.</t>
  </si>
  <si>
    <t>•  Projects that share a mechanism succeed and fail together: each pair launches together two to three times as often as if they were independent. Funding both projects of a pair concentrates the risk, which is why funding everything has the worst 1-in-10 value of the four portfolios.</t>
  </si>
  <si>
    <t>•  The Phase III drug, project A, carries every portfolio: most of the value and the reason the four NPV curves look alike. The portfolios differ in what happens if A fails — and in what they spend while waiting to find out.</t>
  </si>
  <si>
    <t>Chart data</t>
  </si>
  <si>
    <t>Statistics of the last simulation behind the charts and the ranking above. Grouped: click + in the left margin to show them.</t>
  </si>
  <si>
    <t>Cumulative probability</t>
  </si>
  <si>
    <t>Exceedance</t>
  </si>
  <si>
    <t>PNPV_1</t>
  </si>
  <si>
    <t>PNPV_2</t>
  </si>
  <si>
    <t>PNPV_3</t>
  </si>
  <si>
    <t>PNPV_4</t>
  </si>
  <si>
    <t>Period</t>
  </si>
  <si>
    <t>10th percentile</t>
  </si>
  <si>
    <t>Median</t>
  </si>
  <si>
    <t>90th percentile</t>
  </si>
  <si>
    <t>Mean</t>
  </si>
  <si>
    <t>DSN Files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</si>
</sst>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_);\(#,##0\);&quot;–&quot;_)"/>
    <numFmt numFmtId="165" formatCode="0.0%"/>
    <numFmt numFmtId="166" formatCode="0.000"/>
    <numFmt numFmtId="167" formatCode="0;&quot;–&quot;;0"/>
    <numFmt numFmtId="168" formatCode="#,##0.0_);\(#,##0.0\);&quot;–&quot;_)"/>
    <numFmt numFmtId="169" formatCode="0;\-0;&quot;–&quot;"/>
    <numFmt numFmtId="170" formatCode="#,##0_);\(#,##0\);&quot;–&quot;_);&quot;–&quot;"/>
    <numFmt numFmtId="171" formatCode="#,##0.00_);\(#,##0.00\);&quot;–&quot;_);&quot;–&quot;"/>
    <numFmt numFmtId="172" formatCode="0%;\-0%;0%;&quot;–&quot;"/>
    <numFmt numFmtId="173" formatCode="0.00;\-0.00;0.00;&quot;–&quot;"/>
    <numFmt numFmtId="174" formatCode="0.0%;\-0.0%;0.0%;&quot;–&quot;"/>
    <numFmt numFmtId="175" formatCode="0.0;\-0.0;0.0;&quot;–&quot;"/>
  </numFmts>
  <fonts count="25" x14ac:knownFonts="1">
    <font>
      <sz val="11"/>
      <color theme="1"/>
      <name val="Calibri"/>
      <family val="2"/>
      <scheme val="minor"/>
    </font>
    <font>
      <sz val="10"/>
      <color rgb="FF0E4F92"/>
      <name val="Calibri"/>
    </font>
    <font>
      <sz val="10"/>
      <color rgb="FF9A3412"/>
      <name val="Calibri"/>
    </font>
    <font>
      <sz val="10"/>
      <color rgb="FF0F2A47"/>
      <name val="Calibri"/>
    </font>
    <font>
      <b/>
      <sz val="10"/>
      <color rgb="FF14532D"/>
      <name val="Calibri"/>
    </font>
    <font>
      <b/>
      <sz val="16"/>
      <color rgb="FFFFFFFF"/>
      <name val="Calibri"/>
    </font>
    <font>
      <sz val="10"/>
      <color rgb="FFD6E2F0"/>
      <name val="Calibri"/>
    </font>
    <font>
      <sz val="9"/>
      <color rgb="FFD6E2F0"/>
      <name val="Calibri"/>
    </font>
    <font>
      <u/>
      <sz val="9"/>
      <color rgb="FF0E4F92"/>
      <name val="Calibri"/>
    </font>
    <font>
      <b/>
      <sz val="20"/>
      <color rgb="FFFFFFFF"/>
      <name val="Calibri"/>
    </font>
    <font>
      <b/>
      <sz val="12"/>
      <color rgb="FF0E4F92"/>
      <name val="Calibri"/>
    </font>
    <font>
      <b/>
      <sz val="10"/>
      <color rgb="FF3F5876"/>
      <name val="Calibri"/>
    </font>
    <font>
      <b/>
      <sz val="10"/>
      <color rgb="FF0F2A47"/>
      <name val="Calibri"/>
    </font>
    <font>
      <i/>
      <sz val="9"/>
      <color rgb="FF3F5876"/>
      <name val="Calibri"/>
    </font>
    <font>
      <u/>
      <sz val="10"/>
      <color rgb="FF0E4F92"/>
      <name val="Calibri"/>
    </font>
    <font>
      <b/>
      <sz val="10"/>
      <color rgb="FF0E4F92"/>
      <name val="Calibri"/>
    </font>
    <font>
      <i/>
      <sz val="9"/>
      <color rgb="FF8AA0BA"/>
      <name val="Calibri"/>
    </font>
    <font>
      <b/>
      <sz val="9"/>
      <color rgb="FF3F5876"/>
      <name val="Calibri"/>
    </font>
    <font>
      <sz val="9"/>
      <color rgb="FF3F5876"/>
      <name val="Calibri"/>
    </font>
    <font>
      <sz val="8"/>
      <color rgb="FF3F5876"/>
      <name val="Calibri"/>
    </font>
    <font>
      <sz val="10"/>
      <color rgb="FF3F5876"/>
      <name val="Calibri"/>
    </font>
    <font>
      <b/>
      <sz val="9"/>
      <color rgb="FF0F2A47"/>
      <name val="Calibri"/>
    </font>
    <font>
      <b/>
      <sz val="9"/>
      <color rgb="FF8AA0BA"/>
      <name val="Calibri"/>
    </font>
    <font>
      <b/>
      <sz val="10"/>
      <color rgb="FF15803D"/>
      <name val="Calibri"/>
    </font>
    <font>
      <b/>
      <sz val="11"/>
      <color rgb="FF0E4F92"/>
      <name val="Calibri"/>
    </font>
  </fonts>
  <fills count="8">
    <fill>
      <patternFill patternType="none"/>
    </fill>
    <fill>
      <patternFill patternType="gray125"/>
    </fill>
    <fill>
      <patternFill patternType="solid">
        <fgColor rgb="FFFFF4CC"/>
        <bgColor rgb="FFFFF4CC"/>
      </patternFill>
    </fill>
    <fill>
      <patternFill patternType="solid">
        <fgColor rgb="FFFCE4D6"/>
        <bgColor rgb="FFFCE4D6"/>
      </patternFill>
    </fill>
    <fill>
      <patternFill patternType="solid">
        <fgColor rgb="FFE3F1E6"/>
        <bgColor rgb="FFE3F1E6"/>
      </patternFill>
    </fill>
    <fill>
      <patternFill patternType="solid">
        <fgColor rgb="FFE8EEF7"/>
        <bgColor rgb="FFE8EEF7"/>
      </patternFill>
    </fill>
    <fill>
      <patternFill patternType="solid">
        <fgColor rgb="FF0E4F92"/>
        <bgColor rgb="FF0E4F92"/>
      </patternFill>
    </fill>
    <fill>
      <patternFill patternType="solid">
        <fgColor rgb="FFEEF1F5"/>
        <bgColor rgb="FFEEF1F5"/>
      </patternFill>
    </fill>
  </fills>
  <borders count="11">
    <border>
      <left/>
      <right/>
      <top/>
      <bottom/>
      <diagonal/>
    </border>
    <border>
      <left style="thin">
        <color rgb="FFC6D1DF"/>
      </left>
      <right style="thin">
        <color rgb="FFC6D1DF"/>
      </right>
      <top style="thin">
        <color rgb="FFC6D1DF"/>
      </top>
      <bottom style="thin">
        <color rgb="FFC6D1DF"/>
      </bottom>
      <diagonal/>
    </border>
    <border>
      <left/>
      <right/>
      <top/>
      <bottom/>
      <diagonal/>
    </border>
    <border>
      <left style="thin">
        <color rgb="FF15803D"/>
      </left>
      <right style="thin">
        <color rgb="FF15803D"/>
      </right>
      <top style="thin">
        <color rgb="FF15803D"/>
      </top>
      <bottom style="thin">
        <color rgb="FF15803D"/>
      </bottom>
      <diagonal/>
    </border>
    <border>
      <left/>
      <right/>
      <top/>
      <bottom style="thin">
        <color rgb="FFC6D1DF"/>
      </bottom>
      <diagonal/>
    </border>
    <border>
      <left/>
      <right/>
      <top/>
      <bottom style="medium">
        <color rgb="FF0E4F92"/>
      </bottom>
      <diagonal/>
    </border>
    <border>
      <left/>
      <right/>
      <top/>
      <bottom style="thin">
        <color rgb="FFE4E9F0"/>
      </bottom>
      <diagonal/>
    </border>
    <border>
      <left style="thin">
        <color rgb="FFC6D1DF"/>
      </left>
      <right style="thin">
        <color rgb="FFC6D1DF"/>
      </right>
      <top style="thin">
        <color rgb="FFC6D1DF"/>
      </top>
      <bottom style="thin">
        <color rgb="FFE4E9F0"/>
      </bottom>
      <diagonal/>
    </border>
    <border>
      <left/>
      <right/>
      <top/>
      <bottom style="thin">
        <color rgb="FFE4E9F0"/>
      </bottom>
      <diagonal/>
    </border>
    <border>
      <left style="thin">
        <color rgb="FF15803D"/>
      </left>
      <right style="thin">
        <color rgb="FF15803D"/>
      </right>
      <top style="thin">
        <color rgb="FF15803D"/>
      </top>
      <bottom style="thin">
        <color rgb="FFE4E9F0"/>
      </bottom>
      <diagonal/>
    </border>
    <border>
      <left/>
      <right/>
      <top style="thin">
        <color rgb="FFC6D1DF"/>
      </top>
      <bottom style="thin">
        <color rgb="FFC6D1DF"/>
      </bottom>
      <diagonal/>
    </border>
  </borders>
  <cellStyleXfs count="6">
    <xf numFmtId="0" fontId="0" fillId="0" borderId="0"/>
    <xf numFmtId="0" fontId="1" fillId="2" borderId="1">
      <alignment horizontal="right" vertical="center"/>
    </xf>
    <xf numFmtId="0" fontId="2" fillId="3" borderId="1">
      <alignment horizontal="right" vertical="center"/>
    </xf>
    <xf numFmtId="0" fontId="3" fillId="0" borderId="2">
      <alignment horizontal="right" vertical="center"/>
    </xf>
    <xf numFmtId="0" fontId="4" fillId="4" borderId="3">
      <alignment horizontal="right" vertical="center"/>
    </xf>
    <xf numFmtId="0" fontId="1" fillId="5" borderId="1">
      <alignment horizontal="right" vertical="center"/>
    </xf>
  </cellStyleXfs>
  <cellXfs count="86">
    <xf numFmtId="0" fontId="0" fillId="0" borderId="0" xfId="0"/>
    <xf numFmtId="0" fontId="0" fillId="6" borderId="0" xfId="0" applyFill="1"/>
    <xf numFmtId="0" fontId="9" fillId="6" borderId="0" xfId="0" applyFont="1" applyFill="1" applyAlignment="1">
      <alignment vertical="center"/>
    </xf>
    <xf numFmtId="0" fontId="7" fillId="6" borderId="0" xfId="0" applyFont="1" applyFill="1" applyAlignment="1">
      <alignment horizontal="right" vertical="center"/>
    </xf>
    <xf numFmtId="0" fontId="6" fillId="6" borderId="0" xfId="0" applyFont="1" applyFill="1" applyAlignment="1">
      <alignment vertical="center"/>
    </xf>
    <xf numFmtId="0" fontId="0" fillId="7" borderId="4" xfId="0" applyFill="1" applyBorder="1"/>
    <xf numFmtId="0" fontId="8" fillId="7" borderId="4" xfId="0" applyFont="1" applyFill="1" applyBorder="1" applyAlignment="1">
      <alignment horizontal="right" vertical="center"/>
    </xf>
    <xf numFmtId="0" fontId="10" fillId="0" borderId="5" xfId="0" applyFont="1" applyBorder="1"/>
    <xf numFmtId="0" fontId="0" fillId="0" borderId="5" xfId="0" applyBorder="1"/>
    <xf numFmtId="0" fontId="11" fillId="0" borderId="6" xfId="0" applyFont="1" applyBorder="1" applyAlignment="1">
      <alignment horizontal="left" vertical="top" indent="1"/>
    </xf>
    <xf numFmtId="0" fontId="3" fillId="0" borderId="6" xfId="0" applyFont="1" applyBorder="1" applyAlignment="1">
      <alignment horizontal="left" vertical="top" wrapText="1" indent="1"/>
    </xf>
    <xf numFmtId="0" fontId="12" fillId="0" borderId="6" xfId="0" applyFont="1" applyBorder="1" applyAlignment="1">
      <alignment horizontal="left" vertical="top" wrapText="1" indent="1"/>
    </xf>
    <xf numFmtId="0" fontId="3" fillId="0" borderId="0" xfId="0" applyFont="1" applyAlignment="1">
      <alignment horizontal="left" vertical="top" wrapText="1" indent="1"/>
    </xf>
    <xf numFmtId="0" fontId="13" fillId="0" borderId="0" xfId="0" applyFont="1" applyAlignment="1">
      <alignment vertical="center"/>
    </xf>
    <xf numFmtId="0" fontId="14" fillId="0" borderId="6" xfId="0" applyFont="1" applyBorder="1" applyAlignment="1">
      <alignment horizontal="left" vertical="center" indent="1"/>
    </xf>
    <xf numFmtId="0" fontId="1" fillId="2" borderId="1" xfId="1" applyAlignment="1">
      <alignment horizontal="center" vertical="center"/>
    </xf>
    <xf numFmtId="0" fontId="2" fillId="3" borderId="1" xfId="2" applyAlignment="1">
      <alignment horizontal="center" vertical="center"/>
    </xf>
    <xf numFmtId="0" fontId="3" fillId="0" borderId="2" xfId="3" applyAlignment="1">
      <alignment horizontal="center" vertical="center"/>
    </xf>
    <xf numFmtId="0" fontId="4" fillId="4" borderId="3" xfId="4" applyAlignment="1">
      <alignment horizontal="center" vertical="center"/>
    </xf>
    <xf numFmtId="0" fontId="1" fillId="5" borderId="1" xfId="5" applyAlignment="1">
      <alignment horizontal="center" vertical="center"/>
    </xf>
    <xf numFmtId="0" fontId="15" fillId="0" borderId="6" xfId="0" applyFont="1" applyBorder="1" applyAlignment="1">
      <alignment horizontal="left" vertical="top" wrapText="1" indent="1"/>
    </xf>
    <xf numFmtId="0" fontId="5" fillId="6" borderId="0" xfId="0" applyFont="1" applyFill="1" applyAlignment="1">
      <alignment vertical="center"/>
    </xf>
    <xf numFmtId="0" fontId="8" fillId="7" borderId="4" xfId="0" applyFont="1" applyFill="1" applyBorder="1" applyAlignment="1">
      <alignment vertical="center"/>
    </xf>
    <xf numFmtId="0" fontId="17" fillId="7" borderId="4" xfId="0" applyFont="1" applyFill="1" applyBorder="1" applyAlignment="1">
      <alignment horizontal="left" vertical="center" wrapText="1" indent="1"/>
    </xf>
    <xf numFmtId="0" fontId="17" fillId="7" borderId="4" xfId="0" applyFont="1" applyFill="1" applyBorder="1" applyAlignment="1">
      <alignment horizontal="right" vertical="center" wrapText="1"/>
    </xf>
    <xf numFmtId="0" fontId="3" fillId="0" borderId="6" xfId="0" applyFont="1" applyBorder="1" applyAlignment="1">
      <alignment horizontal="left" vertical="center" indent="1"/>
    </xf>
    <xf numFmtId="0" fontId="18" fillId="0" borderId="6" xfId="0" applyFont="1" applyBorder="1" applyAlignment="1">
      <alignment horizontal="left" vertical="center" indent="1"/>
    </xf>
    <xf numFmtId="164" fontId="1" fillId="2" borderId="7" xfId="1" applyNumberFormat="1" applyBorder="1">
      <alignment horizontal="right" vertical="center"/>
    </xf>
    <xf numFmtId="0" fontId="0" fillId="0" borderId="6" xfId="0" applyBorder="1"/>
    <xf numFmtId="0" fontId="18" fillId="0" borderId="6" xfId="0" applyFont="1" applyBorder="1" applyAlignment="1">
      <alignment horizontal="left" vertical="center" wrapText="1" indent="1"/>
    </xf>
    <xf numFmtId="1" fontId="1" fillId="2" borderId="7" xfId="1" applyNumberFormat="1" applyBorder="1">
      <alignment horizontal="right" vertical="center"/>
    </xf>
    <xf numFmtId="2" fontId="1" fillId="2" borderId="7" xfId="1" applyNumberFormat="1" applyBorder="1">
      <alignment horizontal="right" vertical="center"/>
    </xf>
    <xf numFmtId="165" fontId="1" fillId="2" borderId="7" xfId="1" applyNumberFormat="1" applyBorder="1">
      <alignment horizontal="right" vertical="center"/>
    </xf>
    <xf numFmtId="0" fontId="17" fillId="7" borderId="4" xfId="0" applyFont="1" applyFill="1" applyBorder="1" applyAlignment="1">
      <alignment horizontal="left" vertical="center" indent="1"/>
    </xf>
    <xf numFmtId="0" fontId="17" fillId="7" borderId="4" xfId="0" applyFont="1" applyFill="1" applyBorder="1" applyAlignment="1">
      <alignment horizontal="right" vertical="center"/>
    </xf>
    <xf numFmtId="0" fontId="17" fillId="7" borderId="2" xfId="0" applyFont="1" applyFill="1" applyBorder="1" applyAlignment="1">
      <alignment horizontal="left" vertical="center" indent="1"/>
    </xf>
    <xf numFmtId="0" fontId="17" fillId="7" borderId="2" xfId="0" applyFont="1" applyFill="1" applyBorder="1" applyAlignment="1">
      <alignment horizontal="right" vertical="center"/>
    </xf>
    <xf numFmtId="0" fontId="19" fillId="7" borderId="4" xfId="0" applyFont="1" applyFill="1" applyBorder="1" applyAlignment="1">
      <alignment horizontal="right" vertical="center"/>
    </xf>
    <xf numFmtId="0" fontId="1" fillId="2" borderId="7" xfId="1" applyBorder="1" applyAlignment="1">
      <alignment horizontal="left" vertical="center" indent="1"/>
    </xf>
    <xf numFmtId="9" fontId="1" fillId="2" borderId="7" xfId="1" applyNumberFormat="1" applyBorder="1">
      <alignment horizontal="right" vertical="center"/>
    </xf>
    <xf numFmtId="0" fontId="13" fillId="0" borderId="0" xfId="0" applyFont="1" applyAlignment="1">
      <alignment horizontal="left" vertical="center" indent="1"/>
    </xf>
    <xf numFmtId="0" fontId="12" fillId="0" borderId="0" xfId="0" applyFont="1" applyAlignment="1">
      <alignment horizontal="left" vertical="center" indent="1"/>
    </xf>
    <xf numFmtId="1" fontId="12" fillId="0" borderId="2" xfId="3" applyNumberFormat="1" applyFont="1">
      <alignment horizontal="right" vertical="center"/>
    </xf>
    <xf numFmtId="166" fontId="2" fillId="3" borderId="7" xfId="2" applyNumberFormat="1" applyBorder="1">
      <alignment horizontal="right" vertical="center"/>
    </xf>
    <xf numFmtId="0" fontId="20" fillId="0" borderId="6" xfId="0" applyFont="1" applyBorder="1" applyAlignment="1">
      <alignment horizontal="left" vertical="center" indent="3"/>
    </xf>
    <xf numFmtId="0" fontId="18" fillId="0" borderId="6" xfId="0" applyFont="1" applyBorder="1" applyAlignment="1">
      <alignment horizontal="right" vertical="center"/>
    </xf>
    <xf numFmtId="1" fontId="3" fillId="0" borderId="8" xfId="3" applyNumberFormat="1" applyBorder="1">
      <alignment horizontal="right" vertical="center"/>
    </xf>
    <xf numFmtId="1" fontId="2" fillId="3" borderId="7" xfId="2" applyNumberFormat="1" applyBorder="1">
      <alignment horizontal="right" vertical="center"/>
    </xf>
    <xf numFmtId="167" fontId="3" fillId="0" borderId="8" xfId="3" applyNumberFormat="1" applyBorder="1">
      <alignment horizontal="right" vertical="center"/>
    </xf>
    <xf numFmtId="164" fontId="3" fillId="0" borderId="8" xfId="3" applyNumberFormat="1" applyBorder="1">
      <alignment horizontal="right" vertical="center"/>
    </xf>
    <xf numFmtId="0" fontId="0" fillId="7" borderId="2" xfId="0" applyFill="1" applyBorder="1"/>
    <xf numFmtId="164" fontId="2" fillId="3" borderId="7" xfId="2" applyNumberFormat="1" applyBorder="1">
      <alignment horizontal="right" vertical="center"/>
    </xf>
    <xf numFmtId="168" fontId="3" fillId="0" borderId="8" xfId="3" applyNumberFormat="1" applyBorder="1">
      <alignment horizontal="right" vertical="center"/>
    </xf>
    <xf numFmtId="0" fontId="17" fillId="7" borderId="0" xfId="0" applyFont="1" applyFill="1" applyAlignment="1">
      <alignment horizontal="left" vertical="center" indent="1"/>
    </xf>
    <xf numFmtId="0" fontId="0" fillId="7" borderId="0" xfId="0" applyFill="1"/>
    <xf numFmtId="0" fontId="17" fillId="7" borderId="0" xfId="0" applyFont="1" applyFill="1" applyAlignment="1">
      <alignment horizontal="right" vertical="center"/>
    </xf>
    <xf numFmtId="0" fontId="22" fillId="7" borderId="0" xfId="0" applyFont="1" applyFill="1" applyAlignment="1">
      <alignment horizontal="right" vertical="center"/>
    </xf>
    <xf numFmtId="1" fontId="21" fillId="7" borderId="0" xfId="0" applyNumberFormat="1" applyFont="1" applyFill="1" applyAlignment="1">
      <alignment horizontal="right" vertical="center"/>
    </xf>
    <xf numFmtId="166" fontId="3" fillId="0" borderId="8" xfId="3" applyNumberFormat="1" applyBorder="1">
      <alignment horizontal="right" vertical="center"/>
    </xf>
    <xf numFmtId="169" fontId="3" fillId="0" borderId="8" xfId="3" applyNumberFormat="1" applyBorder="1">
      <alignment horizontal="right" vertical="center"/>
    </xf>
    <xf numFmtId="168" fontId="12" fillId="0" borderId="8" xfId="3" applyNumberFormat="1" applyFont="1" applyBorder="1">
      <alignment horizontal="right" vertical="center"/>
    </xf>
    <xf numFmtId="0" fontId="12" fillId="0" borderId="6" xfId="0" applyFont="1" applyBorder="1" applyAlignment="1">
      <alignment horizontal="left" vertical="center" indent="1"/>
    </xf>
    <xf numFmtId="168" fontId="4" fillId="4" borderId="9" xfId="4" applyNumberFormat="1" applyBorder="1">
      <alignment horizontal="right" vertical="center"/>
    </xf>
    <xf numFmtId="169" fontId="12" fillId="0" borderId="8" xfId="3" applyNumberFormat="1" applyFont="1" applyBorder="1">
      <alignment horizontal="right" vertical="center"/>
    </xf>
    <xf numFmtId="1" fontId="4" fillId="4" borderId="9" xfId="4" applyNumberFormat="1" applyBorder="1">
      <alignment horizontal="right" vertical="center"/>
    </xf>
    <xf numFmtId="0" fontId="23" fillId="0" borderId="6" xfId="0" applyFont="1" applyBorder="1" applyAlignment="1">
      <alignment horizontal="center" vertical="center"/>
    </xf>
    <xf numFmtId="0" fontId="15" fillId="5" borderId="10" xfId="0" applyFont="1" applyFill="1" applyBorder="1" applyAlignment="1">
      <alignment horizontal="left" vertical="center" indent="1"/>
    </xf>
    <xf numFmtId="0" fontId="0" fillId="5" borderId="10" xfId="0" applyFill="1" applyBorder="1"/>
    <xf numFmtId="0" fontId="18" fillId="0" borderId="0" xfId="0" applyFont="1" applyAlignment="1">
      <alignment horizontal="left" vertical="center" indent="1"/>
    </xf>
    <xf numFmtId="0" fontId="24" fillId="0" borderId="5" xfId="0" applyFont="1" applyBorder="1"/>
    <xf numFmtId="0" fontId="17" fillId="7" borderId="2" xfId="0" applyFont="1" applyFill="1" applyBorder="1" applyAlignment="1">
      <alignment horizontal="left" vertical="center" wrapText="1" indent="1"/>
    </xf>
    <xf numFmtId="0" fontId="17" fillId="7" borderId="2" xfId="0" applyFont="1" applyFill="1" applyBorder="1" applyAlignment="1">
      <alignment horizontal="right" vertical="center" wrapText="1"/>
    </xf>
    <xf numFmtId="170" fontId="1" fillId="5" borderId="7" xfId="5" applyNumberFormat="1" applyBorder="1">
      <alignment horizontal="right" vertical="center"/>
    </xf>
    <xf numFmtId="171" fontId="1" fillId="5" borderId="7" xfId="5" applyNumberFormat="1" applyBorder="1">
      <alignment horizontal="right" vertical="center"/>
    </xf>
    <xf numFmtId="172" fontId="1" fillId="5" borderId="7" xfId="5" applyNumberFormat="1" applyBorder="1">
      <alignment horizontal="right" vertical="center"/>
    </xf>
    <xf numFmtId="173" fontId="1" fillId="5" borderId="7" xfId="5" applyNumberFormat="1" applyBorder="1">
      <alignment horizontal="right" vertical="center"/>
    </xf>
    <xf numFmtId="174" fontId="1" fillId="5" borderId="7" xfId="5" applyNumberFormat="1" applyBorder="1">
      <alignment horizontal="right" vertical="center"/>
    </xf>
    <xf numFmtId="175" fontId="1" fillId="5" borderId="7" xfId="5" applyNumberFormat="1" applyBorder="1">
      <alignment horizontal="right" vertical="center"/>
    </xf>
    <xf numFmtId="9" fontId="3" fillId="0" borderId="2" xfId="3" applyNumberFormat="1">
      <alignment horizontal="right" vertical="center"/>
    </xf>
    <xf numFmtId="4" fontId="3" fillId="0" borderId="2" xfId="3" applyNumberFormat="1">
      <alignment horizontal="right" vertical="center"/>
    </xf>
    <xf numFmtId="0" fontId="20" fillId="0" borderId="0" xfId="0" applyFont="1" applyAlignment="1">
      <alignment horizontal="left" vertical="center" indent="1"/>
    </xf>
    <xf numFmtId="0" fontId="3" fillId="0" borderId="0" xfId="0" applyFont="1" applyAlignment="1">
      <alignment horizontal="left" vertical="top" wrapText="1" indent="1"/>
    </xf>
    <xf numFmtId="0" fontId="0" fillId="0" borderId="0" xfId="0"/>
    <xf numFmtId="0" fontId="16" fillId="0" borderId="0" xfId="0" applyFont="1"/>
    <xf numFmtId="0" fontId="13" fillId="0" borderId="0" xfId="0" applyFont="1" applyAlignment="1">
      <alignment horizontal="left" vertical="center" wrapText="1" indent="1"/>
    </xf>
    <xf numFmtId="0" fontId="0" fillId="0" borderId="0" xfId="0" applyAlignment="1"/>
  </cellXfs>
  <cellStyles count="6">
    <cellStyle name="Normal" xfId="0" builtinId="0"/>
    <cellStyle name="Vose Calculation" xfId="3" xr:uid="{00000000-0005-0000-0000-000003000000}"/>
    <cellStyle name="Vose Input" xfId="1" xr:uid="{00000000-0005-0000-0000-000001000000}"/>
    <cellStyle name="Vose Output" xfId="4" xr:uid="{00000000-0005-0000-0000-000004000000}"/>
    <cellStyle name="Vose Sim Result" xfId="5" xr:uid="{00000000-0005-0000-0000-000005000000}"/>
    <cellStyle name="Vose Uncertain" xfId="2" xr:uid="{00000000-0005-0000-0000-000002000000}"/>
  </cellStyles>
  <dxfs count="10">
    <dxf>
      <font>
        <color rgb="FF8AA0BA"/>
      </font>
    </dxf>
    <dxf>
      <font>
        <color rgb="FF8AA0BA"/>
      </font>
    </dxf>
    <dxf>
      <font>
        <color rgb="FFB45309"/>
      </font>
      <fill>
        <patternFill patternType="solid">
          <fgColor rgb="FFFEF3C7"/>
          <bgColor rgb="FFFEF3C7"/>
        </patternFill>
      </fill>
    </dxf>
    <dxf>
      <font>
        <b/>
        <color rgb="FFB91C1C"/>
      </font>
    </dxf>
    <dxf>
      <numFmt numFmtId="180" formatCode="&quot;Review&quot;"/>
      <fill>
        <patternFill patternType="solid">
          <fgColor rgb="FFC9E6D2"/>
          <bgColor rgb="FFC9E6D2"/>
        </patternFill>
      </fill>
    </dxf>
    <dxf>
      <numFmt numFmtId="179" formatCode="&quot;Ph III&quot;"/>
      <fill>
        <patternFill patternType="solid">
          <fgColor rgb="FF9DB8DE"/>
          <bgColor rgb="FF9DB8DE"/>
        </patternFill>
      </fill>
    </dxf>
    <dxf>
      <numFmt numFmtId="178" formatCode="&quot;Ph II&quot;"/>
      <fill>
        <patternFill patternType="solid">
          <fgColor rgb="FFB9CDE8"/>
          <bgColor rgb="FFB9CDE8"/>
        </patternFill>
      </fill>
    </dxf>
    <dxf>
      <numFmt numFmtId="177" formatCode="&quot;Ph I&quot;"/>
      <fill>
        <patternFill patternType="solid">
          <fgColor rgb="FFD3E0F0"/>
          <bgColor rgb="FFD3E0F0"/>
        </patternFill>
      </fill>
    </dxf>
    <dxf>
      <numFmt numFmtId="176" formatCode="&quot;Pre&quot;"/>
      <fill>
        <patternFill patternType="solid">
          <fgColor rgb="FFE8EEF7"/>
          <bgColor rgb="FFE8EEF7"/>
        </patternFill>
      </fill>
    </dxf>
    <dxf>
      <font>
        <b/>
        <color rgb="FFB91C1C"/>
      </font>
      <fill>
        <patternFill patternType="solid">
          <fgColor rgb="FFFEE2E2"/>
          <b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13"/>
  <c:chart>
    <c:autoTitleDeleted val="1"/>
    <c:plotArea>
      <c:layout/>
      <c:scatterChart>
        <c:scatterStyle val="lineMarker"/>
        <c:varyColors val="0"/>
        <c:ser>
          <c:idx val="0"/>
          <c:order val="0"/>
          <c:tx>
            <c:v>Everything</c:v>
          </c:tx>
          <c:spPr>
            <a:ln w="25400">
              <a:solidFill>
                <a:srgbClr val="0E4F92"/>
              </a:solidFill>
              <a:prstDash val="solid"/>
            </a:ln>
          </c:spPr>
          <c:marker>
            <c:symbol val="none"/>
          </c:marker>
          <c:xVal>
            <c:numRef>
              <c:f>Results!$D$60:$D$109</c:f>
              <c:numCache>
                <c:formatCode>#,##0.00</c:formatCode>
                <c:ptCount val="50"/>
                <c:pt idx="0">
                  <c:v>-757.05185610111425</c:v>
                </c:pt>
                <c:pt idx="1">
                  <c:v>-653.31482327426465</c:v>
                </c:pt>
                <c:pt idx="2">
                  <c:v>-590.10961530259817</c:v>
                </c:pt>
                <c:pt idx="3">
                  <c:v>-550.18819539288006</c:v>
                </c:pt>
                <c:pt idx="4">
                  <c:v>-507.57480975025231</c:v>
                </c:pt>
                <c:pt idx="5">
                  <c:v>-470.22038442470955</c:v>
                </c:pt>
                <c:pt idx="6">
                  <c:v>-432.61198026588642</c:v>
                </c:pt>
                <c:pt idx="7">
                  <c:v>-404.24449827180274</c:v>
                </c:pt>
                <c:pt idx="8">
                  <c:v>-378.24097311055925</c:v>
                </c:pt>
                <c:pt idx="9">
                  <c:v>-322.86505121176776</c:v>
                </c:pt>
                <c:pt idx="10">
                  <c:v>-261.72598031326936</c:v>
                </c:pt>
                <c:pt idx="11">
                  <c:v>-214.46871070044821</c:v>
                </c:pt>
                <c:pt idx="12">
                  <c:v>-163.6479390734319</c:v>
                </c:pt>
                <c:pt idx="13">
                  <c:v>-113.87080612029489</c:v>
                </c:pt>
                <c:pt idx="14">
                  <c:v>-66.098965306070994</c:v>
                </c:pt>
                <c:pt idx="15">
                  <c:v>-20.125695718713839</c:v>
                </c:pt>
                <c:pt idx="16">
                  <c:v>24.107006828107927</c:v>
                </c:pt>
                <c:pt idx="17">
                  <c:v>73.558750129877055</c:v>
                </c:pt>
                <c:pt idx="18">
                  <c:v>123.85379101655326</c:v>
                </c:pt>
                <c:pt idx="19">
                  <c:v>170.48232989618279</c:v>
                </c:pt>
                <c:pt idx="20">
                  <c:v>215.07241158419652</c:v>
                </c:pt>
                <c:pt idx="21">
                  <c:v>254.48170883414758</c:v>
                </c:pt>
                <c:pt idx="22">
                  <c:v>301.4567606055283</c:v>
                </c:pt>
                <c:pt idx="23">
                  <c:v>349.64489935149453</c:v>
                </c:pt>
                <c:pt idx="24">
                  <c:v>391.98242922340637</c:v>
                </c:pt>
                <c:pt idx="25">
                  <c:v>438.17039212577254</c:v>
                </c:pt>
                <c:pt idx="26">
                  <c:v>490.29422440819218</c:v>
                </c:pt>
                <c:pt idx="27">
                  <c:v>537.34012724947684</c:v>
                </c:pt>
                <c:pt idx="28">
                  <c:v>578.94014214278479</c:v>
                </c:pt>
                <c:pt idx="29">
                  <c:v>631.04670602245665</c:v>
                </c:pt>
                <c:pt idx="30">
                  <c:v>675.69705311903863</c:v>
                </c:pt>
                <c:pt idx="31">
                  <c:v>722.06073918657376</c:v>
                </c:pt>
                <c:pt idx="32">
                  <c:v>776.27287757917588</c:v>
                </c:pt>
                <c:pt idx="33">
                  <c:v>837.08987696148699</c:v>
                </c:pt>
                <c:pt idx="34">
                  <c:v>888.6604522441296</c:v>
                </c:pt>
                <c:pt idx="35">
                  <c:v>942.15234407322271</c:v>
                </c:pt>
                <c:pt idx="36">
                  <c:v>998.52258746688517</c:v>
                </c:pt>
                <c:pt idx="37">
                  <c:v>1059.4838827468047</c:v>
                </c:pt>
                <c:pt idx="38">
                  <c:v>1135.3303708043507</c:v>
                </c:pt>
                <c:pt idx="39">
                  <c:v>1199.1410499845922</c:v>
                </c:pt>
                <c:pt idx="40">
                  <c:v>1274.7314469601326</c:v>
                </c:pt>
                <c:pt idx="41">
                  <c:v>1355.9482788324253</c:v>
                </c:pt>
                <c:pt idx="42">
                  <c:v>1451.1736708701858</c:v>
                </c:pt>
                <c:pt idx="43">
                  <c:v>1559.4364963947821</c:v>
                </c:pt>
                <c:pt idx="44">
                  <c:v>1668.5715609772074</c:v>
                </c:pt>
                <c:pt idx="45">
                  <c:v>1798.8292681357034</c:v>
                </c:pt>
                <c:pt idx="46">
                  <c:v>1964.2949274996156</c:v>
                </c:pt>
                <c:pt idx="47">
                  <c:v>2171.0066021933567</c:v>
                </c:pt>
                <c:pt idx="48">
                  <c:v>2511.4333047211385</c:v>
                </c:pt>
                <c:pt idx="49">
                  <c:v>3153.6612830687745</c:v>
                </c:pt>
              </c:numCache>
            </c:numRef>
          </c:xVal>
          <c:yVal>
            <c:numRef>
              <c:f>Results!$B$60:$B$109</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0-94E8-4479-A52C-29C2B8346007}"/>
            </c:ext>
          </c:extLst>
        </c:ser>
        <c:ser>
          <c:idx val="1"/>
          <c:order val="1"/>
          <c:tx>
            <c:v>One per mechanism</c:v>
          </c:tx>
          <c:spPr>
            <a:ln w="25400">
              <a:solidFill>
                <a:srgbClr val="B45309"/>
              </a:solidFill>
              <a:prstDash val="dash"/>
            </a:ln>
          </c:spPr>
          <c:marker>
            <c:symbol val="none"/>
          </c:marker>
          <c:xVal>
            <c:numRef>
              <c:f>Results!$E$60:$E$109</c:f>
              <c:numCache>
                <c:formatCode>#,##0.00</c:formatCode>
                <c:ptCount val="50"/>
                <c:pt idx="0">
                  <c:v>-607.35130612333205</c:v>
                </c:pt>
                <c:pt idx="1">
                  <c:v>-484.09215637293346</c:v>
                </c:pt>
                <c:pt idx="2">
                  <c:v>-478.01746948363899</c:v>
                </c:pt>
                <c:pt idx="3">
                  <c:v>-466.25984797093957</c:v>
                </c:pt>
                <c:pt idx="4">
                  <c:v>-436.64822490893357</c:v>
                </c:pt>
                <c:pt idx="5">
                  <c:v>-360.74164781652632</c:v>
                </c:pt>
                <c:pt idx="6">
                  <c:v>-348.68363284394593</c:v>
                </c:pt>
                <c:pt idx="7">
                  <c:v>-348.68363284394593</c:v>
                </c:pt>
                <c:pt idx="8">
                  <c:v>-307.31438826924045</c:v>
                </c:pt>
                <c:pt idx="9">
                  <c:v>-307.31438826924045</c:v>
                </c:pt>
                <c:pt idx="10">
                  <c:v>-231.10047489073489</c:v>
                </c:pt>
                <c:pt idx="11">
                  <c:v>-171.97189795309191</c:v>
                </c:pt>
                <c:pt idx="12">
                  <c:v>-123.54604039956646</c:v>
                </c:pt>
                <c:pt idx="13">
                  <c:v>-75.894951438850882</c:v>
                </c:pt>
                <c:pt idx="14">
                  <c:v>-35.433363204992034</c:v>
                </c:pt>
                <c:pt idx="15">
                  <c:v>3.2915160547763094</c:v>
                </c:pt>
                <c:pt idx="16">
                  <c:v>45.495797154705116</c:v>
                </c:pt>
                <c:pt idx="17">
                  <c:v>88.598499426539277</c:v>
                </c:pt>
                <c:pt idx="18">
                  <c:v>128.40471762510271</c:v>
                </c:pt>
                <c:pt idx="19">
                  <c:v>177.61639090866916</c:v>
                </c:pt>
                <c:pt idx="20">
                  <c:v>227.68538797506676</c:v>
                </c:pt>
                <c:pt idx="21">
                  <c:v>273.23128779170315</c:v>
                </c:pt>
                <c:pt idx="22">
                  <c:v>320.69660103677563</c:v>
                </c:pt>
                <c:pt idx="23">
                  <c:v>365.29978497326755</c:v>
                </c:pt>
                <c:pt idx="24">
                  <c:v>402.88473413878199</c:v>
                </c:pt>
                <c:pt idx="25">
                  <c:v>442.84642611951745</c:v>
                </c:pt>
                <c:pt idx="26">
                  <c:v>488.95596974370017</c:v>
                </c:pt>
                <c:pt idx="27">
                  <c:v>539.02106985327407</c:v>
                </c:pt>
                <c:pt idx="28">
                  <c:v>586.62092267981848</c:v>
                </c:pt>
                <c:pt idx="29">
                  <c:v>633.3830842012834</c:v>
                </c:pt>
                <c:pt idx="30">
                  <c:v>682.91705690855588</c:v>
                </c:pt>
                <c:pt idx="31">
                  <c:v>723.74952182451079</c:v>
                </c:pt>
                <c:pt idx="32">
                  <c:v>767.42312654451075</c:v>
                </c:pt>
                <c:pt idx="33">
                  <c:v>813.98799128149881</c:v>
                </c:pt>
                <c:pt idx="34">
                  <c:v>865.99450095966347</c:v>
                </c:pt>
                <c:pt idx="35">
                  <c:v>916.46101369489406</c:v>
                </c:pt>
                <c:pt idx="36">
                  <c:v>968.7121392137841</c:v>
                </c:pt>
                <c:pt idx="37">
                  <c:v>1028.741572685236</c:v>
                </c:pt>
                <c:pt idx="38">
                  <c:v>1089.365502703587</c:v>
                </c:pt>
                <c:pt idx="39">
                  <c:v>1150.822048725257</c:v>
                </c:pt>
                <c:pt idx="40">
                  <c:v>1219.0591103226952</c:v>
                </c:pt>
                <c:pt idx="41">
                  <c:v>1297.4023687139893</c:v>
                </c:pt>
                <c:pt idx="42">
                  <c:v>1375.2824289840619</c:v>
                </c:pt>
                <c:pt idx="43">
                  <c:v>1471.9882807509721</c:v>
                </c:pt>
                <c:pt idx="44">
                  <c:v>1567.6167049928581</c:v>
                </c:pt>
                <c:pt idx="45">
                  <c:v>1693.4103814352409</c:v>
                </c:pt>
                <c:pt idx="46">
                  <c:v>1838.6970202745299</c:v>
                </c:pt>
                <c:pt idx="47">
                  <c:v>2028.5514116376303</c:v>
                </c:pt>
                <c:pt idx="48">
                  <c:v>2324.4062615474068</c:v>
                </c:pt>
                <c:pt idx="49">
                  <c:v>2994.0942250233365</c:v>
                </c:pt>
              </c:numCache>
            </c:numRef>
          </c:xVal>
          <c:yVal>
            <c:numRef>
              <c:f>Results!$B$60:$B$109</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1-94E8-4479-A52C-29C2B8346007}"/>
            </c:ext>
          </c:extLst>
        </c:ser>
        <c:ser>
          <c:idx val="2"/>
          <c:order val="2"/>
          <c:tx>
            <c:v>Late stage</c:v>
          </c:tx>
          <c:spPr>
            <a:ln w="25400">
              <a:solidFill>
                <a:srgbClr val="15803D"/>
              </a:solidFill>
              <a:prstDash val="solid"/>
            </a:ln>
          </c:spPr>
          <c:marker>
            <c:symbol val="none"/>
          </c:marker>
          <c:xVal>
            <c:numRef>
              <c:f>Results!$F$60:$F$109</c:f>
              <c:numCache>
                <c:formatCode>#,##0.00</c:formatCode>
                <c:ptCount val="50"/>
                <c:pt idx="0">
                  <c:v>-551.68012270994268</c:v>
                </c:pt>
                <c:pt idx="1">
                  <c:v>-425.92803884728039</c:v>
                </c:pt>
                <c:pt idx="2">
                  <c:v>-422.34628607024968</c:v>
                </c:pt>
                <c:pt idx="3">
                  <c:v>-422.34628607024968</c:v>
                </c:pt>
                <c:pt idx="4">
                  <c:v>-422.34628607024968</c:v>
                </c:pt>
                <c:pt idx="5">
                  <c:v>-313.4653521233804</c:v>
                </c:pt>
                <c:pt idx="6">
                  <c:v>-293.01244943055656</c:v>
                </c:pt>
                <c:pt idx="7">
                  <c:v>-293.01244943055656</c:v>
                </c:pt>
                <c:pt idx="8">
                  <c:v>-293.01244943055656</c:v>
                </c:pt>
                <c:pt idx="9">
                  <c:v>-293.01244943055656</c:v>
                </c:pt>
                <c:pt idx="10">
                  <c:v>-268.63854499269098</c:v>
                </c:pt>
                <c:pt idx="11">
                  <c:v>-173.98748523395955</c:v>
                </c:pt>
                <c:pt idx="12">
                  <c:v>-122.95281791772254</c:v>
                </c:pt>
                <c:pt idx="13">
                  <c:v>-76.789194927210019</c:v>
                </c:pt>
                <c:pt idx="14">
                  <c:v>-32.829927678693309</c:v>
                </c:pt>
                <c:pt idx="15">
                  <c:v>8.343646949967507</c:v>
                </c:pt>
                <c:pt idx="16">
                  <c:v>45.472539995701368</c:v>
                </c:pt>
                <c:pt idx="17">
                  <c:v>85.486427893458938</c:v>
                </c:pt>
                <c:pt idx="18">
                  <c:v>127.66936865000037</c:v>
                </c:pt>
                <c:pt idx="19">
                  <c:v>172.21089135447286</c:v>
                </c:pt>
                <c:pt idx="20">
                  <c:v>213.77179525070039</c:v>
                </c:pt>
                <c:pt idx="21">
                  <c:v>263.27972413334152</c:v>
                </c:pt>
                <c:pt idx="22">
                  <c:v>304.62142513753133</c:v>
                </c:pt>
                <c:pt idx="23">
                  <c:v>348.65226843613783</c:v>
                </c:pt>
                <c:pt idx="24">
                  <c:v>391.51366332957639</c:v>
                </c:pt>
                <c:pt idx="25">
                  <c:v>433.79377784134147</c:v>
                </c:pt>
                <c:pt idx="26">
                  <c:v>475.74507318616622</c:v>
                </c:pt>
                <c:pt idx="27">
                  <c:v>519.25910867777827</c:v>
                </c:pt>
                <c:pt idx="28">
                  <c:v>570.17024976374353</c:v>
                </c:pt>
                <c:pt idx="29">
                  <c:v>616.98899196274317</c:v>
                </c:pt>
                <c:pt idx="30">
                  <c:v>660.19219270962515</c:v>
                </c:pt>
                <c:pt idx="31">
                  <c:v>711.77572359710325</c:v>
                </c:pt>
                <c:pt idx="32">
                  <c:v>754.30370491608323</c:v>
                </c:pt>
                <c:pt idx="33">
                  <c:v>797.81286653989969</c:v>
                </c:pt>
                <c:pt idx="34">
                  <c:v>840.84245662207763</c:v>
                </c:pt>
                <c:pt idx="35">
                  <c:v>888.60230519862671</c:v>
                </c:pt>
                <c:pt idx="36">
                  <c:v>938.9433145254759</c:v>
                </c:pt>
                <c:pt idx="37">
                  <c:v>984.96849902754229</c:v>
                </c:pt>
                <c:pt idx="38">
                  <c:v>1044.9489759231571</c:v>
                </c:pt>
                <c:pt idx="39">
                  <c:v>1103.7649230326974</c:v>
                </c:pt>
                <c:pt idx="40">
                  <c:v>1166.9874190093772</c:v>
                </c:pt>
                <c:pt idx="41">
                  <c:v>1233.361049161379</c:v>
                </c:pt>
                <c:pt idx="42">
                  <c:v>1302.0626060341924</c:v>
                </c:pt>
                <c:pt idx="43">
                  <c:v>1393.1433639884776</c:v>
                </c:pt>
                <c:pt idx="44">
                  <c:v>1487.4130398937662</c:v>
                </c:pt>
                <c:pt idx="45">
                  <c:v>1594.4268777479322</c:v>
                </c:pt>
                <c:pt idx="46">
                  <c:v>1721.4688883580741</c:v>
                </c:pt>
                <c:pt idx="47">
                  <c:v>1896.857381136979</c:v>
                </c:pt>
                <c:pt idx="48">
                  <c:v>2166.1839615559925</c:v>
                </c:pt>
                <c:pt idx="49">
                  <c:v>2693.331761714363</c:v>
                </c:pt>
              </c:numCache>
            </c:numRef>
          </c:xVal>
          <c:yVal>
            <c:numRef>
              <c:f>Results!$B$60:$B$109</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2-94E8-4479-A52C-29C2B8346007}"/>
            </c:ext>
          </c:extLst>
        </c:ser>
        <c:ser>
          <c:idx val="3"/>
          <c:order val="3"/>
          <c:tx>
            <c:v>Within budget</c:v>
          </c:tx>
          <c:spPr>
            <a:ln w="25400">
              <a:solidFill>
                <a:srgbClr val="B91C1C"/>
              </a:solidFill>
              <a:prstDash val="solid"/>
            </a:ln>
          </c:spPr>
          <c:marker>
            <c:symbol val="none"/>
          </c:marker>
          <c:xVal>
            <c:numRef>
              <c:f>Results!$G$60:$G$109</c:f>
              <c:numCache>
                <c:formatCode>#,##0.00</c:formatCode>
                <c:ptCount val="50"/>
                <c:pt idx="0">
                  <c:v>-510.76122259525806</c:v>
                </c:pt>
                <c:pt idx="1">
                  <c:v>-411.21634749090424</c:v>
                </c:pt>
                <c:pt idx="2">
                  <c:v>-398.2145849102825</c:v>
                </c:pt>
                <c:pt idx="3">
                  <c:v>-382.87521062055231</c:v>
                </c:pt>
                <c:pt idx="4">
                  <c:v>-353.26358755854631</c:v>
                </c:pt>
                <c:pt idx="5">
                  <c:v>-315.90916223300354</c:v>
                </c:pt>
                <c:pt idx="6">
                  <c:v>-315.90916223300354</c:v>
                </c:pt>
                <c:pt idx="7">
                  <c:v>-278.30075807418041</c:v>
                </c:pt>
                <c:pt idx="8">
                  <c:v>-274.53991765829807</c:v>
                </c:pt>
                <c:pt idx="9">
                  <c:v>-268.88074827058949</c:v>
                </c:pt>
                <c:pt idx="10">
                  <c:v>-265.29899549355866</c:v>
                </c:pt>
                <c:pt idx="11">
                  <c:v>-240.51326627650573</c:v>
                </c:pt>
                <c:pt idx="12">
                  <c:v>-227.51150369588402</c:v>
                </c:pt>
                <c:pt idx="13">
                  <c:v>-223.92975091885324</c:v>
                </c:pt>
                <c:pt idx="14">
                  <c:v>-159.69839269790958</c:v>
                </c:pt>
                <c:pt idx="15">
                  <c:v>-93.164788468374383</c:v>
                </c:pt>
                <c:pt idx="16">
                  <c:v>-42.008556314153083</c:v>
                </c:pt>
                <c:pt idx="17">
                  <c:v>2.8828949901497936</c:v>
                </c:pt>
                <c:pt idx="18">
                  <c:v>50.250622041307821</c:v>
                </c:pt>
                <c:pt idx="19">
                  <c:v>96.517668806530025</c:v>
                </c:pt>
                <c:pt idx="20">
                  <c:v>143.82138240134324</c:v>
                </c:pt>
                <c:pt idx="21">
                  <c:v>195.74847183484803</c:v>
                </c:pt>
                <c:pt idx="22">
                  <c:v>247.57499333170497</c:v>
                </c:pt>
                <c:pt idx="23">
                  <c:v>301.05733268971562</c:v>
                </c:pt>
                <c:pt idx="24">
                  <c:v>350.19147868254652</c:v>
                </c:pt>
                <c:pt idx="25">
                  <c:v>395.4082994087637</c:v>
                </c:pt>
                <c:pt idx="26">
                  <c:v>436.40655410397113</c:v>
                </c:pt>
                <c:pt idx="27">
                  <c:v>481.46129257828113</c:v>
                </c:pt>
                <c:pt idx="28">
                  <c:v>527.61884879801028</c:v>
                </c:pt>
                <c:pt idx="29">
                  <c:v>575.45071209905177</c:v>
                </c:pt>
                <c:pt idx="30">
                  <c:v>621.77135331237969</c:v>
                </c:pt>
                <c:pt idx="31">
                  <c:v>664.0287118005499</c:v>
                </c:pt>
                <c:pt idx="32">
                  <c:v>706.10316742523207</c:v>
                </c:pt>
                <c:pt idx="33">
                  <c:v>746.93689162370458</c:v>
                </c:pt>
                <c:pt idx="34">
                  <c:v>796.44937873192691</c:v>
                </c:pt>
                <c:pt idx="35">
                  <c:v>838.98232747846509</c:v>
                </c:pt>
                <c:pt idx="36">
                  <c:v>885.4496240318947</c:v>
                </c:pt>
                <c:pt idx="37">
                  <c:v>933.53791080702172</c:v>
                </c:pt>
                <c:pt idx="38">
                  <c:v>984.9474483213852</c:v>
                </c:pt>
                <c:pt idx="39">
                  <c:v>1047.7509572167187</c:v>
                </c:pt>
                <c:pt idx="40">
                  <c:v>1112.2292141633809</c:v>
                </c:pt>
                <c:pt idx="41">
                  <c:v>1182.0355115283151</c:v>
                </c:pt>
                <c:pt idx="42">
                  <c:v>1257.3879922135618</c:v>
                </c:pt>
                <c:pt idx="43">
                  <c:v>1341.202185935927</c:v>
                </c:pt>
                <c:pt idx="44">
                  <c:v>1448.2375620242633</c:v>
                </c:pt>
                <c:pt idx="45">
                  <c:v>1557.9454851751657</c:v>
                </c:pt>
                <c:pt idx="46">
                  <c:v>1736.8857535597954</c:v>
                </c:pt>
                <c:pt idx="47">
                  <c:v>1942.3435020590484</c:v>
                </c:pt>
                <c:pt idx="48">
                  <c:v>2198.8725865361694</c:v>
                </c:pt>
                <c:pt idx="49">
                  <c:v>2818.0048414710227</c:v>
                </c:pt>
              </c:numCache>
            </c:numRef>
          </c:xVal>
          <c:yVal>
            <c:numRef>
              <c:f>Results!$B$60:$B$109</c:f>
              <c:numCache>
                <c:formatCode>0%</c:formatCode>
                <c:ptCount val="50"/>
                <c:pt idx="0">
                  <c:v>0.01</c:v>
                </c:pt>
                <c:pt idx="1">
                  <c:v>0.03</c:v>
                </c:pt>
                <c:pt idx="2">
                  <c:v>0.05</c:v>
                </c:pt>
                <c:pt idx="3">
                  <c:v>7.0000000000000007E-2</c:v>
                </c:pt>
                <c:pt idx="4">
                  <c:v>0.09</c:v>
                </c:pt>
                <c:pt idx="5">
                  <c:v>0.11</c:v>
                </c:pt>
                <c:pt idx="6">
                  <c:v>0.13</c:v>
                </c:pt>
                <c:pt idx="7">
                  <c:v>0.15</c:v>
                </c:pt>
                <c:pt idx="8">
                  <c:v>0.17</c:v>
                </c:pt>
                <c:pt idx="9">
                  <c:v>0.19</c:v>
                </c:pt>
                <c:pt idx="10">
                  <c:v>0.21</c:v>
                </c:pt>
                <c:pt idx="11">
                  <c:v>0.23</c:v>
                </c:pt>
                <c:pt idx="12">
                  <c:v>0.25</c:v>
                </c:pt>
                <c:pt idx="13">
                  <c:v>0.27</c:v>
                </c:pt>
                <c:pt idx="14">
                  <c:v>0.28999999999999998</c:v>
                </c:pt>
                <c:pt idx="15">
                  <c:v>0.31</c:v>
                </c:pt>
                <c:pt idx="16">
                  <c:v>0.33</c:v>
                </c:pt>
                <c:pt idx="17">
                  <c:v>0.35</c:v>
                </c:pt>
                <c:pt idx="18">
                  <c:v>0.37</c:v>
                </c:pt>
                <c:pt idx="19">
                  <c:v>0.39</c:v>
                </c:pt>
                <c:pt idx="20">
                  <c:v>0.41</c:v>
                </c:pt>
                <c:pt idx="21">
                  <c:v>0.43</c:v>
                </c:pt>
                <c:pt idx="22">
                  <c:v>0.45</c:v>
                </c:pt>
                <c:pt idx="23">
                  <c:v>0.47</c:v>
                </c:pt>
                <c:pt idx="24">
                  <c:v>0.49</c:v>
                </c:pt>
                <c:pt idx="25">
                  <c:v>0.51</c:v>
                </c:pt>
                <c:pt idx="26">
                  <c:v>0.53</c:v>
                </c:pt>
                <c:pt idx="27">
                  <c:v>0.55000000000000004</c:v>
                </c:pt>
                <c:pt idx="28">
                  <c:v>0.56999999999999995</c:v>
                </c:pt>
                <c:pt idx="29">
                  <c:v>0.59</c:v>
                </c:pt>
                <c:pt idx="30">
                  <c:v>0.61</c:v>
                </c:pt>
                <c:pt idx="31">
                  <c:v>0.63</c:v>
                </c:pt>
                <c:pt idx="32">
                  <c:v>0.65</c:v>
                </c:pt>
                <c:pt idx="33">
                  <c:v>0.67</c:v>
                </c:pt>
                <c:pt idx="34">
                  <c:v>0.69</c:v>
                </c:pt>
                <c:pt idx="35">
                  <c:v>0.71</c:v>
                </c:pt>
                <c:pt idx="36">
                  <c:v>0.73</c:v>
                </c:pt>
                <c:pt idx="37">
                  <c:v>0.75</c:v>
                </c:pt>
                <c:pt idx="38">
                  <c:v>0.77</c:v>
                </c:pt>
                <c:pt idx="39">
                  <c:v>0.79</c:v>
                </c:pt>
                <c:pt idx="40">
                  <c:v>0.81</c:v>
                </c:pt>
                <c:pt idx="41">
                  <c:v>0.83</c:v>
                </c:pt>
                <c:pt idx="42">
                  <c:v>0.85</c:v>
                </c:pt>
                <c:pt idx="43">
                  <c:v>0.87</c:v>
                </c:pt>
                <c:pt idx="44">
                  <c:v>0.89</c:v>
                </c:pt>
                <c:pt idx="45">
                  <c:v>0.91</c:v>
                </c:pt>
                <c:pt idx="46">
                  <c:v>0.93</c:v>
                </c:pt>
                <c:pt idx="47">
                  <c:v>0.95</c:v>
                </c:pt>
                <c:pt idx="48">
                  <c:v>0.97</c:v>
                </c:pt>
                <c:pt idx="49">
                  <c:v>0.99</c:v>
                </c:pt>
              </c:numCache>
            </c:numRef>
          </c:yVal>
          <c:smooth val="1"/>
          <c:extLst>
            <c:ext xmlns:c16="http://schemas.microsoft.com/office/drawing/2014/chart" uri="{C3380CC4-5D6E-409C-BE32-E72D297353CC}">
              <c16:uniqueId val="{00000003-94E8-4479-A52C-29C2B8346007}"/>
            </c:ext>
          </c:extLst>
        </c:ser>
        <c:dLbls>
          <c:showLegendKey val="0"/>
          <c:showVal val="0"/>
          <c:showCatName val="0"/>
          <c:showSerName val="0"/>
          <c:showPercent val="0"/>
          <c:showBubbleSize val="0"/>
        </c:dLbls>
        <c:axId val="10"/>
        <c:axId val="20"/>
      </c:scatterChart>
      <c:valAx>
        <c:axId val="10"/>
        <c:scaling>
          <c:orientation val="minMax"/>
        </c:scaling>
        <c:delete val="0"/>
        <c:axPos val="b"/>
        <c:title>
          <c:tx>
            <c:rich>
              <a:bodyPr/>
              <a:lstStyle/>
              <a:p>
                <a:pPr>
                  <a:defRPr/>
                </a:pPr>
                <a:r>
                  <a:rPr lang="en-US"/>
                  <a:t>NPV (US$m)</a:t>
                </a:r>
              </a:p>
            </c:rich>
          </c:tx>
          <c:overlay val="0"/>
        </c:title>
        <c:numFmt formatCode="#,##0" sourceLinked="0"/>
        <c:majorTickMark val="none"/>
        <c:minorTickMark val="none"/>
        <c:tickLblPos val="nextTo"/>
        <c:crossAx val="20"/>
        <c:crosses val="autoZero"/>
        <c:crossBetween val="midCat"/>
      </c:valAx>
      <c:valAx>
        <c:axId val="20"/>
        <c:scaling>
          <c:orientation val="minMax"/>
          <c:max val="1"/>
          <c:min val="0"/>
        </c:scaling>
        <c:delete val="0"/>
        <c:axPos val="l"/>
        <c:majorGridlines>
          <c:spPr>
            <a:ln>
              <a:solidFill>
                <a:srgbClr val="E4E9F0"/>
              </a:solidFill>
              <a:prstDash val="solid"/>
            </a:ln>
          </c:spPr>
        </c:majorGridlines>
        <c:title>
          <c:tx>
            <c:rich>
              <a:bodyPr/>
              <a:lstStyle/>
              <a:p>
                <a:pPr>
                  <a:defRPr/>
                </a:pPr>
                <a:r>
                  <a:rPr lang="en-US"/>
                  <a:t>Cumulative probability</a:t>
                </a:r>
              </a:p>
            </c:rich>
          </c:tx>
          <c:overlay val="0"/>
        </c:title>
        <c:numFmt formatCode="0%" sourceLinked="0"/>
        <c:majorTickMark val="none"/>
        <c:minorTickMark val="none"/>
        <c:tickLblPos val="nextTo"/>
        <c:crossAx val="10"/>
        <c:crosses val="min"/>
        <c:crossBetween val="midCat"/>
      </c:valAx>
    </c:plotArea>
    <c:legend>
      <c:legendPos val="b"/>
      <c:overlay val="0"/>
    </c:legend>
    <c:plotVisOnly val="0"/>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0"/>
        <c:ser>
          <c:idx val="0"/>
          <c:order val="0"/>
          <c:tx>
            <c:v>90th percentile</c:v>
          </c:tx>
          <c:spPr>
            <a:ln w="15875">
              <a:solidFill>
                <a:srgbClr val="0E4F92"/>
              </a:solidFill>
              <a:prstDash val="dash"/>
            </a:ln>
          </c:spPr>
          <c:marker>
            <c:symbol val="none"/>
          </c:marker>
          <c:cat>
            <c:numRef>
              <c:f>Results!$B$112:$B$121</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Results!$E$112:$E$121</c:f>
              <c:numCache>
                <c:formatCode>#,##0.00</c:formatCode>
                <c:ptCount val="10"/>
                <c:pt idx="0">
                  <c:v>150</c:v>
                </c:pt>
                <c:pt idx="1">
                  <c:v>160</c:v>
                </c:pt>
                <c:pt idx="2">
                  <c:v>205</c:v>
                </c:pt>
                <c:pt idx="3">
                  <c:v>180</c:v>
                </c:pt>
                <c:pt idx="4">
                  <c:v>180</c:v>
                </c:pt>
                <c:pt idx="5">
                  <c:v>60</c:v>
                </c:pt>
                <c:pt idx="6">
                  <c:v>0</c:v>
                </c:pt>
                <c:pt idx="7">
                  <c:v>0</c:v>
                </c:pt>
                <c:pt idx="8">
                  <c:v>0</c:v>
                </c:pt>
                <c:pt idx="9">
                  <c:v>0</c:v>
                </c:pt>
              </c:numCache>
            </c:numRef>
          </c:val>
          <c:smooth val="0"/>
          <c:extLst>
            <c:ext xmlns:c16="http://schemas.microsoft.com/office/drawing/2014/chart" uri="{C3380CC4-5D6E-409C-BE32-E72D297353CC}">
              <c16:uniqueId val="{00000000-F68E-46CE-87DC-9E23E84C994E}"/>
            </c:ext>
          </c:extLst>
        </c:ser>
        <c:ser>
          <c:idx val="1"/>
          <c:order val="1"/>
          <c:tx>
            <c:v>Median</c:v>
          </c:tx>
          <c:spPr>
            <a:ln w="28575">
              <a:solidFill>
                <a:srgbClr val="0E4F92"/>
              </a:solidFill>
              <a:prstDash val="solid"/>
            </a:ln>
          </c:spPr>
          <c:marker>
            <c:symbol val="none"/>
          </c:marker>
          <c:cat>
            <c:numRef>
              <c:f>Results!$B$112:$B$121</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Results!$D$112:$D$121</c:f>
              <c:numCache>
                <c:formatCode>#,##0.00</c:formatCode>
                <c:ptCount val="10"/>
                <c:pt idx="0">
                  <c:v>150</c:v>
                </c:pt>
                <c:pt idx="1">
                  <c:v>160</c:v>
                </c:pt>
                <c:pt idx="2">
                  <c:v>145</c:v>
                </c:pt>
                <c:pt idx="3">
                  <c:v>65</c:v>
                </c:pt>
                <c:pt idx="4">
                  <c:v>60</c:v>
                </c:pt>
                <c:pt idx="5">
                  <c:v>5</c:v>
                </c:pt>
                <c:pt idx="6">
                  <c:v>0</c:v>
                </c:pt>
                <c:pt idx="7">
                  <c:v>0</c:v>
                </c:pt>
                <c:pt idx="8">
                  <c:v>0</c:v>
                </c:pt>
                <c:pt idx="9">
                  <c:v>0</c:v>
                </c:pt>
              </c:numCache>
            </c:numRef>
          </c:val>
          <c:smooth val="0"/>
          <c:extLst>
            <c:ext xmlns:c16="http://schemas.microsoft.com/office/drawing/2014/chart" uri="{C3380CC4-5D6E-409C-BE32-E72D297353CC}">
              <c16:uniqueId val="{00000001-F68E-46CE-87DC-9E23E84C994E}"/>
            </c:ext>
          </c:extLst>
        </c:ser>
        <c:ser>
          <c:idx val="2"/>
          <c:order val="2"/>
          <c:tx>
            <c:v>Mean</c:v>
          </c:tx>
          <c:spPr>
            <a:ln w="19050">
              <a:solidFill>
                <a:srgbClr val="B45309"/>
              </a:solidFill>
              <a:prstDash val="solid"/>
            </a:ln>
          </c:spPr>
          <c:marker>
            <c:symbol val="none"/>
          </c:marker>
          <c:cat>
            <c:numRef>
              <c:f>Results!$B$112:$B$121</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Results!$F$112:$F$121</c:f>
              <c:numCache>
                <c:formatCode>#,##0.00</c:formatCode>
                <c:ptCount val="10"/>
                <c:pt idx="0">
                  <c:v>150</c:v>
                </c:pt>
                <c:pt idx="1">
                  <c:v>151.17955897794889</c:v>
                </c:pt>
                <c:pt idx="2">
                  <c:v>148.42917145857294</c:v>
                </c:pt>
                <c:pt idx="3">
                  <c:v>84.772988649432477</c:v>
                </c:pt>
                <c:pt idx="4">
                  <c:v>81.826091304565225</c:v>
                </c:pt>
                <c:pt idx="5">
                  <c:v>13.435171758587929</c:v>
                </c:pt>
                <c:pt idx="6">
                  <c:v>0.44852242612130605</c:v>
                </c:pt>
                <c:pt idx="7">
                  <c:v>0</c:v>
                </c:pt>
                <c:pt idx="8">
                  <c:v>0</c:v>
                </c:pt>
                <c:pt idx="9">
                  <c:v>0</c:v>
                </c:pt>
              </c:numCache>
            </c:numRef>
          </c:val>
          <c:smooth val="0"/>
          <c:extLst>
            <c:ext xmlns:c16="http://schemas.microsoft.com/office/drawing/2014/chart" uri="{C3380CC4-5D6E-409C-BE32-E72D297353CC}">
              <c16:uniqueId val="{00000002-F68E-46CE-87DC-9E23E84C994E}"/>
            </c:ext>
          </c:extLst>
        </c:ser>
        <c:ser>
          <c:idx val="3"/>
          <c:order val="3"/>
          <c:tx>
            <c:v>10th percentile</c:v>
          </c:tx>
          <c:spPr>
            <a:ln w="15875">
              <a:solidFill>
                <a:srgbClr val="0E4F92"/>
              </a:solidFill>
              <a:prstDash val="dash"/>
            </a:ln>
          </c:spPr>
          <c:marker>
            <c:symbol val="none"/>
          </c:marker>
          <c:cat>
            <c:numRef>
              <c:f>Results!$B$112:$B$121</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Results!$C$112:$C$121</c:f>
              <c:numCache>
                <c:formatCode>#,##0.00</c:formatCode>
                <c:ptCount val="10"/>
                <c:pt idx="0">
                  <c:v>150</c:v>
                </c:pt>
                <c:pt idx="1">
                  <c:v>135</c:v>
                </c:pt>
                <c:pt idx="2">
                  <c:v>85</c:v>
                </c:pt>
                <c:pt idx="3">
                  <c:v>5</c:v>
                </c:pt>
                <c:pt idx="4">
                  <c:v>0</c:v>
                </c:pt>
                <c:pt idx="5">
                  <c:v>0</c:v>
                </c:pt>
                <c:pt idx="6">
                  <c:v>0</c:v>
                </c:pt>
                <c:pt idx="7">
                  <c:v>0</c:v>
                </c:pt>
                <c:pt idx="8">
                  <c:v>0</c:v>
                </c:pt>
                <c:pt idx="9">
                  <c:v>0</c:v>
                </c:pt>
              </c:numCache>
            </c:numRef>
          </c:val>
          <c:smooth val="0"/>
          <c:extLst>
            <c:ext xmlns:c16="http://schemas.microsoft.com/office/drawing/2014/chart" uri="{C3380CC4-5D6E-409C-BE32-E72D297353CC}">
              <c16:uniqueId val="{00000003-F68E-46CE-87DC-9E23E84C994E}"/>
            </c:ext>
          </c:extLst>
        </c:ser>
        <c:ser>
          <c:idx val="4"/>
          <c:order val="4"/>
          <c:tx>
            <c:v>Budget</c:v>
          </c:tx>
          <c:spPr>
            <a:ln w="22225">
              <a:solidFill>
                <a:srgbClr val="15803D"/>
              </a:solidFill>
              <a:prstDash val="solid"/>
            </a:ln>
          </c:spPr>
          <c:marker>
            <c:symbol val="none"/>
          </c:marker>
          <c:cat>
            <c:numRef>
              <c:f>Results!$B$112:$B$121</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Results!$G$112:$G$121</c:f>
              <c:numCache>
                <c:formatCode>#,##0.00</c:formatCode>
                <c:ptCount val="10"/>
                <c:pt idx="0">
                  <c:v>170</c:v>
                </c:pt>
                <c:pt idx="1">
                  <c:v>170</c:v>
                </c:pt>
                <c:pt idx="2">
                  <c:v>170</c:v>
                </c:pt>
                <c:pt idx="3">
                  <c:v>170</c:v>
                </c:pt>
                <c:pt idx="4">
                  <c:v>170</c:v>
                </c:pt>
                <c:pt idx="5">
                  <c:v>#N/A</c:v>
                </c:pt>
                <c:pt idx="6">
                  <c:v>#N/A</c:v>
                </c:pt>
                <c:pt idx="7">
                  <c:v>#N/A</c:v>
                </c:pt>
                <c:pt idx="8">
                  <c:v>#N/A</c:v>
                </c:pt>
                <c:pt idx="9">
                  <c:v>#N/A</c:v>
                </c:pt>
              </c:numCache>
            </c:numRef>
          </c:val>
          <c:smooth val="0"/>
          <c:extLst>
            <c:ext xmlns:c16="http://schemas.microsoft.com/office/drawing/2014/chart" uri="{C3380CC4-5D6E-409C-BE32-E72D297353CC}">
              <c16:uniqueId val="{00000004-F68E-46CE-87DC-9E23E84C994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General" sourceLinked="0"/>
        <c:majorTickMark val="none"/>
        <c:minorTickMark val="none"/>
        <c:tickLblPos val="nextTo"/>
        <c:crossAx val="100"/>
        <c:crosses val="autoZero"/>
        <c:auto val="1"/>
        <c:lblAlgn val="ctr"/>
        <c:lblOffset val="100"/>
        <c:noMultiLvlLbl val="1"/>
      </c:catAx>
      <c:valAx>
        <c:axId val="100"/>
        <c:scaling>
          <c:orientation val="minMax"/>
        </c:scaling>
        <c:delete val="0"/>
        <c:axPos val="l"/>
        <c:majorGridlines>
          <c:spPr>
            <a:ln>
              <a:solidFill>
                <a:srgbClr val="E4E9F0"/>
              </a:solidFill>
              <a:prstDash val="solid"/>
            </a:ln>
          </c:spPr>
        </c:majorGridlines>
        <c:title>
          <c:tx>
            <c:rich>
              <a:bodyPr/>
              <a:lstStyle/>
              <a:p>
                <a:pPr>
                  <a:defRPr/>
                </a:pPr>
                <a:r>
                  <a:rPr lang="en-US"/>
                  <a:t>US$m a year</a:t>
                </a:r>
              </a:p>
            </c:rich>
          </c:tx>
          <c:overlay val="0"/>
        </c:title>
        <c:numFmt formatCode="#,##0" sourceLinked="0"/>
        <c:majorTickMark val="none"/>
        <c:minorTickMark val="none"/>
        <c:tickLblPos val="nextTo"/>
        <c:crossAx val="10"/>
        <c:crosses val="autoZero"/>
        <c:crossBetween val="between"/>
      </c:valAx>
    </c:plotArea>
    <c:legend>
      <c:legendPos val="b"/>
      <c:overlay val="0"/>
    </c:legend>
    <c:plotVisOnly val="0"/>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1</xdr:col>
      <xdr:colOff>0</xdr:colOff>
      <xdr:row>19</xdr:row>
      <xdr:rowOff>0</xdr:rowOff>
    </xdr:from>
    <xdr:ext cx="9144000" cy="15240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8</xdr:col>
      <xdr:colOff>0</xdr:colOff>
      <xdr:row>9</xdr:row>
      <xdr:rowOff>0</xdr:rowOff>
    </xdr:from>
    <xdr:ext cx="6263999" cy="2664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8</xdr:col>
      <xdr:colOff>0</xdr:colOff>
      <xdr:row>25</xdr:row>
      <xdr:rowOff>0</xdr:rowOff>
    </xdr:from>
    <xdr:ext cx="6263999" cy="252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4F92"/>
    <pageSetUpPr fitToPage="1"/>
  </sheetPr>
  <dimension ref="A1:D76"/>
  <sheetViews>
    <sheetView showGridLines="0" tabSelected="1" workbookViewId="0">
      <pane ySplit="5" topLeftCell="A6" activePane="bottomLeft" state="frozen"/>
      <selection pane="bottomLeft"/>
    </sheetView>
  </sheetViews>
  <sheetFormatPr defaultRowHeight="14.25" x14ac:dyDescent="0.45"/>
  <cols>
    <col min="1" max="1" width="2" customWidth="1"/>
    <col min="2" max="2" width="26" customWidth="1"/>
    <col min="3" max="3" width="112" customWidth="1"/>
    <col min="4" max="4" width="2" customWidth="1"/>
    <col min="6" max="6" width="9.06640625" customWidth="1"/>
  </cols>
  <sheetData>
    <row r="1" spans="1:4" ht="6" customHeight="1" x14ac:dyDescent="0.45"/>
    <row r="2" spans="1:4" ht="34.049999999999997" customHeight="1" x14ac:dyDescent="0.45">
      <c r="A2" s="1"/>
      <c r="B2" s="2" t="s">
        <v>0</v>
      </c>
      <c r="C2" s="1"/>
      <c r="D2" s="3" t="s">
        <v>1</v>
      </c>
    </row>
    <row r="3" spans="1:4" ht="20" customHeight="1" x14ac:dyDescent="0.45">
      <c r="A3" s="1"/>
      <c r="B3" s="4" t="s">
        <v>2</v>
      </c>
      <c r="C3" s="1"/>
      <c r="D3" s="1"/>
    </row>
    <row r="4" spans="1:4" ht="20" customHeight="1" x14ac:dyDescent="0.45">
      <c r="A4" s="5"/>
      <c r="B4" s="5"/>
      <c r="C4" s="5"/>
      <c r="D4" s="6" t="s">
        <v>3</v>
      </c>
    </row>
    <row r="5" spans="1:4" ht="8" customHeight="1" x14ac:dyDescent="0.45"/>
    <row r="6" spans="1:4" ht="22.05" customHeight="1" x14ac:dyDescent="0.5">
      <c r="B6" s="7" t="s">
        <v>4</v>
      </c>
      <c r="C6" s="8"/>
    </row>
    <row r="7" spans="1:4" x14ac:dyDescent="0.45">
      <c r="B7" s="9" t="s">
        <v>5</v>
      </c>
      <c r="C7" s="10" t="s">
        <v>6</v>
      </c>
    </row>
    <row r="8" spans="1:4" ht="26.25" x14ac:dyDescent="0.45">
      <c r="B8" s="9" t="s">
        <v>7</v>
      </c>
      <c r="C8" s="10" t="s">
        <v>8</v>
      </c>
    </row>
    <row r="9" spans="1:4" ht="39.4" x14ac:dyDescent="0.45">
      <c r="B9" s="9" t="s">
        <v>9</v>
      </c>
      <c r="C9" s="11" t="s">
        <v>10</v>
      </c>
    </row>
    <row r="10" spans="1:4" x14ac:dyDescent="0.45">
      <c r="B10" s="9" t="s">
        <v>11</v>
      </c>
      <c r="C10" s="10" t="s">
        <v>12</v>
      </c>
    </row>
    <row r="11" spans="1:4" ht="26.25" x14ac:dyDescent="0.45">
      <c r="B11" s="9" t="s">
        <v>13</v>
      </c>
      <c r="C11" s="10" t="s">
        <v>14</v>
      </c>
    </row>
    <row r="12" spans="1:4" ht="39.4" x14ac:dyDescent="0.45">
      <c r="B12" s="9" t="s">
        <v>15</v>
      </c>
      <c r="C12" s="10" t="s">
        <v>16</v>
      </c>
    </row>
    <row r="13" spans="1:4" x14ac:dyDescent="0.45">
      <c r="B13" s="9" t="s">
        <v>17</v>
      </c>
      <c r="C13" s="10" t="s">
        <v>18</v>
      </c>
    </row>
    <row r="14" spans="1:4" ht="12" customHeight="1" x14ac:dyDescent="0.45"/>
    <row r="15" spans="1:4" ht="22.05" customHeight="1" x14ac:dyDescent="0.5">
      <c r="B15" s="7" t="s">
        <v>19</v>
      </c>
      <c r="C15" s="8"/>
    </row>
    <row r="16" spans="1:4" ht="70.05" customHeight="1" x14ac:dyDescent="0.45">
      <c r="B16" s="81" t="s">
        <v>20</v>
      </c>
      <c r="C16" s="82"/>
    </row>
    <row r="17" spans="2:3" ht="12" customHeight="1" x14ac:dyDescent="0.45"/>
    <row r="18" spans="2:3" ht="22.05" customHeight="1" x14ac:dyDescent="0.5">
      <c r="B18" s="7" t="s">
        <v>21</v>
      </c>
      <c r="C18" s="8"/>
    </row>
    <row r="19" spans="2:3" ht="18" customHeight="1" x14ac:dyDescent="0.45">
      <c r="B19" s="13" t="s">
        <v>22</v>
      </c>
    </row>
    <row r="20" spans="2:3" ht="15" customHeight="1" x14ac:dyDescent="0.45"/>
    <row r="21" spans="2:3" ht="15" customHeight="1" x14ac:dyDescent="0.45"/>
    <row r="22" spans="2:3" ht="15" customHeight="1" x14ac:dyDescent="0.45"/>
    <row r="23" spans="2:3" ht="15" customHeight="1" x14ac:dyDescent="0.45"/>
    <row r="24" spans="2:3" ht="15" customHeight="1" x14ac:dyDescent="0.45"/>
    <row r="25" spans="2:3" ht="15" customHeight="1" x14ac:dyDescent="0.45"/>
    <row r="26" spans="2:3" ht="15" customHeight="1" x14ac:dyDescent="0.45"/>
    <row r="27" spans="2:3" ht="15" customHeight="1" x14ac:dyDescent="0.45"/>
    <row r="28" spans="2:3" x14ac:dyDescent="0.45">
      <c r="B28" s="9" t="s">
        <v>23</v>
      </c>
      <c r="C28" s="10" t="s">
        <v>24</v>
      </c>
    </row>
    <row r="29" spans="2:3" ht="26.25" x14ac:dyDescent="0.45">
      <c r="B29" s="9" t="s">
        <v>25</v>
      </c>
      <c r="C29" s="10" t="s">
        <v>26</v>
      </c>
    </row>
    <row r="30" spans="2:3" ht="39.4" x14ac:dyDescent="0.45">
      <c r="B30" s="9" t="s">
        <v>27</v>
      </c>
      <c r="C30" s="10" t="s">
        <v>28</v>
      </c>
    </row>
    <row r="31" spans="2:3" ht="26.25" x14ac:dyDescent="0.45">
      <c r="B31" s="9" t="s">
        <v>29</v>
      </c>
      <c r="C31" s="10" t="s">
        <v>30</v>
      </c>
    </row>
    <row r="32" spans="2:3" ht="26.25" x14ac:dyDescent="0.45">
      <c r="B32" s="9" t="s">
        <v>31</v>
      </c>
      <c r="C32" s="10" t="s">
        <v>32</v>
      </c>
    </row>
    <row r="33" spans="2:3" ht="12" customHeight="1" x14ac:dyDescent="0.45"/>
    <row r="34" spans="2:3" ht="22.05" customHeight="1" x14ac:dyDescent="0.5">
      <c r="B34" s="7" t="s">
        <v>33</v>
      </c>
      <c r="C34" s="8"/>
    </row>
    <row r="35" spans="2:3" x14ac:dyDescent="0.45">
      <c r="B35" s="9" t="s">
        <v>34</v>
      </c>
      <c r="C35" s="10" t="s">
        <v>35</v>
      </c>
    </row>
    <row r="36" spans="2:3" x14ac:dyDescent="0.45">
      <c r="B36" s="9" t="s">
        <v>36</v>
      </c>
      <c r="C36" s="10" t="s">
        <v>37</v>
      </c>
    </row>
    <row r="37" spans="2:3" x14ac:dyDescent="0.45">
      <c r="B37" s="9" t="s">
        <v>38</v>
      </c>
      <c r="C37" s="10" t="s">
        <v>39</v>
      </c>
    </row>
    <row r="38" spans="2:3" x14ac:dyDescent="0.45">
      <c r="B38" s="9" t="s">
        <v>40</v>
      </c>
      <c r="C38" s="10" t="s">
        <v>41</v>
      </c>
    </row>
    <row r="39" spans="2:3" ht="12" customHeight="1" x14ac:dyDescent="0.45"/>
    <row r="40" spans="2:3" ht="22.05" customHeight="1" x14ac:dyDescent="0.5">
      <c r="B40" s="7" t="s">
        <v>42</v>
      </c>
      <c r="C40" s="8"/>
    </row>
    <row r="41" spans="2:3" x14ac:dyDescent="0.45">
      <c r="B41" s="14" t="s">
        <v>43</v>
      </c>
      <c r="C41" s="10" t="s">
        <v>44</v>
      </c>
    </row>
    <row r="42" spans="2:3" x14ac:dyDescent="0.45">
      <c r="B42" s="14" t="s">
        <v>45</v>
      </c>
      <c r="C42" s="10" t="s">
        <v>46</v>
      </c>
    </row>
    <row r="43" spans="2:3" x14ac:dyDescent="0.45">
      <c r="B43" s="14" t="s">
        <v>47</v>
      </c>
      <c r="C43" s="10" t="s">
        <v>48</v>
      </c>
    </row>
    <row r="44" spans="2:3" x14ac:dyDescent="0.45">
      <c r="B44" s="14" t="s">
        <v>49</v>
      </c>
      <c r="C44" s="10" t="s">
        <v>50</v>
      </c>
    </row>
    <row r="45" spans="2:3" x14ac:dyDescent="0.45">
      <c r="B45" s="14" t="s">
        <v>51</v>
      </c>
      <c r="C45" s="10" t="s">
        <v>52</v>
      </c>
    </row>
    <row r="46" spans="2:3" ht="12" customHeight="1" x14ac:dyDescent="0.45"/>
    <row r="47" spans="2:3" ht="22.05" customHeight="1" x14ac:dyDescent="0.5">
      <c r="B47" s="7" t="s">
        <v>53</v>
      </c>
      <c r="C47" s="8"/>
    </row>
    <row r="48" spans="2:3" x14ac:dyDescent="0.45">
      <c r="B48" s="15" t="s">
        <v>54</v>
      </c>
      <c r="C48" s="12" t="s">
        <v>55</v>
      </c>
    </row>
    <row r="49" spans="2:3" x14ac:dyDescent="0.45">
      <c r="B49" s="16" t="s">
        <v>56</v>
      </c>
      <c r="C49" s="12" t="s">
        <v>57</v>
      </c>
    </row>
    <row r="50" spans="2:3" x14ac:dyDescent="0.45">
      <c r="B50" s="17" t="s">
        <v>58</v>
      </c>
      <c r="C50" s="12" t="s">
        <v>59</v>
      </c>
    </row>
    <row r="51" spans="2:3" x14ac:dyDescent="0.45">
      <c r="B51" s="18" t="s">
        <v>60</v>
      </c>
      <c r="C51" s="12" t="s">
        <v>61</v>
      </c>
    </row>
    <row r="52" spans="2:3" x14ac:dyDescent="0.45">
      <c r="B52" s="19" t="s">
        <v>62</v>
      </c>
      <c r="C52" s="12" t="s">
        <v>63</v>
      </c>
    </row>
    <row r="53" spans="2:3" ht="12" customHeight="1" x14ac:dyDescent="0.45"/>
    <row r="54" spans="2:3" ht="22.05" customHeight="1" x14ac:dyDescent="0.5">
      <c r="B54" s="7" t="s">
        <v>64</v>
      </c>
      <c r="C54" s="8"/>
    </row>
    <row r="55" spans="2:3" x14ac:dyDescent="0.45">
      <c r="B55" s="9" t="s">
        <v>65</v>
      </c>
      <c r="C55" s="10" t="s">
        <v>66</v>
      </c>
    </row>
    <row r="56" spans="2:3" x14ac:dyDescent="0.45">
      <c r="B56" s="9" t="s">
        <v>67</v>
      </c>
      <c r="C56" s="10" t="s">
        <v>68</v>
      </c>
    </row>
    <row r="57" spans="2:3" x14ac:dyDescent="0.45">
      <c r="B57" s="9" t="s">
        <v>69</v>
      </c>
      <c r="C57" s="10" t="s">
        <v>70</v>
      </c>
    </row>
    <row r="58" spans="2:3" x14ac:dyDescent="0.45">
      <c r="B58" s="9" t="s">
        <v>71</v>
      </c>
      <c r="C58" s="10" t="s">
        <v>72</v>
      </c>
    </row>
    <row r="59" spans="2:3" ht="12" customHeight="1" x14ac:dyDescent="0.45"/>
    <row r="60" spans="2:3" ht="22.05" customHeight="1" x14ac:dyDescent="0.5">
      <c r="B60" s="7" t="s">
        <v>73</v>
      </c>
      <c r="C60" s="8"/>
    </row>
    <row r="61" spans="2:3" x14ac:dyDescent="0.45">
      <c r="B61" s="9" t="s">
        <v>74</v>
      </c>
      <c r="C61" s="10" t="s">
        <v>75</v>
      </c>
    </row>
    <row r="62" spans="2:3" x14ac:dyDescent="0.45">
      <c r="B62" s="9" t="s">
        <v>76</v>
      </c>
      <c r="C62" s="10" t="s">
        <v>77</v>
      </c>
    </row>
    <row r="63" spans="2:3" x14ac:dyDescent="0.45">
      <c r="B63" s="9" t="s">
        <v>78</v>
      </c>
      <c r="C63" s="10" t="s">
        <v>79</v>
      </c>
    </row>
    <row r="64" spans="2:3" x14ac:dyDescent="0.45">
      <c r="B64" s="9" t="s">
        <v>80</v>
      </c>
      <c r="C64" s="10" t="s">
        <v>81</v>
      </c>
    </row>
    <row r="65" spans="2:3" ht="12" customHeight="1" x14ac:dyDescent="0.45"/>
    <row r="66" spans="2:3" ht="22.05" customHeight="1" x14ac:dyDescent="0.5">
      <c r="B66" s="7" t="s">
        <v>82</v>
      </c>
      <c r="C66" s="8"/>
    </row>
    <row r="67" spans="2:3" x14ac:dyDescent="0.45">
      <c r="B67" s="20" t="s">
        <v>83</v>
      </c>
      <c r="C67" s="10" t="s">
        <v>84</v>
      </c>
    </row>
    <row r="68" spans="2:3" x14ac:dyDescent="0.45">
      <c r="B68" s="20" t="s">
        <v>85</v>
      </c>
      <c r="C68" s="10" t="s">
        <v>86</v>
      </c>
    </row>
    <row r="69" spans="2:3" x14ac:dyDescent="0.45">
      <c r="B69" s="20" t="s">
        <v>87</v>
      </c>
      <c r="C69" s="10" t="s">
        <v>88</v>
      </c>
    </row>
    <row r="70" spans="2:3" ht="26.25" x14ac:dyDescent="0.45">
      <c r="B70" s="20" t="s">
        <v>89</v>
      </c>
      <c r="C70" s="10" t="s">
        <v>90</v>
      </c>
    </row>
    <row r="71" spans="2:3" ht="12" customHeight="1" x14ac:dyDescent="0.45"/>
    <row r="72" spans="2:3" ht="22.05" customHeight="1" x14ac:dyDescent="0.5">
      <c r="B72" s="7" t="s">
        <v>91</v>
      </c>
      <c r="C72" s="8"/>
    </row>
    <row r="73" spans="2:3" ht="26.25" x14ac:dyDescent="0.45">
      <c r="B73" s="9" t="s">
        <v>92</v>
      </c>
      <c r="C73" s="10" t="s">
        <v>93</v>
      </c>
    </row>
    <row r="74" spans="2:3" x14ac:dyDescent="0.45">
      <c r="B74" s="9" t="s">
        <v>94</v>
      </c>
      <c r="C74" s="10" t="s">
        <v>95</v>
      </c>
    </row>
    <row r="75" spans="2:3" ht="16.05" customHeight="1" x14ac:dyDescent="0.45"/>
    <row r="76" spans="2:3" x14ac:dyDescent="0.45">
      <c r="B76" s="83" t="s">
        <v>96</v>
      </c>
      <c r="C76" s="82"/>
    </row>
  </sheetData>
  <mergeCells count="2">
    <mergeCell ref="B16:C16"/>
    <mergeCell ref="B76:C76"/>
  </mergeCells>
  <hyperlinks>
    <hyperlink ref="D4" location="'Inputs'!A1" display="Next:  Inputs  ▸" xr:uid="{00000000-0004-0000-0000-000000000000}"/>
    <hyperlink ref="B41" location="'Inputs'!A1" display="Inputs" xr:uid="{00000000-0004-0000-0000-000001000000}"/>
    <hyperlink ref="B42" location="'Projects'!A1" display="Projects" xr:uid="{00000000-0004-0000-0000-000002000000}"/>
    <hyperlink ref="B43" location="'Pipeline'!A1" display="Pipeline" xr:uid="{00000000-0004-0000-0000-000003000000}"/>
    <hyperlink ref="B44" location="'Spend'!A1" display="Spend" xr:uid="{00000000-0004-0000-0000-000004000000}"/>
    <hyperlink ref="B45" location="'Results'!A1" display="Results" xr:uid="{00000000-0004-0000-0000-000005000000}"/>
  </hyperlinks>
  <printOptions horizontalCentered="1"/>
  <pageMargins left="0.4" right="0.4" top="0.5" bottom="0.6" header="0.25" footer="0.25"/>
  <pageSetup paperSize="9" scale="67" fitToHeight="0" orientation="portrait" r:id="rId1"/>
  <headerFooter>
    <oddFooter>&amp;L&amp;K3F5876&amp;8&amp;F · &amp;A&amp;R&amp;K3F5876&amp;8Page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E0A800"/>
    <pageSetUpPr fitToPage="1"/>
  </sheetPr>
  <dimension ref="A1:J18"/>
  <sheetViews>
    <sheetView showGridLines="0" workbookViewId="0">
      <pane ySplit="5" topLeftCell="A6" activePane="bottomLeft" state="frozen"/>
      <selection pane="bottomLeft"/>
    </sheetView>
  </sheetViews>
  <sheetFormatPr defaultRowHeight="14.25" x14ac:dyDescent="0.45"/>
  <cols>
    <col min="1" max="1" width="2" customWidth="1"/>
    <col min="2" max="2" width="44" customWidth="1"/>
    <col min="3" max="3" width="19" customWidth="1"/>
    <col min="4" max="4" width="13" customWidth="1"/>
    <col min="5" max="5" width="19" customWidth="1"/>
    <col min="6" max="9" width="10" customWidth="1"/>
    <col min="10" max="10" width="59" customWidth="1"/>
    <col min="12" max="12" width="9.06640625" customWidth="1"/>
  </cols>
  <sheetData>
    <row r="1" spans="1:10" ht="6" customHeight="1" x14ac:dyDescent="0.45"/>
    <row r="2" spans="1:10" ht="30" customHeight="1" x14ac:dyDescent="0.45">
      <c r="A2" s="1"/>
      <c r="B2" s="21" t="s">
        <v>0</v>
      </c>
      <c r="C2" s="1"/>
      <c r="D2" s="1"/>
      <c r="E2" s="1"/>
      <c r="F2" s="1"/>
      <c r="G2" s="1"/>
      <c r="H2" s="1"/>
      <c r="I2" s="1"/>
      <c r="J2" s="3" t="s">
        <v>1</v>
      </c>
    </row>
    <row r="3" spans="1:10" ht="20" customHeight="1" x14ac:dyDescent="0.45">
      <c r="A3" s="1"/>
      <c r="B3" s="4" t="s">
        <v>97</v>
      </c>
      <c r="C3" s="1"/>
      <c r="D3" s="1"/>
      <c r="E3" s="1"/>
      <c r="F3" s="1"/>
      <c r="G3" s="1"/>
      <c r="H3" s="1"/>
      <c r="I3" s="1"/>
      <c r="J3" s="1"/>
    </row>
    <row r="4" spans="1:10" ht="20" customHeight="1" x14ac:dyDescent="0.45">
      <c r="A4" s="5"/>
      <c r="B4" s="22" t="s">
        <v>98</v>
      </c>
      <c r="C4" s="5"/>
      <c r="D4" s="5"/>
      <c r="E4" s="5"/>
      <c r="F4" s="5"/>
      <c r="G4" s="5"/>
      <c r="H4" s="5"/>
      <c r="I4" s="5"/>
      <c r="J4" s="6" t="s">
        <v>99</v>
      </c>
    </row>
    <row r="5" spans="1:10" ht="8" customHeight="1" x14ac:dyDescent="0.45"/>
    <row r="6" spans="1:10" ht="20" customHeight="1" x14ac:dyDescent="0.45">
      <c r="B6" s="84" t="s">
        <v>100</v>
      </c>
      <c r="C6" s="82"/>
      <c r="D6" s="82"/>
      <c r="E6" s="82"/>
      <c r="F6" s="82"/>
      <c r="G6" s="82"/>
      <c r="H6" s="82"/>
      <c r="I6" s="82"/>
      <c r="J6" s="82"/>
    </row>
    <row r="7" spans="1:10" ht="6" customHeight="1" x14ac:dyDescent="0.45"/>
    <row r="8" spans="1:10" ht="22.05" customHeight="1" x14ac:dyDescent="0.5">
      <c r="B8" s="7" t="s">
        <v>101</v>
      </c>
      <c r="C8" s="8"/>
      <c r="D8" s="8"/>
      <c r="E8" s="8"/>
      <c r="F8" s="8"/>
      <c r="G8" s="8"/>
      <c r="H8" s="8"/>
      <c r="I8" s="8"/>
      <c r="J8" s="8"/>
    </row>
    <row r="9" spans="1:10" ht="18" customHeight="1" x14ac:dyDescent="0.45">
      <c r="B9" s="23" t="s">
        <v>102</v>
      </c>
      <c r="C9" s="23" t="s">
        <v>103</v>
      </c>
      <c r="D9" s="24" t="s">
        <v>104</v>
      </c>
      <c r="E9" s="23" t="s">
        <v>105</v>
      </c>
      <c r="F9" s="5"/>
      <c r="G9" s="5"/>
      <c r="H9" s="5"/>
      <c r="I9" s="5"/>
      <c r="J9" s="23" t="s">
        <v>106</v>
      </c>
    </row>
    <row r="10" spans="1:10" x14ac:dyDescent="0.45">
      <c r="B10" s="25" t="s">
        <v>107</v>
      </c>
      <c r="C10" s="26" t="s">
        <v>108</v>
      </c>
      <c r="D10" s="27">
        <v>170</v>
      </c>
      <c r="E10" s="26" t="s">
        <v>109</v>
      </c>
      <c r="F10" s="28"/>
      <c r="G10" s="28"/>
      <c r="H10" s="28"/>
      <c r="I10" s="28"/>
      <c r="J10" s="29" t="s">
        <v>110</v>
      </c>
    </row>
    <row r="11" spans="1:10" x14ac:dyDescent="0.45">
      <c r="B11" s="25" t="s">
        <v>111</v>
      </c>
      <c r="C11" s="26" t="s">
        <v>112</v>
      </c>
      <c r="D11" s="30">
        <v>5</v>
      </c>
      <c r="E11" s="26" t="s">
        <v>109</v>
      </c>
      <c r="F11" s="28"/>
      <c r="G11" s="28"/>
      <c r="H11" s="28"/>
      <c r="I11" s="28"/>
      <c r="J11" s="29" t="s">
        <v>113</v>
      </c>
    </row>
    <row r="12" spans="1:10" ht="23.25" x14ac:dyDescent="0.45">
      <c r="B12" s="25" t="s">
        <v>114</v>
      </c>
      <c r="C12" s="26" t="s">
        <v>115</v>
      </c>
      <c r="D12" s="31">
        <v>0.8</v>
      </c>
      <c r="E12" s="26" t="s">
        <v>109</v>
      </c>
      <c r="F12" s="28"/>
      <c r="G12" s="28"/>
      <c r="H12" s="28"/>
      <c r="I12" s="28"/>
      <c r="J12" s="29" t="s">
        <v>116</v>
      </c>
    </row>
    <row r="13" spans="1:10" x14ac:dyDescent="0.45">
      <c r="B13" s="25" t="s">
        <v>117</v>
      </c>
      <c r="C13" s="26" t="s">
        <v>118</v>
      </c>
      <c r="D13" s="32">
        <v>0.1</v>
      </c>
      <c r="E13" s="26" t="s">
        <v>109</v>
      </c>
      <c r="F13" s="28"/>
      <c r="G13" s="28"/>
      <c r="H13" s="28"/>
      <c r="I13" s="28"/>
      <c r="J13" s="29"/>
    </row>
    <row r="14" spans="1:10" ht="8" customHeight="1" x14ac:dyDescent="0.45"/>
    <row r="15" spans="1:10" ht="22.05" customHeight="1" x14ac:dyDescent="0.5">
      <c r="B15" s="7" t="s">
        <v>119</v>
      </c>
      <c r="C15" s="8"/>
      <c r="D15" s="8"/>
      <c r="E15" s="8"/>
      <c r="F15" s="8"/>
      <c r="G15" s="8"/>
      <c r="H15" s="8"/>
      <c r="I15" s="8"/>
      <c r="J15" s="8"/>
    </row>
    <row r="16" spans="1:10" ht="18" customHeight="1" x14ac:dyDescent="0.45">
      <c r="B16" s="23" t="s">
        <v>102</v>
      </c>
      <c r="C16" s="23" t="s">
        <v>103</v>
      </c>
      <c r="D16" s="24" t="s">
        <v>104</v>
      </c>
      <c r="E16" s="23" t="s">
        <v>105</v>
      </c>
      <c r="F16" s="5"/>
      <c r="G16" s="5"/>
      <c r="H16" s="5"/>
      <c r="I16" s="5"/>
      <c r="J16" s="23" t="s">
        <v>106</v>
      </c>
    </row>
    <row r="17" spans="2:10" x14ac:dyDescent="0.45">
      <c r="B17" s="25" t="s">
        <v>120</v>
      </c>
      <c r="C17" s="26" t="s">
        <v>121</v>
      </c>
      <c r="D17" s="30">
        <v>2</v>
      </c>
      <c r="E17" s="26" t="s">
        <v>109</v>
      </c>
      <c r="F17" s="28"/>
      <c r="G17" s="28"/>
      <c r="H17" s="28"/>
      <c r="I17" s="28"/>
      <c r="J17" s="29" t="s">
        <v>122</v>
      </c>
    </row>
    <row r="18" spans="2:10" ht="8" customHeight="1" x14ac:dyDescent="0.45"/>
  </sheetData>
  <mergeCells count="1">
    <mergeCell ref="B6:J6"/>
  </mergeCells>
  <dataValidations count="5">
    <dataValidation type="decimal" operator="greaterThan" showErrorMessage="1" errorTitle="Positive value" error="Enter a value greater than zero." sqref="D10" xr:uid="{00000000-0002-0000-0100-000000000000}">
      <formula1>0</formula1>
    </dataValidation>
    <dataValidation type="whole" showErrorMessage="1" errorTitle="Whole number" error="Enter a whole number from 1 to 10." sqref="D11" xr:uid="{00000000-0002-0000-0100-000001000000}">
      <formula1>1</formula1>
      <formula2>10</formula2>
    </dataValidation>
    <dataValidation type="decimal" showErrorMessage="1" errorTitle="Correlation" error="Enter a correlation between -0.99 and 0.99." sqref="D12" xr:uid="{00000000-0002-0000-0100-000002000000}">
      <formula1>-0.99</formula1>
      <formula2>0.99</formula2>
    </dataValidation>
    <dataValidation type="decimal" showErrorMessage="1" errorTitle="Probability" error="Enter a value between 0% and 100%." sqref="D13" xr:uid="{00000000-0002-0000-0100-000003000000}">
      <formula1>0</formula1>
      <formula2>1</formula2>
    </dataValidation>
    <dataValidation type="whole" showErrorMessage="1" errorTitle="Whole number" error="Enter a whole number from 1 to 4." sqref="D17" xr:uid="{00000000-0002-0000-0100-000004000000}">
      <formula1>1</formula1>
      <formula2>4</formula2>
    </dataValidation>
  </dataValidations>
  <hyperlinks>
    <hyperlink ref="B4" location="'About'!A1" display="◂  About" xr:uid="{00000000-0004-0000-0100-000000000000}"/>
    <hyperlink ref="J4" location="'Projects'!A1" display="Next:  Projects  ▸" xr:uid="{00000000-0004-0000-0100-000001000000}"/>
  </hyperlinks>
  <printOptions horizontalCentered="1"/>
  <pageMargins left="0.4" right="0.4" top="0.5" bottom="0.6" header="0.25" footer="0.25"/>
  <pageSetup paperSize="9" scale="70" fitToHeight="0" orientation="landscape" r:id="rId1"/>
  <headerFooter>
    <oddFooter>&amp;L&amp;K3F5876&amp;8&amp;F · &amp;A&amp;R&amp;K3F5876&amp;8Page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0A800"/>
    <pageSetUpPr fitToPage="1"/>
  </sheetPr>
  <dimension ref="A1:K37"/>
  <sheetViews>
    <sheetView showGridLines="0" workbookViewId="0"/>
  </sheetViews>
  <sheetFormatPr defaultRowHeight="14.25" x14ac:dyDescent="0.45"/>
  <cols>
    <col min="1" max="1" width="2" customWidth="1"/>
    <col min="2" max="2" width="32" customWidth="1"/>
    <col min="3" max="3" width="26" customWidth="1"/>
    <col min="4" max="4" width="13" customWidth="1"/>
    <col min="5" max="9" width="10" customWidth="1"/>
    <col min="10" max="11" width="11" customWidth="1"/>
  </cols>
  <sheetData>
    <row r="1" spans="1:11" ht="6" customHeight="1" x14ac:dyDescent="0.45"/>
    <row r="2" spans="1:11" ht="30" customHeight="1" x14ac:dyDescent="0.45">
      <c r="A2" s="1"/>
      <c r="B2" s="21" t="s">
        <v>0</v>
      </c>
      <c r="C2" s="1"/>
      <c r="D2" s="1"/>
      <c r="E2" s="1"/>
      <c r="F2" s="1"/>
      <c r="G2" s="1"/>
      <c r="H2" s="1"/>
      <c r="I2" s="1"/>
      <c r="J2" s="1"/>
      <c r="K2" s="3" t="s">
        <v>1</v>
      </c>
    </row>
    <row r="3" spans="1:11" ht="20" customHeight="1" x14ac:dyDescent="0.45">
      <c r="A3" s="1"/>
      <c r="B3" s="4" t="s">
        <v>123</v>
      </c>
      <c r="C3" s="1"/>
      <c r="D3" s="1"/>
      <c r="E3" s="1"/>
      <c r="F3" s="1"/>
      <c r="G3" s="1"/>
      <c r="H3" s="1"/>
      <c r="I3" s="1"/>
      <c r="J3" s="1"/>
      <c r="K3" s="1"/>
    </row>
    <row r="4" spans="1:11" ht="20" customHeight="1" x14ac:dyDescent="0.45">
      <c r="A4" s="5"/>
      <c r="B4" s="22" t="s">
        <v>124</v>
      </c>
      <c r="C4" s="5"/>
      <c r="D4" s="5"/>
      <c r="E4" s="5"/>
      <c r="F4" s="5"/>
      <c r="G4" s="5"/>
      <c r="H4" s="5"/>
      <c r="I4" s="5"/>
      <c r="J4" s="5"/>
      <c r="K4" s="6" t="s">
        <v>125</v>
      </c>
    </row>
    <row r="5" spans="1:11" ht="8" customHeight="1" x14ac:dyDescent="0.45"/>
    <row r="6" spans="1:11" ht="22.05" customHeight="1" x14ac:dyDescent="0.5">
      <c r="B6" s="7" t="s">
        <v>126</v>
      </c>
      <c r="C6" s="8"/>
      <c r="D6" s="8"/>
      <c r="E6" s="8"/>
      <c r="F6" s="8"/>
      <c r="G6" s="8"/>
      <c r="H6" s="8"/>
      <c r="I6" s="8"/>
      <c r="J6" s="8"/>
      <c r="K6" s="8"/>
    </row>
    <row r="7" spans="1:11" ht="18" customHeight="1" x14ac:dyDescent="0.45">
      <c r="B7" s="13" t="s">
        <v>127</v>
      </c>
    </row>
    <row r="8" spans="1:11" ht="18" customHeight="1" x14ac:dyDescent="0.45">
      <c r="B8" s="33"/>
      <c r="C8" s="5"/>
      <c r="D8" s="5"/>
      <c r="E8" s="34" t="s">
        <v>128</v>
      </c>
      <c r="F8" s="34" t="s">
        <v>129</v>
      </c>
      <c r="G8" s="34" t="s">
        <v>130</v>
      </c>
      <c r="H8" s="34" t="s">
        <v>131</v>
      </c>
      <c r="I8" s="34" t="s">
        <v>132</v>
      </c>
      <c r="J8" s="5"/>
      <c r="K8" s="5"/>
    </row>
    <row r="9" spans="1:11" x14ac:dyDescent="0.45">
      <c r="B9" s="25" t="s">
        <v>133</v>
      </c>
      <c r="C9" s="26" t="s">
        <v>112</v>
      </c>
      <c r="D9" s="28"/>
      <c r="E9" s="30">
        <v>1</v>
      </c>
      <c r="F9" s="30">
        <v>1</v>
      </c>
      <c r="G9" s="30">
        <v>2</v>
      </c>
      <c r="H9" s="30">
        <v>3</v>
      </c>
      <c r="I9" s="30">
        <v>1</v>
      </c>
      <c r="J9" s="28"/>
      <c r="K9" s="28"/>
    </row>
    <row r="10" spans="1:11" x14ac:dyDescent="0.45">
      <c r="B10" s="25" t="s">
        <v>134</v>
      </c>
      <c r="C10" s="26" t="s">
        <v>135</v>
      </c>
      <c r="D10" s="28"/>
      <c r="E10" s="27">
        <v>8</v>
      </c>
      <c r="F10" s="27">
        <v>15</v>
      </c>
      <c r="G10" s="27">
        <v>25</v>
      </c>
      <c r="H10" s="27">
        <v>60</v>
      </c>
      <c r="I10" s="27">
        <v>5</v>
      </c>
      <c r="J10" s="28"/>
      <c r="K10" s="28"/>
    </row>
    <row r="11" spans="1:11" ht="8" customHeight="1" x14ac:dyDescent="0.45"/>
    <row r="12" spans="1:11" ht="22.05" customHeight="1" x14ac:dyDescent="0.5">
      <c r="B12" s="7" t="s">
        <v>136</v>
      </c>
      <c r="C12" s="8"/>
      <c r="D12" s="8"/>
      <c r="E12" s="8"/>
      <c r="F12" s="8"/>
      <c r="G12" s="8"/>
      <c r="H12" s="8"/>
      <c r="I12" s="8"/>
      <c r="J12" s="8"/>
      <c r="K12" s="8"/>
    </row>
    <row r="13" spans="1:11" ht="18" customHeight="1" x14ac:dyDescent="0.45">
      <c r="B13" s="13" t="s">
        <v>137</v>
      </c>
    </row>
    <row r="14" spans="1:11" ht="18" customHeight="1" x14ac:dyDescent="0.45">
      <c r="B14" s="35" t="s">
        <v>138</v>
      </c>
      <c r="C14" s="35" t="s">
        <v>139</v>
      </c>
      <c r="D14" s="35" t="s">
        <v>140</v>
      </c>
      <c r="E14" s="36" t="s">
        <v>128</v>
      </c>
      <c r="F14" s="36" t="s">
        <v>129</v>
      </c>
      <c r="G14" s="36" t="s">
        <v>130</v>
      </c>
      <c r="H14" s="36" t="s">
        <v>131</v>
      </c>
      <c r="I14" s="36" t="s">
        <v>132</v>
      </c>
      <c r="J14" s="36" t="s">
        <v>141</v>
      </c>
      <c r="K14" s="36" t="s">
        <v>142</v>
      </c>
    </row>
    <row r="15" spans="1:11" x14ac:dyDescent="0.45">
      <c r="B15" s="37"/>
      <c r="C15" s="37"/>
      <c r="D15" s="37"/>
      <c r="E15" s="37" t="s">
        <v>143</v>
      </c>
      <c r="F15" s="37"/>
      <c r="G15" s="37"/>
      <c r="H15" s="37"/>
      <c r="I15" s="37"/>
      <c r="J15" s="37" t="s">
        <v>144</v>
      </c>
      <c r="K15" s="37"/>
    </row>
    <row r="16" spans="1:11" x14ac:dyDescent="0.45">
      <c r="B16" s="25" t="s">
        <v>145</v>
      </c>
      <c r="C16" s="26" t="s">
        <v>146</v>
      </c>
      <c r="D16" s="38" t="s">
        <v>131</v>
      </c>
      <c r="E16" s="39">
        <v>0.65</v>
      </c>
      <c r="F16" s="39">
        <v>0.65</v>
      </c>
      <c r="G16" s="39">
        <v>0.35</v>
      </c>
      <c r="H16" s="39">
        <v>0.6</v>
      </c>
      <c r="I16" s="39">
        <v>0.9</v>
      </c>
      <c r="J16" s="27">
        <v>800</v>
      </c>
      <c r="K16" s="27">
        <v>2500</v>
      </c>
    </row>
    <row r="17" spans="2:11" x14ac:dyDescent="0.45">
      <c r="B17" s="25" t="s">
        <v>147</v>
      </c>
      <c r="C17" s="26" t="s">
        <v>148</v>
      </c>
      <c r="D17" s="38" t="s">
        <v>130</v>
      </c>
      <c r="E17" s="39">
        <v>0.65</v>
      </c>
      <c r="F17" s="39">
        <v>0.65</v>
      </c>
      <c r="G17" s="39">
        <v>0.35</v>
      </c>
      <c r="H17" s="39">
        <v>0.6</v>
      </c>
      <c r="I17" s="39">
        <v>0.9</v>
      </c>
      <c r="J17" s="27">
        <v>600</v>
      </c>
      <c r="K17" s="27">
        <v>2000</v>
      </c>
    </row>
    <row r="18" spans="2:11" x14ac:dyDescent="0.45">
      <c r="B18" s="25" t="s">
        <v>149</v>
      </c>
      <c r="C18" s="26" t="s">
        <v>150</v>
      </c>
      <c r="D18" s="38" t="s">
        <v>130</v>
      </c>
      <c r="E18" s="39">
        <v>0.65</v>
      </c>
      <c r="F18" s="39">
        <v>0.65</v>
      </c>
      <c r="G18" s="39">
        <v>0.35</v>
      </c>
      <c r="H18" s="39">
        <v>0.6</v>
      </c>
      <c r="I18" s="39">
        <v>0.9</v>
      </c>
      <c r="J18" s="27">
        <v>500</v>
      </c>
      <c r="K18" s="27">
        <v>1800</v>
      </c>
    </row>
    <row r="19" spans="2:11" x14ac:dyDescent="0.45">
      <c r="B19" s="25" t="s">
        <v>151</v>
      </c>
      <c r="C19" s="26" t="s">
        <v>150</v>
      </c>
      <c r="D19" s="38" t="s">
        <v>129</v>
      </c>
      <c r="E19" s="39">
        <v>0.65</v>
      </c>
      <c r="F19" s="39">
        <v>0.65</v>
      </c>
      <c r="G19" s="39">
        <v>0.35</v>
      </c>
      <c r="H19" s="39">
        <v>0.6</v>
      </c>
      <c r="I19" s="39">
        <v>0.9</v>
      </c>
      <c r="J19" s="27">
        <v>500</v>
      </c>
      <c r="K19" s="27">
        <v>1800</v>
      </c>
    </row>
    <row r="20" spans="2:11" x14ac:dyDescent="0.45">
      <c r="B20" s="25" t="s">
        <v>152</v>
      </c>
      <c r="C20" s="26" t="s">
        <v>153</v>
      </c>
      <c r="D20" s="38" t="s">
        <v>129</v>
      </c>
      <c r="E20" s="39">
        <v>0.65</v>
      </c>
      <c r="F20" s="39">
        <v>0.65</v>
      </c>
      <c r="G20" s="39">
        <v>0.25</v>
      </c>
      <c r="H20" s="39">
        <v>0.55000000000000004</v>
      </c>
      <c r="I20" s="39">
        <v>0.9</v>
      </c>
      <c r="J20" s="27">
        <v>900</v>
      </c>
      <c r="K20" s="27">
        <v>3500</v>
      </c>
    </row>
    <row r="21" spans="2:11" x14ac:dyDescent="0.45">
      <c r="B21" s="25" t="s">
        <v>154</v>
      </c>
      <c r="C21" s="26" t="s">
        <v>153</v>
      </c>
      <c r="D21" s="38" t="s">
        <v>128</v>
      </c>
      <c r="E21" s="39">
        <v>0.65</v>
      </c>
      <c r="F21" s="39">
        <v>0.65</v>
      </c>
      <c r="G21" s="39">
        <v>0.25</v>
      </c>
      <c r="H21" s="39">
        <v>0.55000000000000004</v>
      </c>
      <c r="I21" s="39">
        <v>0.9</v>
      </c>
      <c r="J21" s="27">
        <v>900</v>
      </c>
      <c r="K21" s="27">
        <v>3500</v>
      </c>
    </row>
    <row r="22" spans="2:11" x14ac:dyDescent="0.45">
      <c r="B22" s="25" t="s">
        <v>155</v>
      </c>
      <c r="C22" s="26" t="s">
        <v>156</v>
      </c>
      <c r="D22" s="38" t="s">
        <v>130</v>
      </c>
      <c r="E22" s="39">
        <v>0.65</v>
      </c>
      <c r="F22" s="39">
        <v>0.65</v>
      </c>
      <c r="G22" s="39">
        <v>0.5</v>
      </c>
      <c r="H22" s="39">
        <v>0.7</v>
      </c>
      <c r="I22" s="39">
        <v>0.95</v>
      </c>
      <c r="J22" s="27">
        <v>500</v>
      </c>
      <c r="K22" s="27">
        <v>1200</v>
      </c>
    </row>
    <row r="23" spans="2:11" x14ac:dyDescent="0.45">
      <c r="B23" s="25" t="s">
        <v>157</v>
      </c>
      <c r="C23" s="26" t="s">
        <v>148</v>
      </c>
      <c r="D23" s="38" t="s">
        <v>128</v>
      </c>
      <c r="E23" s="39">
        <v>0.65</v>
      </c>
      <c r="F23" s="39">
        <v>0.65</v>
      </c>
      <c r="G23" s="39">
        <v>0.35</v>
      </c>
      <c r="H23" s="39">
        <v>0.6</v>
      </c>
      <c r="I23" s="39">
        <v>0.9</v>
      </c>
      <c r="J23" s="27">
        <v>600</v>
      </c>
      <c r="K23" s="27">
        <v>2000</v>
      </c>
    </row>
    <row r="24" spans="2:11" x14ac:dyDescent="0.45">
      <c r="B24" s="40" t="s">
        <v>158</v>
      </c>
    </row>
    <row r="25" spans="2:11" ht="8" customHeight="1" x14ac:dyDescent="0.45"/>
    <row r="26" spans="2:11" ht="22.05" customHeight="1" x14ac:dyDescent="0.5">
      <c r="B26" s="7" t="s">
        <v>159</v>
      </c>
      <c r="C26" s="8"/>
      <c r="D26" s="8"/>
      <c r="E26" s="8"/>
      <c r="F26" s="8"/>
      <c r="G26" s="8"/>
      <c r="H26" s="8"/>
      <c r="I26" s="8"/>
      <c r="J26" s="8"/>
      <c r="K26" s="8"/>
    </row>
    <row r="27" spans="2:11" ht="18" customHeight="1" x14ac:dyDescent="0.45">
      <c r="B27" s="13" t="s">
        <v>160</v>
      </c>
    </row>
    <row r="28" spans="2:11" ht="30" customHeight="1" x14ac:dyDescent="0.45">
      <c r="B28" s="23" t="s">
        <v>138</v>
      </c>
      <c r="C28" s="5"/>
      <c r="D28" s="5"/>
      <c r="E28" s="24" t="s">
        <v>161</v>
      </c>
      <c r="F28" s="24" t="s">
        <v>162</v>
      </c>
      <c r="G28" s="24" t="s">
        <v>163</v>
      </c>
      <c r="H28" s="24" t="s">
        <v>164</v>
      </c>
      <c r="I28" s="5"/>
      <c r="J28" s="5"/>
      <c r="K28" s="5"/>
    </row>
    <row r="29" spans="2:11" x14ac:dyDescent="0.45">
      <c r="B29" s="25" t="s">
        <v>145</v>
      </c>
      <c r="C29" s="28"/>
      <c r="D29" s="28"/>
      <c r="E29" s="30">
        <v>1</v>
      </c>
      <c r="F29" s="30">
        <v>1</v>
      </c>
      <c r="G29" s="30">
        <v>1</v>
      </c>
      <c r="H29" s="30">
        <v>1</v>
      </c>
      <c r="I29" s="28"/>
      <c r="J29" s="28"/>
      <c r="K29" s="28"/>
    </row>
    <row r="30" spans="2:11" x14ac:dyDescent="0.45">
      <c r="B30" s="25" t="s">
        <v>147</v>
      </c>
      <c r="C30" s="28"/>
      <c r="D30" s="28"/>
      <c r="E30" s="30">
        <v>1</v>
      </c>
      <c r="F30" s="30">
        <v>1</v>
      </c>
      <c r="G30" s="30">
        <v>1</v>
      </c>
      <c r="H30" s="30">
        <v>0</v>
      </c>
      <c r="I30" s="28"/>
      <c r="J30" s="28"/>
      <c r="K30" s="28"/>
    </row>
    <row r="31" spans="2:11" x14ac:dyDescent="0.45">
      <c r="B31" s="25" t="s">
        <v>149</v>
      </c>
      <c r="C31" s="28"/>
      <c r="D31" s="28"/>
      <c r="E31" s="30">
        <v>1</v>
      </c>
      <c r="F31" s="30">
        <v>1</v>
      </c>
      <c r="G31" s="30">
        <v>1</v>
      </c>
      <c r="H31" s="30">
        <v>0</v>
      </c>
      <c r="I31" s="28"/>
      <c r="J31" s="28"/>
      <c r="K31" s="28"/>
    </row>
    <row r="32" spans="2:11" x14ac:dyDescent="0.45">
      <c r="B32" s="25" t="s">
        <v>151</v>
      </c>
      <c r="C32" s="28"/>
      <c r="D32" s="28"/>
      <c r="E32" s="30">
        <v>1</v>
      </c>
      <c r="F32" s="30">
        <v>0</v>
      </c>
      <c r="G32" s="30">
        <v>0</v>
      </c>
      <c r="H32" s="30">
        <v>0</v>
      </c>
      <c r="I32" s="28"/>
      <c r="J32" s="28"/>
      <c r="K32" s="28"/>
    </row>
    <row r="33" spans="2:11" x14ac:dyDescent="0.45">
      <c r="B33" s="25" t="s">
        <v>152</v>
      </c>
      <c r="C33" s="28"/>
      <c r="D33" s="28"/>
      <c r="E33" s="30">
        <v>1</v>
      </c>
      <c r="F33" s="30">
        <v>1</v>
      </c>
      <c r="G33" s="30">
        <v>0</v>
      </c>
      <c r="H33" s="30">
        <v>1</v>
      </c>
      <c r="I33" s="28"/>
      <c r="J33" s="28"/>
      <c r="K33" s="28"/>
    </row>
    <row r="34" spans="2:11" x14ac:dyDescent="0.45">
      <c r="B34" s="25" t="s">
        <v>154</v>
      </c>
      <c r="C34" s="28"/>
      <c r="D34" s="28"/>
      <c r="E34" s="30">
        <v>1</v>
      </c>
      <c r="F34" s="30">
        <v>0</v>
      </c>
      <c r="G34" s="30">
        <v>0</v>
      </c>
      <c r="H34" s="30">
        <v>1</v>
      </c>
      <c r="I34" s="28"/>
      <c r="J34" s="28"/>
      <c r="K34" s="28"/>
    </row>
    <row r="35" spans="2:11" x14ac:dyDescent="0.45">
      <c r="B35" s="25" t="s">
        <v>155</v>
      </c>
      <c r="C35" s="28"/>
      <c r="D35" s="28"/>
      <c r="E35" s="30">
        <v>1</v>
      </c>
      <c r="F35" s="30">
        <v>1</v>
      </c>
      <c r="G35" s="30">
        <v>1</v>
      </c>
      <c r="H35" s="30">
        <v>1</v>
      </c>
      <c r="I35" s="28"/>
      <c r="J35" s="28"/>
      <c r="K35" s="28"/>
    </row>
    <row r="36" spans="2:11" x14ac:dyDescent="0.45">
      <c r="B36" s="25" t="s">
        <v>157</v>
      </c>
      <c r="C36" s="28"/>
      <c r="D36" s="28"/>
      <c r="E36" s="30">
        <v>1</v>
      </c>
      <c r="F36" s="30">
        <v>0</v>
      </c>
      <c r="G36" s="30">
        <v>0</v>
      </c>
      <c r="H36" s="30">
        <v>0</v>
      </c>
      <c r="I36" s="28"/>
      <c r="J36" s="28"/>
      <c r="K36" s="28"/>
    </row>
    <row r="37" spans="2:11" x14ac:dyDescent="0.45">
      <c r="B37" s="41" t="s">
        <v>165</v>
      </c>
      <c r="E37" s="42">
        <f>SUM(Fund_1)</f>
        <v>8</v>
      </c>
      <c r="F37" s="42">
        <f>SUM(Fund_2)</f>
        <v>5</v>
      </c>
      <c r="G37" s="42">
        <f>SUM(Fund_3)</f>
        <v>4</v>
      </c>
      <c r="H37" s="42">
        <f>SUM(Fund_4)</f>
        <v>4</v>
      </c>
    </row>
  </sheetData>
  <dataValidations count="4">
    <dataValidation type="whole" showErrorMessage="1" errorTitle="Whole years" error="Enter a whole number of years from 1 to 5." sqref="E9:I9" xr:uid="{00000000-0002-0000-0200-000000000000}">
      <formula1>1</formula1>
      <formula2>5</formula2>
    </dataValidation>
    <dataValidation type="list" showErrorMessage="1" errorTitle="Stage" error="Choose a stage from the list." sqref="D16 D17 D18 D19 D20 D21 D22 D23" xr:uid="{00000000-0002-0000-0200-000001000000}">
      <formula1>"Preclinical,Phase I,Phase II,Phase III"</formula1>
    </dataValidation>
    <dataValidation type="decimal" showErrorMessage="1" errorTitle="Probability" error="Enter a value between 0% and 100%." sqref="E16:I23" xr:uid="{00000000-0002-0000-0200-000002000000}">
      <formula1>0</formula1>
      <formula2>1</formula2>
    </dataValidation>
    <dataValidation type="whole" showErrorMessage="1" errorTitle="Fund?" error="Enter 1 (fund) or 0 (shelve)." sqref="E29:H36" xr:uid="{00000000-0002-0000-0200-000003000000}">
      <formula1>0</formula1>
      <formula2>1</formula2>
    </dataValidation>
  </dataValidations>
  <hyperlinks>
    <hyperlink ref="B4" location="'Inputs'!A1" display="◂  Inputs" xr:uid="{00000000-0004-0000-0200-000000000000}"/>
    <hyperlink ref="K4" location="'Pipeline'!A1" display="Next:  Pipeline  ▸" xr:uid="{00000000-0004-0000-0200-000001000000}"/>
  </hyperlinks>
  <printOptions horizontalCentered="1"/>
  <pageMargins left="0.4" right="0.4" top="0.5" bottom="0.6" header="0.25" footer="0.25"/>
  <pageSetup paperSize="9" scale="95" fitToHeight="0" orientation="landscape" r:id="rId1"/>
  <headerFooter>
    <oddFooter>&amp;L&amp;K3F5876&amp;8&amp;F · &amp;A&amp;R&amp;K3F5876&amp;8Page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8AA0BA"/>
    <pageSetUpPr fitToPage="1"/>
  </sheetPr>
  <dimension ref="A1:M55"/>
  <sheetViews>
    <sheetView showGridLines="0" workbookViewId="0"/>
  </sheetViews>
  <sheetFormatPr defaultRowHeight="14.25" x14ac:dyDescent="0.45"/>
  <cols>
    <col min="1" max="1" width="2" customWidth="1"/>
    <col min="2" max="2" width="32" customWidth="1"/>
    <col min="3" max="3" width="12" customWidth="1"/>
    <col min="4" max="8" width="11" customWidth="1"/>
    <col min="9" max="9" width="3" customWidth="1"/>
    <col min="10" max="13" width="11" customWidth="1"/>
  </cols>
  <sheetData>
    <row r="1" spans="1:13" ht="6" customHeight="1" x14ac:dyDescent="0.45"/>
    <row r="2" spans="1:13" ht="30" customHeight="1" x14ac:dyDescent="0.45">
      <c r="A2" s="1"/>
      <c r="B2" s="21" t="s">
        <v>0</v>
      </c>
      <c r="C2" s="1"/>
      <c r="D2" s="1"/>
      <c r="E2" s="1"/>
      <c r="F2" s="1"/>
      <c r="G2" s="1"/>
      <c r="H2" s="1"/>
      <c r="I2" s="1"/>
      <c r="J2" s="1"/>
      <c r="K2" s="1"/>
      <c r="L2" s="1"/>
      <c r="M2" s="3" t="s">
        <v>1</v>
      </c>
    </row>
    <row r="3" spans="1:13" ht="20" customHeight="1" x14ac:dyDescent="0.45">
      <c r="A3" s="1"/>
      <c r="B3" s="4" t="s">
        <v>166</v>
      </c>
      <c r="C3" s="1"/>
      <c r="D3" s="1"/>
      <c r="E3" s="1"/>
      <c r="F3" s="1"/>
      <c r="G3" s="1"/>
      <c r="H3" s="1"/>
      <c r="I3" s="1"/>
      <c r="J3" s="1"/>
      <c r="K3" s="1"/>
      <c r="L3" s="1"/>
      <c r="M3" s="1"/>
    </row>
    <row r="4" spans="1:13" ht="20" customHeight="1" x14ac:dyDescent="0.45">
      <c r="A4" s="5"/>
      <c r="B4" s="22" t="s">
        <v>167</v>
      </c>
      <c r="C4" s="5"/>
      <c r="D4" s="5"/>
      <c r="E4" s="5"/>
      <c r="F4" s="5"/>
      <c r="G4" s="5"/>
      <c r="H4" s="5"/>
      <c r="I4" s="5"/>
      <c r="J4" s="5"/>
      <c r="K4" s="5"/>
      <c r="L4" s="5"/>
      <c r="M4" s="6" t="s">
        <v>168</v>
      </c>
    </row>
    <row r="5" spans="1:13" ht="8" customHeight="1" x14ac:dyDescent="0.45"/>
    <row r="6" spans="1:13" ht="22.05" customHeight="1" x14ac:dyDescent="0.5">
      <c r="B6" s="7" t="s">
        <v>169</v>
      </c>
      <c r="C6" s="8"/>
      <c r="D6" s="8"/>
      <c r="E6" s="8"/>
      <c r="F6" s="8"/>
      <c r="G6" s="8"/>
      <c r="H6" s="8"/>
      <c r="I6" s="8"/>
      <c r="J6" s="8"/>
      <c r="K6" s="8"/>
      <c r="L6" s="8"/>
      <c r="M6" s="8"/>
    </row>
    <row r="7" spans="1:13" ht="18" customHeight="1" x14ac:dyDescent="0.45">
      <c r="B7" s="13" t="s">
        <v>170</v>
      </c>
    </row>
    <row r="8" spans="1:13" ht="18" customHeight="1" x14ac:dyDescent="0.45">
      <c r="B8" s="33" t="s">
        <v>138</v>
      </c>
      <c r="C8" s="5"/>
      <c r="D8" s="34" t="s">
        <v>171</v>
      </c>
      <c r="E8" s="5"/>
      <c r="F8" s="33" t="s">
        <v>172</v>
      </c>
      <c r="G8" s="5"/>
      <c r="H8" s="5"/>
      <c r="I8" s="5"/>
      <c r="J8" s="5"/>
      <c r="K8" s="5"/>
      <c r="L8" s="5"/>
      <c r="M8" s="5"/>
    </row>
    <row r="9" spans="1:13" x14ac:dyDescent="0.45">
      <c r="B9" s="25" t="s">
        <v>147</v>
      </c>
      <c r="C9" s="28"/>
      <c r="D9" s="43">
        <f t="array" aca="1" ref="D9:D10" ca="1">_xll.VoseCopulaBiNormal(Rho)</f>
        <v>0.33542121376895012</v>
      </c>
      <c r="E9" s="28"/>
      <c r="F9" s="26" t="s">
        <v>173</v>
      </c>
      <c r="G9" s="28"/>
      <c r="H9" s="28"/>
      <c r="I9" s="28"/>
      <c r="J9" s="28"/>
      <c r="K9" s="28"/>
      <c r="L9" s="28"/>
      <c r="M9" s="28"/>
    </row>
    <row r="10" spans="1:13" x14ac:dyDescent="0.45">
      <c r="B10" s="25" t="s">
        <v>157</v>
      </c>
      <c r="C10" s="28"/>
      <c r="D10" s="43">
        <f ca="1"/>
        <v>0.37894104517275379</v>
      </c>
      <c r="E10" s="28"/>
      <c r="F10" s="28"/>
      <c r="G10" s="28"/>
      <c r="H10" s="28"/>
      <c r="I10" s="28"/>
      <c r="J10" s="28"/>
      <c r="K10" s="28"/>
      <c r="L10" s="28"/>
      <c r="M10" s="28"/>
    </row>
    <row r="11" spans="1:13" x14ac:dyDescent="0.45">
      <c r="B11" s="25" t="s">
        <v>149</v>
      </c>
      <c r="C11" s="28"/>
      <c r="D11" s="43">
        <f t="array" aca="1" ref="D11:D12" ca="1">_xll.VoseCopulaBiNormal(Rho)</f>
        <v>0.62673035083839856</v>
      </c>
      <c r="E11" s="28"/>
      <c r="F11" s="26" t="s">
        <v>174</v>
      </c>
      <c r="G11" s="28"/>
      <c r="H11" s="28"/>
      <c r="I11" s="28"/>
      <c r="J11" s="28"/>
      <c r="K11" s="28"/>
      <c r="L11" s="28"/>
      <c r="M11" s="28"/>
    </row>
    <row r="12" spans="1:13" x14ac:dyDescent="0.45">
      <c r="B12" s="25" t="s">
        <v>151</v>
      </c>
      <c r="C12" s="28"/>
      <c r="D12" s="43">
        <f ca="1"/>
        <v>0.93288194453690587</v>
      </c>
      <c r="E12" s="28"/>
      <c r="F12" s="28"/>
      <c r="G12" s="28"/>
      <c r="H12" s="28"/>
      <c r="I12" s="28"/>
      <c r="J12" s="28"/>
      <c r="K12" s="28"/>
      <c r="L12" s="28"/>
      <c r="M12" s="28"/>
    </row>
    <row r="13" spans="1:13" x14ac:dyDescent="0.45">
      <c r="B13" s="25" t="s">
        <v>152</v>
      </c>
      <c r="C13" s="28"/>
      <c r="D13" s="43">
        <f t="array" aca="1" ref="D13:D14" ca="1">_xll.VoseCopulaBiNormal(Rho)</f>
        <v>0.71144886900043092</v>
      </c>
      <c r="E13" s="28"/>
      <c r="F13" s="26" t="s">
        <v>175</v>
      </c>
      <c r="G13" s="28"/>
      <c r="H13" s="28"/>
      <c r="I13" s="28"/>
      <c r="J13" s="28"/>
      <c r="K13" s="28"/>
      <c r="L13" s="28"/>
      <c r="M13" s="28"/>
    </row>
    <row r="14" spans="1:13" x14ac:dyDescent="0.45">
      <c r="B14" s="25" t="s">
        <v>154</v>
      </c>
      <c r="C14" s="28"/>
      <c r="D14" s="43">
        <f ca="1"/>
        <v>0.52633966229072704</v>
      </c>
      <c r="E14" s="28"/>
      <c r="F14" s="28"/>
      <c r="G14" s="28"/>
      <c r="H14" s="28"/>
      <c r="I14" s="28"/>
      <c r="J14" s="28"/>
      <c r="K14" s="28"/>
      <c r="L14" s="28"/>
      <c r="M14" s="28"/>
    </row>
    <row r="15" spans="1:13" ht="8" customHeight="1" x14ac:dyDescent="0.45"/>
    <row r="16" spans="1:13" ht="22.05" customHeight="1" x14ac:dyDescent="0.5">
      <c r="B16" s="7" t="s">
        <v>176</v>
      </c>
      <c r="C16" s="8"/>
      <c r="D16" s="8"/>
      <c r="E16" s="8"/>
      <c r="F16" s="8"/>
      <c r="G16" s="8"/>
      <c r="H16" s="8"/>
      <c r="I16" s="8"/>
      <c r="J16" s="8"/>
      <c r="K16" s="8"/>
      <c r="L16" s="8"/>
      <c r="M16" s="8"/>
    </row>
    <row r="17" spans="2:13" ht="18" customHeight="1" x14ac:dyDescent="0.45">
      <c r="B17" s="13" t="s">
        <v>177</v>
      </c>
    </row>
    <row r="18" spans="2:13" ht="18" customHeight="1" x14ac:dyDescent="0.45">
      <c r="B18" s="33" t="s">
        <v>138</v>
      </c>
      <c r="C18" s="34" t="s">
        <v>140</v>
      </c>
      <c r="D18" s="34" t="s">
        <v>128</v>
      </c>
      <c r="E18" s="34" t="s">
        <v>129</v>
      </c>
      <c r="F18" s="34" t="s">
        <v>130</v>
      </c>
      <c r="G18" s="34" t="s">
        <v>131</v>
      </c>
      <c r="H18" s="34" t="s">
        <v>132</v>
      </c>
      <c r="I18" s="5"/>
      <c r="J18" s="34" t="s">
        <v>178</v>
      </c>
      <c r="K18" s="34" t="s">
        <v>179</v>
      </c>
      <c r="L18" s="5"/>
      <c r="M18" s="5"/>
    </row>
    <row r="19" spans="2:13" x14ac:dyDescent="0.45">
      <c r="B19" s="44" t="s">
        <v>180</v>
      </c>
      <c r="C19" s="28"/>
      <c r="D19" s="45">
        <v>1</v>
      </c>
      <c r="E19" s="45">
        <v>2</v>
      </c>
      <c r="F19" s="45">
        <v>3</v>
      </c>
      <c r="G19" s="45">
        <v>4</v>
      </c>
      <c r="H19" s="45">
        <v>5</v>
      </c>
      <c r="I19" s="28"/>
      <c r="J19" s="28"/>
      <c r="K19" s="28"/>
      <c r="L19" s="28"/>
      <c r="M19" s="28"/>
    </row>
    <row r="20" spans="2:13" x14ac:dyDescent="0.45">
      <c r="B20" s="25" t="s">
        <v>145</v>
      </c>
      <c r="C20" s="46">
        <f>MATCH(Projects!$D$16,Projects!$E$8:$I$8,0)</f>
        <v>4</v>
      </c>
      <c r="D20" s="47" cm="1">
        <f t="array" ref="D20">IF(D$19&lt;$C20,1,_xll.VoseBernoulli(Projects!E$16))</f>
        <v>1</v>
      </c>
      <c r="E20" s="47" cm="1">
        <f t="array" ref="E20">IF(E$19&lt;$C20,1,_xll.VoseBernoulli(Projects!F$16))</f>
        <v>1</v>
      </c>
      <c r="F20" s="47" cm="1">
        <f t="array" ref="F20">IF(F$19&lt;$C20,1,_xll.VoseBernoulli(Projects!G$16))</f>
        <v>1</v>
      </c>
      <c r="G20" s="47" cm="1">
        <f t="array" aca="1" ref="G20" ca="1">IF(G$19&lt;$C20,1,_xll.VoseBernoulli(Projects!H$16))</f>
        <v>0</v>
      </c>
      <c r="H20" s="47" cm="1">
        <f t="array" aca="1" ref="H20" ca="1">IF(H$19&lt;$C20,1,_xll.VoseBernoulli(Projects!I$16))</f>
        <v>1</v>
      </c>
      <c r="I20" s="28"/>
      <c r="J20" s="46">
        <f t="shared" ref="J20:J27" ca="1" si="0">IFERROR(MATCH(0,D20:H20,0),5)</f>
        <v>4</v>
      </c>
      <c r="K20" s="46" cm="1">
        <f t="array" aca="1" ref="K20" ca="1">INDEX(D20:H20,J20)</f>
        <v>0</v>
      </c>
      <c r="L20" s="28"/>
      <c r="M20" s="28"/>
    </row>
    <row r="21" spans="2:13" x14ac:dyDescent="0.45">
      <c r="B21" s="25" t="s">
        <v>147</v>
      </c>
      <c r="C21" s="46">
        <f>MATCH(Projects!$D$17,Projects!$E$8:$I$8,0)</f>
        <v>3</v>
      </c>
      <c r="D21" s="47" cm="1">
        <f t="array" ref="D21">IF(D$19&lt;$C21,1,_xll.VoseBernoulli(Projects!E$17))</f>
        <v>1</v>
      </c>
      <c r="E21" s="47" cm="1">
        <f t="array" ref="E21">IF(E$19&lt;$C21,1,_xll.VoseBernoulli(Projects!F$17))</f>
        <v>1</v>
      </c>
      <c r="F21" s="47" cm="1">
        <f t="array" aca="1" ref="F21" ca="1">IF(F$19&lt;$C21,1,_xll.VoseBernoulli(Projects!G$17,U_B))</f>
        <v>0</v>
      </c>
      <c r="G21" s="47" cm="1">
        <f t="array" aca="1" ref="G21" ca="1">IF(G$19&lt;$C21,1,_xll.VoseBernoulli(Projects!H$17))</f>
        <v>1</v>
      </c>
      <c r="H21" s="47" cm="1">
        <f t="array" aca="1" ref="H21" ca="1">IF(H$19&lt;$C21,1,_xll.VoseBernoulli(Projects!I$17))</f>
        <v>1</v>
      </c>
      <c r="I21" s="28"/>
      <c r="J21" s="46">
        <f t="shared" ca="1" si="0"/>
        <v>3</v>
      </c>
      <c r="K21" s="46" cm="1">
        <f t="array" aca="1" ref="K21" ca="1">INDEX(D21:H21,J21)</f>
        <v>0</v>
      </c>
      <c r="L21" s="28"/>
      <c r="M21" s="28"/>
    </row>
    <row r="22" spans="2:13" x14ac:dyDescent="0.45">
      <c r="B22" s="25" t="s">
        <v>149</v>
      </c>
      <c r="C22" s="46">
        <f>MATCH(Projects!$D$18,Projects!$E$8:$I$8,0)</f>
        <v>3</v>
      </c>
      <c r="D22" s="47" cm="1">
        <f t="array" ref="D22">IF(D$19&lt;$C22,1,_xll.VoseBernoulli(Projects!E$18))</f>
        <v>1</v>
      </c>
      <c r="E22" s="47" cm="1">
        <f t="array" ref="E22">IF(E$19&lt;$C22,1,_xll.VoseBernoulli(Projects!F$18))</f>
        <v>1</v>
      </c>
      <c r="F22" s="47" cm="1">
        <f t="array" aca="1" ref="F22" ca="1">IF(F$19&lt;$C22,1,_xll.VoseBernoulli(Projects!G$18,U_C))</f>
        <v>0</v>
      </c>
      <c r="G22" s="47" cm="1">
        <f t="array" aca="1" ref="G22" ca="1">IF(G$19&lt;$C22,1,_xll.VoseBernoulli(Projects!H$18))</f>
        <v>1</v>
      </c>
      <c r="H22" s="47" cm="1">
        <f t="array" aca="1" ref="H22" ca="1">IF(H$19&lt;$C22,1,_xll.VoseBernoulli(Projects!I$18))</f>
        <v>0</v>
      </c>
      <c r="I22" s="28"/>
      <c r="J22" s="46">
        <f t="shared" ca="1" si="0"/>
        <v>3</v>
      </c>
      <c r="K22" s="46" cm="1">
        <f t="array" aca="1" ref="K22" ca="1">INDEX(D22:H22,J22)</f>
        <v>0</v>
      </c>
      <c r="L22" s="28"/>
      <c r="M22" s="28"/>
    </row>
    <row r="23" spans="2:13" x14ac:dyDescent="0.45">
      <c r="B23" s="25" t="s">
        <v>151</v>
      </c>
      <c r="C23" s="46">
        <f>MATCH(Projects!$D$19,Projects!$E$8:$I$8,0)</f>
        <v>2</v>
      </c>
      <c r="D23" s="47" cm="1">
        <f t="array" ref="D23">IF(D$19&lt;$C23,1,_xll.VoseBernoulli(Projects!E$19))</f>
        <v>1</v>
      </c>
      <c r="E23" s="47" cm="1">
        <f t="array" aca="1" ref="E23" ca="1">IF(E$19&lt;$C23,1,_xll.VoseBernoulli(Projects!F$19))</f>
        <v>1</v>
      </c>
      <c r="F23" s="47" cm="1">
        <f t="array" aca="1" ref="F23" ca="1">IF(F$19&lt;$C23,1,_xll.VoseBernoulli(Projects!G$19,U_D))</f>
        <v>1</v>
      </c>
      <c r="G23" s="47" cm="1">
        <f t="array" aca="1" ref="G23" ca="1">IF(G$19&lt;$C23,1,_xll.VoseBernoulli(Projects!H$19))</f>
        <v>0</v>
      </c>
      <c r="H23" s="47" cm="1">
        <f t="array" aca="1" ref="H23" ca="1">IF(H$19&lt;$C23,1,_xll.VoseBernoulli(Projects!I$19))</f>
        <v>1</v>
      </c>
      <c r="I23" s="28"/>
      <c r="J23" s="46">
        <f t="shared" ca="1" si="0"/>
        <v>4</v>
      </c>
      <c r="K23" s="46" cm="1">
        <f t="array" aca="1" ref="K23" ca="1">INDEX(D23:H23,J23)</f>
        <v>0</v>
      </c>
      <c r="L23" s="28"/>
      <c r="M23" s="28"/>
    </row>
    <row r="24" spans="2:13" x14ac:dyDescent="0.45">
      <c r="B24" s="25" t="s">
        <v>152</v>
      </c>
      <c r="C24" s="46">
        <f>MATCH(Projects!$D$20,Projects!$E$8:$I$8,0)</f>
        <v>2</v>
      </c>
      <c r="D24" s="47" cm="1">
        <f t="array" ref="D24">IF(D$19&lt;$C24,1,_xll.VoseBernoulli(Projects!E$20))</f>
        <v>1</v>
      </c>
      <c r="E24" s="47" cm="1">
        <f t="array" aca="1" ref="E24" ca="1">IF(E$19&lt;$C24,1,_xll.VoseBernoulli(Projects!F$20))</f>
        <v>1</v>
      </c>
      <c r="F24" s="47" cm="1">
        <f t="array" aca="1" ref="F24" ca="1">IF(F$19&lt;$C24,1,_xll.VoseBernoulli(Projects!G$20,U_E))</f>
        <v>0</v>
      </c>
      <c r="G24" s="47" cm="1">
        <f t="array" aca="1" ref="G24" ca="1">IF(G$19&lt;$C24,1,_xll.VoseBernoulli(Projects!H$20))</f>
        <v>0</v>
      </c>
      <c r="H24" s="47" cm="1">
        <f t="array" aca="1" ref="H24" ca="1">IF(H$19&lt;$C24,1,_xll.VoseBernoulli(Projects!I$20))</f>
        <v>1</v>
      </c>
      <c r="I24" s="28"/>
      <c r="J24" s="46">
        <f t="shared" ca="1" si="0"/>
        <v>3</v>
      </c>
      <c r="K24" s="46" cm="1">
        <f t="array" aca="1" ref="K24" ca="1">INDEX(D24:H24,J24)</f>
        <v>0</v>
      </c>
      <c r="L24" s="28"/>
      <c r="M24" s="28"/>
    </row>
    <row r="25" spans="2:13" x14ac:dyDescent="0.45">
      <c r="B25" s="25" t="s">
        <v>154</v>
      </c>
      <c r="C25" s="46">
        <f>MATCH(Projects!$D$21,Projects!$E$8:$I$8,0)</f>
        <v>1</v>
      </c>
      <c r="D25" s="47" cm="1">
        <f t="array" aca="1" ref="D25" ca="1">IF(D$19&lt;$C25,1,_xll.VoseBernoulli(Projects!E$21))</f>
        <v>1</v>
      </c>
      <c r="E25" s="47" cm="1">
        <f t="array" aca="1" ref="E25" ca="1">IF(E$19&lt;$C25,1,_xll.VoseBernoulli(Projects!F$21))</f>
        <v>1</v>
      </c>
      <c r="F25" s="47" cm="1">
        <f t="array" aca="1" ref="F25" ca="1">IF(F$19&lt;$C25,1,_xll.VoseBernoulli(Projects!G$21,U_F))</f>
        <v>0</v>
      </c>
      <c r="G25" s="47" cm="1">
        <f t="array" aca="1" ref="G25" ca="1">IF(G$19&lt;$C25,1,_xll.VoseBernoulli(Projects!H$21))</f>
        <v>1</v>
      </c>
      <c r="H25" s="47" cm="1">
        <f t="array" aca="1" ref="H25" ca="1">IF(H$19&lt;$C25,1,_xll.VoseBernoulli(Projects!I$21))</f>
        <v>1</v>
      </c>
      <c r="I25" s="28"/>
      <c r="J25" s="46">
        <f t="shared" ca="1" si="0"/>
        <v>3</v>
      </c>
      <c r="K25" s="46" cm="1">
        <f t="array" aca="1" ref="K25" ca="1">INDEX(D25:H25,J25)</f>
        <v>0</v>
      </c>
      <c r="L25" s="28"/>
      <c r="M25" s="28"/>
    </row>
    <row r="26" spans="2:13" x14ac:dyDescent="0.45">
      <c r="B26" s="25" t="s">
        <v>155</v>
      </c>
      <c r="C26" s="46">
        <f>MATCH(Projects!$D$22,Projects!$E$8:$I$8,0)</f>
        <v>3</v>
      </c>
      <c r="D26" s="47" cm="1">
        <f t="array" ref="D26">IF(D$19&lt;$C26,1,_xll.VoseBernoulli(Projects!E$22))</f>
        <v>1</v>
      </c>
      <c r="E26" s="47" cm="1">
        <f t="array" ref="E26">IF(E$19&lt;$C26,1,_xll.VoseBernoulli(Projects!F$22))</f>
        <v>1</v>
      </c>
      <c r="F26" s="47" cm="1">
        <f t="array" aca="1" ref="F26" ca="1">IF(F$19&lt;$C26,1,_xll.VoseBernoulli(Projects!G$22))</f>
        <v>0</v>
      </c>
      <c r="G26" s="47" cm="1">
        <f t="array" aca="1" ref="G26" ca="1">IF(G$19&lt;$C26,1,_xll.VoseBernoulli(Projects!H$22))</f>
        <v>1</v>
      </c>
      <c r="H26" s="47" cm="1">
        <f t="array" aca="1" ref="H26" ca="1">IF(H$19&lt;$C26,1,_xll.VoseBernoulli(Projects!I$22))</f>
        <v>1</v>
      </c>
      <c r="I26" s="28"/>
      <c r="J26" s="46">
        <f t="shared" ca="1" si="0"/>
        <v>3</v>
      </c>
      <c r="K26" s="46" cm="1">
        <f t="array" aca="1" ref="K26" ca="1">INDEX(D26:H26,J26)</f>
        <v>0</v>
      </c>
      <c r="L26" s="28"/>
      <c r="M26" s="28"/>
    </row>
    <row r="27" spans="2:13" x14ac:dyDescent="0.45">
      <c r="B27" s="25" t="s">
        <v>157</v>
      </c>
      <c r="C27" s="46">
        <f>MATCH(Projects!$D$23,Projects!$E$8:$I$8,0)</f>
        <v>1</v>
      </c>
      <c r="D27" s="47" cm="1">
        <f t="array" aca="1" ref="D27" ca="1">IF(D$19&lt;$C27,1,_xll.VoseBernoulli(Projects!E$23))</f>
        <v>0</v>
      </c>
      <c r="E27" s="47" cm="1">
        <f t="array" aca="1" ref="E27" ca="1">IF(E$19&lt;$C27,1,_xll.VoseBernoulli(Projects!F$23))</f>
        <v>0</v>
      </c>
      <c r="F27" s="47" cm="1">
        <f t="array" aca="1" ref="F27" ca="1">IF(F$19&lt;$C27,1,_xll.VoseBernoulli(Projects!G$23,U_H))</f>
        <v>0</v>
      </c>
      <c r="G27" s="47" cm="1">
        <f t="array" aca="1" ref="G27" ca="1">IF(G$19&lt;$C27,1,_xll.VoseBernoulli(Projects!H$23))</f>
        <v>0</v>
      </c>
      <c r="H27" s="47" cm="1">
        <f t="array" aca="1" ref="H27" ca="1">IF(H$19&lt;$C27,1,_xll.VoseBernoulli(Projects!I$23))</f>
        <v>1</v>
      </c>
      <c r="I27" s="28"/>
      <c r="J27" s="46">
        <f t="shared" ca="1" si="0"/>
        <v>1</v>
      </c>
      <c r="K27" s="46" cm="1">
        <f t="array" aca="1" ref="K27" ca="1">INDEX(D27:H27,J27)</f>
        <v>0</v>
      </c>
      <c r="L27" s="28"/>
      <c r="M27" s="28"/>
    </row>
    <row r="28" spans="2:13" x14ac:dyDescent="0.45">
      <c r="B28" s="40" t="s">
        <v>181</v>
      </c>
    </row>
    <row r="29" spans="2:13" ht="8" customHeight="1" x14ac:dyDescent="0.45"/>
    <row r="30" spans="2:13" ht="22.05" customHeight="1" x14ac:dyDescent="0.5">
      <c r="B30" s="7" t="s">
        <v>182</v>
      </c>
      <c r="C30" s="8"/>
      <c r="D30" s="8"/>
      <c r="E30" s="8"/>
      <c r="F30" s="8"/>
      <c r="G30" s="8"/>
      <c r="H30" s="8"/>
      <c r="I30" s="8"/>
      <c r="J30" s="8"/>
      <c r="K30" s="8"/>
      <c r="L30" s="8"/>
      <c r="M30" s="8"/>
    </row>
    <row r="31" spans="2:13" ht="18" customHeight="1" x14ac:dyDescent="0.45">
      <c r="B31" s="13" t="s">
        <v>183</v>
      </c>
    </row>
    <row r="32" spans="2:13" ht="18" customHeight="1" x14ac:dyDescent="0.45">
      <c r="B32" s="33" t="s">
        <v>138</v>
      </c>
      <c r="C32" s="34" t="s">
        <v>184</v>
      </c>
      <c r="D32" s="34" t="s">
        <v>128</v>
      </c>
      <c r="E32" s="34" t="s">
        <v>129</v>
      </c>
      <c r="F32" s="34" t="s">
        <v>130</v>
      </c>
      <c r="G32" s="34" t="s">
        <v>131</v>
      </c>
      <c r="H32" s="34" t="s">
        <v>132</v>
      </c>
      <c r="I32" s="5"/>
      <c r="J32" s="34" t="s">
        <v>185</v>
      </c>
      <c r="K32" s="34" t="s">
        <v>186</v>
      </c>
      <c r="L32" s="5"/>
      <c r="M32" s="5"/>
    </row>
    <row r="33" spans="2:13" x14ac:dyDescent="0.45">
      <c r="B33" s="44" t="s">
        <v>180</v>
      </c>
      <c r="C33" s="28"/>
      <c r="D33" s="45">
        <v>1</v>
      </c>
      <c r="E33" s="45">
        <v>2</v>
      </c>
      <c r="F33" s="45">
        <v>3</v>
      </c>
      <c r="G33" s="45">
        <v>4</v>
      </c>
      <c r="H33" s="45">
        <v>5</v>
      </c>
      <c r="I33" s="28"/>
      <c r="J33" s="28"/>
      <c r="K33" s="28"/>
      <c r="L33" s="28"/>
      <c r="M33" s="28"/>
    </row>
    <row r="34" spans="2:13" x14ac:dyDescent="0.45">
      <c r="B34" s="25" t="s">
        <v>145</v>
      </c>
      <c r="C34" s="46">
        <v>0</v>
      </c>
      <c r="D34" s="48">
        <f>IF(D$33&lt;$C20,-99,MAX(0,C34)+Projects!E$9)</f>
        <v>-99</v>
      </c>
      <c r="E34" s="48">
        <f>IF(E$33&lt;$C20,-99,MAX(0,D34)+Projects!F$9)</f>
        <v>-99</v>
      </c>
      <c r="F34" s="48">
        <f>IF(F$33&lt;$C20,-99,MAX(0,E34)+Projects!G$9)</f>
        <v>-99</v>
      </c>
      <c r="G34" s="48">
        <f>IF(G$33&lt;$C20,-99,MAX(0,F34)+Projects!H$9)</f>
        <v>3</v>
      </c>
      <c r="H34" s="48">
        <f>IF(H$33&lt;$C20,-99,MAX(0,G34)+Projects!I$9)</f>
        <v>4</v>
      </c>
      <c r="I34" s="28"/>
      <c r="J34" s="49" cm="1">
        <f t="array" aca="1" ref="J34" ca="1">INDEX(D34:H34,J20)</f>
        <v>3</v>
      </c>
      <c r="K34" s="49">
        <f t="shared" ref="K34:K41" si="1">H34</f>
        <v>4</v>
      </c>
      <c r="L34" s="28"/>
      <c r="M34" s="28"/>
    </row>
    <row r="35" spans="2:13" x14ac:dyDescent="0.45">
      <c r="B35" s="25" t="s">
        <v>147</v>
      </c>
      <c r="C35" s="46">
        <v>0</v>
      </c>
      <c r="D35" s="48">
        <f>IF(D$33&lt;$C21,-99,MAX(0,C35)+Projects!E$9)</f>
        <v>-99</v>
      </c>
      <c r="E35" s="48">
        <f>IF(E$33&lt;$C21,-99,MAX(0,D35)+Projects!F$9)</f>
        <v>-99</v>
      </c>
      <c r="F35" s="48">
        <f>IF(F$33&lt;$C21,-99,MAX(0,E35)+Projects!G$9)</f>
        <v>2</v>
      </c>
      <c r="G35" s="48">
        <f>IF(G$33&lt;$C21,-99,MAX(0,F35)+Projects!H$9)</f>
        <v>5</v>
      </c>
      <c r="H35" s="48">
        <f>IF(H$33&lt;$C21,-99,MAX(0,G35)+Projects!I$9)</f>
        <v>6</v>
      </c>
      <c r="I35" s="28"/>
      <c r="J35" s="49" cm="1">
        <f t="array" aca="1" ref="J35" ca="1">INDEX(D35:H35,J21)</f>
        <v>2</v>
      </c>
      <c r="K35" s="49">
        <f t="shared" si="1"/>
        <v>6</v>
      </c>
      <c r="L35" s="28"/>
      <c r="M35" s="28"/>
    </row>
    <row r="36" spans="2:13" x14ac:dyDescent="0.45">
      <c r="B36" s="25" t="s">
        <v>149</v>
      </c>
      <c r="C36" s="46">
        <v>0</v>
      </c>
      <c r="D36" s="48">
        <f>IF(D$33&lt;$C22,-99,MAX(0,C36)+Projects!E$9)</f>
        <v>-99</v>
      </c>
      <c r="E36" s="48">
        <f>IF(E$33&lt;$C22,-99,MAX(0,D36)+Projects!F$9)</f>
        <v>-99</v>
      </c>
      <c r="F36" s="48">
        <f>IF(F$33&lt;$C22,-99,MAX(0,E36)+Projects!G$9)</f>
        <v>2</v>
      </c>
      <c r="G36" s="48">
        <f>IF(G$33&lt;$C22,-99,MAX(0,F36)+Projects!H$9)</f>
        <v>5</v>
      </c>
      <c r="H36" s="48">
        <f>IF(H$33&lt;$C22,-99,MAX(0,G36)+Projects!I$9)</f>
        <v>6</v>
      </c>
      <c r="I36" s="28"/>
      <c r="J36" s="49" cm="1">
        <f t="array" aca="1" ref="J36" ca="1">INDEX(D36:H36,J22)</f>
        <v>2</v>
      </c>
      <c r="K36" s="49">
        <f t="shared" si="1"/>
        <v>6</v>
      </c>
      <c r="L36" s="28"/>
      <c r="M36" s="28"/>
    </row>
    <row r="37" spans="2:13" x14ac:dyDescent="0.45">
      <c r="B37" s="25" t="s">
        <v>151</v>
      </c>
      <c r="C37" s="46">
        <v>0</v>
      </c>
      <c r="D37" s="48">
        <f>IF(D$33&lt;$C23,-99,MAX(0,C37)+Projects!E$9)</f>
        <v>-99</v>
      </c>
      <c r="E37" s="48">
        <f>IF(E$33&lt;$C23,-99,MAX(0,D37)+Projects!F$9)</f>
        <v>1</v>
      </c>
      <c r="F37" s="48">
        <f>IF(F$33&lt;$C23,-99,MAX(0,E37)+Projects!G$9)</f>
        <v>3</v>
      </c>
      <c r="G37" s="48">
        <f>IF(G$33&lt;$C23,-99,MAX(0,F37)+Projects!H$9)</f>
        <v>6</v>
      </c>
      <c r="H37" s="48">
        <f>IF(H$33&lt;$C23,-99,MAX(0,G37)+Projects!I$9)</f>
        <v>7</v>
      </c>
      <c r="I37" s="28"/>
      <c r="J37" s="49" cm="1">
        <f t="array" aca="1" ref="J37" ca="1">INDEX(D37:H37,J23)</f>
        <v>6</v>
      </c>
      <c r="K37" s="49">
        <f t="shared" si="1"/>
        <v>7</v>
      </c>
      <c r="L37" s="28"/>
      <c r="M37" s="28"/>
    </row>
    <row r="38" spans="2:13" x14ac:dyDescent="0.45">
      <c r="B38" s="25" t="s">
        <v>152</v>
      </c>
      <c r="C38" s="46">
        <v>0</v>
      </c>
      <c r="D38" s="48">
        <f>IF(D$33&lt;$C24,-99,MAX(0,C38)+Projects!E$9)</f>
        <v>-99</v>
      </c>
      <c r="E38" s="48">
        <f>IF(E$33&lt;$C24,-99,MAX(0,D38)+Projects!F$9)</f>
        <v>1</v>
      </c>
      <c r="F38" s="48">
        <f>IF(F$33&lt;$C24,-99,MAX(0,E38)+Projects!G$9)</f>
        <v>3</v>
      </c>
      <c r="G38" s="48">
        <f>IF(G$33&lt;$C24,-99,MAX(0,F38)+Projects!H$9)</f>
        <v>6</v>
      </c>
      <c r="H38" s="48">
        <f>IF(H$33&lt;$C24,-99,MAX(0,G38)+Projects!I$9)</f>
        <v>7</v>
      </c>
      <c r="I38" s="28"/>
      <c r="J38" s="49" cm="1">
        <f t="array" aca="1" ref="J38" ca="1">INDEX(D38:H38,J24)</f>
        <v>3</v>
      </c>
      <c r="K38" s="49">
        <f t="shared" si="1"/>
        <v>7</v>
      </c>
      <c r="L38" s="28"/>
      <c r="M38" s="28"/>
    </row>
    <row r="39" spans="2:13" x14ac:dyDescent="0.45">
      <c r="B39" s="25" t="s">
        <v>154</v>
      </c>
      <c r="C39" s="46">
        <v>0</v>
      </c>
      <c r="D39" s="48">
        <f>IF(D$33&lt;$C25,-99,MAX(0,C39)+Projects!E$9)</f>
        <v>1</v>
      </c>
      <c r="E39" s="48">
        <f>IF(E$33&lt;$C25,-99,MAX(0,D39)+Projects!F$9)</f>
        <v>2</v>
      </c>
      <c r="F39" s="48">
        <f>IF(F$33&lt;$C25,-99,MAX(0,E39)+Projects!G$9)</f>
        <v>4</v>
      </c>
      <c r="G39" s="48">
        <f>IF(G$33&lt;$C25,-99,MAX(0,F39)+Projects!H$9)</f>
        <v>7</v>
      </c>
      <c r="H39" s="48">
        <f>IF(H$33&lt;$C25,-99,MAX(0,G39)+Projects!I$9)</f>
        <v>8</v>
      </c>
      <c r="I39" s="28"/>
      <c r="J39" s="49" cm="1">
        <f t="array" aca="1" ref="J39" ca="1">INDEX(D39:H39,J25)</f>
        <v>4</v>
      </c>
      <c r="K39" s="49">
        <f t="shared" si="1"/>
        <v>8</v>
      </c>
      <c r="L39" s="28"/>
      <c r="M39" s="28"/>
    </row>
    <row r="40" spans="2:13" x14ac:dyDescent="0.45">
      <c r="B40" s="25" t="s">
        <v>155</v>
      </c>
      <c r="C40" s="46">
        <v>0</v>
      </c>
      <c r="D40" s="48">
        <f>IF(D$33&lt;$C26,-99,MAX(0,C40)+Projects!E$9)</f>
        <v>-99</v>
      </c>
      <c r="E40" s="48">
        <f>IF(E$33&lt;$C26,-99,MAX(0,D40)+Projects!F$9)</f>
        <v>-99</v>
      </c>
      <c r="F40" s="48">
        <f>IF(F$33&lt;$C26,-99,MAX(0,E40)+Projects!G$9)</f>
        <v>2</v>
      </c>
      <c r="G40" s="48">
        <f>IF(G$33&lt;$C26,-99,MAX(0,F40)+Projects!H$9)</f>
        <v>5</v>
      </c>
      <c r="H40" s="48">
        <f>IF(H$33&lt;$C26,-99,MAX(0,G40)+Projects!I$9)</f>
        <v>6</v>
      </c>
      <c r="I40" s="28"/>
      <c r="J40" s="49" cm="1">
        <f t="array" aca="1" ref="J40" ca="1">INDEX(D40:H40,J26)</f>
        <v>2</v>
      </c>
      <c r="K40" s="49">
        <f t="shared" si="1"/>
        <v>6</v>
      </c>
      <c r="L40" s="28"/>
      <c r="M40" s="28"/>
    </row>
    <row r="41" spans="2:13" x14ac:dyDescent="0.45">
      <c r="B41" s="25" t="s">
        <v>157</v>
      </c>
      <c r="C41" s="46">
        <v>0</v>
      </c>
      <c r="D41" s="48">
        <f>IF(D$33&lt;$C27,-99,MAX(0,C41)+Projects!E$9)</f>
        <v>1</v>
      </c>
      <c r="E41" s="48">
        <f>IF(E$33&lt;$C27,-99,MAX(0,D41)+Projects!F$9)</f>
        <v>2</v>
      </c>
      <c r="F41" s="48">
        <f>IF(F$33&lt;$C27,-99,MAX(0,E41)+Projects!G$9)</f>
        <v>4</v>
      </c>
      <c r="G41" s="48">
        <f>IF(G$33&lt;$C27,-99,MAX(0,F41)+Projects!H$9)</f>
        <v>7</v>
      </c>
      <c r="H41" s="48">
        <f>IF(H$33&lt;$C27,-99,MAX(0,G41)+Projects!I$9)</f>
        <v>8</v>
      </c>
      <c r="I41" s="28"/>
      <c r="J41" s="49" cm="1">
        <f t="array" aca="1" ref="J41" ca="1">INDEX(D41:H41,J27)</f>
        <v>1</v>
      </c>
      <c r="K41" s="49">
        <f t="shared" si="1"/>
        <v>8</v>
      </c>
      <c r="L41" s="28"/>
      <c r="M41" s="28"/>
    </row>
    <row r="42" spans="2:13" x14ac:dyDescent="0.45">
      <c r="B42" s="40" t="s">
        <v>187</v>
      </c>
    </row>
    <row r="43" spans="2:13" ht="8" customHeight="1" x14ac:dyDescent="0.45"/>
    <row r="44" spans="2:13" ht="22.05" customHeight="1" x14ac:dyDescent="0.5">
      <c r="B44" s="7" t="s">
        <v>188</v>
      </c>
      <c r="C44" s="8"/>
      <c r="D44" s="8"/>
      <c r="E44" s="8"/>
      <c r="F44" s="8"/>
      <c r="G44" s="8"/>
      <c r="H44" s="8"/>
      <c r="I44" s="8"/>
      <c r="J44" s="8"/>
      <c r="K44" s="8"/>
      <c r="L44" s="8"/>
      <c r="M44" s="8"/>
    </row>
    <row r="45" spans="2:13" ht="18" customHeight="1" x14ac:dyDescent="0.45">
      <c r="B45" s="13" t="s">
        <v>189</v>
      </c>
    </row>
    <row r="46" spans="2:13" ht="18" customHeight="1" x14ac:dyDescent="0.45">
      <c r="B46" s="35" t="s">
        <v>138</v>
      </c>
      <c r="C46" s="50"/>
      <c r="D46" s="36" t="s">
        <v>179</v>
      </c>
      <c r="E46" s="36" t="s">
        <v>190</v>
      </c>
      <c r="F46" s="36" t="s">
        <v>191</v>
      </c>
      <c r="G46" s="36" t="s">
        <v>191</v>
      </c>
      <c r="H46" s="36" t="s">
        <v>192</v>
      </c>
      <c r="I46" s="5"/>
      <c r="J46" s="5"/>
      <c r="K46" s="5"/>
      <c r="L46" s="5"/>
      <c r="M46" s="5"/>
    </row>
    <row r="47" spans="2:13" x14ac:dyDescent="0.45">
      <c r="B47" s="37"/>
      <c r="C47" s="37"/>
      <c r="D47" s="37" t="s">
        <v>193</v>
      </c>
      <c r="E47" s="37" t="s">
        <v>194</v>
      </c>
      <c r="F47" s="37" t="s">
        <v>195</v>
      </c>
      <c r="G47" s="37" t="s">
        <v>196</v>
      </c>
      <c r="H47" s="37"/>
    </row>
    <row r="48" spans="2:13" x14ac:dyDescent="0.45">
      <c r="B48" s="25" t="s">
        <v>145</v>
      </c>
      <c r="C48" s="28"/>
      <c r="D48" s="46">
        <f ca="1">Launched_A</f>
        <v>0</v>
      </c>
      <c r="E48" s="51" cm="1">
        <f t="array" aca="1" ref="E48" ca="1">_xll.VoseLognormalAlt(Projects!$J$16,0.1,Projects!$K$16,0.9,0)</f>
        <v>1770.4587352760902</v>
      </c>
      <c r="F48" s="52">
        <f ca="1">D48*E48/(1+Disc)^LaunchT_A</f>
        <v>0</v>
      </c>
      <c r="G48" s="52">
        <f ca="1">SUMPRODUCT(Spend!$F$25:$O$25,Spend!$F$9:$O$9)</f>
        <v>156.49394233402862</v>
      </c>
      <c r="H48" s="52">
        <f t="shared" ref="H48:H55" ca="1" si="2">F48-G48</f>
        <v>-156.49394233402862</v>
      </c>
      <c r="I48" s="28"/>
      <c r="J48" s="28"/>
      <c r="K48" s="28"/>
      <c r="L48" s="28"/>
      <c r="M48" s="28"/>
    </row>
    <row r="49" spans="2:13" x14ac:dyDescent="0.45">
      <c r="B49" s="25" t="s">
        <v>147</v>
      </c>
      <c r="C49" s="28"/>
      <c r="D49" s="46">
        <f ca="1">Launched_B</f>
        <v>0</v>
      </c>
      <c r="E49" s="51" cm="1">
        <f t="array" aca="1" ref="E49" ca="1">_xll.VoseLognormalAlt(Projects!$J$17,0.1,Projects!$K$17,0.9,0)</f>
        <v>700.06038037929488</v>
      </c>
      <c r="F49" s="52">
        <f ca="1">D49*E49/(1+Disc)^LaunchT_B</f>
        <v>0</v>
      </c>
      <c r="G49" s="52">
        <f ca="1">SUMPRODUCT(Spend!$F$26:$O$26,Spend!$F$9:$O$9)</f>
        <v>45.50616903217599</v>
      </c>
      <c r="H49" s="52">
        <f t="shared" ca="1" si="2"/>
        <v>-45.50616903217599</v>
      </c>
      <c r="I49" s="28"/>
      <c r="J49" s="28"/>
      <c r="K49" s="28"/>
      <c r="L49" s="28"/>
      <c r="M49" s="28"/>
    </row>
    <row r="50" spans="2:13" x14ac:dyDescent="0.45">
      <c r="B50" s="25" t="s">
        <v>149</v>
      </c>
      <c r="C50" s="28"/>
      <c r="D50" s="46">
        <f ca="1">Launched_C</f>
        <v>0</v>
      </c>
      <c r="E50" s="51" cm="1">
        <f t="array" aca="1" ref="E50" ca="1">_xll.VoseLognormalAlt(Projects!$J$18,0.1,Projects!$K$18,0.9,0)</f>
        <v>866.02049954887457</v>
      </c>
      <c r="F50" s="52">
        <f ca="1">D50*E50/(1+Disc)^LaunchT_C</f>
        <v>0</v>
      </c>
      <c r="G50" s="52">
        <f ca="1">SUMPRODUCT(Spend!$F$27:$O$27,Spend!$F$9:$O$9)</f>
        <v>45.50616903217599</v>
      </c>
      <c r="H50" s="52">
        <f t="shared" ca="1" si="2"/>
        <v>-45.50616903217599</v>
      </c>
      <c r="I50" s="28"/>
      <c r="J50" s="28"/>
      <c r="K50" s="28"/>
      <c r="L50" s="28"/>
      <c r="M50" s="28"/>
    </row>
    <row r="51" spans="2:13" x14ac:dyDescent="0.45">
      <c r="B51" s="25" t="s">
        <v>151</v>
      </c>
      <c r="C51" s="28"/>
      <c r="D51" s="46">
        <f ca="1">Launched_D</f>
        <v>0</v>
      </c>
      <c r="E51" s="51" cm="1">
        <f t="array" aca="1" ref="E51" ca="1">_xll.VoseLognormalAlt(Projects!$J$19,0.1,Projects!$K$19,0.9,0)</f>
        <v>901.05130623443449</v>
      </c>
      <c r="F51" s="52">
        <f ca="1">D51*E51/(1+Disc)^LaunchT_D</f>
        <v>0</v>
      </c>
      <c r="G51" s="52">
        <f ca="1">SUMPRODUCT(Spend!$F$28:$O$28,Spend!$F$9:$O$9)</f>
        <v>173.24739854038299</v>
      </c>
      <c r="H51" s="52">
        <f t="shared" ca="1" si="2"/>
        <v>-173.24739854038299</v>
      </c>
      <c r="I51" s="28"/>
      <c r="J51" s="28"/>
      <c r="K51" s="28"/>
      <c r="L51" s="28"/>
      <c r="M51" s="28"/>
    </row>
    <row r="52" spans="2:13" x14ac:dyDescent="0.45">
      <c r="B52" s="25" t="s">
        <v>152</v>
      </c>
      <c r="C52" s="28"/>
      <c r="D52" s="46">
        <f ca="1">Launched_E</f>
        <v>0</v>
      </c>
      <c r="E52" s="51" cm="1">
        <f t="array" aca="1" ref="E52" ca="1">_xll.VoseLognormalAlt(Projects!$J$20,0.1,Projects!$K$20,0.9,0)</f>
        <v>2260.7177306079357</v>
      </c>
      <c r="F52" s="52">
        <f ca="1">D52*E52/(1+Disc)^LaunchT_E</f>
        <v>0</v>
      </c>
      <c r="G52" s="52">
        <f ca="1">SUMPRODUCT(Spend!$F$29:$O$29,Spend!$F$9:$O$9)</f>
        <v>55.671183413389329</v>
      </c>
      <c r="H52" s="52">
        <f t="shared" ca="1" si="2"/>
        <v>-55.671183413389329</v>
      </c>
      <c r="I52" s="28"/>
      <c r="J52" s="28"/>
      <c r="K52" s="28"/>
      <c r="L52" s="28"/>
      <c r="M52" s="28"/>
    </row>
    <row r="53" spans="2:13" x14ac:dyDescent="0.45">
      <c r="B53" s="25" t="s">
        <v>154</v>
      </c>
      <c r="C53" s="28"/>
      <c r="D53" s="46">
        <f ca="1">Launched_F</f>
        <v>0</v>
      </c>
      <c r="E53" s="51" cm="1">
        <f t="array" aca="1" ref="E53" ca="1">_xll.VoseLognormalAlt(Projects!$J$21,0.1,Projects!$K$21,0.9,0)</f>
        <v>742.36791901205243</v>
      </c>
      <c r="F53" s="52">
        <f ca="1">D53*E53/(1+Disc)^LaunchT_F</f>
        <v>0</v>
      </c>
      <c r="G53" s="52">
        <f ca="1">SUMPRODUCT(Spend!$F$30:$O$30,Spend!$F$9:$O$9)</f>
        <v>58.237867453409578</v>
      </c>
      <c r="H53" s="52">
        <f t="shared" ca="1" si="2"/>
        <v>-58.237867453409578</v>
      </c>
      <c r="I53" s="28"/>
      <c r="J53" s="28"/>
      <c r="K53" s="28"/>
      <c r="L53" s="28"/>
      <c r="M53" s="28"/>
    </row>
    <row r="54" spans="2:13" x14ac:dyDescent="0.45">
      <c r="B54" s="25" t="s">
        <v>155</v>
      </c>
      <c r="C54" s="28"/>
      <c r="D54" s="46">
        <f ca="1">Launched_G</f>
        <v>0</v>
      </c>
      <c r="E54" s="51" cm="1">
        <f t="array" aca="1" ref="E54" ca="1">_xll.VoseLognormalAlt(Projects!$J$22,0.1,Projects!$K$22,0.9,0)</f>
        <v>410.80038625937306</v>
      </c>
      <c r="F54" s="52">
        <f ca="1">D54*E54/(1+Disc)^LaunchT_G</f>
        <v>0</v>
      </c>
      <c r="G54" s="52">
        <f ca="1">SUMPRODUCT(Spend!$F$31:$O$31,Spend!$F$9:$O$9)</f>
        <v>45.50616903217599</v>
      </c>
      <c r="H54" s="52">
        <f t="shared" ca="1" si="2"/>
        <v>-45.50616903217599</v>
      </c>
      <c r="I54" s="28"/>
      <c r="J54" s="28"/>
      <c r="K54" s="28"/>
      <c r="L54" s="28"/>
      <c r="M54" s="28"/>
    </row>
    <row r="55" spans="2:13" x14ac:dyDescent="0.45">
      <c r="B55" s="25" t="s">
        <v>157</v>
      </c>
      <c r="C55" s="28"/>
      <c r="D55" s="46">
        <f ca="1">Launched_H</f>
        <v>0</v>
      </c>
      <c r="E55" s="51" cm="1">
        <f t="array" aca="1" ref="E55" ca="1">_xll.VoseLognormalAlt(Projects!$J$23,0.1,Projects!$K$23,0.9,0)</f>
        <v>1420.0288505577421</v>
      </c>
      <c r="F55" s="52">
        <f ca="1">D55*E55/(1+Disc)^LaunchT_H</f>
        <v>0</v>
      </c>
      <c r="G55" s="52">
        <f ca="1">SUMPRODUCT(Spend!$F$32:$O$32,Spend!$F$9:$O$9)</f>
        <v>7.6277007139647379</v>
      </c>
      <c r="H55" s="52">
        <f t="shared" ca="1" si="2"/>
        <v>-7.6277007139647379</v>
      </c>
      <c r="I55" s="28"/>
      <c r="J55" s="28"/>
      <c r="K55" s="28"/>
      <c r="L55" s="28"/>
      <c r="M55" s="28"/>
    </row>
  </sheetData>
  <hyperlinks>
    <hyperlink ref="B4" location="'Projects'!A1" display="◂  Projects" xr:uid="{00000000-0004-0000-0300-000000000000}"/>
    <hyperlink ref="M4" location="'Spend'!A1" display="Next:  Spend  ▸" xr:uid="{00000000-0004-0000-0300-000001000000}"/>
  </hyperlinks>
  <printOptions horizontalCentered="1"/>
  <pageMargins left="0.4" right="0.4" top="0.5" bottom="0.6" header="0.25" footer="0.25"/>
  <pageSetup paperSize="9" scale="93" fitToHeight="0" orientation="landscape" r:id="rId1"/>
  <headerFooter>
    <oddFooter>&amp;L&amp;K3F5876&amp;8&amp;F · &amp;A&amp;R&amp;K3F5876&amp;8Page &amp;P of &amp;N</oddFooter>
  </headerFooter>
  <rowBreaks count="1" manualBreakCount="1">
    <brk id="4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8AA0BA"/>
    <pageSetUpPr fitToPage="1"/>
  </sheetPr>
  <dimension ref="A1:O103"/>
  <sheetViews>
    <sheetView showGridLines="0" workbookViewId="0">
      <pane xSplit="5" ySplit="7" topLeftCell="F8" activePane="bottomRight" state="frozen"/>
      <selection pane="topRight"/>
      <selection pane="bottomLeft"/>
      <selection pane="bottomRight"/>
    </sheetView>
  </sheetViews>
  <sheetFormatPr defaultRowHeight="14.25" x14ac:dyDescent="0.45"/>
  <cols>
    <col min="1" max="1" width="2" customWidth="1"/>
    <col min="2" max="2" width="40" customWidth="1"/>
    <col min="3" max="3" width="12" customWidth="1"/>
    <col min="4" max="4" width="10" customWidth="1"/>
    <col min="5" max="5" width="3" customWidth="1"/>
    <col min="6" max="15" width="8.3984375" customWidth="1"/>
  </cols>
  <sheetData>
    <row r="1" spans="1:15" ht="6" customHeight="1" x14ac:dyDescent="0.45"/>
    <row r="2" spans="1:15" ht="30" customHeight="1" x14ac:dyDescent="0.45">
      <c r="A2" s="1"/>
      <c r="B2" s="21" t="s">
        <v>0</v>
      </c>
      <c r="C2" s="1"/>
      <c r="D2" s="1"/>
      <c r="E2" s="1"/>
      <c r="F2" s="1"/>
      <c r="G2" s="1"/>
      <c r="H2" s="1"/>
      <c r="I2" s="1"/>
      <c r="J2" s="1"/>
      <c r="K2" s="1"/>
      <c r="L2" s="1"/>
      <c r="M2" s="1"/>
      <c r="N2" s="1"/>
      <c r="O2" s="3" t="s">
        <v>1</v>
      </c>
    </row>
    <row r="3" spans="1:15" ht="20" customHeight="1" x14ac:dyDescent="0.45">
      <c r="A3" s="1"/>
      <c r="B3" s="4" t="s">
        <v>197</v>
      </c>
      <c r="C3" s="1"/>
      <c r="D3" s="1"/>
      <c r="E3" s="1"/>
      <c r="F3" s="1"/>
      <c r="G3" s="1"/>
      <c r="H3" s="1"/>
      <c r="I3" s="1"/>
      <c r="J3" s="1"/>
      <c r="K3" s="1"/>
      <c r="L3" s="1"/>
      <c r="M3" s="1"/>
      <c r="N3" s="1"/>
      <c r="O3" s="1"/>
    </row>
    <row r="4" spans="1:15" ht="20" customHeight="1" x14ac:dyDescent="0.45">
      <c r="A4" s="5"/>
      <c r="B4" s="22" t="s">
        <v>198</v>
      </c>
      <c r="C4" s="5"/>
      <c r="D4" s="5"/>
      <c r="E4" s="5"/>
      <c r="F4" s="5"/>
      <c r="G4" s="5"/>
      <c r="H4" s="5"/>
      <c r="I4" s="5"/>
      <c r="J4" s="5"/>
      <c r="K4" s="5"/>
      <c r="L4" s="5"/>
      <c r="M4" s="5"/>
      <c r="N4" s="5"/>
      <c r="O4" s="6" t="s">
        <v>199</v>
      </c>
    </row>
    <row r="5" spans="1:15" ht="8" customHeight="1" x14ac:dyDescent="0.45"/>
    <row r="6" spans="1:15" ht="16.05" customHeight="1" x14ac:dyDescent="0.45">
      <c r="B6" s="53" t="s">
        <v>200</v>
      </c>
      <c r="C6" s="54"/>
      <c r="D6" s="55" t="s">
        <v>201</v>
      </c>
      <c r="E6" s="56"/>
      <c r="F6" s="57">
        <v>1</v>
      </c>
      <c r="G6" s="57">
        <f t="shared" ref="G6:O6" si="0">F6+1</f>
        <v>2</v>
      </c>
      <c r="H6" s="57">
        <f t="shared" si="0"/>
        <v>3</v>
      </c>
      <c r="I6" s="57">
        <f t="shared" si="0"/>
        <v>4</v>
      </c>
      <c r="J6" s="57">
        <f t="shared" si="0"/>
        <v>5</v>
      </c>
      <c r="K6" s="57">
        <f t="shared" si="0"/>
        <v>6</v>
      </c>
      <c r="L6" s="57">
        <f t="shared" si="0"/>
        <v>7</v>
      </c>
      <c r="M6" s="57">
        <f t="shared" si="0"/>
        <v>8</v>
      </c>
      <c r="N6" s="57">
        <f t="shared" si="0"/>
        <v>9</v>
      </c>
      <c r="O6" s="57">
        <f t="shared" si="0"/>
        <v>10</v>
      </c>
    </row>
    <row r="7" spans="1:15" ht="16.05" customHeight="1" x14ac:dyDescent="0.45">
      <c r="B7" s="5"/>
      <c r="C7" s="5"/>
      <c r="D7" s="5"/>
      <c r="E7" s="5"/>
      <c r="F7" s="5"/>
      <c r="G7" s="5"/>
      <c r="H7" s="5"/>
      <c r="I7" s="5"/>
      <c r="J7" s="5"/>
      <c r="K7" s="5"/>
      <c r="L7" s="5"/>
      <c r="M7" s="5"/>
      <c r="N7" s="5"/>
      <c r="O7" s="5"/>
    </row>
    <row r="8" spans="1:15" ht="6" customHeight="1" x14ac:dyDescent="0.45"/>
    <row r="9" spans="1:15" x14ac:dyDescent="0.45">
      <c r="B9" s="25" t="s">
        <v>202</v>
      </c>
      <c r="C9" s="26"/>
      <c r="D9" s="28"/>
      <c r="E9" s="28"/>
      <c r="F9" s="58">
        <f t="shared" ref="F9:O9" si="1">1/(1+Disc)^(F$6-0.5)</f>
        <v>0.95346258924559224</v>
      </c>
      <c r="G9" s="58">
        <f t="shared" si="1"/>
        <v>0.86678417204144742</v>
      </c>
      <c r="H9" s="58">
        <f t="shared" si="1"/>
        <v>0.78798561094677033</v>
      </c>
      <c r="I9" s="58">
        <f t="shared" si="1"/>
        <v>0.71635055540615489</v>
      </c>
      <c r="J9" s="58">
        <f t="shared" si="1"/>
        <v>0.65122777764195883</v>
      </c>
      <c r="K9" s="58">
        <f t="shared" si="1"/>
        <v>0.59202525240178083</v>
      </c>
      <c r="L9" s="58">
        <f t="shared" si="1"/>
        <v>0.53820477491070973</v>
      </c>
      <c r="M9" s="58">
        <f t="shared" si="1"/>
        <v>0.48927706810064514</v>
      </c>
      <c r="N9" s="58">
        <f t="shared" si="1"/>
        <v>0.44479733463695009</v>
      </c>
      <c r="O9" s="58">
        <f t="shared" si="1"/>
        <v>0.4043612133063183</v>
      </c>
    </row>
    <row r="10" spans="1:15" ht="8" customHeight="1" x14ac:dyDescent="0.45"/>
    <row r="11" spans="1:15" ht="22.05" customHeight="1" x14ac:dyDescent="0.5">
      <c r="B11" s="7" t="s">
        <v>203</v>
      </c>
      <c r="C11" s="8"/>
      <c r="D11" s="8"/>
      <c r="E11" s="8"/>
      <c r="F11" s="8"/>
      <c r="G11" s="8"/>
      <c r="H11" s="8"/>
      <c r="I11" s="8"/>
      <c r="J11" s="8"/>
      <c r="K11" s="8"/>
      <c r="L11" s="8"/>
      <c r="M11" s="8"/>
      <c r="N11" s="8"/>
      <c r="O11" s="8"/>
    </row>
    <row r="12" spans="1:15" ht="18" customHeight="1" x14ac:dyDescent="0.45">
      <c r="B12" s="13" t="s">
        <v>204</v>
      </c>
    </row>
    <row r="13" spans="1:15" x14ac:dyDescent="0.45">
      <c r="B13" s="25" t="s">
        <v>145</v>
      </c>
      <c r="C13" s="26" t="s">
        <v>205</v>
      </c>
      <c r="D13" s="28"/>
      <c r="E13" s="28"/>
      <c r="F13" s="59">
        <f ca="1">IF(F$6&lt;=Stop_A,COUNTIF(Pipeline!$D$34:$H$34,"&lt;"&amp;F$6)+1,0)</f>
        <v>4</v>
      </c>
      <c r="G13" s="59">
        <f ca="1">IF(G$6&lt;=Stop_A,COUNTIF(Pipeline!$D$34:$H$34,"&lt;"&amp;G$6)+1,0)</f>
        <v>4</v>
      </c>
      <c r="H13" s="59">
        <f ca="1">IF(H$6&lt;=Stop_A,COUNTIF(Pipeline!$D$34:$H$34,"&lt;"&amp;H$6)+1,0)</f>
        <v>4</v>
      </c>
      <c r="I13" s="59">
        <f ca="1">IF(I$6&lt;=Stop_A,COUNTIF(Pipeline!$D$34:$H$34,"&lt;"&amp;I$6)+1,0)</f>
        <v>0</v>
      </c>
      <c r="J13" s="59">
        <f ca="1">IF(J$6&lt;=Stop_A,COUNTIF(Pipeline!$D$34:$H$34,"&lt;"&amp;J$6)+1,0)</f>
        <v>0</v>
      </c>
      <c r="K13" s="59">
        <f ca="1">IF(K$6&lt;=Stop_A,COUNTIF(Pipeline!$D$34:$H$34,"&lt;"&amp;K$6)+1,0)</f>
        <v>0</v>
      </c>
      <c r="L13" s="59">
        <f ca="1">IF(L$6&lt;=Stop_A,COUNTIF(Pipeline!$D$34:$H$34,"&lt;"&amp;L$6)+1,0)</f>
        <v>0</v>
      </c>
      <c r="M13" s="59">
        <f ca="1">IF(M$6&lt;=Stop_A,COUNTIF(Pipeline!$D$34:$H$34,"&lt;"&amp;M$6)+1,0)</f>
        <v>0</v>
      </c>
      <c r="N13" s="59">
        <f ca="1">IF(N$6&lt;=Stop_A,COUNTIF(Pipeline!$D$34:$H$34,"&lt;"&amp;N$6)+1,0)</f>
        <v>0</v>
      </c>
      <c r="O13" s="59">
        <f ca="1">IF(O$6&lt;=Stop_A,COUNTIF(Pipeline!$D$34:$H$34,"&lt;"&amp;O$6)+1,0)</f>
        <v>0</v>
      </c>
    </row>
    <row r="14" spans="1:15" x14ac:dyDescent="0.45">
      <c r="B14" s="25" t="s">
        <v>147</v>
      </c>
      <c r="C14" s="26" t="s">
        <v>205</v>
      </c>
      <c r="D14" s="28"/>
      <c r="E14" s="28"/>
      <c r="F14" s="59">
        <f ca="1">IF(F$6&lt;=Stop_B,COUNTIF(Pipeline!$D$35:$H$35,"&lt;"&amp;F$6)+1,0)</f>
        <v>3</v>
      </c>
      <c r="G14" s="59">
        <f ca="1">IF(G$6&lt;=Stop_B,COUNTIF(Pipeline!$D$35:$H$35,"&lt;"&amp;G$6)+1,0)</f>
        <v>3</v>
      </c>
      <c r="H14" s="59">
        <f ca="1">IF(H$6&lt;=Stop_B,COUNTIF(Pipeline!$D$35:$H$35,"&lt;"&amp;H$6)+1,0)</f>
        <v>0</v>
      </c>
      <c r="I14" s="59">
        <f ca="1">IF(I$6&lt;=Stop_B,COUNTIF(Pipeline!$D$35:$H$35,"&lt;"&amp;I$6)+1,0)</f>
        <v>0</v>
      </c>
      <c r="J14" s="59">
        <f ca="1">IF(J$6&lt;=Stop_B,COUNTIF(Pipeline!$D$35:$H$35,"&lt;"&amp;J$6)+1,0)</f>
        <v>0</v>
      </c>
      <c r="K14" s="59">
        <f ca="1">IF(K$6&lt;=Stop_B,COUNTIF(Pipeline!$D$35:$H$35,"&lt;"&amp;K$6)+1,0)</f>
        <v>0</v>
      </c>
      <c r="L14" s="59">
        <f ca="1">IF(L$6&lt;=Stop_B,COUNTIF(Pipeline!$D$35:$H$35,"&lt;"&amp;L$6)+1,0)</f>
        <v>0</v>
      </c>
      <c r="M14" s="59">
        <f ca="1">IF(M$6&lt;=Stop_B,COUNTIF(Pipeline!$D$35:$H$35,"&lt;"&amp;M$6)+1,0)</f>
        <v>0</v>
      </c>
      <c r="N14" s="59">
        <f ca="1">IF(N$6&lt;=Stop_B,COUNTIF(Pipeline!$D$35:$H$35,"&lt;"&amp;N$6)+1,0)</f>
        <v>0</v>
      </c>
      <c r="O14" s="59">
        <f ca="1">IF(O$6&lt;=Stop_B,COUNTIF(Pipeline!$D$35:$H$35,"&lt;"&amp;O$6)+1,0)</f>
        <v>0</v>
      </c>
    </row>
    <row r="15" spans="1:15" x14ac:dyDescent="0.45">
      <c r="B15" s="25" t="s">
        <v>149</v>
      </c>
      <c r="C15" s="26" t="s">
        <v>205</v>
      </c>
      <c r="D15" s="28"/>
      <c r="E15" s="28"/>
      <c r="F15" s="59">
        <f ca="1">IF(F$6&lt;=Stop_C,COUNTIF(Pipeline!$D$36:$H$36,"&lt;"&amp;F$6)+1,0)</f>
        <v>3</v>
      </c>
      <c r="G15" s="59">
        <f ca="1">IF(G$6&lt;=Stop_C,COUNTIF(Pipeline!$D$36:$H$36,"&lt;"&amp;G$6)+1,0)</f>
        <v>3</v>
      </c>
      <c r="H15" s="59">
        <f ca="1">IF(H$6&lt;=Stop_C,COUNTIF(Pipeline!$D$36:$H$36,"&lt;"&amp;H$6)+1,0)</f>
        <v>0</v>
      </c>
      <c r="I15" s="59">
        <f ca="1">IF(I$6&lt;=Stop_C,COUNTIF(Pipeline!$D$36:$H$36,"&lt;"&amp;I$6)+1,0)</f>
        <v>0</v>
      </c>
      <c r="J15" s="59">
        <f ca="1">IF(J$6&lt;=Stop_C,COUNTIF(Pipeline!$D$36:$H$36,"&lt;"&amp;J$6)+1,0)</f>
        <v>0</v>
      </c>
      <c r="K15" s="59">
        <f ca="1">IF(K$6&lt;=Stop_C,COUNTIF(Pipeline!$D$36:$H$36,"&lt;"&amp;K$6)+1,0)</f>
        <v>0</v>
      </c>
      <c r="L15" s="59">
        <f ca="1">IF(L$6&lt;=Stop_C,COUNTIF(Pipeline!$D$36:$H$36,"&lt;"&amp;L$6)+1,0)</f>
        <v>0</v>
      </c>
      <c r="M15" s="59">
        <f ca="1">IF(M$6&lt;=Stop_C,COUNTIF(Pipeline!$D$36:$H$36,"&lt;"&amp;M$6)+1,0)</f>
        <v>0</v>
      </c>
      <c r="N15" s="59">
        <f ca="1">IF(N$6&lt;=Stop_C,COUNTIF(Pipeline!$D$36:$H$36,"&lt;"&amp;N$6)+1,0)</f>
        <v>0</v>
      </c>
      <c r="O15" s="59">
        <f ca="1">IF(O$6&lt;=Stop_C,COUNTIF(Pipeline!$D$36:$H$36,"&lt;"&amp;O$6)+1,0)</f>
        <v>0</v>
      </c>
    </row>
    <row r="16" spans="1:15" x14ac:dyDescent="0.45">
      <c r="B16" s="25" t="s">
        <v>151</v>
      </c>
      <c r="C16" s="26" t="s">
        <v>205</v>
      </c>
      <c r="D16" s="28"/>
      <c r="E16" s="28"/>
      <c r="F16" s="59">
        <f ca="1">IF(F$6&lt;=Stop_D,COUNTIF(Pipeline!$D$37:$H$37,"&lt;"&amp;F$6)+1,0)</f>
        <v>2</v>
      </c>
      <c r="G16" s="59">
        <f ca="1">IF(G$6&lt;=Stop_D,COUNTIF(Pipeline!$D$37:$H$37,"&lt;"&amp;G$6)+1,0)</f>
        <v>3</v>
      </c>
      <c r="H16" s="59">
        <f ca="1">IF(H$6&lt;=Stop_D,COUNTIF(Pipeline!$D$37:$H$37,"&lt;"&amp;H$6)+1,0)</f>
        <v>3</v>
      </c>
      <c r="I16" s="59">
        <f ca="1">IF(I$6&lt;=Stop_D,COUNTIF(Pipeline!$D$37:$H$37,"&lt;"&amp;I$6)+1,0)</f>
        <v>4</v>
      </c>
      <c r="J16" s="59">
        <f ca="1">IF(J$6&lt;=Stop_D,COUNTIF(Pipeline!$D$37:$H$37,"&lt;"&amp;J$6)+1,0)</f>
        <v>4</v>
      </c>
      <c r="K16" s="59">
        <f ca="1">IF(K$6&lt;=Stop_D,COUNTIF(Pipeline!$D$37:$H$37,"&lt;"&amp;K$6)+1,0)</f>
        <v>4</v>
      </c>
      <c r="L16" s="59">
        <f ca="1">IF(L$6&lt;=Stop_D,COUNTIF(Pipeline!$D$37:$H$37,"&lt;"&amp;L$6)+1,0)</f>
        <v>0</v>
      </c>
      <c r="M16" s="59">
        <f ca="1">IF(M$6&lt;=Stop_D,COUNTIF(Pipeline!$D$37:$H$37,"&lt;"&amp;M$6)+1,0)</f>
        <v>0</v>
      </c>
      <c r="N16" s="59">
        <f ca="1">IF(N$6&lt;=Stop_D,COUNTIF(Pipeline!$D$37:$H$37,"&lt;"&amp;N$6)+1,0)</f>
        <v>0</v>
      </c>
      <c r="O16" s="59">
        <f ca="1">IF(O$6&lt;=Stop_D,COUNTIF(Pipeline!$D$37:$H$37,"&lt;"&amp;O$6)+1,0)</f>
        <v>0</v>
      </c>
    </row>
    <row r="17" spans="2:15" x14ac:dyDescent="0.45">
      <c r="B17" s="25" t="s">
        <v>152</v>
      </c>
      <c r="C17" s="26" t="s">
        <v>205</v>
      </c>
      <c r="D17" s="28"/>
      <c r="E17" s="28"/>
      <c r="F17" s="59">
        <f ca="1">IF(F$6&lt;=Stop_E,COUNTIF(Pipeline!$D$38:$H$38,"&lt;"&amp;F$6)+1,0)</f>
        <v>2</v>
      </c>
      <c r="G17" s="59">
        <f ca="1">IF(G$6&lt;=Stop_E,COUNTIF(Pipeline!$D$38:$H$38,"&lt;"&amp;G$6)+1,0)</f>
        <v>3</v>
      </c>
      <c r="H17" s="59">
        <f ca="1">IF(H$6&lt;=Stop_E,COUNTIF(Pipeline!$D$38:$H$38,"&lt;"&amp;H$6)+1,0)</f>
        <v>3</v>
      </c>
      <c r="I17" s="59">
        <f ca="1">IF(I$6&lt;=Stop_E,COUNTIF(Pipeline!$D$38:$H$38,"&lt;"&amp;I$6)+1,0)</f>
        <v>0</v>
      </c>
      <c r="J17" s="59">
        <f ca="1">IF(J$6&lt;=Stop_E,COUNTIF(Pipeline!$D$38:$H$38,"&lt;"&amp;J$6)+1,0)</f>
        <v>0</v>
      </c>
      <c r="K17" s="59">
        <f ca="1">IF(K$6&lt;=Stop_E,COUNTIF(Pipeline!$D$38:$H$38,"&lt;"&amp;K$6)+1,0)</f>
        <v>0</v>
      </c>
      <c r="L17" s="59">
        <f ca="1">IF(L$6&lt;=Stop_E,COUNTIF(Pipeline!$D$38:$H$38,"&lt;"&amp;L$6)+1,0)</f>
        <v>0</v>
      </c>
      <c r="M17" s="59">
        <f ca="1">IF(M$6&lt;=Stop_E,COUNTIF(Pipeline!$D$38:$H$38,"&lt;"&amp;M$6)+1,0)</f>
        <v>0</v>
      </c>
      <c r="N17" s="59">
        <f ca="1">IF(N$6&lt;=Stop_E,COUNTIF(Pipeline!$D$38:$H$38,"&lt;"&amp;N$6)+1,0)</f>
        <v>0</v>
      </c>
      <c r="O17" s="59">
        <f ca="1">IF(O$6&lt;=Stop_E,COUNTIF(Pipeline!$D$38:$H$38,"&lt;"&amp;O$6)+1,0)</f>
        <v>0</v>
      </c>
    </row>
    <row r="18" spans="2:15" x14ac:dyDescent="0.45">
      <c r="B18" s="25" t="s">
        <v>154</v>
      </c>
      <c r="C18" s="26" t="s">
        <v>205</v>
      </c>
      <c r="D18" s="28"/>
      <c r="E18" s="28"/>
      <c r="F18" s="59">
        <f ca="1">IF(F$6&lt;=Stop_F,COUNTIF(Pipeline!$D$39:$H$39,"&lt;"&amp;F$6)+1,0)</f>
        <v>1</v>
      </c>
      <c r="G18" s="59">
        <f ca="1">IF(G$6&lt;=Stop_F,COUNTIF(Pipeline!$D$39:$H$39,"&lt;"&amp;G$6)+1,0)</f>
        <v>2</v>
      </c>
      <c r="H18" s="59">
        <f ca="1">IF(H$6&lt;=Stop_F,COUNTIF(Pipeline!$D$39:$H$39,"&lt;"&amp;H$6)+1,0)</f>
        <v>3</v>
      </c>
      <c r="I18" s="59">
        <f ca="1">IF(I$6&lt;=Stop_F,COUNTIF(Pipeline!$D$39:$H$39,"&lt;"&amp;I$6)+1,0)</f>
        <v>3</v>
      </c>
      <c r="J18" s="59">
        <f ca="1">IF(J$6&lt;=Stop_F,COUNTIF(Pipeline!$D$39:$H$39,"&lt;"&amp;J$6)+1,0)</f>
        <v>0</v>
      </c>
      <c r="K18" s="59">
        <f ca="1">IF(K$6&lt;=Stop_F,COUNTIF(Pipeline!$D$39:$H$39,"&lt;"&amp;K$6)+1,0)</f>
        <v>0</v>
      </c>
      <c r="L18" s="59">
        <f ca="1">IF(L$6&lt;=Stop_F,COUNTIF(Pipeline!$D$39:$H$39,"&lt;"&amp;L$6)+1,0)</f>
        <v>0</v>
      </c>
      <c r="M18" s="59">
        <f ca="1">IF(M$6&lt;=Stop_F,COUNTIF(Pipeline!$D$39:$H$39,"&lt;"&amp;M$6)+1,0)</f>
        <v>0</v>
      </c>
      <c r="N18" s="59">
        <f ca="1">IF(N$6&lt;=Stop_F,COUNTIF(Pipeline!$D$39:$H$39,"&lt;"&amp;N$6)+1,0)</f>
        <v>0</v>
      </c>
      <c r="O18" s="59">
        <f ca="1">IF(O$6&lt;=Stop_F,COUNTIF(Pipeline!$D$39:$H$39,"&lt;"&amp;O$6)+1,0)</f>
        <v>0</v>
      </c>
    </row>
    <row r="19" spans="2:15" x14ac:dyDescent="0.45">
      <c r="B19" s="25" t="s">
        <v>155</v>
      </c>
      <c r="C19" s="26" t="s">
        <v>205</v>
      </c>
      <c r="D19" s="28"/>
      <c r="E19" s="28"/>
      <c r="F19" s="59">
        <f ca="1">IF(F$6&lt;=Stop_G,COUNTIF(Pipeline!$D$40:$H$40,"&lt;"&amp;F$6)+1,0)</f>
        <v>3</v>
      </c>
      <c r="G19" s="59">
        <f ca="1">IF(G$6&lt;=Stop_G,COUNTIF(Pipeline!$D$40:$H$40,"&lt;"&amp;G$6)+1,0)</f>
        <v>3</v>
      </c>
      <c r="H19" s="59">
        <f ca="1">IF(H$6&lt;=Stop_G,COUNTIF(Pipeline!$D$40:$H$40,"&lt;"&amp;H$6)+1,0)</f>
        <v>0</v>
      </c>
      <c r="I19" s="59">
        <f ca="1">IF(I$6&lt;=Stop_G,COUNTIF(Pipeline!$D$40:$H$40,"&lt;"&amp;I$6)+1,0)</f>
        <v>0</v>
      </c>
      <c r="J19" s="59">
        <f ca="1">IF(J$6&lt;=Stop_G,COUNTIF(Pipeline!$D$40:$H$40,"&lt;"&amp;J$6)+1,0)</f>
        <v>0</v>
      </c>
      <c r="K19" s="59">
        <f ca="1">IF(K$6&lt;=Stop_G,COUNTIF(Pipeline!$D$40:$H$40,"&lt;"&amp;K$6)+1,0)</f>
        <v>0</v>
      </c>
      <c r="L19" s="59">
        <f ca="1">IF(L$6&lt;=Stop_G,COUNTIF(Pipeline!$D$40:$H$40,"&lt;"&amp;L$6)+1,0)</f>
        <v>0</v>
      </c>
      <c r="M19" s="59">
        <f ca="1">IF(M$6&lt;=Stop_G,COUNTIF(Pipeline!$D$40:$H$40,"&lt;"&amp;M$6)+1,0)</f>
        <v>0</v>
      </c>
      <c r="N19" s="59">
        <f ca="1">IF(N$6&lt;=Stop_G,COUNTIF(Pipeline!$D$40:$H$40,"&lt;"&amp;N$6)+1,0)</f>
        <v>0</v>
      </c>
      <c r="O19" s="59">
        <f ca="1">IF(O$6&lt;=Stop_G,COUNTIF(Pipeline!$D$40:$H$40,"&lt;"&amp;O$6)+1,0)</f>
        <v>0</v>
      </c>
    </row>
    <row r="20" spans="2:15" x14ac:dyDescent="0.45">
      <c r="B20" s="25" t="s">
        <v>157</v>
      </c>
      <c r="C20" s="26" t="s">
        <v>205</v>
      </c>
      <c r="D20" s="28"/>
      <c r="E20" s="28"/>
      <c r="F20" s="59">
        <f ca="1">IF(F$6&lt;=Stop_H,COUNTIF(Pipeline!$D$41:$H$41,"&lt;"&amp;F$6)+1,0)</f>
        <v>1</v>
      </c>
      <c r="G20" s="59">
        <f ca="1">IF(G$6&lt;=Stop_H,COUNTIF(Pipeline!$D$41:$H$41,"&lt;"&amp;G$6)+1,0)</f>
        <v>0</v>
      </c>
      <c r="H20" s="59">
        <f ca="1">IF(H$6&lt;=Stop_H,COUNTIF(Pipeline!$D$41:$H$41,"&lt;"&amp;H$6)+1,0)</f>
        <v>0</v>
      </c>
      <c r="I20" s="59">
        <f ca="1">IF(I$6&lt;=Stop_H,COUNTIF(Pipeline!$D$41:$H$41,"&lt;"&amp;I$6)+1,0)</f>
        <v>0</v>
      </c>
      <c r="J20" s="59">
        <f ca="1">IF(J$6&lt;=Stop_H,COUNTIF(Pipeline!$D$41:$H$41,"&lt;"&amp;J$6)+1,0)</f>
        <v>0</v>
      </c>
      <c r="K20" s="59">
        <f ca="1">IF(K$6&lt;=Stop_H,COUNTIF(Pipeline!$D$41:$H$41,"&lt;"&amp;K$6)+1,0)</f>
        <v>0</v>
      </c>
      <c r="L20" s="59">
        <f ca="1">IF(L$6&lt;=Stop_H,COUNTIF(Pipeline!$D$41:$H$41,"&lt;"&amp;L$6)+1,0)</f>
        <v>0</v>
      </c>
      <c r="M20" s="59">
        <f ca="1">IF(M$6&lt;=Stop_H,COUNTIF(Pipeline!$D$41:$H$41,"&lt;"&amp;M$6)+1,0)</f>
        <v>0</v>
      </c>
      <c r="N20" s="59">
        <f ca="1">IF(N$6&lt;=Stop_H,COUNTIF(Pipeline!$D$41:$H$41,"&lt;"&amp;N$6)+1,0)</f>
        <v>0</v>
      </c>
      <c r="O20" s="59">
        <f ca="1">IF(O$6&lt;=Stop_H,COUNTIF(Pipeline!$D$41:$H$41,"&lt;"&amp;O$6)+1,0)</f>
        <v>0</v>
      </c>
    </row>
    <row r="21" spans="2:15" x14ac:dyDescent="0.45">
      <c r="B21" s="40" t="s">
        <v>206</v>
      </c>
    </row>
    <row r="22" spans="2:15" ht="8" customHeight="1" x14ac:dyDescent="0.45"/>
    <row r="23" spans="2:15" ht="22.05" customHeight="1" x14ac:dyDescent="0.5">
      <c r="B23" s="7" t="s">
        <v>207</v>
      </c>
      <c r="C23" s="8"/>
      <c r="D23" s="8"/>
      <c r="E23" s="8"/>
      <c r="F23" s="8"/>
      <c r="G23" s="8"/>
      <c r="H23" s="8"/>
      <c r="I23" s="8"/>
      <c r="J23" s="8"/>
      <c r="K23" s="8"/>
      <c r="L23" s="8"/>
      <c r="M23" s="8"/>
      <c r="N23" s="8"/>
      <c r="O23" s="8"/>
    </row>
    <row r="24" spans="2:15" ht="18" customHeight="1" x14ac:dyDescent="0.45">
      <c r="B24" s="13" t="s">
        <v>208</v>
      </c>
    </row>
    <row r="25" spans="2:15" x14ac:dyDescent="0.45">
      <c r="B25" s="25" t="s">
        <v>145</v>
      </c>
      <c r="C25" s="26" t="s">
        <v>135</v>
      </c>
      <c r="D25" s="60">
        <f t="shared" ref="D25:D32" ca="1" si="2">SUM(F25:O25)</f>
        <v>180</v>
      </c>
      <c r="E25" s="28"/>
      <c r="F25" s="52" cm="1">
        <f t="array" aca="1" ref="F25" ca="1">IF(F13=0,0,INDEX(Projects!$E$10:$I$10,F13))</f>
        <v>60</v>
      </c>
      <c r="G25" s="52" cm="1">
        <f t="array" aca="1" ref="G25" ca="1">IF(G13=0,0,INDEX(Projects!$E$10:$I$10,G13))</f>
        <v>60</v>
      </c>
      <c r="H25" s="52" cm="1">
        <f t="array" aca="1" ref="H25" ca="1">IF(H13=0,0,INDEX(Projects!$E$10:$I$10,H13))</f>
        <v>60</v>
      </c>
      <c r="I25" s="52" cm="1">
        <f t="array" aca="1" ref="I25" ca="1">IF(I13=0,0,INDEX(Projects!$E$10:$I$10,I13))</f>
        <v>0</v>
      </c>
      <c r="J25" s="52" cm="1">
        <f t="array" aca="1" ref="J25" ca="1">IF(J13=0,0,INDEX(Projects!$E$10:$I$10,J13))</f>
        <v>0</v>
      </c>
      <c r="K25" s="52" cm="1">
        <f t="array" aca="1" ref="K25" ca="1">IF(K13=0,0,INDEX(Projects!$E$10:$I$10,K13))</f>
        <v>0</v>
      </c>
      <c r="L25" s="52" cm="1">
        <f t="array" aca="1" ref="L25" ca="1">IF(L13=0,0,INDEX(Projects!$E$10:$I$10,L13))</f>
        <v>0</v>
      </c>
      <c r="M25" s="52" cm="1">
        <f t="array" aca="1" ref="M25" ca="1">IF(M13=0,0,INDEX(Projects!$E$10:$I$10,M13))</f>
        <v>0</v>
      </c>
      <c r="N25" s="52" cm="1">
        <f t="array" aca="1" ref="N25" ca="1">IF(N13=0,0,INDEX(Projects!$E$10:$I$10,N13))</f>
        <v>0</v>
      </c>
      <c r="O25" s="52" cm="1">
        <f t="array" aca="1" ref="O25" ca="1">IF(O13=0,0,INDEX(Projects!$E$10:$I$10,O13))</f>
        <v>0</v>
      </c>
    </row>
    <row r="26" spans="2:15" x14ac:dyDescent="0.45">
      <c r="B26" s="25" t="s">
        <v>147</v>
      </c>
      <c r="C26" s="26" t="s">
        <v>135</v>
      </c>
      <c r="D26" s="60">
        <f t="shared" ca="1" si="2"/>
        <v>50</v>
      </c>
      <c r="E26" s="28"/>
      <c r="F26" s="52" cm="1">
        <f t="array" aca="1" ref="F26" ca="1">IF(F14=0,0,INDEX(Projects!$E$10:$I$10,F14))</f>
        <v>25</v>
      </c>
      <c r="G26" s="52" cm="1">
        <f t="array" aca="1" ref="G26" ca="1">IF(G14=0,0,INDEX(Projects!$E$10:$I$10,G14))</f>
        <v>25</v>
      </c>
      <c r="H26" s="52" cm="1">
        <f t="array" aca="1" ref="H26" ca="1">IF(H14=0,0,INDEX(Projects!$E$10:$I$10,H14))</f>
        <v>0</v>
      </c>
      <c r="I26" s="52" cm="1">
        <f t="array" aca="1" ref="I26" ca="1">IF(I14=0,0,INDEX(Projects!$E$10:$I$10,I14))</f>
        <v>0</v>
      </c>
      <c r="J26" s="52" cm="1">
        <f t="array" aca="1" ref="J26" ca="1">IF(J14=0,0,INDEX(Projects!$E$10:$I$10,J14))</f>
        <v>0</v>
      </c>
      <c r="K26" s="52" cm="1">
        <f t="array" aca="1" ref="K26" ca="1">IF(K14=0,0,INDEX(Projects!$E$10:$I$10,K14))</f>
        <v>0</v>
      </c>
      <c r="L26" s="52" cm="1">
        <f t="array" aca="1" ref="L26" ca="1">IF(L14=0,0,INDEX(Projects!$E$10:$I$10,L14))</f>
        <v>0</v>
      </c>
      <c r="M26" s="52" cm="1">
        <f t="array" aca="1" ref="M26" ca="1">IF(M14=0,0,INDEX(Projects!$E$10:$I$10,M14))</f>
        <v>0</v>
      </c>
      <c r="N26" s="52" cm="1">
        <f t="array" aca="1" ref="N26" ca="1">IF(N14=0,0,INDEX(Projects!$E$10:$I$10,N14))</f>
        <v>0</v>
      </c>
      <c r="O26" s="52" cm="1">
        <f t="array" aca="1" ref="O26" ca="1">IF(O14=0,0,INDEX(Projects!$E$10:$I$10,O14))</f>
        <v>0</v>
      </c>
    </row>
    <row r="27" spans="2:15" x14ac:dyDescent="0.45">
      <c r="B27" s="25" t="s">
        <v>149</v>
      </c>
      <c r="C27" s="26" t="s">
        <v>135</v>
      </c>
      <c r="D27" s="60">
        <f t="shared" ca="1" si="2"/>
        <v>50</v>
      </c>
      <c r="E27" s="28"/>
      <c r="F27" s="52" cm="1">
        <f t="array" aca="1" ref="F27" ca="1">IF(F15=0,0,INDEX(Projects!$E$10:$I$10,F15))</f>
        <v>25</v>
      </c>
      <c r="G27" s="52" cm="1">
        <f t="array" aca="1" ref="G27" ca="1">IF(G15=0,0,INDEX(Projects!$E$10:$I$10,G15))</f>
        <v>25</v>
      </c>
      <c r="H27" s="52" cm="1">
        <f t="array" aca="1" ref="H27" ca="1">IF(H15=0,0,INDEX(Projects!$E$10:$I$10,H15))</f>
        <v>0</v>
      </c>
      <c r="I27" s="52" cm="1">
        <f t="array" aca="1" ref="I27" ca="1">IF(I15=0,0,INDEX(Projects!$E$10:$I$10,I15))</f>
        <v>0</v>
      </c>
      <c r="J27" s="52" cm="1">
        <f t="array" aca="1" ref="J27" ca="1">IF(J15=0,0,INDEX(Projects!$E$10:$I$10,J15))</f>
        <v>0</v>
      </c>
      <c r="K27" s="52" cm="1">
        <f t="array" aca="1" ref="K27" ca="1">IF(K15=0,0,INDEX(Projects!$E$10:$I$10,K15))</f>
        <v>0</v>
      </c>
      <c r="L27" s="52" cm="1">
        <f t="array" aca="1" ref="L27" ca="1">IF(L15=0,0,INDEX(Projects!$E$10:$I$10,L15))</f>
        <v>0</v>
      </c>
      <c r="M27" s="52" cm="1">
        <f t="array" aca="1" ref="M27" ca="1">IF(M15=0,0,INDEX(Projects!$E$10:$I$10,M15))</f>
        <v>0</v>
      </c>
      <c r="N27" s="52" cm="1">
        <f t="array" aca="1" ref="N27" ca="1">IF(N15=0,0,INDEX(Projects!$E$10:$I$10,N15))</f>
        <v>0</v>
      </c>
      <c r="O27" s="52" cm="1">
        <f t="array" aca="1" ref="O27" ca="1">IF(O15=0,0,INDEX(Projects!$E$10:$I$10,O15))</f>
        <v>0</v>
      </c>
    </row>
    <row r="28" spans="2:15" x14ac:dyDescent="0.45">
      <c r="B28" s="25" t="s">
        <v>151</v>
      </c>
      <c r="C28" s="26" t="s">
        <v>135</v>
      </c>
      <c r="D28" s="60">
        <f t="shared" ca="1" si="2"/>
        <v>245</v>
      </c>
      <c r="E28" s="28"/>
      <c r="F28" s="52" cm="1">
        <f t="array" aca="1" ref="F28" ca="1">IF(F16=0,0,INDEX(Projects!$E$10:$I$10,F16))</f>
        <v>15</v>
      </c>
      <c r="G28" s="52" cm="1">
        <f t="array" aca="1" ref="G28" ca="1">IF(G16=0,0,INDEX(Projects!$E$10:$I$10,G16))</f>
        <v>25</v>
      </c>
      <c r="H28" s="52" cm="1">
        <f t="array" aca="1" ref="H28" ca="1">IF(H16=0,0,INDEX(Projects!$E$10:$I$10,H16))</f>
        <v>25</v>
      </c>
      <c r="I28" s="52" cm="1">
        <f t="array" aca="1" ref="I28" ca="1">IF(I16=0,0,INDEX(Projects!$E$10:$I$10,I16))</f>
        <v>60</v>
      </c>
      <c r="J28" s="52" cm="1">
        <f t="array" aca="1" ref="J28" ca="1">IF(J16=0,0,INDEX(Projects!$E$10:$I$10,J16))</f>
        <v>60</v>
      </c>
      <c r="K28" s="52" cm="1">
        <f t="array" aca="1" ref="K28" ca="1">IF(K16=0,0,INDEX(Projects!$E$10:$I$10,K16))</f>
        <v>60</v>
      </c>
      <c r="L28" s="52" cm="1">
        <f t="array" aca="1" ref="L28" ca="1">IF(L16=0,0,INDEX(Projects!$E$10:$I$10,L16))</f>
        <v>0</v>
      </c>
      <c r="M28" s="52" cm="1">
        <f t="array" aca="1" ref="M28" ca="1">IF(M16=0,0,INDEX(Projects!$E$10:$I$10,M16))</f>
        <v>0</v>
      </c>
      <c r="N28" s="52" cm="1">
        <f t="array" aca="1" ref="N28" ca="1">IF(N16=0,0,INDEX(Projects!$E$10:$I$10,N16))</f>
        <v>0</v>
      </c>
      <c r="O28" s="52" cm="1">
        <f t="array" aca="1" ref="O28" ca="1">IF(O16=0,0,INDEX(Projects!$E$10:$I$10,O16))</f>
        <v>0</v>
      </c>
    </row>
    <row r="29" spans="2:15" x14ac:dyDescent="0.45">
      <c r="B29" s="25" t="s">
        <v>152</v>
      </c>
      <c r="C29" s="26" t="s">
        <v>135</v>
      </c>
      <c r="D29" s="60">
        <f t="shared" ca="1" si="2"/>
        <v>65</v>
      </c>
      <c r="E29" s="28"/>
      <c r="F29" s="52" cm="1">
        <f t="array" aca="1" ref="F29" ca="1">IF(F17=0,0,INDEX(Projects!$E$10:$I$10,F17))</f>
        <v>15</v>
      </c>
      <c r="G29" s="52" cm="1">
        <f t="array" aca="1" ref="G29" ca="1">IF(G17=0,0,INDEX(Projects!$E$10:$I$10,G17))</f>
        <v>25</v>
      </c>
      <c r="H29" s="52" cm="1">
        <f t="array" aca="1" ref="H29" ca="1">IF(H17=0,0,INDEX(Projects!$E$10:$I$10,H17))</f>
        <v>25</v>
      </c>
      <c r="I29" s="52" cm="1">
        <f t="array" aca="1" ref="I29" ca="1">IF(I17=0,0,INDEX(Projects!$E$10:$I$10,I17))</f>
        <v>0</v>
      </c>
      <c r="J29" s="52" cm="1">
        <f t="array" aca="1" ref="J29" ca="1">IF(J17=0,0,INDEX(Projects!$E$10:$I$10,J17))</f>
        <v>0</v>
      </c>
      <c r="K29" s="52" cm="1">
        <f t="array" aca="1" ref="K29" ca="1">IF(K17=0,0,INDEX(Projects!$E$10:$I$10,K17))</f>
        <v>0</v>
      </c>
      <c r="L29" s="52" cm="1">
        <f t="array" aca="1" ref="L29" ca="1">IF(L17=0,0,INDEX(Projects!$E$10:$I$10,L17))</f>
        <v>0</v>
      </c>
      <c r="M29" s="52" cm="1">
        <f t="array" aca="1" ref="M29" ca="1">IF(M17=0,0,INDEX(Projects!$E$10:$I$10,M17))</f>
        <v>0</v>
      </c>
      <c r="N29" s="52" cm="1">
        <f t="array" aca="1" ref="N29" ca="1">IF(N17=0,0,INDEX(Projects!$E$10:$I$10,N17))</f>
        <v>0</v>
      </c>
      <c r="O29" s="52" cm="1">
        <f t="array" aca="1" ref="O29" ca="1">IF(O17=0,0,INDEX(Projects!$E$10:$I$10,O17))</f>
        <v>0</v>
      </c>
    </row>
    <row r="30" spans="2:15" x14ac:dyDescent="0.45">
      <c r="B30" s="25" t="s">
        <v>154</v>
      </c>
      <c r="C30" s="26" t="s">
        <v>135</v>
      </c>
      <c r="D30" s="60">
        <f t="shared" ca="1" si="2"/>
        <v>73</v>
      </c>
      <c r="E30" s="28"/>
      <c r="F30" s="52" cm="1">
        <f t="array" aca="1" ref="F30" ca="1">IF(F18=0,0,INDEX(Projects!$E$10:$I$10,F18))</f>
        <v>8</v>
      </c>
      <c r="G30" s="52" cm="1">
        <f t="array" aca="1" ref="G30" ca="1">IF(G18=0,0,INDEX(Projects!$E$10:$I$10,G18))</f>
        <v>15</v>
      </c>
      <c r="H30" s="52" cm="1">
        <f t="array" aca="1" ref="H30" ca="1">IF(H18=0,0,INDEX(Projects!$E$10:$I$10,H18))</f>
        <v>25</v>
      </c>
      <c r="I30" s="52" cm="1">
        <f t="array" aca="1" ref="I30" ca="1">IF(I18=0,0,INDEX(Projects!$E$10:$I$10,I18))</f>
        <v>25</v>
      </c>
      <c r="J30" s="52" cm="1">
        <f t="array" aca="1" ref="J30" ca="1">IF(J18=0,0,INDEX(Projects!$E$10:$I$10,J18))</f>
        <v>0</v>
      </c>
      <c r="K30" s="52" cm="1">
        <f t="array" aca="1" ref="K30" ca="1">IF(K18=0,0,INDEX(Projects!$E$10:$I$10,K18))</f>
        <v>0</v>
      </c>
      <c r="L30" s="52" cm="1">
        <f t="array" aca="1" ref="L30" ca="1">IF(L18=0,0,INDEX(Projects!$E$10:$I$10,L18))</f>
        <v>0</v>
      </c>
      <c r="M30" s="52" cm="1">
        <f t="array" aca="1" ref="M30" ca="1">IF(M18=0,0,INDEX(Projects!$E$10:$I$10,M18))</f>
        <v>0</v>
      </c>
      <c r="N30" s="52" cm="1">
        <f t="array" aca="1" ref="N30" ca="1">IF(N18=0,0,INDEX(Projects!$E$10:$I$10,N18))</f>
        <v>0</v>
      </c>
      <c r="O30" s="52" cm="1">
        <f t="array" aca="1" ref="O30" ca="1">IF(O18=0,0,INDEX(Projects!$E$10:$I$10,O18))</f>
        <v>0</v>
      </c>
    </row>
    <row r="31" spans="2:15" x14ac:dyDescent="0.45">
      <c r="B31" s="25" t="s">
        <v>155</v>
      </c>
      <c r="C31" s="26" t="s">
        <v>135</v>
      </c>
      <c r="D31" s="60">
        <f t="shared" ca="1" si="2"/>
        <v>50</v>
      </c>
      <c r="E31" s="28"/>
      <c r="F31" s="52" cm="1">
        <f t="array" aca="1" ref="F31" ca="1">IF(F19=0,0,INDEX(Projects!$E$10:$I$10,F19))</f>
        <v>25</v>
      </c>
      <c r="G31" s="52" cm="1">
        <f t="array" aca="1" ref="G31" ca="1">IF(G19=0,0,INDEX(Projects!$E$10:$I$10,G19))</f>
        <v>25</v>
      </c>
      <c r="H31" s="52" cm="1">
        <f t="array" aca="1" ref="H31" ca="1">IF(H19=0,0,INDEX(Projects!$E$10:$I$10,H19))</f>
        <v>0</v>
      </c>
      <c r="I31" s="52" cm="1">
        <f t="array" aca="1" ref="I31" ca="1">IF(I19=0,0,INDEX(Projects!$E$10:$I$10,I19))</f>
        <v>0</v>
      </c>
      <c r="J31" s="52" cm="1">
        <f t="array" aca="1" ref="J31" ca="1">IF(J19=0,0,INDEX(Projects!$E$10:$I$10,J19))</f>
        <v>0</v>
      </c>
      <c r="K31" s="52" cm="1">
        <f t="array" aca="1" ref="K31" ca="1">IF(K19=0,0,INDEX(Projects!$E$10:$I$10,K19))</f>
        <v>0</v>
      </c>
      <c r="L31" s="52" cm="1">
        <f t="array" aca="1" ref="L31" ca="1">IF(L19=0,0,INDEX(Projects!$E$10:$I$10,L19))</f>
        <v>0</v>
      </c>
      <c r="M31" s="52" cm="1">
        <f t="array" aca="1" ref="M31" ca="1">IF(M19=0,0,INDEX(Projects!$E$10:$I$10,M19))</f>
        <v>0</v>
      </c>
      <c r="N31" s="52" cm="1">
        <f t="array" aca="1" ref="N31" ca="1">IF(N19=0,0,INDEX(Projects!$E$10:$I$10,N19))</f>
        <v>0</v>
      </c>
      <c r="O31" s="52" cm="1">
        <f t="array" aca="1" ref="O31" ca="1">IF(O19=0,0,INDEX(Projects!$E$10:$I$10,O19))</f>
        <v>0</v>
      </c>
    </row>
    <row r="32" spans="2:15" x14ac:dyDescent="0.45">
      <c r="B32" s="25" t="s">
        <v>157</v>
      </c>
      <c r="C32" s="26" t="s">
        <v>135</v>
      </c>
      <c r="D32" s="60">
        <f t="shared" ca="1" si="2"/>
        <v>8</v>
      </c>
      <c r="E32" s="28"/>
      <c r="F32" s="52" cm="1">
        <f t="array" aca="1" ref="F32" ca="1">IF(F20=0,0,INDEX(Projects!$E$10:$I$10,F20))</f>
        <v>8</v>
      </c>
      <c r="G32" s="52" cm="1">
        <f t="array" aca="1" ref="G32" ca="1">IF(G20=0,0,INDEX(Projects!$E$10:$I$10,G20))</f>
        <v>0</v>
      </c>
      <c r="H32" s="52" cm="1">
        <f t="array" aca="1" ref="H32" ca="1">IF(H20=0,0,INDEX(Projects!$E$10:$I$10,H20))</f>
        <v>0</v>
      </c>
      <c r="I32" s="52" cm="1">
        <f t="array" aca="1" ref="I32" ca="1">IF(I20=0,0,INDEX(Projects!$E$10:$I$10,I20))</f>
        <v>0</v>
      </c>
      <c r="J32" s="52" cm="1">
        <f t="array" aca="1" ref="J32" ca="1">IF(J20=0,0,INDEX(Projects!$E$10:$I$10,J20))</f>
        <v>0</v>
      </c>
      <c r="K32" s="52" cm="1">
        <f t="array" aca="1" ref="K32" ca="1">IF(K20=0,0,INDEX(Projects!$E$10:$I$10,K20))</f>
        <v>0</v>
      </c>
      <c r="L32" s="52" cm="1">
        <f t="array" aca="1" ref="L32" ca="1">IF(L20=0,0,INDEX(Projects!$E$10:$I$10,L20))</f>
        <v>0</v>
      </c>
      <c r="M32" s="52" cm="1">
        <f t="array" aca="1" ref="M32" ca="1">IF(M20=0,0,INDEX(Projects!$E$10:$I$10,M20))</f>
        <v>0</v>
      </c>
      <c r="N32" s="52" cm="1">
        <f t="array" aca="1" ref="N32" ca="1">IF(N20=0,0,INDEX(Projects!$E$10:$I$10,N20))</f>
        <v>0</v>
      </c>
      <c r="O32" s="52" cm="1">
        <f t="array" aca="1" ref="O32" ca="1">IF(O20=0,0,INDEX(Projects!$E$10:$I$10,O20))</f>
        <v>0</v>
      </c>
    </row>
    <row r="33" spans="2:15" ht="8" customHeight="1" x14ac:dyDescent="0.45"/>
    <row r="34" spans="2:15" ht="22.05" customHeight="1" x14ac:dyDescent="0.5">
      <c r="B34" s="7" t="s">
        <v>209</v>
      </c>
      <c r="C34" s="8"/>
      <c r="D34" s="8"/>
      <c r="E34" s="8"/>
      <c r="F34" s="8"/>
      <c r="G34" s="8"/>
      <c r="H34" s="8"/>
      <c r="I34" s="8"/>
      <c r="J34" s="8"/>
      <c r="K34" s="8"/>
      <c r="L34" s="8"/>
      <c r="M34" s="8"/>
      <c r="N34" s="8"/>
      <c r="O34" s="8"/>
    </row>
    <row r="35" spans="2:15" ht="18" customHeight="1" x14ac:dyDescent="0.45">
      <c r="B35" s="13" t="s">
        <v>210</v>
      </c>
    </row>
    <row r="36" spans="2:15" x14ac:dyDescent="0.45">
      <c r="B36" s="25" t="s">
        <v>161</v>
      </c>
      <c r="C36" s="26" t="s">
        <v>135</v>
      </c>
      <c r="D36" s="60">
        <f ca="1">SUM(F36:O36)</f>
        <v>721</v>
      </c>
      <c r="E36" s="28"/>
      <c r="F36" s="52">
        <f t="shared" ref="F36:O36" ca="1" si="3">SUMPRODUCT(Fund_1,F25:F32)</f>
        <v>181</v>
      </c>
      <c r="G36" s="52">
        <f t="shared" ca="1" si="3"/>
        <v>200</v>
      </c>
      <c r="H36" s="52">
        <f t="shared" ca="1" si="3"/>
        <v>135</v>
      </c>
      <c r="I36" s="52">
        <f t="shared" ca="1" si="3"/>
        <v>85</v>
      </c>
      <c r="J36" s="52">
        <f t="shared" ca="1" si="3"/>
        <v>60</v>
      </c>
      <c r="K36" s="52">
        <f t="shared" ca="1" si="3"/>
        <v>60</v>
      </c>
      <c r="L36" s="52">
        <f t="shared" ca="1" si="3"/>
        <v>0</v>
      </c>
      <c r="M36" s="52">
        <f t="shared" ca="1" si="3"/>
        <v>0</v>
      </c>
      <c r="N36" s="52">
        <f t="shared" ca="1" si="3"/>
        <v>0</v>
      </c>
      <c r="O36" s="52">
        <f t="shared" ca="1" si="3"/>
        <v>0</v>
      </c>
    </row>
    <row r="37" spans="2:15" x14ac:dyDescent="0.45">
      <c r="B37" s="61" t="s">
        <v>162</v>
      </c>
      <c r="C37" s="26" t="s">
        <v>135</v>
      </c>
      <c r="D37" s="60">
        <f ca="1">SUM(F37:O37)</f>
        <v>395</v>
      </c>
      <c r="E37" s="28"/>
      <c r="F37" s="60">
        <f t="shared" ref="F37:O37" ca="1" si="4">SUMPRODUCT(Fund_2,F25:F32)</f>
        <v>150</v>
      </c>
      <c r="G37" s="60">
        <f t="shared" ca="1" si="4"/>
        <v>160</v>
      </c>
      <c r="H37" s="60">
        <f t="shared" ca="1" si="4"/>
        <v>85</v>
      </c>
      <c r="I37" s="60">
        <f t="shared" ca="1" si="4"/>
        <v>0</v>
      </c>
      <c r="J37" s="60">
        <f t="shared" ca="1" si="4"/>
        <v>0</v>
      </c>
      <c r="K37" s="60">
        <f t="shared" ca="1" si="4"/>
        <v>0</v>
      </c>
      <c r="L37" s="60">
        <f t="shared" ca="1" si="4"/>
        <v>0</v>
      </c>
      <c r="M37" s="60">
        <f t="shared" ca="1" si="4"/>
        <v>0</v>
      </c>
      <c r="N37" s="60">
        <f t="shared" ca="1" si="4"/>
        <v>0</v>
      </c>
      <c r="O37" s="60">
        <f t="shared" ca="1" si="4"/>
        <v>0</v>
      </c>
    </row>
    <row r="38" spans="2:15" x14ac:dyDescent="0.45">
      <c r="B38" s="25" t="s">
        <v>163</v>
      </c>
      <c r="C38" s="26" t="s">
        <v>135</v>
      </c>
      <c r="D38" s="60">
        <f ca="1">SUM(F38:O38)</f>
        <v>330</v>
      </c>
      <c r="E38" s="28"/>
      <c r="F38" s="52">
        <f t="shared" ref="F38:O38" ca="1" si="5">SUMPRODUCT(Fund_3,F25:F32)</f>
        <v>135</v>
      </c>
      <c r="G38" s="52">
        <f t="shared" ca="1" si="5"/>
        <v>135</v>
      </c>
      <c r="H38" s="52">
        <f t="shared" ca="1" si="5"/>
        <v>60</v>
      </c>
      <c r="I38" s="52">
        <f t="shared" ca="1" si="5"/>
        <v>0</v>
      </c>
      <c r="J38" s="52">
        <f t="shared" ca="1" si="5"/>
        <v>0</v>
      </c>
      <c r="K38" s="52">
        <f t="shared" ca="1" si="5"/>
        <v>0</v>
      </c>
      <c r="L38" s="52">
        <f t="shared" ca="1" si="5"/>
        <v>0</v>
      </c>
      <c r="M38" s="52">
        <f t="shared" ca="1" si="5"/>
        <v>0</v>
      </c>
      <c r="N38" s="52">
        <f t="shared" ca="1" si="5"/>
        <v>0</v>
      </c>
      <c r="O38" s="52">
        <f t="shared" ca="1" si="5"/>
        <v>0</v>
      </c>
    </row>
    <row r="39" spans="2:15" x14ac:dyDescent="0.45">
      <c r="B39" s="25" t="s">
        <v>164</v>
      </c>
      <c r="C39" s="26" t="s">
        <v>135</v>
      </c>
      <c r="D39" s="60">
        <f ca="1">SUM(F39:O39)</f>
        <v>368</v>
      </c>
      <c r="E39" s="28"/>
      <c r="F39" s="52">
        <f t="shared" ref="F39:O39" ca="1" si="6">SUMPRODUCT(Fund_4,F25:F32)</f>
        <v>108</v>
      </c>
      <c r="G39" s="52">
        <f t="shared" ca="1" si="6"/>
        <v>125</v>
      </c>
      <c r="H39" s="52">
        <f t="shared" ca="1" si="6"/>
        <v>110</v>
      </c>
      <c r="I39" s="52">
        <f t="shared" ca="1" si="6"/>
        <v>25</v>
      </c>
      <c r="J39" s="52">
        <f t="shared" ca="1" si="6"/>
        <v>0</v>
      </c>
      <c r="K39" s="52">
        <f t="shared" ca="1" si="6"/>
        <v>0</v>
      </c>
      <c r="L39" s="52">
        <f t="shared" ca="1" si="6"/>
        <v>0</v>
      </c>
      <c r="M39" s="52">
        <f t="shared" ca="1" si="6"/>
        <v>0</v>
      </c>
      <c r="N39" s="52">
        <f t="shared" ca="1" si="6"/>
        <v>0</v>
      </c>
      <c r="O39" s="52">
        <f t="shared" ca="1" si="6"/>
        <v>0</v>
      </c>
    </row>
    <row r="40" spans="2:15" x14ac:dyDescent="0.45">
      <c r="B40" s="25" t="s">
        <v>211</v>
      </c>
      <c r="C40" s="26" t="s">
        <v>135</v>
      </c>
      <c r="D40" s="28"/>
      <c r="E40" s="28"/>
      <c r="F40" s="62" cm="1">
        <f t="array" aca="1" ref="F40" ca="1">_xll.VoseOutput("Spend year 1","US$m")+CHOOSE(ChartPort,F36,F37,F38,F39)</f>
        <v>150</v>
      </c>
      <c r="G40" s="62" cm="1">
        <f t="array" aca="1" ref="G40" ca="1">_xll.VoseOutput("Spend year 2","US$m")+CHOOSE(ChartPort,G36,G37,G38,G39)</f>
        <v>160</v>
      </c>
      <c r="H40" s="62" cm="1">
        <f t="array" aca="1" ref="H40" ca="1">_xll.VoseOutput("Spend year 3","US$m")+CHOOSE(ChartPort,H36,H37,H38,H39)</f>
        <v>85</v>
      </c>
      <c r="I40" s="62" cm="1">
        <f t="array" aca="1" ref="I40" ca="1">_xll.VoseOutput("Spend year 4","US$m")+CHOOSE(ChartPort,I36,I37,I38,I39)</f>
        <v>0</v>
      </c>
      <c r="J40" s="62" cm="1">
        <f t="array" aca="1" ref="J40" ca="1">_xll.VoseOutput("Spend year 5","US$m")+CHOOSE(ChartPort,J36,J37,J38,J39)</f>
        <v>0</v>
      </c>
      <c r="K40" s="62" cm="1">
        <f t="array" aca="1" ref="K40" ca="1">_xll.VoseOutput("Spend year 6","US$m")+CHOOSE(ChartPort,K36,K37,K38,K39)</f>
        <v>0</v>
      </c>
      <c r="L40" s="62" cm="1">
        <f t="array" aca="1" ref="L40" ca="1">_xll.VoseOutput("Spend year 7","US$m")+CHOOSE(ChartPort,L36,L37,L38,L39)</f>
        <v>0</v>
      </c>
      <c r="M40" s="62" cm="1">
        <f t="array" aca="1" ref="M40" ca="1">_xll.VoseOutput("Spend year 8","US$m")+CHOOSE(ChartPort,M36,M37,M38,M39)</f>
        <v>0</v>
      </c>
      <c r="N40" s="62" cm="1">
        <f t="array" aca="1" ref="N40" ca="1">_xll.VoseOutput("Spend year 9","US$m")+CHOOSE(ChartPort,N36,N37,N38,N39)</f>
        <v>0</v>
      </c>
      <c r="O40" s="62" cm="1">
        <f t="array" aca="1" ref="O40" ca="1">_xll.VoseOutput("Spend year 10","US$m")+CHOOSE(ChartPort,O36,O37,O38,O39)</f>
        <v>0</v>
      </c>
    </row>
    <row r="41" spans="2:15" x14ac:dyDescent="0.45">
      <c r="B41" s="25" t="s">
        <v>212</v>
      </c>
      <c r="C41" s="26" t="s">
        <v>135</v>
      </c>
      <c r="D41" s="28"/>
      <c r="E41" s="28"/>
      <c r="F41" s="49">
        <f t="shared" ref="F41:O41" si="7">IF(F$6&lt;=BudgetYears,Budget,0)</f>
        <v>170</v>
      </c>
      <c r="G41" s="49">
        <f t="shared" si="7"/>
        <v>170</v>
      </c>
      <c r="H41" s="49">
        <f t="shared" si="7"/>
        <v>170</v>
      </c>
      <c r="I41" s="49">
        <f t="shared" si="7"/>
        <v>170</v>
      </c>
      <c r="J41" s="49">
        <f t="shared" si="7"/>
        <v>170</v>
      </c>
      <c r="K41" s="49">
        <f t="shared" si="7"/>
        <v>0</v>
      </c>
      <c r="L41" s="49">
        <f t="shared" si="7"/>
        <v>0</v>
      </c>
      <c r="M41" s="49">
        <f t="shared" si="7"/>
        <v>0</v>
      </c>
      <c r="N41" s="49">
        <f t="shared" si="7"/>
        <v>0</v>
      </c>
      <c r="O41" s="49">
        <f t="shared" si="7"/>
        <v>0</v>
      </c>
    </row>
    <row r="42" spans="2:15" ht="8" customHeight="1" x14ac:dyDescent="0.45"/>
    <row r="43" spans="2:15" ht="22.05" customHeight="1" x14ac:dyDescent="0.5">
      <c r="B43" s="7" t="s">
        <v>213</v>
      </c>
      <c r="C43" s="8"/>
      <c r="D43" s="8"/>
      <c r="E43" s="8"/>
      <c r="F43" s="8"/>
      <c r="G43" s="8"/>
      <c r="H43" s="8"/>
      <c r="I43" s="8"/>
      <c r="J43" s="8"/>
      <c r="K43" s="8"/>
      <c r="L43" s="8"/>
      <c r="M43" s="8"/>
      <c r="N43" s="8"/>
      <c r="O43" s="8"/>
    </row>
    <row r="44" spans="2:15" ht="18" customHeight="1" x14ac:dyDescent="0.45">
      <c r="B44" s="13" t="s">
        <v>214</v>
      </c>
    </row>
    <row r="45" spans="2:15" x14ac:dyDescent="0.45">
      <c r="B45" s="25" t="s">
        <v>161</v>
      </c>
      <c r="C45" s="26" t="s">
        <v>193</v>
      </c>
      <c r="D45" s="63">
        <f ca="1">SUM(F45:O45)</f>
        <v>2</v>
      </c>
      <c r="E45" s="28"/>
      <c r="F45" s="59">
        <f t="shared" ref="F45:O45" ca="1" si="8">IF(AND(F$6&lt;=BudgetYears,F36&gt;Budget),1,0)</f>
        <v>1</v>
      </c>
      <c r="G45" s="59">
        <f t="shared" ca="1" si="8"/>
        <v>1</v>
      </c>
      <c r="H45" s="59">
        <f t="shared" ca="1" si="8"/>
        <v>0</v>
      </c>
      <c r="I45" s="59">
        <f t="shared" ca="1" si="8"/>
        <v>0</v>
      </c>
      <c r="J45" s="59">
        <f t="shared" ca="1" si="8"/>
        <v>0</v>
      </c>
      <c r="K45" s="59">
        <f t="shared" ca="1" si="8"/>
        <v>0</v>
      </c>
      <c r="L45" s="59">
        <f t="shared" ca="1" si="8"/>
        <v>0</v>
      </c>
      <c r="M45" s="59">
        <f t="shared" ca="1" si="8"/>
        <v>0</v>
      </c>
      <c r="N45" s="59">
        <f t="shared" ca="1" si="8"/>
        <v>0</v>
      </c>
      <c r="O45" s="59">
        <f t="shared" ca="1" si="8"/>
        <v>0</v>
      </c>
    </row>
    <row r="46" spans="2:15" x14ac:dyDescent="0.45">
      <c r="B46" s="25" t="s">
        <v>162</v>
      </c>
      <c r="C46" s="26" t="s">
        <v>193</v>
      </c>
      <c r="D46" s="63">
        <f ca="1">SUM(F46:O46)</f>
        <v>0</v>
      </c>
      <c r="E46" s="28"/>
      <c r="F46" s="59">
        <f t="shared" ref="F46:O46" ca="1" si="9">IF(AND(F$6&lt;=BudgetYears,F37&gt;Budget),1,0)</f>
        <v>0</v>
      </c>
      <c r="G46" s="59">
        <f t="shared" ca="1" si="9"/>
        <v>0</v>
      </c>
      <c r="H46" s="59">
        <f t="shared" ca="1" si="9"/>
        <v>0</v>
      </c>
      <c r="I46" s="59">
        <f t="shared" ca="1" si="9"/>
        <v>0</v>
      </c>
      <c r="J46" s="59">
        <f t="shared" ca="1" si="9"/>
        <v>0</v>
      </c>
      <c r="K46" s="59">
        <f t="shared" ca="1" si="9"/>
        <v>0</v>
      </c>
      <c r="L46" s="59">
        <f t="shared" ca="1" si="9"/>
        <v>0</v>
      </c>
      <c r="M46" s="59">
        <f t="shared" ca="1" si="9"/>
        <v>0</v>
      </c>
      <c r="N46" s="59">
        <f t="shared" ca="1" si="9"/>
        <v>0</v>
      </c>
      <c r="O46" s="59">
        <f t="shared" ca="1" si="9"/>
        <v>0</v>
      </c>
    </row>
    <row r="47" spans="2:15" x14ac:dyDescent="0.45">
      <c r="B47" s="25" t="s">
        <v>163</v>
      </c>
      <c r="C47" s="26" t="s">
        <v>193</v>
      </c>
      <c r="D47" s="63">
        <f ca="1">SUM(F47:O47)</f>
        <v>0</v>
      </c>
      <c r="E47" s="28"/>
      <c r="F47" s="59">
        <f t="shared" ref="F47:O47" ca="1" si="10">IF(AND(F$6&lt;=BudgetYears,F38&gt;Budget),1,0)</f>
        <v>0</v>
      </c>
      <c r="G47" s="59">
        <f t="shared" ca="1" si="10"/>
        <v>0</v>
      </c>
      <c r="H47" s="59">
        <f t="shared" ca="1" si="10"/>
        <v>0</v>
      </c>
      <c r="I47" s="59">
        <f t="shared" ca="1" si="10"/>
        <v>0</v>
      </c>
      <c r="J47" s="59">
        <f t="shared" ca="1" si="10"/>
        <v>0</v>
      </c>
      <c r="K47" s="59">
        <f t="shared" ca="1" si="10"/>
        <v>0</v>
      </c>
      <c r="L47" s="59">
        <f t="shared" ca="1" si="10"/>
        <v>0</v>
      </c>
      <c r="M47" s="59">
        <f t="shared" ca="1" si="10"/>
        <v>0</v>
      </c>
      <c r="N47" s="59">
        <f t="shared" ca="1" si="10"/>
        <v>0</v>
      </c>
      <c r="O47" s="59">
        <f t="shared" ca="1" si="10"/>
        <v>0</v>
      </c>
    </row>
    <row r="48" spans="2:15" x14ac:dyDescent="0.45">
      <c r="B48" s="25" t="s">
        <v>164</v>
      </c>
      <c r="C48" s="26" t="s">
        <v>193</v>
      </c>
      <c r="D48" s="63">
        <f ca="1">SUM(F48:O48)</f>
        <v>0</v>
      </c>
      <c r="E48" s="28"/>
      <c r="F48" s="59">
        <f t="shared" ref="F48:O48" ca="1" si="11">IF(AND(F$6&lt;=BudgetYears,F39&gt;Budget),1,0)</f>
        <v>0</v>
      </c>
      <c r="G48" s="59">
        <f t="shared" ca="1" si="11"/>
        <v>0</v>
      </c>
      <c r="H48" s="59">
        <f t="shared" ca="1" si="11"/>
        <v>0</v>
      </c>
      <c r="I48" s="59">
        <f t="shared" ca="1" si="11"/>
        <v>0</v>
      </c>
      <c r="J48" s="59">
        <f t="shared" ca="1" si="11"/>
        <v>0</v>
      </c>
      <c r="K48" s="59">
        <f t="shared" ca="1" si="11"/>
        <v>0</v>
      </c>
      <c r="L48" s="59">
        <f t="shared" ca="1" si="11"/>
        <v>0</v>
      </c>
      <c r="M48" s="59">
        <f t="shared" ca="1" si="11"/>
        <v>0</v>
      </c>
      <c r="N48" s="59">
        <f t="shared" ca="1" si="11"/>
        <v>0</v>
      </c>
      <c r="O48" s="59">
        <f t="shared" ca="1" si="11"/>
        <v>0</v>
      </c>
    </row>
    <row r="49" spans="2:15" ht="8" customHeight="1" x14ac:dyDescent="0.45"/>
    <row r="50" spans="2:15" ht="22.05" customHeight="1" x14ac:dyDescent="0.5">
      <c r="B50" s="7" t="s">
        <v>215</v>
      </c>
      <c r="C50" s="8"/>
      <c r="D50" s="8"/>
      <c r="E50" s="8"/>
      <c r="F50" s="8"/>
      <c r="G50" s="8"/>
      <c r="H50" s="8"/>
      <c r="I50" s="8"/>
      <c r="J50" s="8"/>
      <c r="K50" s="8"/>
      <c r="L50" s="8"/>
      <c r="M50" s="8"/>
      <c r="N50" s="8"/>
      <c r="O50" s="8"/>
    </row>
    <row r="51" spans="2:15" ht="18" customHeight="1" x14ac:dyDescent="0.45">
      <c r="B51" s="13" t="s">
        <v>216</v>
      </c>
    </row>
    <row r="52" spans="2:15" ht="18" customHeight="1" x14ac:dyDescent="0.45">
      <c r="B52" s="33" t="s">
        <v>217</v>
      </c>
      <c r="C52" s="33" t="s">
        <v>103</v>
      </c>
      <c r="D52" s="34" t="s">
        <v>218</v>
      </c>
      <c r="E52" s="5"/>
      <c r="F52" s="33" t="s">
        <v>219</v>
      </c>
      <c r="G52" s="5"/>
      <c r="H52" s="5"/>
      <c r="I52" s="5"/>
      <c r="J52" s="5"/>
      <c r="K52" s="5"/>
      <c r="L52" s="5"/>
      <c r="M52" s="5"/>
      <c r="N52" s="5"/>
      <c r="O52" s="5"/>
    </row>
    <row r="53" spans="2:15" x14ac:dyDescent="0.45">
      <c r="B53" s="25" t="s">
        <v>220</v>
      </c>
      <c r="C53" s="26" t="s">
        <v>135</v>
      </c>
      <c r="D53" s="62" cm="1">
        <f t="array" aca="1" ref="D53" ca="1">_xll.VoseOutput("NPV everything","US$m")+SUMPRODUCT(Fund_1,NPVCol)</f>
        <v>-587.79659955170314</v>
      </c>
      <c r="E53" s="28"/>
      <c r="F53" s="26" t="s">
        <v>221</v>
      </c>
      <c r="G53" s="28"/>
      <c r="H53" s="28"/>
      <c r="I53" s="28"/>
      <c r="J53" s="28"/>
      <c r="K53" s="28"/>
      <c r="L53" s="28"/>
      <c r="M53" s="28"/>
      <c r="N53" s="28"/>
      <c r="O53" s="28"/>
    </row>
    <row r="54" spans="2:15" x14ac:dyDescent="0.45">
      <c r="B54" s="25" t="s">
        <v>222</v>
      </c>
      <c r="C54" s="26" t="s">
        <v>135</v>
      </c>
      <c r="D54" s="62" cm="1">
        <f t="array" aca="1" ref="D54" ca="1">_xll.VoseOutput("NPV one per mechanism","US$m")+SUMPRODUCT(Fund_2,NPVCol)</f>
        <v>-348.68363284394593</v>
      </c>
      <c r="E54" s="28"/>
      <c r="F54" s="26"/>
      <c r="G54" s="28"/>
      <c r="H54" s="28"/>
      <c r="I54" s="28"/>
      <c r="J54" s="28"/>
      <c r="K54" s="28"/>
      <c r="L54" s="28"/>
      <c r="M54" s="28"/>
      <c r="N54" s="28"/>
      <c r="O54" s="28"/>
    </row>
    <row r="55" spans="2:15" x14ac:dyDescent="0.45">
      <c r="B55" s="25" t="s">
        <v>223</v>
      </c>
      <c r="C55" s="26" t="s">
        <v>135</v>
      </c>
      <c r="D55" s="62" cm="1">
        <f t="array" aca="1" ref="D55" ca="1">_xll.VoseOutput("NPV late stage","US$m")+SUMPRODUCT(Fund_3,NPVCol)</f>
        <v>-293.01244943055656</v>
      </c>
      <c r="E55" s="28"/>
      <c r="F55" s="26"/>
      <c r="G55" s="28"/>
      <c r="H55" s="28"/>
      <c r="I55" s="28"/>
      <c r="J55" s="28"/>
      <c r="K55" s="28"/>
      <c r="L55" s="28"/>
      <c r="M55" s="28"/>
      <c r="N55" s="28"/>
      <c r="O55" s="28"/>
    </row>
    <row r="56" spans="2:15" x14ac:dyDescent="0.45">
      <c r="B56" s="25" t="s">
        <v>224</v>
      </c>
      <c r="C56" s="26" t="s">
        <v>135</v>
      </c>
      <c r="D56" s="62" cm="1">
        <f t="array" aca="1" ref="D56" ca="1">_xll.VoseOutput("NPV within budget","US$m")+SUMPRODUCT(Fund_4,NPVCol)</f>
        <v>-315.90916223300354</v>
      </c>
      <c r="E56" s="28"/>
      <c r="F56" s="26"/>
      <c r="G56" s="28"/>
      <c r="H56" s="28"/>
      <c r="I56" s="28"/>
      <c r="J56" s="28"/>
      <c r="K56" s="28"/>
      <c r="L56" s="28"/>
      <c r="M56" s="28"/>
      <c r="N56" s="28"/>
      <c r="O56" s="28"/>
    </row>
    <row r="57" spans="2:15" x14ac:dyDescent="0.45">
      <c r="B57" s="25" t="s">
        <v>225</v>
      </c>
      <c r="C57" s="26" t="s">
        <v>226</v>
      </c>
      <c r="D57" s="64" cm="1">
        <f t="array" aca="1" ref="D57" ca="1">_xll.VoseOutput("Launches everything","products")+SUMPRODUCT(Fund_1,LaunchedCol)</f>
        <v>0</v>
      </c>
      <c r="E57" s="28"/>
      <c r="F57" s="26"/>
      <c r="G57" s="28"/>
      <c r="H57" s="28"/>
      <c r="I57" s="28"/>
      <c r="J57" s="28"/>
      <c r="K57" s="28"/>
      <c r="L57" s="28"/>
      <c r="M57" s="28"/>
      <c r="N57" s="28"/>
      <c r="O57" s="28"/>
    </row>
    <row r="58" spans="2:15" x14ac:dyDescent="0.45">
      <c r="B58" s="25" t="s">
        <v>227</v>
      </c>
      <c r="C58" s="26" t="s">
        <v>226</v>
      </c>
      <c r="D58" s="64" cm="1">
        <f t="array" aca="1" ref="D58" ca="1">_xll.VoseOutput("Launches one per mechanism","products")+SUMPRODUCT(Fund_2,LaunchedCol)</f>
        <v>0</v>
      </c>
      <c r="E58" s="28"/>
      <c r="F58" s="26"/>
      <c r="G58" s="28"/>
      <c r="H58" s="28"/>
      <c r="I58" s="28"/>
      <c r="J58" s="28"/>
      <c r="K58" s="28"/>
      <c r="L58" s="28"/>
      <c r="M58" s="28"/>
      <c r="N58" s="28"/>
      <c r="O58" s="28"/>
    </row>
    <row r="59" spans="2:15" x14ac:dyDescent="0.45">
      <c r="B59" s="25" t="s">
        <v>228</v>
      </c>
      <c r="C59" s="26" t="s">
        <v>226</v>
      </c>
      <c r="D59" s="64" cm="1">
        <f t="array" aca="1" ref="D59" ca="1">_xll.VoseOutput("Launches late stage","products")+SUMPRODUCT(Fund_3,LaunchedCol)</f>
        <v>0</v>
      </c>
      <c r="E59" s="28"/>
      <c r="F59" s="26"/>
      <c r="G59" s="28"/>
      <c r="H59" s="28"/>
      <c r="I59" s="28"/>
      <c r="J59" s="28"/>
      <c r="K59" s="28"/>
      <c r="L59" s="28"/>
      <c r="M59" s="28"/>
      <c r="N59" s="28"/>
      <c r="O59" s="28"/>
    </row>
    <row r="60" spans="2:15" x14ac:dyDescent="0.45">
      <c r="B60" s="25" t="s">
        <v>229</v>
      </c>
      <c r="C60" s="26" t="s">
        <v>226</v>
      </c>
      <c r="D60" s="64" cm="1">
        <f t="array" aca="1" ref="D60" ca="1">_xll.VoseOutput("Launches within budget","products")+SUMPRODUCT(Fund_4,LaunchedCol)</f>
        <v>0</v>
      </c>
      <c r="E60" s="28"/>
      <c r="F60" s="26"/>
      <c r="G60" s="28"/>
      <c r="H60" s="28"/>
      <c r="I60" s="28"/>
      <c r="J60" s="28"/>
      <c r="K60" s="28"/>
      <c r="L60" s="28"/>
      <c r="M60" s="28"/>
      <c r="N60" s="28"/>
      <c r="O60" s="28"/>
    </row>
    <row r="61" spans="2:15" x14ac:dyDescent="0.45">
      <c r="B61" s="25" t="s">
        <v>230</v>
      </c>
      <c r="C61" s="26" t="s">
        <v>193</v>
      </c>
      <c r="D61" s="64" cm="1">
        <f t="array" aca="1" ref="D61" ca="1">_xll.VoseOutput("No launch everything","1 = yes")+IF(PLaunch_1=0,1,0)</f>
        <v>1</v>
      </c>
      <c r="E61" s="28"/>
      <c r="F61" s="26"/>
      <c r="G61" s="28"/>
      <c r="H61" s="28"/>
      <c r="I61" s="28"/>
      <c r="J61" s="28"/>
      <c r="K61" s="28"/>
      <c r="L61" s="28"/>
      <c r="M61" s="28"/>
      <c r="N61" s="28"/>
      <c r="O61" s="28"/>
    </row>
    <row r="62" spans="2:15" x14ac:dyDescent="0.45">
      <c r="B62" s="25" t="s">
        <v>231</v>
      </c>
      <c r="C62" s="26" t="s">
        <v>193</v>
      </c>
      <c r="D62" s="64" cm="1">
        <f t="array" aca="1" ref="D62" ca="1">_xll.VoseOutput("No launch one per mechanism","1 = yes")+IF(PLaunch_2=0,1,0)</f>
        <v>1</v>
      </c>
      <c r="E62" s="28"/>
      <c r="F62" s="26"/>
      <c r="G62" s="28"/>
      <c r="H62" s="28"/>
      <c r="I62" s="28"/>
      <c r="J62" s="28"/>
      <c r="K62" s="28"/>
      <c r="L62" s="28"/>
      <c r="M62" s="28"/>
      <c r="N62" s="28"/>
      <c r="O62" s="28"/>
    </row>
    <row r="63" spans="2:15" x14ac:dyDescent="0.45">
      <c r="B63" s="25" t="s">
        <v>232</v>
      </c>
      <c r="C63" s="26" t="s">
        <v>193</v>
      </c>
      <c r="D63" s="64" cm="1">
        <f t="array" aca="1" ref="D63" ca="1">_xll.VoseOutput("No launch late stage","1 = yes")+IF(PLaunch_3=0,1,0)</f>
        <v>1</v>
      </c>
      <c r="E63" s="28"/>
      <c r="F63" s="26"/>
      <c r="G63" s="28"/>
      <c r="H63" s="28"/>
      <c r="I63" s="28"/>
      <c r="J63" s="28"/>
      <c r="K63" s="28"/>
      <c r="L63" s="28"/>
      <c r="M63" s="28"/>
      <c r="N63" s="28"/>
      <c r="O63" s="28"/>
    </row>
    <row r="64" spans="2:15" x14ac:dyDescent="0.45">
      <c r="B64" s="25" t="s">
        <v>233</v>
      </c>
      <c r="C64" s="26" t="s">
        <v>193</v>
      </c>
      <c r="D64" s="64" cm="1">
        <f t="array" aca="1" ref="D64" ca="1">_xll.VoseOutput("No launch within budget","1 = yes")+IF(PLaunch_4=0,1,0)</f>
        <v>1</v>
      </c>
      <c r="E64" s="28"/>
      <c r="F64" s="26"/>
      <c r="G64" s="28"/>
      <c r="H64" s="28"/>
      <c r="I64" s="28"/>
      <c r="J64" s="28"/>
      <c r="K64" s="28"/>
      <c r="L64" s="28"/>
      <c r="M64" s="28"/>
      <c r="N64" s="28"/>
      <c r="O64" s="28"/>
    </row>
    <row r="65" spans="2:15" x14ac:dyDescent="0.45">
      <c r="B65" s="25" t="s">
        <v>234</v>
      </c>
      <c r="C65" s="26" t="s">
        <v>193</v>
      </c>
      <c r="D65" s="64" cm="1">
        <f t="array" aca="1" ref="D65" ca="1">_xll.VoseOutput("Over budget everything","1 = yes")+IF(D45&gt;0,1,0)</f>
        <v>1</v>
      </c>
      <c r="E65" s="28"/>
      <c r="F65" s="26" t="s">
        <v>235</v>
      </c>
      <c r="G65" s="28"/>
      <c r="H65" s="28"/>
      <c r="I65" s="28"/>
      <c r="J65" s="28"/>
      <c r="K65" s="28"/>
      <c r="L65" s="28"/>
      <c r="M65" s="28"/>
      <c r="N65" s="28"/>
      <c r="O65" s="28"/>
    </row>
    <row r="66" spans="2:15" x14ac:dyDescent="0.45">
      <c r="B66" s="25" t="s">
        <v>236</v>
      </c>
      <c r="C66" s="26" t="s">
        <v>193</v>
      </c>
      <c r="D66" s="64" cm="1">
        <f t="array" aca="1" ref="D66" ca="1">_xll.VoseOutput("Over budget one per mechanism","1 = yes")+IF(D46&gt;0,1,0)</f>
        <v>0</v>
      </c>
      <c r="E66" s="28"/>
      <c r="F66" s="26"/>
      <c r="G66" s="28"/>
      <c r="H66" s="28"/>
      <c r="I66" s="28"/>
      <c r="J66" s="28"/>
      <c r="K66" s="28"/>
      <c r="L66" s="28"/>
      <c r="M66" s="28"/>
      <c r="N66" s="28"/>
      <c r="O66" s="28"/>
    </row>
    <row r="67" spans="2:15" x14ac:dyDescent="0.45">
      <c r="B67" s="25" t="s">
        <v>237</v>
      </c>
      <c r="C67" s="26" t="s">
        <v>193</v>
      </c>
      <c r="D67" s="64" cm="1">
        <f t="array" aca="1" ref="D67" ca="1">_xll.VoseOutput("Over budget late stage","1 = yes")+IF(D47&gt;0,1,0)</f>
        <v>0</v>
      </c>
      <c r="E67" s="28"/>
      <c r="F67" s="26"/>
      <c r="G67" s="28"/>
      <c r="H67" s="28"/>
      <c r="I67" s="28"/>
      <c r="J67" s="28"/>
      <c r="K67" s="28"/>
      <c r="L67" s="28"/>
      <c r="M67" s="28"/>
      <c r="N67" s="28"/>
      <c r="O67" s="28"/>
    </row>
    <row r="68" spans="2:15" x14ac:dyDescent="0.45">
      <c r="B68" s="25" t="s">
        <v>238</v>
      </c>
      <c r="C68" s="26" t="s">
        <v>193</v>
      </c>
      <c r="D68" s="64" cm="1">
        <f t="array" aca="1" ref="D68" ca="1">_xll.VoseOutput("Over budget within budget","1 = yes")+IF(D48&gt;0,1,0)</f>
        <v>0</v>
      </c>
      <c r="E68" s="28"/>
      <c r="F68" s="26"/>
      <c r="G68" s="28"/>
      <c r="H68" s="28"/>
      <c r="I68" s="28"/>
      <c r="J68" s="28"/>
      <c r="K68" s="28"/>
      <c r="L68" s="28"/>
      <c r="M68" s="28"/>
      <c r="N68" s="28"/>
      <c r="O68" s="28"/>
    </row>
    <row r="69" spans="2:15" x14ac:dyDescent="0.45">
      <c r="B69" s="25" t="s">
        <v>239</v>
      </c>
      <c r="C69" s="26" t="s">
        <v>135</v>
      </c>
      <c r="D69" s="62" cm="1">
        <f t="array" aca="1" ref="D69" ca="1">_xll.VoseOutput("NPV project A","US$m")+NPV_A</f>
        <v>-156.49394233402862</v>
      </c>
      <c r="E69" s="28"/>
      <c r="F69" s="26" t="s">
        <v>240</v>
      </c>
      <c r="G69" s="28"/>
      <c r="H69" s="28"/>
      <c r="I69" s="28"/>
      <c r="J69" s="28"/>
      <c r="K69" s="28"/>
      <c r="L69" s="28"/>
      <c r="M69" s="28"/>
      <c r="N69" s="28"/>
      <c r="O69" s="28"/>
    </row>
    <row r="70" spans="2:15" x14ac:dyDescent="0.45">
      <c r="B70" s="25" t="s">
        <v>241</v>
      </c>
      <c r="C70" s="26" t="s">
        <v>135</v>
      </c>
      <c r="D70" s="62" cm="1">
        <f t="array" aca="1" ref="D70" ca="1">_xll.VoseOutput("NPV project B","US$m")+NPV_B</f>
        <v>-45.50616903217599</v>
      </c>
      <c r="E70" s="28"/>
      <c r="F70" s="26"/>
      <c r="G70" s="28"/>
      <c r="H70" s="28"/>
      <c r="I70" s="28"/>
      <c r="J70" s="28"/>
      <c r="K70" s="28"/>
      <c r="L70" s="28"/>
      <c r="M70" s="28"/>
      <c r="N70" s="28"/>
      <c r="O70" s="28"/>
    </row>
    <row r="71" spans="2:15" x14ac:dyDescent="0.45">
      <c r="B71" s="25" t="s">
        <v>242</v>
      </c>
      <c r="C71" s="26" t="s">
        <v>135</v>
      </c>
      <c r="D71" s="62" cm="1">
        <f t="array" aca="1" ref="D71" ca="1">_xll.VoseOutput("NPV project C","US$m")+NPV_C</f>
        <v>-45.50616903217599</v>
      </c>
      <c r="E71" s="28"/>
      <c r="F71" s="26"/>
      <c r="G71" s="28"/>
      <c r="H71" s="28"/>
      <c r="I71" s="28"/>
      <c r="J71" s="28"/>
      <c r="K71" s="28"/>
      <c r="L71" s="28"/>
      <c r="M71" s="28"/>
      <c r="N71" s="28"/>
      <c r="O71" s="28"/>
    </row>
    <row r="72" spans="2:15" x14ac:dyDescent="0.45">
      <c r="B72" s="25" t="s">
        <v>243</v>
      </c>
      <c r="C72" s="26" t="s">
        <v>135</v>
      </c>
      <c r="D72" s="62" cm="1">
        <f t="array" aca="1" ref="D72" ca="1">_xll.VoseOutput("NPV project D","US$m")+NPV_D</f>
        <v>-173.24739854038299</v>
      </c>
      <c r="E72" s="28"/>
      <c r="F72" s="26"/>
      <c r="G72" s="28"/>
      <c r="H72" s="28"/>
      <c r="I72" s="28"/>
      <c r="J72" s="28"/>
      <c r="K72" s="28"/>
      <c r="L72" s="28"/>
      <c r="M72" s="28"/>
      <c r="N72" s="28"/>
      <c r="O72" s="28"/>
    </row>
    <row r="73" spans="2:15" x14ac:dyDescent="0.45">
      <c r="B73" s="25" t="s">
        <v>244</v>
      </c>
      <c r="C73" s="26" t="s">
        <v>135</v>
      </c>
      <c r="D73" s="62" cm="1">
        <f t="array" aca="1" ref="D73" ca="1">_xll.VoseOutput("NPV project E","US$m")+NPV_E</f>
        <v>-55.671183413389329</v>
      </c>
      <c r="E73" s="28"/>
      <c r="F73" s="26"/>
      <c r="G73" s="28"/>
      <c r="H73" s="28"/>
      <c r="I73" s="28"/>
      <c r="J73" s="28"/>
      <c r="K73" s="28"/>
      <c r="L73" s="28"/>
      <c r="M73" s="28"/>
      <c r="N73" s="28"/>
      <c r="O73" s="28"/>
    </row>
    <row r="74" spans="2:15" x14ac:dyDescent="0.45">
      <c r="B74" s="25" t="s">
        <v>245</v>
      </c>
      <c r="C74" s="26" t="s">
        <v>135</v>
      </c>
      <c r="D74" s="62" cm="1">
        <f t="array" aca="1" ref="D74" ca="1">_xll.VoseOutput("NPV project F","US$m")+NPV_F</f>
        <v>-58.237867453409578</v>
      </c>
      <c r="E74" s="28"/>
      <c r="F74" s="26"/>
      <c r="G74" s="28"/>
      <c r="H74" s="28"/>
      <c r="I74" s="28"/>
      <c r="J74" s="28"/>
      <c r="K74" s="28"/>
      <c r="L74" s="28"/>
      <c r="M74" s="28"/>
      <c r="N74" s="28"/>
      <c r="O74" s="28"/>
    </row>
    <row r="75" spans="2:15" x14ac:dyDescent="0.45">
      <c r="B75" s="25" t="s">
        <v>246</v>
      </c>
      <c r="C75" s="26" t="s">
        <v>135</v>
      </c>
      <c r="D75" s="62" cm="1">
        <f t="array" aca="1" ref="D75" ca="1">_xll.VoseOutput("NPV project G","US$m")+NPV_G</f>
        <v>-45.50616903217599</v>
      </c>
      <c r="E75" s="28"/>
      <c r="F75" s="26"/>
      <c r="G75" s="28"/>
      <c r="H75" s="28"/>
      <c r="I75" s="28"/>
      <c r="J75" s="28"/>
      <c r="K75" s="28"/>
      <c r="L75" s="28"/>
      <c r="M75" s="28"/>
      <c r="N75" s="28"/>
      <c r="O75" s="28"/>
    </row>
    <row r="76" spans="2:15" x14ac:dyDescent="0.45">
      <c r="B76" s="25" t="s">
        <v>247</v>
      </c>
      <c r="C76" s="26" t="s">
        <v>135</v>
      </c>
      <c r="D76" s="62" cm="1">
        <f t="array" aca="1" ref="D76" ca="1">_xll.VoseOutput("NPV project H","US$m")+NPV_H</f>
        <v>-7.6277007139647379</v>
      </c>
      <c r="E76" s="28"/>
      <c r="F76" s="26"/>
      <c r="G76" s="28"/>
      <c r="H76" s="28"/>
      <c r="I76" s="28"/>
      <c r="J76" s="28"/>
      <c r="K76" s="28"/>
      <c r="L76" s="28"/>
      <c r="M76" s="28"/>
      <c r="N76" s="28"/>
      <c r="O76" s="28"/>
    </row>
    <row r="77" spans="2:15" x14ac:dyDescent="0.45">
      <c r="B77" s="25" t="s">
        <v>248</v>
      </c>
      <c r="C77" s="26" t="s">
        <v>193</v>
      </c>
      <c r="D77" s="64" cm="1">
        <f t="array" aca="1" ref="D77" ca="1">_xll.VoseOutput("Launched project A","1 = yes")+Launched_A</f>
        <v>0</v>
      </c>
      <c r="E77" s="28"/>
      <c r="F77" s="26"/>
      <c r="G77" s="28"/>
      <c r="H77" s="28"/>
      <c r="I77" s="28"/>
      <c r="J77" s="28"/>
      <c r="K77" s="28"/>
      <c r="L77" s="28"/>
      <c r="M77" s="28"/>
      <c r="N77" s="28"/>
      <c r="O77" s="28"/>
    </row>
    <row r="78" spans="2:15" x14ac:dyDescent="0.45">
      <c r="B78" s="25" t="s">
        <v>249</v>
      </c>
      <c r="C78" s="26" t="s">
        <v>193</v>
      </c>
      <c r="D78" s="64" cm="1">
        <f t="array" aca="1" ref="D78" ca="1">_xll.VoseOutput("Launched project B","1 = yes")+Launched_B</f>
        <v>0</v>
      </c>
      <c r="E78" s="28"/>
      <c r="F78" s="26"/>
      <c r="G78" s="28"/>
      <c r="H78" s="28"/>
      <c r="I78" s="28"/>
      <c r="J78" s="28"/>
      <c r="K78" s="28"/>
      <c r="L78" s="28"/>
      <c r="M78" s="28"/>
      <c r="N78" s="28"/>
      <c r="O78" s="28"/>
    </row>
    <row r="79" spans="2:15" x14ac:dyDescent="0.45">
      <c r="B79" s="25" t="s">
        <v>250</v>
      </c>
      <c r="C79" s="26" t="s">
        <v>193</v>
      </c>
      <c r="D79" s="64" cm="1">
        <f t="array" aca="1" ref="D79" ca="1">_xll.VoseOutput("Launched project C","1 = yes")+Launched_C</f>
        <v>0</v>
      </c>
      <c r="E79" s="28"/>
      <c r="F79" s="26"/>
      <c r="G79" s="28"/>
      <c r="H79" s="28"/>
      <c r="I79" s="28"/>
      <c r="J79" s="28"/>
      <c r="K79" s="28"/>
      <c r="L79" s="28"/>
      <c r="M79" s="28"/>
      <c r="N79" s="28"/>
      <c r="O79" s="28"/>
    </row>
    <row r="80" spans="2:15" x14ac:dyDescent="0.45">
      <c r="B80" s="25" t="s">
        <v>251</v>
      </c>
      <c r="C80" s="26" t="s">
        <v>193</v>
      </c>
      <c r="D80" s="64" cm="1">
        <f t="array" aca="1" ref="D80" ca="1">_xll.VoseOutput("Launched project D","1 = yes")+Launched_D</f>
        <v>0</v>
      </c>
      <c r="E80" s="28"/>
      <c r="F80" s="26"/>
      <c r="G80" s="28"/>
      <c r="H80" s="28"/>
      <c r="I80" s="28"/>
      <c r="J80" s="28"/>
      <c r="K80" s="28"/>
      <c r="L80" s="28"/>
      <c r="M80" s="28"/>
      <c r="N80" s="28"/>
      <c r="O80" s="28"/>
    </row>
    <row r="81" spans="2:15" x14ac:dyDescent="0.45">
      <c r="B81" s="25" t="s">
        <v>252</v>
      </c>
      <c r="C81" s="26" t="s">
        <v>193</v>
      </c>
      <c r="D81" s="64" cm="1">
        <f t="array" aca="1" ref="D81" ca="1">_xll.VoseOutput("Launched project E","1 = yes")+Launched_E</f>
        <v>0</v>
      </c>
      <c r="E81" s="28"/>
      <c r="F81" s="26"/>
      <c r="G81" s="28"/>
      <c r="H81" s="28"/>
      <c r="I81" s="28"/>
      <c r="J81" s="28"/>
      <c r="K81" s="28"/>
      <c r="L81" s="28"/>
      <c r="M81" s="28"/>
      <c r="N81" s="28"/>
      <c r="O81" s="28"/>
    </row>
    <row r="82" spans="2:15" x14ac:dyDescent="0.45">
      <c r="B82" s="25" t="s">
        <v>253</v>
      </c>
      <c r="C82" s="26" t="s">
        <v>193</v>
      </c>
      <c r="D82" s="64" cm="1">
        <f t="array" aca="1" ref="D82" ca="1">_xll.VoseOutput("Launched project F","1 = yes")+Launched_F</f>
        <v>0</v>
      </c>
      <c r="E82" s="28"/>
      <c r="F82" s="26"/>
      <c r="G82" s="28"/>
      <c r="H82" s="28"/>
      <c r="I82" s="28"/>
      <c r="J82" s="28"/>
      <c r="K82" s="28"/>
      <c r="L82" s="28"/>
      <c r="M82" s="28"/>
      <c r="N82" s="28"/>
      <c r="O82" s="28"/>
    </row>
    <row r="83" spans="2:15" x14ac:dyDescent="0.45">
      <c r="B83" s="25" t="s">
        <v>254</v>
      </c>
      <c r="C83" s="26" t="s">
        <v>193</v>
      </c>
      <c r="D83" s="64" cm="1">
        <f t="array" aca="1" ref="D83" ca="1">_xll.VoseOutput("Launched project G","1 = yes")+Launched_G</f>
        <v>0</v>
      </c>
      <c r="E83" s="28"/>
      <c r="F83" s="26"/>
      <c r="G83" s="28"/>
      <c r="H83" s="28"/>
      <c r="I83" s="28"/>
      <c r="J83" s="28"/>
      <c r="K83" s="28"/>
      <c r="L83" s="28"/>
      <c r="M83" s="28"/>
      <c r="N83" s="28"/>
      <c r="O83" s="28"/>
    </row>
    <row r="84" spans="2:15" x14ac:dyDescent="0.45">
      <c r="B84" s="25" t="s">
        <v>255</v>
      </c>
      <c r="C84" s="26" t="s">
        <v>193</v>
      </c>
      <c r="D84" s="64" cm="1">
        <f t="array" aca="1" ref="D84" ca="1">_xll.VoseOutput("Launched project H","1 = yes")+Launched_H</f>
        <v>0</v>
      </c>
      <c r="E84" s="28"/>
      <c r="F84" s="26"/>
      <c r="G84" s="28"/>
      <c r="H84" s="28"/>
      <c r="I84" s="28"/>
      <c r="J84" s="28"/>
      <c r="K84" s="28"/>
      <c r="L84" s="28"/>
      <c r="M84" s="28"/>
      <c r="N84" s="28"/>
      <c r="O84" s="28"/>
    </row>
    <row r="85" spans="2:15" x14ac:dyDescent="0.45">
      <c r="B85" s="25" t="s">
        <v>256</v>
      </c>
      <c r="C85" s="26" t="s">
        <v>135</v>
      </c>
      <c r="D85" s="62" cm="1">
        <f t="array" aca="1" ref="D85" ca="1">_xll.VoseOutput("R&amp;D cost project A","US$m")+PVCost_A</f>
        <v>156.49394233402862</v>
      </c>
      <c r="E85" s="28"/>
      <c r="F85" s="26"/>
      <c r="G85" s="28"/>
      <c r="H85" s="28"/>
      <c r="I85" s="28"/>
      <c r="J85" s="28"/>
      <c r="K85" s="28"/>
      <c r="L85" s="28"/>
      <c r="M85" s="28"/>
      <c r="N85" s="28"/>
      <c r="O85" s="28"/>
    </row>
    <row r="86" spans="2:15" x14ac:dyDescent="0.45">
      <c r="B86" s="25" t="s">
        <v>257</v>
      </c>
      <c r="C86" s="26" t="s">
        <v>135</v>
      </c>
      <c r="D86" s="62" cm="1">
        <f t="array" aca="1" ref="D86" ca="1">_xll.VoseOutput("R&amp;D cost project B","US$m")+PVCost_B</f>
        <v>45.50616903217599</v>
      </c>
      <c r="E86" s="28"/>
      <c r="F86" s="26"/>
      <c r="G86" s="28"/>
      <c r="H86" s="28"/>
      <c r="I86" s="28"/>
      <c r="J86" s="28"/>
      <c r="K86" s="28"/>
      <c r="L86" s="28"/>
      <c r="M86" s="28"/>
      <c r="N86" s="28"/>
      <c r="O86" s="28"/>
    </row>
    <row r="87" spans="2:15" x14ac:dyDescent="0.45">
      <c r="B87" s="25" t="s">
        <v>258</v>
      </c>
      <c r="C87" s="26" t="s">
        <v>135</v>
      </c>
      <c r="D87" s="62" cm="1">
        <f t="array" aca="1" ref="D87" ca="1">_xll.VoseOutput("R&amp;D cost project C","US$m")+PVCost_C</f>
        <v>45.50616903217599</v>
      </c>
      <c r="E87" s="28"/>
      <c r="F87" s="26"/>
      <c r="G87" s="28"/>
      <c r="H87" s="28"/>
      <c r="I87" s="28"/>
      <c r="J87" s="28"/>
      <c r="K87" s="28"/>
      <c r="L87" s="28"/>
      <c r="M87" s="28"/>
      <c r="N87" s="28"/>
      <c r="O87" s="28"/>
    </row>
    <row r="88" spans="2:15" x14ac:dyDescent="0.45">
      <c r="B88" s="25" t="s">
        <v>259</v>
      </c>
      <c r="C88" s="26" t="s">
        <v>135</v>
      </c>
      <c r="D88" s="62" cm="1">
        <f t="array" aca="1" ref="D88" ca="1">_xll.VoseOutput("R&amp;D cost project D","US$m")+PVCost_D</f>
        <v>173.24739854038299</v>
      </c>
      <c r="E88" s="28"/>
      <c r="F88" s="26"/>
      <c r="G88" s="28"/>
      <c r="H88" s="28"/>
      <c r="I88" s="28"/>
      <c r="J88" s="28"/>
      <c r="K88" s="28"/>
      <c r="L88" s="28"/>
      <c r="M88" s="28"/>
      <c r="N88" s="28"/>
      <c r="O88" s="28"/>
    </row>
    <row r="89" spans="2:15" x14ac:dyDescent="0.45">
      <c r="B89" s="25" t="s">
        <v>260</v>
      </c>
      <c r="C89" s="26" t="s">
        <v>135</v>
      </c>
      <c r="D89" s="62" cm="1">
        <f t="array" aca="1" ref="D89" ca="1">_xll.VoseOutput("R&amp;D cost project E","US$m")+PVCost_E</f>
        <v>55.671183413389329</v>
      </c>
      <c r="E89" s="28"/>
      <c r="F89" s="26"/>
      <c r="G89" s="28"/>
      <c r="H89" s="28"/>
      <c r="I89" s="28"/>
      <c r="J89" s="28"/>
      <c r="K89" s="28"/>
      <c r="L89" s="28"/>
      <c r="M89" s="28"/>
      <c r="N89" s="28"/>
      <c r="O89" s="28"/>
    </row>
    <row r="90" spans="2:15" x14ac:dyDescent="0.45">
      <c r="B90" s="25" t="s">
        <v>261</v>
      </c>
      <c r="C90" s="26" t="s">
        <v>135</v>
      </c>
      <c r="D90" s="62" cm="1">
        <f t="array" aca="1" ref="D90" ca="1">_xll.VoseOutput("R&amp;D cost project F","US$m")+PVCost_F</f>
        <v>58.237867453409578</v>
      </c>
      <c r="E90" s="28"/>
      <c r="F90" s="26"/>
      <c r="G90" s="28"/>
      <c r="H90" s="28"/>
      <c r="I90" s="28"/>
      <c r="J90" s="28"/>
      <c r="K90" s="28"/>
      <c r="L90" s="28"/>
      <c r="M90" s="28"/>
      <c r="N90" s="28"/>
      <c r="O90" s="28"/>
    </row>
    <row r="91" spans="2:15" x14ac:dyDescent="0.45">
      <c r="B91" s="25" t="s">
        <v>262</v>
      </c>
      <c r="C91" s="26" t="s">
        <v>135</v>
      </c>
      <c r="D91" s="62" cm="1">
        <f t="array" aca="1" ref="D91" ca="1">_xll.VoseOutput("R&amp;D cost project G","US$m")+PVCost_G</f>
        <v>45.50616903217599</v>
      </c>
      <c r="E91" s="28"/>
      <c r="F91" s="26"/>
      <c r="G91" s="28"/>
      <c r="H91" s="28"/>
      <c r="I91" s="28"/>
      <c r="J91" s="28"/>
      <c r="K91" s="28"/>
      <c r="L91" s="28"/>
      <c r="M91" s="28"/>
      <c r="N91" s="28"/>
      <c r="O91" s="28"/>
    </row>
    <row r="92" spans="2:15" x14ac:dyDescent="0.45">
      <c r="B92" s="25" t="s">
        <v>263</v>
      </c>
      <c r="C92" s="26" t="s">
        <v>135</v>
      </c>
      <c r="D92" s="62" cm="1">
        <f t="array" aca="1" ref="D92" ca="1">_xll.VoseOutput("R&amp;D cost project H","US$m")+PVCost_H</f>
        <v>7.6277007139647379</v>
      </c>
      <c r="E92" s="28"/>
      <c r="F92" s="26"/>
      <c r="G92" s="28"/>
      <c r="H92" s="28"/>
      <c r="I92" s="28"/>
      <c r="J92" s="28"/>
      <c r="K92" s="28"/>
      <c r="L92" s="28"/>
      <c r="M92" s="28"/>
      <c r="N92" s="28"/>
      <c r="O92" s="28"/>
    </row>
    <row r="93" spans="2:15" x14ac:dyDescent="0.45">
      <c r="B93" s="25" t="s">
        <v>264</v>
      </c>
      <c r="C93" s="26" t="s">
        <v>193</v>
      </c>
      <c r="D93" s="64" cm="1">
        <f t="array" aca="1" ref="D93" ca="1">_xll.VoseOutput("Both launched BH","1 = yes")+Launched_B*Launched_H</f>
        <v>0</v>
      </c>
      <c r="E93" s="28"/>
      <c r="F93" s="26"/>
      <c r="G93" s="28"/>
      <c r="H93" s="28"/>
      <c r="I93" s="28"/>
      <c r="J93" s="28"/>
      <c r="K93" s="28"/>
      <c r="L93" s="28"/>
      <c r="M93" s="28"/>
      <c r="N93" s="28"/>
      <c r="O93" s="28"/>
    </row>
    <row r="94" spans="2:15" x14ac:dyDescent="0.45">
      <c r="B94" s="25" t="s">
        <v>265</v>
      </c>
      <c r="C94" s="26" t="s">
        <v>193</v>
      </c>
      <c r="D94" s="64" cm="1">
        <f t="array" aca="1" ref="D94" ca="1">_xll.VoseOutput("Both launched CD","1 = yes")+Launched_C*Launched_D</f>
        <v>0</v>
      </c>
      <c r="E94" s="28"/>
      <c r="F94" s="26"/>
      <c r="G94" s="28"/>
      <c r="H94" s="28"/>
      <c r="I94" s="28"/>
      <c r="J94" s="28"/>
      <c r="K94" s="28"/>
      <c r="L94" s="28"/>
      <c r="M94" s="28"/>
      <c r="N94" s="28"/>
      <c r="O94" s="28"/>
    </row>
    <row r="95" spans="2:15" x14ac:dyDescent="0.45">
      <c r="B95" s="25" t="s">
        <v>266</v>
      </c>
      <c r="C95" s="26" t="s">
        <v>193</v>
      </c>
      <c r="D95" s="64" cm="1">
        <f t="array" aca="1" ref="D95" ca="1">_xll.VoseOutput("Both launched EF","1 = yes")+Launched_E*Launched_F</f>
        <v>0</v>
      </c>
      <c r="E95" s="28"/>
      <c r="F95" s="26"/>
      <c r="G95" s="28"/>
      <c r="H95" s="28"/>
      <c r="I95" s="28"/>
      <c r="J95" s="28"/>
      <c r="K95" s="28"/>
      <c r="L95" s="28"/>
      <c r="M95" s="28"/>
      <c r="N95" s="28"/>
      <c r="O95" s="28"/>
    </row>
    <row r="96" spans="2:15" ht="8" customHeight="1" x14ac:dyDescent="0.45"/>
    <row r="97" spans="2:15" ht="22.05" customHeight="1" x14ac:dyDescent="0.5">
      <c r="B97" s="7" t="s">
        <v>267</v>
      </c>
      <c r="C97" s="8"/>
      <c r="D97" s="8"/>
      <c r="E97" s="8"/>
      <c r="F97" s="8"/>
      <c r="G97" s="8"/>
      <c r="H97" s="8"/>
      <c r="I97" s="8"/>
      <c r="J97" s="8"/>
      <c r="K97" s="8"/>
      <c r="L97" s="8"/>
      <c r="M97" s="8"/>
      <c r="N97" s="8"/>
      <c r="O97" s="8"/>
    </row>
    <row r="98" spans="2:15" ht="18" customHeight="1" x14ac:dyDescent="0.45">
      <c r="B98" s="13" t="s">
        <v>268</v>
      </c>
    </row>
    <row r="99" spans="2:15" x14ac:dyDescent="0.45">
      <c r="B99" s="25" t="s">
        <v>269</v>
      </c>
      <c r="C99" s="28"/>
      <c r="D99" s="65" t="str">
        <f>IF(COUNT(StageIdx)=8,"OK","CHECK")</f>
        <v>OK</v>
      </c>
      <c r="E99" s="28"/>
      <c r="F99" s="28"/>
      <c r="G99" s="28"/>
      <c r="H99" s="28"/>
      <c r="I99" s="28"/>
      <c r="J99" s="28"/>
      <c r="K99" s="28"/>
      <c r="L99" s="28"/>
      <c r="M99" s="28"/>
      <c r="N99" s="28"/>
      <c r="O99" s="28"/>
    </row>
    <row r="100" spans="2:15" x14ac:dyDescent="0.45">
      <c r="B100" s="25" t="s">
        <v>270</v>
      </c>
      <c r="C100" s="28"/>
      <c r="D100" s="65" t="str">
        <f>IF(SUMPRODUCT(--(DurPh&lt;&gt;INT(DurPh)))=0,"OK","CHECK")</f>
        <v>OK</v>
      </c>
      <c r="E100" s="28"/>
      <c r="F100" s="28"/>
      <c r="G100" s="28"/>
      <c r="H100" s="28"/>
      <c r="I100" s="28"/>
      <c r="J100" s="28"/>
      <c r="K100" s="28"/>
      <c r="L100" s="28"/>
      <c r="M100" s="28"/>
      <c r="N100" s="28"/>
      <c r="O100" s="28"/>
    </row>
    <row r="101" spans="2:15" x14ac:dyDescent="0.45">
      <c r="B101" s="25" t="s">
        <v>271</v>
      </c>
      <c r="C101" s="28"/>
      <c r="D101" s="65" t="str">
        <f>IF(MAX(LaunchT_A,LaunchT_B,LaunchT_C,LaunchT_D,LaunchT_E,LaunchT_F,LaunchT_G,LaunchT_H)&lt;=MAX(F6:O6),"OK","CHECK")</f>
        <v>OK</v>
      </c>
      <c r="E101" s="28"/>
      <c r="F101" s="28"/>
      <c r="G101" s="28"/>
      <c r="H101" s="28"/>
      <c r="I101" s="28"/>
      <c r="J101" s="28"/>
      <c r="K101" s="28"/>
      <c r="L101" s="28"/>
      <c r="M101" s="28"/>
      <c r="N101" s="28"/>
      <c r="O101" s="28"/>
    </row>
    <row r="102" spans="2:15" x14ac:dyDescent="0.45">
      <c r="B102" s="25" t="s">
        <v>272</v>
      </c>
      <c r="C102" s="28"/>
      <c r="D102" s="65" t="str">
        <f>IF(AND(ChartPort&gt;=1,ChartPort&lt;=4,ChartPort=INT(ChartPort)),"OK","CHECK")</f>
        <v>OK</v>
      </c>
      <c r="E102" s="28"/>
      <c r="F102" s="28"/>
      <c r="G102" s="28"/>
      <c r="H102" s="28"/>
      <c r="I102" s="28"/>
      <c r="J102" s="28"/>
      <c r="K102" s="28"/>
      <c r="L102" s="28"/>
      <c r="M102" s="28"/>
      <c r="N102" s="28"/>
      <c r="O102" s="28"/>
    </row>
    <row r="103" spans="2:15" ht="14" customHeight="1" x14ac:dyDescent="0.45"/>
  </sheetData>
  <conditionalFormatting sqref="D99:D102">
    <cfRule type="expression" dxfId="9" priority="6">
      <formula>D99="CHECK"</formula>
    </cfRule>
  </conditionalFormatting>
  <conditionalFormatting sqref="F13:O20">
    <cfRule type="cellIs" dxfId="8" priority="1" operator="equal">
      <formula>1</formula>
    </cfRule>
    <cfRule type="cellIs" dxfId="7" priority="2" operator="equal">
      <formula>2</formula>
    </cfRule>
    <cfRule type="cellIs" dxfId="6" priority="3" operator="equal">
      <formula>3</formula>
    </cfRule>
    <cfRule type="cellIs" dxfId="5" priority="4" operator="equal">
      <formula>4</formula>
    </cfRule>
    <cfRule type="cellIs" dxfId="4" priority="5" operator="equal">
      <formula>5</formula>
    </cfRule>
  </conditionalFormatting>
  <hyperlinks>
    <hyperlink ref="B4" location="'Pipeline'!A1" display="◂  Pipeline" xr:uid="{00000000-0004-0000-0400-000000000000}"/>
    <hyperlink ref="O4" location="'Results'!A1" display="Next:  Results  ▸" xr:uid="{00000000-0004-0000-0400-000001000000}"/>
  </hyperlinks>
  <printOptions horizontalCentered="1"/>
  <pageMargins left="0.4" right="0.4" top="0.5" bottom="0.6" header="0.25" footer="0.25"/>
  <pageSetup paperSize="9" scale="64" fitToHeight="0" orientation="landscape" r:id="rId1"/>
  <headerFooter>
    <oddFooter>&amp;L&amp;K3F5876&amp;8&amp;F · &amp;A&amp;R&amp;K3F5876&amp;8Page &amp;P of &amp;N</oddFooter>
  </headerFooter>
  <rowBreaks count="1" manualBreakCount="1">
    <brk id="49"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5803D"/>
    <outlinePr summaryBelow="0"/>
    <pageSetUpPr fitToPage="1"/>
  </sheetPr>
  <dimension ref="A1:R121"/>
  <sheetViews>
    <sheetView showGridLines="0" workbookViewId="0">
      <pane ySplit="5" topLeftCell="A6" activePane="bottomLeft" state="frozen"/>
      <selection pane="bottomLeft"/>
    </sheetView>
  </sheetViews>
  <sheetFormatPr defaultRowHeight="14.25" outlineLevelRow="1" x14ac:dyDescent="0.45"/>
  <cols>
    <col min="1" max="1" width="2" customWidth="1"/>
    <col min="2" max="2" width="44" customWidth="1"/>
    <col min="3" max="3" width="10" customWidth="1"/>
    <col min="4" max="7" width="11" customWidth="1"/>
    <col min="8" max="8" width="3" customWidth="1"/>
    <col min="9" max="18" width="8.59765625" customWidth="1"/>
    <col min="20" max="20" width="9.06640625" customWidth="1"/>
  </cols>
  <sheetData>
    <row r="1" spans="1:18" ht="6" customHeight="1" x14ac:dyDescent="0.45"/>
    <row r="2" spans="1:18" ht="30" customHeight="1" x14ac:dyDescent="0.45">
      <c r="A2" s="1"/>
      <c r="B2" s="21" t="s">
        <v>0</v>
      </c>
      <c r="C2" s="1"/>
      <c r="D2" s="1"/>
      <c r="E2" s="1"/>
      <c r="F2" s="1"/>
      <c r="G2" s="1"/>
      <c r="H2" s="1"/>
      <c r="I2" s="1"/>
      <c r="J2" s="1"/>
      <c r="K2" s="1"/>
      <c r="L2" s="1"/>
      <c r="M2" s="1"/>
      <c r="N2" s="1"/>
      <c r="O2" s="1"/>
      <c r="P2" s="1"/>
      <c r="Q2" s="1"/>
      <c r="R2" s="3" t="s">
        <v>1</v>
      </c>
    </row>
    <row r="3" spans="1:18" ht="20" customHeight="1" x14ac:dyDescent="0.45">
      <c r="A3" s="1"/>
      <c r="B3" s="4" t="s">
        <v>273</v>
      </c>
      <c r="C3" s="1"/>
      <c r="D3" s="1"/>
      <c r="E3" s="1"/>
      <c r="F3" s="1"/>
      <c r="G3" s="1"/>
      <c r="H3" s="1"/>
      <c r="I3" s="1"/>
      <c r="J3" s="1"/>
      <c r="K3" s="1"/>
      <c r="L3" s="1"/>
      <c r="M3" s="1"/>
      <c r="N3" s="1"/>
      <c r="O3" s="1"/>
      <c r="P3" s="1"/>
      <c r="Q3" s="1"/>
      <c r="R3" s="1"/>
    </row>
    <row r="4" spans="1:18" ht="20" customHeight="1" x14ac:dyDescent="0.45">
      <c r="A4" s="5"/>
      <c r="B4" s="22" t="s">
        <v>274</v>
      </c>
      <c r="C4" s="5"/>
      <c r="D4" s="5"/>
      <c r="E4" s="5"/>
      <c r="F4" s="5"/>
      <c r="G4" s="5"/>
      <c r="H4" s="5"/>
      <c r="I4" s="5"/>
      <c r="J4" s="5"/>
      <c r="K4" s="5"/>
      <c r="L4" s="5"/>
      <c r="M4" s="5"/>
      <c r="N4" s="5"/>
      <c r="O4" s="5"/>
      <c r="P4" s="5"/>
      <c r="Q4" s="5"/>
      <c r="R4" s="5"/>
    </row>
    <row r="5" spans="1:18" ht="8" customHeight="1" x14ac:dyDescent="0.45"/>
    <row r="6" spans="1:18" ht="26" customHeight="1" x14ac:dyDescent="0.45">
      <c r="B6" s="66" t="str" cm="1">
        <f t="array" aca="1" ref="B6" ca="1">IF(ISNUMBER(_xll.VoseSimMean(PNPV_2)),"✔  Showing results of the last simulation run in this Excel session. Re-run the simulation after changing any input.","▶  No simulation results yet. On the ModelRisk ribbon, start a simulation — this sheet then fills in automatically.")</f>
        <v>✔  Showing results of the last simulation run in this Excel session. Re-run the simulation after changing any input.</v>
      </c>
      <c r="C6" s="67"/>
      <c r="D6" s="67"/>
      <c r="E6" s="67"/>
      <c r="F6" s="67"/>
      <c r="G6" s="67"/>
    </row>
    <row r="7" spans="1:18" x14ac:dyDescent="0.45">
      <c r="B7" s="68" t="str">
        <f>IF(COUNTIF(Checks,"CHECK")=0,"✔  All model checks read OK.","✗  "&amp;COUNTIF(Checks,"CHECK")&amp;" model check(s) read CHECK: see Model checks at the end of the calculation sheet.")</f>
        <v>✔  All model checks read OK.</v>
      </c>
    </row>
    <row r="8" spans="1:18" ht="8" customHeight="1" x14ac:dyDescent="0.45"/>
    <row r="9" spans="1:18" ht="22.05" customHeight="1" x14ac:dyDescent="0.5">
      <c r="B9" s="7" t="s">
        <v>275</v>
      </c>
      <c r="C9" s="8"/>
      <c r="D9" s="8"/>
      <c r="E9" s="8"/>
      <c r="F9" s="8"/>
      <c r="G9" s="8"/>
      <c r="I9" s="69" t="s">
        <v>276</v>
      </c>
      <c r="J9" s="8"/>
      <c r="K9" s="8"/>
      <c r="L9" s="8"/>
      <c r="M9" s="8"/>
      <c r="N9" s="8"/>
      <c r="O9" s="8"/>
      <c r="P9" s="8"/>
      <c r="Q9" s="8"/>
      <c r="R9" s="8"/>
    </row>
    <row r="10" spans="1:18" ht="18" customHeight="1" x14ac:dyDescent="0.45">
      <c r="B10" s="13" t="s">
        <v>277</v>
      </c>
    </row>
    <row r="11" spans="1:18" ht="18" customHeight="1" x14ac:dyDescent="0.45">
      <c r="B11" s="70" t="s">
        <v>278</v>
      </c>
      <c r="C11" s="71" t="s">
        <v>279</v>
      </c>
      <c r="D11" s="71" t="s">
        <v>192</v>
      </c>
      <c r="E11" s="71" t="s">
        <v>280</v>
      </c>
      <c r="F11" s="71" t="s">
        <v>281</v>
      </c>
      <c r="G11" s="71" t="s">
        <v>71</v>
      </c>
    </row>
    <row r="12" spans="1:18" x14ac:dyDescent="0.45">
      <c r="B12" s="37"/>
      <c r="C12" s="37"/>
      <c r="D12" s="37" t="s">
        <v>282</v>
      </c>
      <c r="E12" s="37" t="s">
        <v>283</v>
      </c>
      <c r="F12" s="37" t="s">
        <v>284</v>
      </c>
      <c r="G12" s="37" t="s">
        <v>284</v>
      </c>
    </row>
    <row r="13" spans="1:18" x14ac:dyDescent="0.45">
      <c r="B13" s="25" t="str">
        <f>"Everything  ("&amp;SUM(Fund_1)&amp;" projects)"</f>
        <v>Everything  (8 projects)</v>
      </c>
      <c r="C13" s="72" cm="1">
        <f t="array" aca="1" ref="C13" ca="1">_xll.VoseSimMean(PNPV_1)</f>
        <v>540.3761748668046</v>
      </c>
      <c r="D13" s="72" cm="1">
        <f t="array" aca="1" ref="D13" ca="1">_xll.VoseSimPercentile(PNPV_1,0.1)</f>
        <v>-483.22214700533129</v>
      </c>
      <c r="E13" s="73" cm="1">
        <f t="array" aca="1" ref="E13" ca="1">_xll.VoseSimMean(PLaunch_1)</f>
        <v>1.587</v>
      </c>
      <c r="F13" s="74" cm="1">
        <f t="array" aca="1" ref="F13" ca="1">_xll.VoseSimMean(PNone_1)</f>
        <v>0.15010000000000001</v>
      </c>
      <c r="G13" s="74" cm="1">
        <f t="array" aca="1" ref="G13" ca="1">_xll.VoseSimMean(POver_1)</f>
        <v>1</v>
      </c>
    </row>
    <row r="14" spans="1:18" x14ac:dyDescent="0.45">
      <c r="B14" s="61" t="str">
        <f>"One per mechanism  ("&amp;SUM(Fund_2)&amp;" projects)"</f>
        <v>One per mechanism  (5 projects)</v>
      </c>
      <c r="C14" s="72" cm="1">
        <f t="array" aca="1" ref="C14" ca="1">_xll.VoseSimMean(PNPV_2)</f>
        <v>538.19780456637523</v>
      </c>
      <c r="D14" s="72" cm="1">
        <f t="array" aca="1" ref="D14" ca="1">_xll.VoseSimPercentile(PNPV_2,0.1)</f>
        <v>-436.64822490893351</v>
      </c>
      <c r="E14" s="73" cm="1">
        <f t="array" aca="1" ref="E14" ca="1">_xll.VoseSimMean(PLaunch_2)</f>
        <v>1.3280000000000001</v>
      </c>
      <c r="F14" s="74" cm="1">
        <f t="array" aca="1" ref="F14" ca="1">_xll.VoseSimMean(PNone_2)</f>
        <v>0.18360000000000001</v>
      </c>
      <c r="G14" s="74" cm="1">
        <f t="array" aca="1" ref="G14" ca="1">_xll.VoseSimMean(POver_2)</f>
        <v>0.35149999999999998</v>
      </c>
    </row>
    <row r="15" spans="1:18" x14ac:dyDescent="0.45">
      <c r="B15" s="25" t="str">
        <f>"Late stage  ("&amp;SUM(Fund_3)&amp;" projects)"</f>
        <v>Late stage  (4 projects)</v>
      </c>
      <c r="C15" s="72" cm="1">
        <f t="array" aca="1" ref="C15" ca="1">_xll.VoseSimMean(PNPV_3)</f>
        <v>512.65021110750627</v>
      </c>
      <c r="D15" s="72" cm="1">
        <f t="array" aca="1" ref="D15" ca="1">_xll.VoseSimPercentile(PNPV_3,0.1)</f>
        <v>-422.34628607024968</v>
      </c>
      <c r="E15" s="73" cm="1">
        <f t="array" aca="1" ref="E15" ca="1">_xll.VoseSimMean(PLaunch_3)</f>
        <v>1.2464</v>
      </c>
      <c r="F15" s="74" cm="1">
        <f t="array" aca="1" ref="F15" ca="1">_xll.VoseSimMean(PNone_3)</f>
        <v>0.19969999999999999</v>
      </c>
      <c r="G15" s="74" cm="1">
        <f t="array" aca="1" ref="G15" ca="1">_xll.VoseSimMean(POver_3)</f>
        <v>0.35149999999999998</v>
      </c>
    </row>
    <row r="16" spans="1:18" x14ac:dyDescent="0.45">
      <c r="B16" s="25" t="str">
        <f>"Within budget  ("&amp;SUM(Fund_4)&amp;" projects)"</f>
        <v>Within budget  (4 projects)</v>
      </c>
      <c r="C16" s="72" cm="1">
        <f t="array" aca="1" ref="C16" ca="1">_xll.VoseSimMean(PNPV_4)</f>
        <v>481.7327503434052</v>
      </c>
      <c r="D16" s="72" cm="1">
        <f t="array" aca="1" ref="D16" ca="1">_xll.VoseSimPercentile(PNPV_4,0.1)</f>
        <v>-316.41669578177948</v>
      </c>
      <c r="E16" s="73" cm="1">
        <f t="array" aca="1" ref="E16" ca="1">_xll.VoseSimMean(PLaunch_4)</f>
        <v>1.0024999999999999</v>
      </c>
      <c r="F16" s="74" cm="1">
        <f t="array" aca="1" ref="F16" ca="1">_xll.VoseSimMean(PNone_4)</f>
        <v>0.27689999999999998</v>
      </c>
      <c r="G16" s="74" cm="1">
        <f t="array" aca="1" ref="G16" ca="1">_xll.VoseSimMean(POver_4)</f>
        <v>2.18E-2</v>
      </c>
    </row>
    <row r="17" spans="2:18" x14ac:dyDescent="0.45">
      <c r="B17" s="40" t="str">
        <f>"Over budget: spending above US$"&amp;Budget&amp;" million in at least one of the next "&amp;BudgetYears&amp;" years."</f>
        <v>Over budget: spending above US$170 million in at least one of the next 5 years.</v>
      </c>
    </row>
    <row r="18" spans="2:18" ht="8" customHeight="1" x14ac:dyDescent="0.45"/>
    <row r="25" spans="2:18" ht="22.05" customHeight="1" x14ac:dyDescent="0.5">
      <c r="B25" s="7" t="s">
        <v>285</v>
      </c>
      <c r="C25" s="8"/>
      <c r="D25" s="8"/>
      <c r="E25" s="8"/>
      <c r="F25" s="8"/>
      <c r="G25" s="8"/>
      <c r="I25" s="69" t="s">
        <v>286</v>
      </c>
      <c r="J25" s="8"/>
      <c r="K25" s="8"/>
      <c r="L25" s="8"/>
      <c r="M25" s="8"/>
      <c r="N25" s="8"/>
      <c r="O25" s="8"/>
      <c r="P25" s="8"/>
      <c r="Q25" s="8"/>
      <c r="R25" s="8"/>
    </row>
    <row r="26" spans="2:18" ht="18" customHeight="1" x14ac:dyDescent="0.45">
      <c r="B26" s="13" t="s">
        <v>287</v>
      </c>
    </row>
    <row r="27" spans="2:18" ht="18" customHeight="1" x14ac:dyDescent="0.45">
      <c r="B27" s="70" t="s">
        <v>138</v>
      </c>
      <c r="C27" s="70" t="s">
        <v>288</v>
      </c>
      <c r="D27" s="71" t="s">
        <v>186</v>
      </c>
      <c r="E27" s="71" t="s">
        <v>279</v>
      </c>
      <c r="F27" s="71" t="s">
        <v>196</v>
      </c>
      <c r="G27" s="71" t="s">
        <v>289</v>
      </c>
    </row>
    <row r="28" spans="2:18" x14ac:dyDescent="0.45">
      <c r="B28" s="37"/>
      <c r="C28" s="37"/>
      <c r="D28" s="37" t="s">
        <v>284</v>
      </c>
      <c r="E28" s="37"/>
      <c r="F28" s="37" t="s">
        <v>290</v>
      </c>
      <c r="G28" s="37" t="s">
        <v>291</v>
      </c>
    </row>
    <row r="29" spans="2:18" x14ac:dyDescent="0.45">
      <c r="B29" s="25" t="s">
        <v>145</v>
      </c>
      <c r="C29" s="26" t="str">
        <f>Projects!D16</f>
        <v>Phase III</v>
      </c>
      <c r="D29" s="74" cm="1">
        <f t="array" aca="1" ref="D29" ca="1">_xll.VoseSimMean(OLaunch_A)</f>
        <v>0.53210000000000002</v>
      </c>
      <c r="E29" s="72" cm="1">
        <f t="array" aca="1" ref="E29" ca="1">_xll.VoseSimMean(ONPV_A)</f>
        <v>408.79614282827691</v>
      </c>
      <c r="F29" s="72" cm="1">
        <f t="array" aca="1" ref="F29" ca="1">_xll.VoseSimMean(OCost_A)</f>
        <v>158.60502742080644</v>
      </c>
      <c r="G29" s="75">
        <f t="shared" ref="G29:G36" ca="1" si="0">IFERROR((E29+F29)/F29,"–")</f>
        <v>3.5774475719717915</v>
      </c>
    </row>
    <row r="30" spans="2:18" x14ac:dyDescent="0.45">
      <c r="B30" s="25" t="s">
        <v>147</v>
      </c>
      <c r="C30" s="26" t="str">
        <f>Projects!D17</f>
        <v>Phase II</v>
      </c>
      <c r="D30" s="74" cm="1">
        <f t="array" aca="1" ref="D30" ca="1">_xll.VoseSimMean(OLaunch_B)</f>
        <v>0.18809999999999999</v>
      </c>
      <c r="E30" s="72" cm="1">
        <f t="array" aca="1" ref="E30" ca="1">_xll.VoseSimMean(ONPV_B)</f>
        <v>37.568178053698617</v>
      </c>
      <c r="F30" s="72" cm="1">
        <f t="array" aca="1" ref="F30" ca="1">_xll.VoseSimMean(OCost_B)</f>
        <v>91.304605538812908</v>
      </c>
      <c r="G30" s="75">
        <f t="shared" ca="1" si="0"/>
        <v>1.4114598363576376</v>
      </c>
    </row>
    <row r="31" spans="2:18" x14ac:dyDescent="0.45">
      <c r="B31" s="25" t="s">
        <v>149</v>
      </c>
      <c r="C31" s="26" t="str">
        <f>Projects!D18</f>
        <v>Phase II</v>
      </c>
      <c r="D31" s="74" cm="1">
        <f t="array" aca="1" ref="D31" ca="1">_xll.VoseSimMean(OLaunch_C)</f>
        <v>0.188</v>
      </c>
      <c r="E31" s="72" cm="1">
        <f t="array" aca="1" ref="E31" ca="1">_xll.VoseSimMean(ONPV_C)</f>
        <v>21.756086223278761</v>
      </c>
      <c r="F31" s="72" cm="1">
        <f t="array" aca="1" ref="F31" ca="1">_xll.VoseSimMean(OCost_C)</f>
        <v>91.294131428047649</v>
      </c>
      <c r="G31" s="75">
        <f t="shared" ca="1" si="0"/>
        <v>1.2383076095140415</v>
      </c>
    </row>
    <row r="32" spans="2:18" x14ac:dyDescent="0.45">
      <c r="B32" s="25" t="s">
        <v>151</v>
      </c>
      <c r="C32" s="26" t="str">
        <f>Projects!D19</f>
        <v>Phase I</v>
      </c>
      <c r="D32" s="74" cm="1">
        <f t="array" aca="1" ref="D32" ca="1">_xll.VoseSimMean(OLaunch_D)</f>
        <v>0.1308</v>
      </c>
      <c r="E32" s="72" cm="1">
        <f t="array" aca="1" ref="E32" ca="1">_xll.VoseSimMean(ONPV_D)</f>
        <v>3.3073754659732724</v>
      </c>
      <c r="F32" s="72" cm="1">
        <f t="array" aca="1" ref="F32" ca="1">_xll.VoseSimMean(OCost_D)</f>
        <v>68.376688390442013</v>
      </c>
      <c r="G32" s="75">
        <f t="shared" ca="1" si="0"/>
        <v>1.0483699275853726</v>
      </c>
    </row>
    <row r="33" spans="2:7" x14ac:dyDescent="0.45">
      <c r="B33" s="25" t="s">
        <v>152</v>
      </c>
      <c r="C33" s="26" t="str">
        <f>Projects!D20</f>
        <v>Phase I</v>
      </c>
      <c r="D33" s="74" cm="1">
        <f t="array" aca="1" ref="D33" ca="1">_xll.VoseSimMean(OLaunch_E)</f>
        <v>8.1600000000000006E-2</v>
      </c>
      <c r="E33" s="72" cm="1">
        <f t="array" aca="1" ref="E33" ca="1">_xll.VoseSimMean(ONPV_E)</f>
        <v>25.547593458868153</v>
      </c>
      <c r="F33" s="72" cm="1">
        <f t="array" aca="1" ref="F33" ca="1">_xll.VoseSimMean(OCost_E)</f>
        <v>60.082662703238704</v>
      </c>
      <c r="G33" s="75">
        <f t="shared" ca="1" si="0"/>
        <v>1.4252074110805184</v>
      </c>
    </row>
    <row r="34" spans="2:7" x14ac:dyDescent="0.45">
      <c r="B34" s="25" t="s">
        <v>154</v>
      </c>
      <c r="C34" s="26" t="str">
        <f>Projects!D21</f>
        <v>Preclinical</v>
      </c>
      <c r="D34" s="74" cm="1">
        <f t="array" aca="1" ref="D34" ca="1">_xll.VoseSimMean(OLaunch_F)</f>
        <v>5.0599999999999999E-2</v>
      </c>
      <c r="E34" s="72" cm="1">
        <f t="array" aca="1" ref="E34" ca="1">_xll.VoseSimMean(ONPV_F)</f>
        <v>2.8592100540135741</v>
      </c>
      <c r="F34" s="72" cm="1">
        <f t="array" aca="1" ref="F34" ca="1">_xll.VoseSimMean(OCost_F)</f>
        <v>43.293626780287276</v>
      </c>
      <c r="G34" s="75">
        <f t="shared" ca="1" si="0"/>
        <v>1.0660422853581637</v>
      </c>
    </row>
    <row r="35" spans="2:7" x14ac:dyDescent="0.45">
      <c r="B35" s="25" t="s">
        <v>155</v>
      </c>
      <c r="C35" s="26" t="str">
        <f>Projects!D22</f>
        <v>Phase II</v>
      </c>
      <c r="D35" s="74" cm="1">
        <f t="array" aca="1" ref="D35" ca="1">_xll.VoseSimMean(OLaunch_G)</f>
        <v>0.3382</v>
      </c>
      <c r="E35" s="72" cm="1">
        <f t="array" aca="1" ref="E35" ca="1">_xll.VoseSimMean(ONPV_G)</f>
        <v>44.529804002271263</v>
      </c>
      <c r="F35" s="72" cm="1">
        <f t="array" aca="1" ref="F35" ca="1">_xll.VoseSimMean(OCost_G)</f>
        <v>111.94820166021667</v>
      </c>
      <c r="G35" s="75">
        <f t="shared" ca="1" si="0"/>
        <v>1.3977714991566135</v>
      </c>
    </row>
    <row r="36" spans="2:7" x14ac:dyDescent="0.45">
      <c r="B36" s="25" t="s">
        <v>157</v>
      </c>
      <c r="C36" s="26" t="str">
        <f>Projects!D23</f>
        <v>Preclinical</v>
      </c>
      <c r="D36" s="74" cm="1">
        <f t="array" aca="1" ref="D36" ca="1">_xll.VoseSimMean(OLaunch_H)</f>
        <v>7.7600000000000002E-2</v>
      </c>
      <c r="E36" s="72" cm="1">
        <f t="array" aca="1" ref="E36" ca="1">_xll.VoseSimMean(ONPV_H)</f>
        <v>-3.9882152195548106</v>
      </c>
      <c r="F36" s="72" cm="1">
        <f t="array" aca="1" ref="F36" ca="1">_xll.VoseSimMean(OCost_H)</f>
        <v>48.698801149920556</v>
      </c>
      <c r="G36" s="75">
        <f t="shared" ca="1" si="0"/>
        <v>0.91810444763769472</v>
      </c>
    </row>
    <row r="37" spans="2:7" x14ac:dyDescent="0.45">
      <c r="B37" s="40" t="s">
        <v>292</v>
      </c>
    </row>
    <row r="38" spans="2:7" ht="8" customHeight="1" x14ac:dyDescent="0.45"/>
    <row r="41" spans="2:7" ht="22.05" customHeight="1" x14ac:dyDescent="0.5">
      <c r="B41" s="7" t="s">
        <v>293</v>
      </c>
      <c r="C41" s="8"/>
      <c r="D41" s="8"/>
      <c r="E41" s="8"/>
      <c r="F41" s="8"/>
      <c r="G41" s="8"/>
    </row>
    <row r="42" spans="2:7" ht="18" customHeight="1" x14ac:dyDescent="0.45">
      <c r="B42" s="13" t="s">
        <v>294</v>
      </c>
    </row>
    <row r="43" spans="2:7" ht="18" customHeight="1" x14ac:dyDescent="0.45">
      <c r="B43" s="70" t="s">
        <v>172</v>
      </c>
      <c r="C43" s="71" t="s">
        <v>295</v>
      </c>
      <c r="D43" s="71" t="s">
        <v>295</v>
      </c>
      <c r="E43" s="71" t="s">
        <v>296</v>
      </c>
      <c r="F43" s="5"/>
      <c r="G43" s="5"/>
    </row>
    <row r="44" spans="2:7" x14ac:dyDescent="0.45">
      <c r="B44" s="37"/>
      <c r="C44" s="37" t="s">
        <v>297</v>
      </c>
      <c r="D44" s="37" t="s">
        <v>298</v>
      </c>
      <c r="E44" s="37"/>
    </row>
    <row r="45" spans="2:7" x14ac:dyDescent="0.45">
      <c r="B45" s="25" t="s">
        <v>299</v>
      </c>
      <c r="C45" s="76" cm="1">
        <f t="array" aca="1" ref="C45" ca="1">_xll.VoseSimMean(Both_BH)</f>
        <v>2.9700000000000001E-2</v>
      </c>
      <c r="D45" s="76">
        <f ca="1">IFERROR(D30*D36,"–")</f>
        <v>1.459656E-2</v>
      </c>
      <c r="E45" s="77">
        <f ca="1">IFERROR(C45/D45,"–")</f>
        <v>2.0347259902333152</v>
      </c>
      <c r="F45" s="28"/>
      <c r="G45" s="28"/>
    </row>
    <row r="46" spans="2:7" x14ac:dyDescent="0.45">
      <c r="B46" s="25" t="s">
        <v>300</v>
      </c>
      <c r="C46" s="76" cm="1">
        <f t="array" aca="1" ref="C46" ca="1">_xll.VoseSimMean(Both_CD)</f>
        <v>4.9700000000000001E-2</v>
      </c>
      <c r="D46" s="76">
        <f ca="1">IFERROR(D31*D32,"–")</f>
        <v>2.4590399999999998E-2</v>
      </c>
      <c r="E46" s="77">
        <f ca="1">IFERROR(C46/D46,"–")</f>
        <v>2.0211139306395993</v>
      </c>
      <c r="F46" s="28"/>
      <c r="G46" s="28"/>
    </row>
    <row r="47" spans="2:7" x14ac:dyDescent="0.45">
      <c r="B47" s="25" t="s">
        <v>301</v>
      </c>
      <c r="C47" s="76" cm="1">
        <f t="array" aca="1" ref="C47" ca="1">_xll.VoseSimMean(Both_EF)</f>
        <v>1.21E-2</v>
      </c>
      <c r="D47" s="76">
        <f ca="1">IFERROR(D33*D34,"–")</f>
        <v>4.1289600000000001E-3</v>
      </c>
      <c r="E47" s="77">
        <f ca="1">IFERROR(C47/D47,"–")</f>
        <v>2.9305200341005966</v>
      </c>
      <c r="F47" s="28"/>
      <c r="G47" s="28"/>
    </row>
    <row r="48" spans="2:7" ht="8" customHeight="1" x14ac:dyDescent="0.45"/>
    <row r="49" spans="2:7" ht="22.05" customHeight="1" x14ac:dyDescent="0.5">
      <c r="B49" s="7" t="s">
        <v>302</v>
      </c>
      <c r="C49" s="8"/>
      <c r="D49" s="8"/>
      <c r="E49" s="8"/>
      <c r="F49" s="8"/>
      <c r="G49" s="8"/>
    </row>
    <row r="50" spans="2:7" ht="32" customHeight="1" x14ac:dyDescent="0.45">
      <c r="B50" s="81" t="s">
        <v>303</v>
      </c>
      <c r="C50" s="82"/>
      <c r="D50" s="82"/>
      <c r="E50" s="82"/>
      <c r="F50" s="82"/>
      <c r="G50" s="82"/>
    </row>
    <row r="51" spans="2:7" ht="45" customHeight="1" x14ac:dyDescent="0.45">
      <c r="B51" s="81" t="s">
        <v>304</v>
      </c>
      <c r="C51" s="82"/>
      <c r="D51" s="82"/>
      <c r="E51" s="82"/>
      <c r="F51" s="82"/>
      <c r="G51" s="82"/>
    </row>
    <row r="52" spans="2:7" ht="45" customHeight="1" x14ac:dyDescent="0.45">
      <c r="B52" s="81" t="s">
        <v>305</v>
      </c>
      <c r="C52" s="82"/>
      <c r="D52" s="82"/>
      <c r="E52" s="82"/>
      <c r="F52" s="82"/>
      <c r="G52" s="82"/>
    </row>
    <row r="53" spans="2:7" ht="45" customHeight="1" x14ac:dyDescent="0.45">
      <c r="B53" s="81" t="s">
        <v>306</v>
      </c>
      <c r="C53" s="82"/>
      <c r="D53" s="82"/>
      <c r="E53" s="82"/>
      <c r="F53" s="82"/>
      <c r="G53" s="82"/>
    </row>
    <row r="54" spans="2:7" ht="32" customHeight="1" x14ac:dyDescent="0.45">
      <c r="B54" s="81" t="s">
        <v>307</v>
      </c>
      <c r="C54" s="82"/>
      <c r="D54" s="82"/>
      <c r="E54" s="82"/>
      <c r="F54" s="82"/>
      <c r="G54" s="82"/>
    </row>
    <row r="55" spans="2:7" ht="14" customHeight="1" x14ac:dyDescent="0.45"/>
    <row r="56" spans="2:7" ht="14" customHeight="1" x14ac:dyDescent="0.45"/>
    <row r="57" spans="2:7" ht="22.05" customHeight="1" x14ac:dyDescent="0.5">
      <c r="B57" s="7" t="s">
        <v>308</v>
      </c>
      <c r="C57" s="8"/>
      <c r="D57" s="8"/>
      <c r="E57" s="8"/>
      <c r="F57" s="8"/>
      <c r="G57" s="8"/>
    </row>
    <row r="58" spans="2:7" ht="18" customHeight="1" x14ac:dyDescent="0.45">
      <c r="B58" s="13" t="s">
        <v>309</v>
      </c>
    </row>
    <row r="59" spans="2:7" ht="28.05" hidden="1" customHeight="1" outlineLevel="1" x14ac:dyDescent="0.45">
      <c r="B59" s="24" t="s">
        <v>310</v>
      </c>
      <c r="C59" s="24" t="s">
        <v>311</v>
      </c>
      <c r="D59" s="24" t="s">
        <v>312</v>
      </c>
      <c r="E59" s="24" t="s">
        <v>313</v>
      </c>
      <c r="F59" s="24" t="s">
        <v>314</v>
      </c>
      <c r="G59" s="24" t="s">
        <v>315</v>
      </c>
    </row>
    <row r="60" spans="2:7" hidden="1" outlineLevel="1" x14ac:dyDescent="0.45">
      <c r="B60" s="78">
        <v>0.01</v>
      </c>
      <c r="C60" s="78">
        <f t="shared" ref="C60:C91" si="1">1-B60</f>
        <v>0.99</v>
      </c>
      <c r="D60" s="79" cm="1">
        <f t="array" aca="1" ref="D60" ca="1">IF(ISNUMBER(_xll.VoseSimPercentile(PNPV_1,$B60)),_xll.VoseSimPercentile(PNPV_1,$B60),NA())</f>
        <v>-757.05185610111425</v>
      </c>
      <c r="E60" s="79" cm="1">
        <f t="array" aca="1" ref="E60" ca="1">IF(ISNUMBER(_xll.VoseSimPercentile(PNPV_2,$B60)),_xll.VoseSimPercentile(PNPV_2,$B60),NA())</f>
        <v>-607.35130612333205</v>
      </c>
      <c r="F60" s="79" cm="1">
        <f t="array" aca="1" ref="F60" ca="1">IF(ISNUMBER(_xll.VoseSimPercentile(PNPV_3,$B60)),_xll.VoseSimPercentile(PNPV_3,$B60),NA())</f>
        <v>-551.68012270994268</v>
      </c>
      <c r="G60" s="79" cm="1">
        <f t="array" aca="1" ref="G60" ca="1">IF(ISNUMBER(_xll.VoseSimPercentile(PNPV_4,$B60)),_xll.VoseSimPercentile(PNPV_4,$B60),NA())</f>
        <v>-510.76122259525806</v>
      </c>
    </row>
    <row r="61" spans="2:7" hidden="1" outlineLevel="1" x14ac:dyDescent="0.45">
      <c r="B61" s="78">
        <v>0.03</v>
      </c>
      <c r="C61" s="78">
        <f t="shared" si="1"/>
        <v>0.97</v>
      </c>
      <c r="D61" s="79" cm="1">
        <f t="array" aca="1" ref="D61" ca="1">IF(ISNUMBER(_xll.VoseSimPercentile(PNPV_1,$B61)),_xll.VoseSimPercentile(PNPV_1,$B61),NA())</f>
        <v>-653.31482327426465</v>
      </c>
      <c r="E61" s="79" cm="1">
        <f t="array" aca="1" ref="E61" ca="1">IF(ISNUMBER(_xll.VoseSimPercentile(PNPV_2,$B61)),_xll.VoseSimPercentile(PNPV_2,$B61),NA())</f>
        <v>-484.09215637293346</v>
      </c>
      <c r="F61" s="79" cm="1">
        <f t="array" aca="1" ref="F61" ca="1">IF(ISNUMBER(_xll.VoseSimPercentile(PNPV_3,$B61)),_xll.VoseSimPercentile(PNPV_3,$B61),NA())</f>
        <v>-425.92803884728039</v>
      </c>
      <c r="G61" s="79" cm="1">
        <f t="array" aca="1" ref="G61" ca="1">IF(ISNUMBER(_xll.VoseSimPercentile(PNPV_4,$B61)),_xll.VoseSimPercentile(PNPV_4,$B61),NA())</f>
        <v>-411.21634749090424</v>
      </c>
    </row>
    <row r="62" spans="2:7" hidden="1" outlineLevel="1" x14ac:dyDescent="0.45">
      <c r="B62" s="78">
        <v>0.05</v>
      </c>
      <c r="C62" s="78">
        <f t="shared" si="1"/>
        <v>0.95</v>
      </c>
      <c r="D62" s="79" cm="1">
        <f t="array" aca="1" ref="D62" ca="1">IF(ISNUMBER(_xll.VoseSimPercentile(PNPV_1,$B62)),_xll.VoseSimPercentile(PNPV_1,$B62),NA())</f>
        <v>-590.10961530259817</v>
      </c>
      <c r="E62" s="79" cm="1">
        <f t="array" aca="1" ref="E62" ca="1">IF(ISNUMBER(_xll.VoseSimPercentile(PNPV_2,$B62)),_xll.VoseSimPercentile(PNPV_2,$B62),NA())</f>
        <v>-478.01746948363899</v>
      </c>
      <c r="F62" s="79" cm="1">
        <f t="array" aca="1" ref="F62" ca="1">IF(ISNUMBER(_xll.VoseSimPercentile(PNPV_3,$B62)),_xll.VoseSimPercentile(PNPV_3,$B62),NA())</f>
        <v>-422.34628607024968</v>
      </c>
      <c r="G62" s="79" cm="1">
        <f t="array" aca="1" ref="G62" ca="1">IF(ISNUMBER(_xll.VoseSimPercentile(PNPV_4,$B62)),_xll.VoseSimPercentile(PNPV_4,$B62),NA())</f>
        <v>-398.2145849102825</v>
      </c>
    </row>
    <row r="63" spans="2:7" hidden="1" outlineLevel="1" x14ac:dyDescent="0.45">
      <c r="B63" s="78">
        <v>7.0000000000000007E-2</v>
      </c>
      <c r="C63" s="78">
        <f t="shared" si="1"/>
        <v>0.92999999999999994</v>
      </c>
      <c r="D63" s="79" cm="1">
        <f t="array" aca="1" ref="D63" ca="1">IF(ISNUMBER(_xll.VoseSimPercentile(PNPV_1,$B63)),_xll.VoseSimPercentile(PNPV_1,$B63),NA())</f>
        <v>-550.18819539288006</v>
      </c>
      <c r="E63" s="79" cm="1">
        <f t="array" aca="1" ref="E63" ca="1">IF(ISNUMBER(_xll.VoseSimPercentile(PNPV_2,$B63)),_xll.VoseSimPercentile(PNPV_2,$B63),NA())</f>
        <v>-466.25984797093957</v>
      </c>
      <c r="F63" s="79" cm="1">
        <f t="array" aca="1" ref="F63" ca="1">IF(ISNUMBER(_xll.VoseSimPercentile(PNPV_3,$B63)),_xll.VoseSimPercentile(PNPV_3,$B63),NA())</f>
        <v>-422.34628607024968</v>
      </c>
      <c r="G63" s="79" cm="1">
        <f t="array" aca="1" ref="G63" ca="1">IF(ISNUMBER(_xll.VoseSimPercentile(PNPV_4,$B63)),_xll.VoseSimPercentile(PNPV_4,$B63),NA())</f>
        <v>-382.87521062055231</v>
      </c>
    </row>
    <row r="64" spans="2:7" hidden="1" outlineLevel="1" x14ac:dyDescent="0.45">
      <c r="B64" s="78">
        <v>0.09</v>
      </c>
      <c r="C64" s="78">
        <f t="shared" si="1"/>
        <v>0.91</v>
      </c>
      <c r="D64" s="79" cm="1">
        <f t="array" aca="1" ref="D64" ca="1">IF(ISNUMBER(_xll.VoseSimPercentile(PNPV_1,$B64)),_xll.VoseSimPercentile(PNPV_1,$B64),NA())</f>
        <v>-507.57480975025231</v>
      </c>
      <c r="E64" s="79" cm="1">
        <f t="array" aca="1" ref="E64" ca="1">IF(ISNUMBER(_xll.VoseSimPercentile(PNPV_2,$B64)),_xll.VoseSimPercentile(PNPV_2,$B64),NA())</f>
        <v>-436.64822490893357</v>
      </c>
      <c r="F64" s="79" cm="1">
        <f t="array" aca="1" ref="F64" ca="1">IF(ISNUMBER(_xll.VoseSimPercentile(PNPV_3,$B64)),_xll.VoseSimPercentile(PNPV_3,$B64),NA())</f>
        <v>-422.34628607024968</v>
      </c>
      <c r="G64" s="79" cm="1">
        <f t="array" aca="1" ref="G64" ca="1">IF(ISNUMBER(_xll.VoseSimPercentile(PNPV_4,$B64)),_xll.VoseSimPercentile(PNPV_4,$B64),NA())</f>
        <v>-353.26358755854631</v>
      </c>
    </row>
    <row r="65" spans="2:7" hidden="1" outlineLevel="1" x14ac:dyDescent="0.45">
      <c r="B65" s="78">
        <v>0.11</v>
      </c>
      <c r="C65" s="78">
        <f t="shared" si="1"/>
        <v>0.89</v>
      </c>
      <c r="D65" s="79" cm="1">
        <f t="array" aca="1" ref="D65" ca="1">IF(ISNUMBER(_xll.VoseSimPercentile(PNPV_1,$B65)),_xll.VoseSimPercentile(PNPV_1,$B65),NA())</f>
        <v>-470.22038442470955</v>
      </c>
      <c r="E65" s="79" cm="1">
        <f t="array" aca="1" ref="E65" ca="1">IF(ISNUMBER(_xll.VoseSimPercentile(PNPV_2,$B65)),_xll.VoseSimPercentile(PNPV_2,$B65),NA())</f>
        <v>-360.74164781652632</v>
      </c>
      <c r="F65" s="79" cm="1">
        <f t="array" aca="1" ref="F65" ca="1">IF(ISNUMBER(_xll.VoseSimPercentile(PNPV_3,$B65)),_xll.VoseSimPercentile(PNPV_3,$B65),NA())</f>
        <v>-313.4653521233804</v>
      </c>
      <c r="G65" s="79" cm="1">
        <f t="array" aca="1" ref="G65" ca="1">IF(ISNUMBER(_xll.VoseSimPercentile(PNPV_4,$B65)),_xll.VoseSimPercentile(PNPV_4,$B65),NA())</f>
        <v>-315.90916223300354</v>
      </c>
    </row>
    <row r="66" spans="2:7" hidden="1" outlineLevel="1" x14ac:dyDescent="0.45">
      <c r="B66" s="78">
        <v>0.13</v>
      </c>
      <c r="C66" s="78">
        <f t="shared" si="1"/>
        <v>0.87</v>
      </c>
      <c r="D66" s="79" cm="1">
        <f t="array" aca="1" ref="D66" ca="1">IF(ISNUMBER(_xll.VoseSimPercentile(PNPV_1,$B66)),_xll.VoseSimPercentile(PNPV_1,$B66),NA())</f>
        <v>-432.61198026588642</v>
      </c>
      <c r="E66" s="79" cm="1">
        <f t="array" aca="1" ref="E66" ca="1">IF(ISNUMBER(_xll.VoseSimPercentile(PNPV_2,$B66)),_xll.VoseSimPercentile(PNPV_2,$B66),NA())</f>
        <v>-348.68363284394593</v>
      </c>
      <c r="F66" s="79" cm="1">
        <f t="array" aca="1" ref="F66" ca="1">IF(ISNUMBER(_xll.VoseSimPercentile(PNPV_3,$B66)),_xll.VoseSimPercentile(PNPV_3,$B66),NA())</f>
        <v>-293.01244943055656</v>
      </c>
      <c r="G66" s="79" cm="1">
        <f t="array" aca="1" ref="G66" ca="1">IF(ISNUMBER(_xll.VoseSimPercentile(PNPV_4,$B66)),_xll.VoseSimPercentile(PNPV_4,$B66),NA())</f>
        <v>-315.90916223300354</v>
      </c>
    </row>
    <row r="67" spans="2:7" hidden="1" outlineLevel="1" x14ac:dyDescent="0.45">
      <c r="B67" s="78">
        <v>0.15</v>
      </c>
      <c r="C67" s="78">
        <f t="shared" si="1"/>
        <v>0.85</v>
      </c>
      <c r="D67" s="79" cm="1">
        <f t="array" aca="1" ref="D67" ca="1">IF(ISNUMBER(_xll.VoseSimPercentile(PNPV_1,$B67)),_xll.VoseSimPercentile(PNPV_1,$B67),NA())</f>
        <v>-404.24449827180274</v>
      </c>
      <c r="E67" s="79" cm="1">
        <f t="array" aca="1" ref="E67" ca="1">IF(ISNUMBER(_xll.VoseSimPercentile(PNPV_2,$B67)),_xll.VoseSimPercentile(PNPV_2,$B67),NA())</f>
        <v>-348.68363284394593</v>
      </c>
      <c r="F67" s="79" cm="1">
        <f t="array" aca="1" ref="F67" ca="1">IF(ISNUMBER(_xll.VoseSimPercentile(PNPV_3,$B67)),_xll.VoseSimPercentile(PNPV_3,$B67),NA())</f>
        <v>-293.01244943055656</v>
      </c>
      <c r="G67" s="79" cm="1">
        <f t="array" aca="1" ref="G67" ca="1">IF(ISNUMBER(_xll.VoseSimPercentile(PNPV_4,$B67)),_xll.VoseSimPercentile(PNPV_4,$B67),NA())</f>
        <v>-278.30075807418041</v>
      </c>
    </row>
    <row r="68" spans="2:7" hidden="1" outlineLevel="1" x14ac:dyDescent="0.45">
      <c r="B68" s="78">
        <v>0.17</v>
      </c>
      <c r="C68" s="78">
        <f t="shared" si="1"/>
        <v>0.83</v>
      </c>
      <c r="D68" s="79" cm="1">
        <f t="array" aca="1" ref="D68" ca="1">IF(ISNUMBER(_xll.VoseSimPercentile(PNPV_1,$B68)),_xll.VoseSimPercentile(PNPV_1,$B68),NA())</f>
        <v>-378.24097311055925</v>
      </c>
      <c r="E68" s="79" cm="1">
        <f t="array" aca="1" ref="E68" ca="1">IF(ISNUMBER(_xll.VoseSimPercentile(PNPV_2,$B68)),_xll.VoseSimPercentile(PNPV_2,$B68),NA())</f>
        <v>-307.31438826924045</v>
      </c>
      <c r="F68" s="79" cm="1">
        <f t="array" aca="1" ref="F68" ca="1">IF(ISNUMBER(_xll.VoseSimPercentile(PNPV_3,$B68)),_xll.VoseSimPercentile(PNPV_3,$B68),NA())</f>
        <v>-293.01244943055656</v>
      </c>
      <c r="G68" s="79" cm="1">
        <f t="array" aca="1" ref="G68" ca="1">IF(ISNUMBER(_xll.VoseSimPercentile(PNPV_4,$B68)),_xll.VoseSimPercentile(PNPV_4,$B68),NA())</f>
        <v>-274.53991765829807</v>
      </c>
    </row>
    <row r="69" spans="2:7" hidden="1" outlineLevel="1" x14ac:dyDescent="0.45">
      <c r="B69" s="78">
        <v>0.19</v>
      </c>
      <c r="C69" s="78">
        <f t="shared" si="1"/>
        <v>0.81</v>
      </c>
      <c r="D69" s="79" cm="1">
        <f t="array" aca="1" ref="D69" ca="1">IF(ISNUMBER(_xll.VoseSimPercentile(PNPV_1,$B69)),_xll.VoseSimPercentile(PNPV_1,$B69),NA())</f>
        <v>-322.86505121176776</v>
      </c>
      <c r="E69" s="79" cm="1">
        <f t="array" aca="1" ref="E69" ca="1">IF(ISNUMBER(_xll.VoseSimPercentile(PNPV_2,$B69)),_xll.VoseSimPercentile(PNPV_2,$B69),NA())</f>
        <v>-307.31438826924045</v>
      </c>
      <c r="F69" s="79" cm="1">
        <f t="array" aca="1" ref="F69" ca="1">IF(ISNUMBER(_xll.VoseSimPercentile(PNPV_3,$B69)),_xll.VoseSimPercentile(PNPV_3,$B69),NA())</f>
        <v>-293.01244943055656</v>
      </c>
      <c r="G69" s="79" cm="1">
        <f t="array" aca="1" ref="G69" ca="1">IF(ISNUMBER(_xll.VoseSimPercentile(PNPV_4,$B69)),_xll.VoseSimPercentile(PNPV_4,$B69),NA())</f>
        <v>-268.88074827058949</v>
      </c>
    </row>
    <row r="70" spans="2:7" hidden="1" outlineLevel="1" x14ac:dyDescent="0.45">
      <c r="B70" s="78">
        <v>0.21</v>
      </c>
      <c r="C70" s="78">
        <f t="shared" si="1"/>
        <v>0.79</v>
      </c>
      <c r="D70" s="79" cm="1">
        <f t="array" aca="1" ref="D70" ca="1">IF(ISNUMBER(_xll.VoseSimPercentile(PNPV_1,$B70)),_xll.VoseSimPercentile(PNPV_1,$B70),NA())</f>
        <v>-261.72598031326936</v>
      </c>
      <c r="E70" s="79" cm="1">
        <f t="array" aca="1" ref="E70" ca="1">IF(ISNUMBER(_xll.VoseSimPercentile(PNPV_2,$B70)),_xll.VoseSimPercentile(PNPV_2,$B70),NA())</f>
        <v>-231.10047489073489</v>
      </c>
      <c r="F70" s="79" cm="1">
        <f t="array" aca="1" ref="F70" ca="1">IF(ISNUMBER(_xll.VoseSimPercentile(PNPV_3,$B70)),_xll.VoseSimPercentile(PNPV_3,$B70),NA())</f>
        <v>-268.63854499269098</v>
      </c>
      <c r="G70" s="79" cm="1">
        <f t="array" aca="1" ref="G70" ca="1">IF(ISNUMBER(_xll.VoseSimPercentile(PNPV_4,$B70)),_xll.VoseSimPercentile(PNPV_4,$B70),NA())</f>
        <v>-265.29899549355866</v>
      </c>
    </row>
    <row r="71" spans="2:7" hidden="1" outlineLevel="1" x14ac:dyDescent="0.45">
      <c r="B71" s="78">
        <v>0.23</v>
      </c>
      <c r="C71" s="78">
        <f t="shared" si="1"/>
        <v>0.77</v>
      </c>
      <c r="D71" s="79" cm="1">
        <f t="array" aca="1" ref="D71" ca="1">IF(ISNUMBER(_xll.VoseSimPercentile(PNPV_1,$B71)),_xll.VoseSimPercentile(PNPV_1,$B71),NA())</f>
        <v>-214.46871070044821</v>
      </c>
      <c r="E71" s="79" cm="1">
        <f t="array" aca="1" ref="E71" ca="1">IF(ISNUMBER(_xll.VoseSimPercentile(PNPV_2,$B71)),_xll.VoseSimPercentile(PNPV_2,$B71),NA())</f>
        <v>-171.97189795309191</v>
      </c>
      <c r="F71" s="79" cm="1">
        <f t="array" aca="1" ref="F71" ca="1">IF(ISNUMBER(_xll.VoseSimPercentile(PNPV_3,$B71)),_xll.VoseSimPercentile(PNPV_3,$B71),NA())</f>
        <v>-173.98748523395955</v>
      </c>
      <c r="G71" s="79" cm="1">
        <f t="array" aca="1" ref="G71" ca="1">IF(ISNUMBER(_xll.VoseSimPercentile(PNPV_4,$B71)),_xll.VoseSimPercentile(PNPV_4,$B71),NA())</f>
        <v>-240.51326627650573</v>
      </c>
    </row>
    <row r="72" spans="2:7" hidden="1" outlineLevel="1" x14ac:dyDescent="0.45">
      <c r="B72" s="78">
        <v>0.25</v>
      </c>
      <c r="C72" s="78">
        <f t="shared" si="1"/>
        <v>0.75</v>
      </c>
      <c r="D72" s="79" cm="1">
        <f t="array" aca="1" ref="D72" ca="1">IF(ISNUMBER(_xll.VoseSimPercentile(PNPV_1,$B72)),_xll.VoseSimPercentile(PNPV_1,$B72),NA())</f>
        <v>-163.6479390734319</v>
      </c>
      <c r="E72" s="79" cm="1">
        <f t="array" aca="1" ref="E72" ca="1">IF(ISNUMBER(_xll.VoseSimPercentile(PNPV_2,$B72)),_xll.VoseSimPercentile(PNPV_2,$B72),NA())</f>
        <v>-123.54604039956646</v>
      </c>
      <c r="F72" s="79" cm="1">
        <f t="array" aca="1" ref="F72" ca="1">IF(ISNUMBER(_xll.VoseSimPercentile(PNPV_3,$B72)),_xll.VoseSimPercentile(PNPV_3,$B72),NA())</f>
        <v>-122.95281791772254</v>
      </c>
      <c r="G72" s="79" cm="1">
        <f t="array" aca="1" ref="G72" ca="1">IF(ISNUMBER(_xll.VoseSimPercentile(PNPV_4,$B72)),_xll.VoseSimPercentile(PNPV_4,$B72),NA())</f>
        <v>-227.51150369588402</v>
      </c>
    </row>
    <row r="73" spans="2:7" hidden="1" outlineLevel="1" x14ac:dyDescent="0.45">
      <c r="B73" s="78">
        <v>0.27</v>
      </c>
      <c r="C73" s="78">
        <f t="shared" si="1"/>
        <v>0.73</v>
      </c>
      <c r="D73" s="79" cm="1">
        <f t="array" aca="1" ref="D73" ca="1">IF(ISNUMBER(_xll.VoseSimPercentile(PNPV_1,$B73)),_xll.VoseSimPercentile(PNPV_1,$B73),NA())</f>
        <v>-113.87080612029489</v>
      </c>
      <c r="E73" s="79" cm="1">
        <f t="array" aca="1" ref="E73" ca="1">IF(ISNUMBER(_xll.VoseSimPercentile(PNPV_2,$B73)),_xll.VoseSimPercentile(PNPV_2,$B73),NA())</f>
        <v>-75.894951438850882</v>
      </c>
      <c r="F73" s="79" cm="1">
        <f t="array" aca="1" ref="F73" ca="1">IF(ISNUMBER(_xll.VoseSimPercentile(PNPV_3,$B73)),_xll.VoseSimPercentile(PNPV_3,$B73),NA())</f>
        <v>-76.789194927210019</v>
      </c>
      <c r="G73" s="79" cm="1">
        <f t="array" aca="1" ref="G73" ca="1">IF(ISNUMBER(_xll.VoseSimPercentile(PNPV_4,$B73)),_xll.VoseSimPercentile(PNPV_4,$B73),NA())</f>
        <v>-223.92975091885324</v>
      </c>
    </row>
    <row r="74" spans="2:7" hidden="1" outlineLevel="1" x14ac:dyDescent="0.45">
      <c r="B74" s="78">
        <v>0.28999999999999998</v>
      </c>
      <c r="C74" s="78">
        <f t="shared" si="1"/>
        <v>0.71</v>
      </c>
      <c r="D74" s="79" cm="1">
        <f t="array" aca="1" ref="D74" ca="1">IF(ISNUMBER(_xll.VoseSimPercentile(PNPV_1,$B74)),_xll.VoseSimPercentile(PNPV_1,$B74),NA())</f>
        <v>-66.098965306070994</v>
      </c>
      <c r="E74" s="79" cm="1">
        <f t="array" aca="1" ref="E74" ca="1">IF(ISNUMBER(_xll.VoseSimPercentile(PNPV_2,$B74)),_xll.VoseSimPercentile(PNPV_2,$B74),NA())</f>
        <v>-35.433363204992034</v>
      </c>
      <c r="F74" s="79" cm="1">
        <f t="array" aca="1" ref="F74" ca="1">IF(ISNUMBER(_xll.VoseSimPercentile(PNPV_3,$B74)),_xll.VoseSimPercentile(PNPV_3,$B74),NA())</f>
        <v>-32.829927678693309</v>
      </c>
      <c r="G74" s="79" cm="1">
        <f t="array" aca="1" ref="G74" ca="1">IF(ISNUMBER(_xll.VoseSimPercentile(PNPV_4,$B74)),_xll.VoseSimPercentile(PNPV_4,$B74),NA())</f>
        <v>-159.69839269790958</v>
      </c>
    </row>
    <row r="75" spans="2:7" hidden="1" outlineLevel="1" x14ac:dyDescent="0.45">
      <c r="B75" s="78">
        <v>0.31</v>
      </c>
      <c r="C75" s="78">
        <f t="shared" si="1"/>
        <v>0.69</v>
      </c>
      <c r="D75" s="79" cm="1">
        <f t="array" aca="1" ref="D75" ca="1">IF(ISNUMBER(_xll.VoseSimPercentile(PNPV_1,$B75)),_xll.VoseSimPercentile(PNPV_1,$B75),NA())</f>
        <v>-20.125695718713839</v>
      </c>
      <c r="E75" s="79" cm="1">
        <f t="array" aca="1" ref="E75" ca="1">IF(ISNUMBER(_xll.VoseSimPercentile(PNPV_2,$B75)),_xll.VoseSimPercentile(PNPV_2,$B75),NA())</f>
        <v>3.2915160547763094</v>
      </c>
      <c r="F75" s="79" cm="1">
        <f t="array" aca="1" ref="F75" ca="1">IF(ISNUMBER(_xll.VoseSimPercentile(PNPV_3,$B75)),_xll.VoseSimPercentile(PNPV_3,$B75),NA())</f>
        <v>8.343646949967507</v>
      </c>
      <c r="G75" s="79" cm="1">
        <f t="array" aca="1" ref="G75" ca="1">IF(ISNUMBER(_xll.VoseSimPercentile(PNPV_4,$B75)),_xll.VoseSimPercentile(PNPV_4,$B75),NA())</f>
        <v>-93.164788468374383</v>
      </c>
    </row>
    <row r="76" spans="2:7" hidden="1" outlineLevel="1" x14ac:dyDescent="0.45">
      <c r="B76" s="78">
        <v>0.33</v>
      </c>
      <c r="C76" s="78">
        <f t="shared" si="1"/>
        <v>0.66999999999999993</v>
      </c>
      <c r="D76" s="79" cm="1">
        <f t="array" aca="1" ref="D76" ca="1">IF(ISNUMBER(_xll.VoseSimPercentile(PNPV_1,$B76)),_xll.VoseSimPercentile(PNPV_1,$B76),NA())</f>
        <v>24.107006828107927</v>
      </c>
      <c r="E76" s="79" cm="1">
        <f t="array" aca="1" ref="E76" ca="1">IF(ISNUMBER(_xll.VoseSimPercentile(PNPV_2,$B76)),_xll.VoseSimPercentile(PNPV_2,$B76),NA())</f>
        <v>45.495797154705116</v>
      </c>
      <c r="F76" s="79" cm="1">
        <f t="array" aca="1" ref="F76" ca="1">IF(ISNUMBER(_xll.VoseSimPercentile(PNPV_3,$B76)),_xll.VoseSimPercentile(PNPV_3,$B76),NA())</f>
        <v>45.472539995701368</v>
      </c>
      <c r="G76" s="79" cm="1">
        <f t="array" aca="1" ref="G76" ca="1">IF(ISNUMBER(_xll.VoseSimPercentile(PNPV_4,$B76)),_xll.VoseSimPercentile(PNPV_4,$B76),NA())</f>
        <v>-42.008556314153083</v>
      </c>
    </row>
    <row r="77" spans="2:7" hidden="1" outlineLevel="1" x14ac:dyDescent="0.45">
      <c r="B77" s="78">
        <v>0.35</v>
      </c>
      <c r="C77" s="78">
        <f t="shared" si="1"/>
        <v>0.65</v>
      </c>
      <c r="D77" s="79" cm="1">
        <f t="array" aca="1" ref="D77" ca="1">IF(ISNUMBER(_xll.VoseSimPercentile(PNPV_1,$B77)),_xll.VoseSimPercentile(PNPV_1,$B77),NA())</f>
        <v>73.558750129877055</v>
      </c>
      <c r="E77" s="79" cm="1">
        <f t="array" aca="1" ref="E77" ca="1">IF(ISNUMBER(_xll.VoseSimPercentile(PNPV_2,$B77)),_xll.VoseSimPercentile(PNPV_2,$B77),NA())</f>
        <v>88.598499426539277</v>
      </c>
      <c r="F77" s="79" cm="1">
        <f t="array" aca="1" ref="F77" ca="1">IF(ISNUMBER(_xll.VoseSimPercentile(PNPV_3,$B77)),_xll.VoseSimPercentile(PNPV_3,$B77),NA())</f>
        <v>85.486427893458938</v>
      </c>
      <c r="G77" s="79" cm="1">
        <f t="array" aca="1" ref="G77" ca="1">IF(ISNUMBER(_xll.VoseSimPercentile(PNPV_4,$B77)),_xll.VoseSimPercentile(PNPV_4,$B77),NA())</f>
        <v>2.8828949901497936</v>
      </c>
    </row>
    <row r="78" spans="2:7" hidden="1" outlineLevel="1" x14ac:dyDescent="0.45">
      <c r="B78" s="78">
        <v>0.37</v>
      </c>
      <c r="C78" s="78">
        <f t="shared" si="1"/>
        <v>0.63</v>
      </c>
      <c r="D78" s="79" cm="1">
        <f t="array" aca="1" ref="D78" ca="1">IF(ISNUMBER(_xll.VoseSimPercentile(PNPV_1,$B78)),_xll.VoseSimPercentile(PNPV_1,$B78),NA())</f>
        <v>123.85379101655326</v>
      </c>
      <c r="E78" s="79" cm="1">
        <f t="array" aca="1" ref="E78" ca="1">IF(ISNUMBER(_xll.VoseSimPercentile(PNPV_2,$B78)),_xll.VoseSimPercentile(PNPV_2,$B78),NA())</f>
        <v>128.40471762510271</v>
      </c>
      <c r="F78" s="79" cm="1">
        <f t="array" aca="1" ref="F78" ca="1">IF(ISNUMBER(_xll.VoseSimPercentile(PNPV_3,$B78)),_xll.VoseSimPercentile(PNPV_3,$B78),NA())</f>
        <v>127.66936865000037</v>
      </c>
      <c r="G78" s="79" cm="1">
        <f t="array" aca="1" ref="G78" ca="1">IF(ISNUMBER(_xll.VoseSimPercentile(PNPV_4,$B78)),_xll.VoseSimPercentile(PNPV_4,$B78),NA())</f>
        <v>50.250622041307821</v>
      </c>
    </row>
    <row r="79" spans="2:7" hidden="1" outlineLevel="1" x14ac:dyDescent="0.45">
      <c r="B79" s="78">
        <v>0.39</v>
      </c>
      <c r="C79" s="78">
        <f t="shared" si="1"/>
        <v>0.61</v>
      </c>
      <c r="D79" s="79" cm="1">
        <f t="array" aca="1" ref="D79" ca="1">IF(ISNUMBER(_xll.VoseSimPercentile(PNPV_1,$B79)),_xll.VoseSimPercentile(PNPV_1,$B79),NA())</f>
        <v>170.48232989618279</v>
      </c>
      <c r="E79" s="79" cm="1">
        <f t="array" aca="1" ref="E79" ca="1">IF(ISNUMBER(_xll.VoseSimPercentile(PNPV_2,$B79)),_xll.VoseSimPercentile(PNPV_2,$B79),NA())</f>
        <v>177.61639090866916</v>
      </c>
      <c r="F79" s="79" cm="1">
        <f t="array" aca="1" ref="F79" ca="1">IF(ISNUMBER(_xll.VoseSimPercentile(PNPV_3,$B79)),_xll.VoseSimPercentile(PNPV_3,$B79),NA())</f>
        <v>172.21089135447286</v>
      </c>
      <c r="G79" s="79" cm="1">
        <f t="array" aca="1" ref="G79" ca="1">IF(ISNUMBER(_xll.VoseSimPercentile(PNPV_4,$B79)),_xll.VoseSimPercentile(PNPV_4,$B79),NA())</f>
        <v>96.517668806530025</v>
      </c>
    </row>
    <row r="80" spans="2:7" hidden="1" outlineLevel="1" x14ac:dyDescent="0.45">
      <c r="B80" s="78">
        <v>0.41</v>
      </c>
      <c r="C80" s="78">
        <f t="shared" si="1"/>
        <v>0.59000000000000008</v>
      </c>
      <c r="D80" s="79" cm="1">
        <f t="array" aca="1" ref="D80" ca="1">IF(ISNUMBER(_xll.VoseSimPercentile(PNPV_1,$B80)),_xll.VoseSimPercentile(PNPV_1,$B80),NA())</f>
        <v>215.07241158419652</v>
      </c>
      <c r="E80" s="79" cm="1">
        <f t="array" aca="1" ref="E80" ca="1">IF(ISNUMBER(_xll.VoseSimPercentile(PNPV_2,$B80)),_xll.VoseSimPercentile(PNPV_2,$B80),NA())</f>
        <v>227.68538797506676</v>
      </c>
      <c r="F80" s="79" cm="1">
        <f t="array" aca="1" ref="F80" ca="1">IF(ISNUMBER(_xll.VoseSimPercentile(PNPV_3,$B80)),_xll.VoseSimPercentile(PNPV_3,$B80),NA())</f>
        <v>213.77179525070039</v>
      </c>
      <c r="G80" s="79" cm="1">
        <f t="array" aca="1" ref="G80" ca="1">IF(ISNUMBER(_xll.VoseSimPercentile(PNPV_4,$B80)),_xll.VoseSimPercentile(PNPV_4,$B80),NA())</f>
        <v>143.82138240134324</v>
      </c>
    </row>
    <row r="81" spans="2:7" hidden="1" outlineLevel="1" x14ac:dyDescent="0.45">
      <c r="B81" s="78">
        <v>0.43</v>
      </c>
      <c r="C81" s="78">
        <f t="shared" si="1"/>
        <v>0.57000000000000006</v>
      </c>
      <c r="D81" s="79" cm="1">
        <f t="array" aca="1" ref="D81" ca="1">IF(ISNUMBER(_xll.VoseSimPercentile(PNPV_1,$B81)),_xll.VoseSimPercentile(PNPV_1,$B81),NA())</f>
        <v>254.48170883414758</v>
      </c>
      <c r="E81" s="79" cm="1">
        <f t="array" aca="1" ref="E81" ca="1">IF(ISNUMBER(_xll.VoseSimPercentile(PNPV_2,$B81)),_xll.VoseSimPercentile(PNPV_2,$B81),NA())</f>
        <v>273.23128779170315</v>
      </c>
      <c r="F81" s="79" cm="1">
        <f t="array" aca="1" ref="F81" ca="1">IF(ISNUMBER(_xll.VoseSimPercentile(PNPV_3,$B81)),_xll.VoseSimPercentile(PNPV_3,$B81),NA())</f>
        <v>263.27972413334152</v>
      </c>
      <c r="G81" s="79" cm="1">
        <f t="array" aca="1" ref="G81" ca="1">IF(ISNUMBER(_xll.VoseSimPercentile(PNPV_4,$B81)),_xll.VoseSimPercentile(PNPV_4,$B81),NA())</f>
        <v>195.74847183484803</v>
      </c>
    </row>
    <row r="82" spans="2:7" hidden="1" outlineLevel="1" x14ac:dyDescent="0.45">
      <c r="B82" s="78">
        <v>0.45</v>
      </c>
      <c r="C82" s="78">
        <f t="shared" si="1"/>
        <v>0.55000000000000004</v>
      </c>
      <c r="D82" s="79" cm="1">
        <f t="array" aca="1" ref="D82" ca="1">IF(ISNUMBER(_xll.VoseSimPercentile(PNPV_1,$B82)),_xll.VoseSimPercentile(PNPV_1,$B82),NA())</f>
        <v>301.4567606055283</v>
      </c>
      <c r="E82" s="79" cm="1">
        <f t="array" aca="1" ref="E82" ca="1">IF(ISNUMBER(_xll.VoseSimPercentile(PNPV_2,$B82)),_xll.VoseSimPercentile(PNPV_2,$B82),NA())</f>
        <v>320.69660103677563</v>
      </c>
      <c r="F82" s="79" cm="1">
        <f t="array" aca="1" ref="F82" ca="1">IF(ISNUMBER(_xll.VoseSimPercentile(PNPV_3,$B82)),_xll.VoseSimPercentile(PNPV_3,$B82),NA())</f>
        <v>304.62142513753133</v>
      </c>
      <c r="G82" s="79" cm="1">
        <f t="array" aca="1" ref="G82" ca="1">IF(ISNUMBER(_xll.VoseSimPercentile(PNPV_4,$B82)),_xll.VoseSimPercentile(PNPV_4,$B82),NA())</f>
        <v>247.57499333170497</v>
      </c>
    </row>
    <row r="83" spans="2:7" hidden="1" outlineLevel="1" x14ac:dyDescent="0.45">
      <c r="B83" s="78">
        <v>0.47</v>
      </c>
      <c r="C83" s="78">
        <f t="shared" si="1"/>
        <v>0.53</v>
      </c>
      <c r="D83" s="79" cm="1">
        <f t="array" aca="1" ref="D83" ca="1">IF(ISNUMBER(_xll.VoseSimPercentile(PNPV_1,$B83)),_xll.VoseSimPercentile(PNPV_1,$B83),NA())</f>
        <v>349.64489935149453</v>
      </c>
      <c r="E83" s="79" cm="1">
        <f t="array" aca="1" ref="E83" ca="1">IF(ISNUMBER(_xll.VoseSimPercentile(PNPV_2,$B83)),_xll.VoseSimPercentile(PNPV_2,$B83),NA())</f>
        <v>365.29978497326755</v>
      </c>
      <c r="F83" s="79" cm="1">
        <f t="array" aca="1" ref="F83" ca="1">IF(ISNUMBER(_xll.VoseSimPercentile(PNPV_3,$B83)),_xll.VoseSimPercentile(PNPV_3,$B83),NA())</f>
        <v>348.65226843613783</v>
      </c>
      <c r="G83" s="79" cm="1">
        <f t="array" aca="1" ref="G83" ca="1">IF(ISNUMBER(_xll.VoseSimPercentile(PNPV_4,$B83)),_xll.VoseSimPercentile(PNPV_4,$B83),NA())</f>
        <v>301.05733268971562</v>
      </c>
    </row>
    <row r="84" spans="2:7" hidden="1" outlineLevel="1" x14ac:dyDescent="0.45">
      <c r="B84" s="78">
        <v>0.49</v>
      </c>
      <c r="C84" s="78">
        <f t="shared" si="1"/>
        <v>0.51</v>
      </c>
      <c r="D84" s="79" cm="1">
        <f t="array" aca="1" ref="D84" ca="1">IF(ISNUMBER(_xll.VoseSimPercentile(PNPV_1,$B84)),_xll.VoseSimPercentile(PNPV_1,$B84),NA())</f>
        <v>391.98242922340637</v>
      </c>
      <c r="E84" s="79" cm="1">
        <f t="array" aca="1" ref="E84" ca="1">IF(ISNUMBER(_xll.VoseSimPercentile(PNPV_2,$B84)),_xll.VoseSimPercentile(PNPV_2,$B84),NA())</f>
        <v>402.88473413878199</v>
      </c>
      <c r="F84" s="79" cm="1">
        <f t="array" aca="1" ref="F84" ca="1">IF(ISNUMBER(_xll.VoseSimPercentile(PNPV_3,$B84)),_xll.VoseSimPercentile(PNPV_3,$B84),NA())</f>
        <v>391.51366332957639</v>
      </c>
      <c r="G84" s="79" cm="1">
        <f t="array" aca="1" ref="G84" ca="1">IF(ISNUMBER(_xll.VoseSimPercentile(PNPV_4,$B84)),_xll.VoseSimPercentile(PNPV_4,$B84),NA())</f>
        <v>350.19147868254652</v>
      </c>
    </row>
    <row r="85" spans="2:7" hidden="1" outlineLevel="1" x14ac:dyDescent="0.45">
      <c r="B85" s="78">
        <v>0.51</v>
      </c>
      <c r="C85" s="78">
        <f t="shared" si="1"/>
        <v>0.49</v>
      </c>
      <c r="D85" s="79" cm="1">
        <f t="array" aca="1" ref="D85" ca="1">IF(ISNUMBER(_xll.VoseSimPercentile(PNPV_1,$B85)),_xll.VoseSimPercentile(PNPV_1,$B85),NA())</f>
        <v>438.17039212577254</v>
      </c>
      <c r="E85" s="79" cm="1">
        <f t="array" aca="1" ref="E85" ca="1">IF(ISNUMBER(_xll.VoseSimPercentile(PNPV_2,$B85)),_xll.VoseSimPercentile(PNPV_2,$B85),NA())</f>
        <v>442.84642611951745</v>
      </c>
      <c r="F85" s="79" cm="1">
        <f t="array" aca="1" ref="F85" ca="1">IF(ISNUMBER(_xll.VoseSimPercentile(PNPV_3,$B85)),_xll.VoseSimPercentile(PNPV_3,$B85),NA())</f>
        <v>433.79377784134147</v>
      </c>
      <c r="G85" s="79" cm="1">
        <f t="array" aca="1" ref="G85" ca="1">IF(ISNUMBER(_xll.VoseSimPercentile(PNPV_4,$B85)),_xll.VoseSimPercentile(PNPV_4,$B85),NA())</f>
        <v>395.4082994087637</v>
      </c>
    </row>
    <row r="86" spans="2:7" hidden="1" outlineLevel="1" x14ac:dyDescent="0.45">
      <c r="B86" s="78">
        <v>0.53</v>
      </c>
      <c r="C86" s="78">
        <f t="shared" si="1"/>
        <v>0.47</v>
      </c>
      <c r="D86" s="79" cm="1">
        <f t="array" aca="1" ref="D86" ca="1">IF(ISNUMBER(_xll.VoseSimPercentile(PNPV_1,$B86)),_xll.VoseSimPercentile(PNPV_1,$B86),NA())</f>
        <v>490.29422440819218</v>
      </c>
      <c r="E86" s="79" cm="1">
        <f t="array" aca="1" ref="E86" ca="1">IF(ISNUMBER(_xll.VoseSimPercentile(PNPV_2,$B86)),_xll.VoseSimPercentile(PNPV_2,$B86),NA())</f>
        <v>488.95596974370017</v>
      </c>
      <c r="F86" s="79" cm="1">
        <f t="array" aca="1" ref="F86" ca="1">IF(ISNUMBER(_xll.VoseSimPercentile(PNPV_3,$B86)),_xll.VoseSimPercentile(PNPV_3,$B86),NA())</f>
        <v>475.74507318616622</v>
      </c>
      <c r="G86" s="79" cm="1">
        <f t="array" aca="1" ref="G86" ca="1">IF(ISNUMBER(_xll.VoseSimPercentile(PNPV_4,$B86)),_xll.VoseSimPercentile(PNPV_4,$B86),NA())</f>
        <v>436.40655410397113</v>
      </c>
    </row>
    <row r="87" spans="2:7" hidden="1" outlineLevel="1" x14ac:dyDescent="0.45">
      <c r="B87" s="78">
        <v>0.55000000000000004</v>
      </c>
      <c r="C87" s="78">
        <f t="shared" si="1"/>
        <v>0.44999999999999996</v>
      </c>
      <c r="D87" s="79" cm="1">
        <f t="array" aca="1" ref="D87" ca="1">IF(ISNUMBER(_xll.VoseSimPercentile(PNPV_1,$B87)),_xll.VoseSimPercentile(PNPV_1,$B87),NA())</f>
        <v>537.34012724947684</v>
      </c>
      <c r="E87" s="79" cm="1">
        <f t="array" aca="1" ref="E87" ca="1">IF(ISNUMBER(_xll.VoseSimPercentile(PNPV_2,$B87)),_xll.VoseSimPercentile(PNPV_2,$B87),NA())</f>
        <v>539.02106985327407</v>
      </c>
      <c r="F87" s="79" cm="1">
        <f t="array" aca="1" ref="F87" ca="1">IF(ISNUMBER(_xll.VoseSimPercentile(PNPV_3,$B87)),_xll.VoseSimPercentile(PNPV_3,$B87),NA())</f>
        <v>519.25910867777827</v>
      </c>
      <c r="G87" s="79" cm="1">
        <f t="array" aca="1" ref="G87" ca="1">IF(ISNUMBER(_xll.VoseSimPercentile(PNPV_4,$B87)),_xll.VoseSimPercentile(PNPV_4,$B87),NA())</f>
        <v>481.46129257828113</v>
      </c>
    </row>
    <row r="88" spans="2:7" hidden="1" outlineLevel="1" x14ac:dyDescent="0.45">
      <c r="B88" s="78">
        <v>0.56999999999999995</v>
      </c>
      <c r="C88" s="78">
        <f t="shared" si="1"/>
        <v>0.43000000000000005</v>
      </c>
      <c r="D88" s="79" cm="1">
        <f t="array" aca="1" ref="D88" ca="1">IF(ISNUMBER(_xll.VoseSimPercentile(PNPV_1,$B88)),_xll.VoseSimPercentile(PNPV_1,$B88),NA())</f>
        <v>578.94014214278479</v>
      </c>
      <c r="E88" s="79" cm="1">
        <f t="array" aca="1" ref="E88" ca="1">IF(ISNUMBER(_xll.VoseSimPercentile(PNPV_2,$B88)),_xll.VoseSimPercentile(PNPV_2,$B88),NA())</f>
        <v>586.62092267981848</v>
      </c>
      <c r="F88" s="79" cm="1">
        <f t="array" aca="1" ref="F88" ca="1">IF(ISNUMBER(_xll.VoseSimPercentile(PNPV_3,$B88)),_xll.VoseSimPercentile(PNPV_3,$B88),NA())</f>
        <v>570.17024976374353</v>
      </c>
      <c r="G88" s="79" cm="1">
        <f t="array" aca="1" ref="G88" ca="1">IF(ISNUMBER(_xll.VoseSimPercentile(PNPV_4,$B88)),_xll.VoseSimPercentile(PNPV_4,$B88),NA())</f>
        <v>527.61884879801028</v>
      </c>
    </row>
    <row r="89" spans="2:7" hidden="1" outlineLevel="1" x14ac:dyDescent="0.45">
      <c r="B89" s="78">
        <v>0.59</v>
      </c>
      <c r="C89" s="78">
        <f t="shared" si="1"/>
        <v>0.41000000000000003</v>
      </c>
      <c r="D89" s="79" cm="1">
        <f t="array" aca="1" ref="D89" ca="1">IF(ISNUMBER(_xll.VoseSimPercentile(PNPV_1,$B89)),_xll.VoseSimPercentile(PNPV_1,$B89),NA())</f>
        <v>631.04670602245665</v>
      </c>
      <c r="E89" s="79" cm="1">
        <f t="array" aca="1" ref="E89" ca="1">IF(ISNUMBER(_xll.VoseSimPercentile(PNPV_2,$B89)),_xll.VoseSimPercentile(PNPV_2,$B89),NA())</f>
        <v>633.3830842012834</v>
      </c>
      <c r="F89" s="79" cm="1">
        <f t="array" aca="1" ref="F89" ca="1">IF(ISNUMBER(_xll.VoseSimPercentile(PNPV_3,$B89)),_xll.VoseSimPercentile(PNPV_3,$B89),NA())</f>
        <v>616.98899196274317</v>
      </c>
      <c r="G89" s="79" cm="1">
        <f t="array" aca="1" ref="G89" ca="1">IF(ISNUMBER(_xll.VoseSimPercentile(PNPV_4,$B89)),_xll.VoseSimPercentile(PNPV_4,$B89),NA())</f>
        <v>575.45071209905177</v>
      </c>
    </row>
    <row r="90" spans="2:7" hidden="1" outlineLevel="1" x14ac:dyDescent="0.45">
      <c r="B90" s="78">
        <v>0.61</v>
      </c>
      <c r="C90" s="78">
        <f t="shared" si="1"/>
        <v>0.39</v>
      </c>
      <c r="D90" s="79" cm="1">
        <f t="array" aca="1" ref="D90" ca="1">IF(ISNUMBER(_xll.VoseSimPercentile(PNPV_1,$B90)),_xll.VoseSimPercentile(PNPV_1,$B90),NA())</f>
        <v>675.69705311903863</v>
      </c>
      <c r="E90" s="79" cm="1">
        <f t="array" aca="1" ref="E90" ca="1">IF(ISNUMBER(_xll.VoseSimPercentile(PNPV_2,$B90)),_xll.VoseSimPercentile(PNPV_2,$B90),NA())</f>
        <v>682.91705690855588</v>
      </c>
      <c r="F90" s="79" cm="1">
        <f t="array" aca="1" ref="F90" ca="1">IF(ISNUMBER(_xll.VoseSimPercentile(PNPV_3,$B90)),_xll.VoseSimPercentile(PNPV_3,$B90),NA())</f>
        <v>660.19219270962515</v>
      </c>
      <c r="G90" s="79" cm="1">
        <f t="array" aca="1" ref="G90" ca="1">IF(ISNUMBER(_xll.VoseSimPercentile(PNPV_4,$B90)),_xll.VoseSimPercentile(PNPV_4,$B90),NA())</f>
        <v>621.77135331237969</v>
      </c>
    </row>
    <row r="91" spans="2:7" hidden="1" outlineLevel="1" x14ac:dyDescent="0.45">
      <c r="B91" s="78">
        <v>0.63</v>
      </c>
      <c r="C91" s="78">
        <f t="shared" si="1"/>
        <v>0.37</v>
      </c>
      <c r="D91" s="79" cm="1">
        <f t="array" aca="1" ref="D91" ca="1">IF(ISNUMBER(_xll.VoseSimPercentile(PNPV_1,$B91)),_xll.VoseSimPercentile(PNPV_1,$B91),NA())</f>
        <v>722.06073918657376</v>
      </c>
      <c r="E91" s="79" cm="1">
        <f t="array" aca="1" ref="E91" ca="1">IF(ISNUMBER(_xll.VoseSimPercentile(PNPV_2,$B91)),_xll.VoseSimPercentile(PNPV_2,$B91),NA())</f>
        <v>723.74952182451079</v>
      </c>
      <c r="F91" s="79" cm="1">
        <f t="array" aca="1" ref="F91" ca="1">IF(ISNUMBER(_xll.VoseSimPercentile(PNPV_3,$B91)),_xll.VoseSimPercentile(PNPV_3,$B91),NA())</f>
        <v>711.77572359710325</v>
      </c>
      <c r="G91" s="79" cm="1">
        <f t="array" aca="1" ref="G91" ca="1">IF(ISNUMBER(_xll.VoseSimPercentile(PNPV_4,$B91)),_xll.VoseSimPercentile(PNPV_4,$B91),NA())</f>
        <v>664.0287118005499</v>
      </c>
    </row>
    <row r="92" spans="2:7" hidden="1" outlineLevel="1" x14ac:dyDescent="0.45">
      <c r="B92" s="78">
        <v>0.65</v>
      </c>
      <c r="C92" s="78">
        <f t="shared" ref="C92:C123" si="2">1-B92</f>
        <v>0.35</v>
      </c>
      <c r="D92" s="79" cm="1">
        <f t="array" aca="1" ref="D92" ca="1">IF(ISNUMBER(_xll.VoseSimPercentile(PNPV_1,$B92)),_xll.VoseSimPercentile(PNPV_1,$B92),NA())</f>
        <v>776.27287757917588</v>
      </c>
      <c r="E92" s="79" cm="1">
        <f t="array" aca="1" ref="E92" ca="1">IF(ISNUMBER(_xll.VoseSimPercentile(PNPV_2,$B92)),_xll.VoseSimPercentile(PNPV_2,$B92),NA())</f>
        <v>767.42312654451075</v>
      </c>
      <c r="F92" s="79" cm="1">
        <f t="array" aca="1" ref="F92" ca="1">IF(ISNUMBER(_xll.VoseSimPercentile(PNPV_3,$B92)),_xll.VoseSimPercentile(PNPV_3,$B92),NA())</f>
        <v>754.30370491608323</v>
      </c>
      <c r="G92" s="79" cm="1">
        <f t="array" aca="1" ref="G92" ca="1">IF(ISNUMBER(_xll.VoseSimPercentile(PNPV_4,$B92)),_xll.VoseSimPercentile(PNPV_4,$B92),NA())</f>
        <v>706.10316742523207</v>
      </c>
    </row>
    <row r="93" spans="2:7" hidden="1" outlineLevel="1" x14ac:dyDescent="0.45">
      <c r="B93" s="78">
        <v>0.67</v>
      </c>
      <c r="C93" s="78">
        <f t="shared" si="2"/>
        <v>0.32999999999999996</v>
      </c>
      <c r="D93" s="79" cm="1">
        <f t="array" aca="1" ref="D93" ca="1">IF(ISNUMBER(_xll.VoseSimPercentile(PNPV_1,$B93)),_xll.VoseSimPercentile(PNPV_1,$B93),NA())</f>
        <v>837.08987696148699</v>
      </c>
      <c r="E93" s="79" cm="1">
        <f t="array" aca="1" ref="E93" ca="1">IF(ISNUMBER(_xll.VoseSimPercentile(PNPV_2,$B93)),_xll.VoseSimPercentile(PNPV_2,$B93),NA())</f>
        <v>813.98799128149881</v>
      </c>
      <c r="F93" s="79" cm="1">
        <f t="array" aca="1" ref="F93" ca="1">IF(ISNUMBER(_xll.VoseSimPercentile(PNPV_3,$B93)),_xll.VoseSimPercentile(PNPV_3,$B93),NA())</f>
        <v>797.81286653989969</v>
      </c>
      <c r="G93" s="79" cm="1">
        <f t="array" aca="1" ref="G93" ca="1">IF(ISNUMBER(_xll.VoseSimPercentile(PNPV_4,$B93)),_xll.VoseSimPercentile(PNPV_4,$B93),NA())</f>
        <v>746.93689162370458</v>
      </c>
    </row>
    <row r="94" spans="2:7" hidden="1" outlineLevel="1" x14ac:dyDescent="0.45">
      <c r="B94" s="78">
        <v>0.69</v>
      </c>
      <c r="C94" s="78">
        <f t="shared" si="2"/>
        <v>0.31000000000000005</v>
      </c>
      <c r="D94" s="79" cm="1">
        <f t="array" aca="1" ref="D94" ca="1">IF(ISNUMBER(_xll.VoseSimPercentile(PNPV_1,$B94)),_xll.VoseSimPercentile(PNPV_1,$B94),NA())</f>
        <v>888.6604522441296</v>
      </c>
      <c r="E94" s="79" cm="1">
        <f t="array" aca="1" ref="E94" ca="1">IF(ISNUMBER(_xll.VoseSimPercentile(PNPV_2,$B94)),_xll.VoseSimPercentile(PNPV_2,$B94),NA())</f>
        <v>865.99450095966347</v>
      </c>
      <c r="F94" s="79" cm="1">
        <f t="array" aca="1" ref="F94" ca="1">IF(ISNUMBER(_xll.VoseSimPercentile(PNPV_3,$B94)),_xll.VoseSimPercentile(PNPV_3,$B94),NA())</f>
        <v>840.84245662207763</v>
      </c>
      <c r="G94" s="79" cm="1">
        <f t="array" aca="1" ref="G94" ca="1">IF(ISNUMBER(_xll.VoseSimPercentile(PNPV_4,$B94)),_xll.VoseSimPercentile(PNPV_4,$B94),NA())</f>
        <v>796.44937873192691</v>
      </c>
    </row>
    <row r="95" spans="2:7" hidden="1" outlineLevel="1" x14ac:dyDescent="0.45">
      <c r="B95" s="78">
        <v>0.71</v>
      </c>
      <c r="C95" s="78">
        <f t="shared" si="2"/>
        <v>0.29000000000000004</v>
      </c>
      <c r="D95" s="79" cm="1">
        <f t="array" aca="1" ref="D95" ca="1">IF(ISNUMBER(_xll.VoseSimPercentile(PNPV_1,$B95)),_xll.VoseSimPercentile(PNPV_1,$B95),NA())</f>
        <v>942.15234407322271</v>
      </c>
      <c r="E95" s="79" cm="1">
        <f t="array" aca="1" ref="E95" ca="1">IF(ISNUMBER(_xll.VoseSimPercentile(PNPV_2,$B95)),_xll.VoseSimPercentile(PNPV_2,$B95),NA())</f>
        <v>916.46101369489406</v>
      </c>
      <c r="F95" s="79" cm="1">
        <f t="array" aca="1" ref="F95" ca="1">IF(ISNUMBER(_xll.VoseSimPercentile(PNPV_3,$B95)),_xll.VoseSimPercentile(PNPV_3,$B95),NA())</f>
        <v>888.60230519862671</v>
      </c>
      <c r="G95" s="79" cm="1">
        <f t="array" aca="1" ref="G95" ca="1">IF(ISNUMBER(_xll.VoseSimPercentile(PNPV_4,$B95)),_xll.VoseSimPercentile(PNPV_4,$B95),NA())</f>
        <v>838.98232747846509</v>
      </c>
    </row>
    <row r="96" spans="2:7" hidden="1" outlineLevel="1" x14ac:dyDescent="0.45">
      <c r="B96" s="78">
        <v>0.73</v>
      </c>
      <c r="C96" s="78">
        <f t="shared" si="2"/>
        <v>0.27</v>
      </c>
      <c r="D96" s="79" cm="1">
        <f t="array" aca="1" ref="D96" ca="1">IF(ISNUMBER(_xll.VoseSimPercentile(PNPV_1,$B96)),_xll.VoseSimPercentile(PNPV_1,$B96),NA())</f>
        <v>998.52258746688517</v>
      </c>
      <c r="E96" s="79" cm="1">
        <f t="array" aca="1" ref="E96" ca="1">IF(ISNUMBER(_xll.VoseSimPercentile(PNPV_2,$B96)),_xll.VoseSimPercentile(PNPV_2,$B96),NA())</f>
        <v>968.7121392137841</v>
      </c>
      <c r="F96" s="79" cm="1">
        <f t="array" aca="1" ref="F96" ca="1">IF(ISNUMBER(_xll.VoseSimPercentile(PNPV_3,$B96)),_xll.VoseSimPercentile(PNPV_3,$B96),NA())</f>
        <v>938.9433145254759</v>
      </c>
      <c r="G96" s="79" cm="1">
        <f t="array" aca="1" ref="G96" ca="1">IF(ISNUMBER(_xll.VoseSimPercentile(PNPV_4,$B96)),_xll.VoseSimPercentile(PNPV_4,$B96),NA())</f>
        <v>885.4496240318947</v>
      </c>
    </row>
    <row r="97" spans="2:7" hidden="1" outlineLevel="1" x14ac:dyDescent="0.45">
      <c r="B97" s="78">
        <v>0.75</v>
      </c>
      <c r="C97" s="78">
        <f t="shared" si="2"/>
        <v>0.25</v>
      </c>
      <c r="D97" s="79" cm="1">
        <f t="array" aca="1" ref="D97" ca="1">IF(ISNUMBER(_xll.VoseSimPercentile(PNPV_1,$B97)),_xll.VoseSimPercentile(PNPV_1,$B97),NA())</f>
        <v>1059.4838827468047</v>
      </c>
      <c r="E97" s="79" cm="1">
        <f t="array" aca="1" ref="E97" ca="1">IF(ISNUMBER(_xll.VoseSimPercentile(PNPV_2,$B97)),_xll.VoseSimPercentile(PNPV_2,$B97),NA())</f>
        <v>1028.741572685236</v>
      </c>
      <c r="F97" s="79" cm="1">
        <f t="array" aca="1" ref="F97" ca="1">IF(ISNUMBER(_xll.VoseSimPercentile(PNPV_3,$B97)),_xll.VoseSimPercentile(PNPV_3,$B97),NA())</f>
        <v>984.96849902754229</v>
      </c>
      <c r="G97" s="79" cm="1">
        <f t="array" aca="1" ref="G97" ca="1">IF(ISNUMBER(_xll.VoseSimPercentile(PNPV_4,$B97)),_xll.VoseSimPercentile(PNPV_4,$B97),NA())</f>
        <v>933.53791080702172</v>
      </c>
    </row>
    <row r="98" spans="2:7" hidden="1" outlineLevel="1" x14ac:dyDescent="0.45">
      <c r="B98" s="78">
        <v>0.77</v>
      </c>
      <c r="C98" s="78">
        <f t="shared" si="2"/>
        <v>0.22999999999999998</v>
      </c>
      <c r="D98" s="79" cm="1">
        <f t="array" aca="1" ref="D98" ca="1">IF(ISNUMBER(_xll.VoseSimPercentile(PNPV_1,$B98)),_xll.VoseSimPercentile(PNPV_1,$B98),NA())</f>
        <v>1135.3303708043507</v>
      </c>
      <c r="E98" s="79" cm="1">
        <f t="array" aca="1" ref="E98" ca="1">IF(ISNUMBER(_xll.VoseSimPercentile(PNPV_2,$B98)),_xll.VoseSimPercentile(PNPV_2,$B98),NA())</f>
        <v>1089.365502703587</v>
      </c>
      <c r="F98" s="79" cm="1">
        <f t="array" aca="1" ref="F98" ca="1">IF(ISNUMBER(_xll.VoseSimPercentile(PNPV_3,$B98)),_xll.VoseSimPercentile(PNPV_3,$B98),NA())</f>
        <v>1044.9489759231571</v>
      </c>
      <c r="G98" s="79" cm="1">
        <f t="array" aca="1" ref="G98" ca="1">IF(ISNUMBER(_xll.VoseSimPercentile(PNPV_4,$B98)),_xll.VoseSimPercentile(PNPV_4,$B98),NA())</f>
        <v>984.9474483213852</v>
      </c>
    </row>
    <row r="99" spans="2:7" hidden="1" outlineLevel="1" x14ac:dyDescent="0.45">
      <c r="B99" s="78">
        <v>0.79</v>
      </c>
      <c r="C99" s="78">
        <f t="shared" si="2"/>
        <v>0.20999999999999996</v>
      </c>
      <c r="D99" s="79" cm="1">
        <f t="array" aca="1" ref="D99" ca="1">IF(ISNUMBER(_xll.VoseSimPercentile(PNPV_1,$B99)),_xll.VoseSimPercentile(PNPV_1,$B99),NA())</f>
        <v>1199.1410499845922</v>
      </c>
      <c r="E99" s="79" cm="1">
        <f t="array" aca="1" ref="E99" ca="1">IF(ISNUMBER(_xll.VoseSimPercentile(PNPV_2,$B99)),_xll.VoseSimPercentile(PNPV_2,$B99),NA())</f>
        <v>1150.822048725257</v>
      </c>
      <c r="F99" s="79" cm="1">
        <f t="array" aca="1" ref="F99" ca="1">IF(ISNUMBER(_xll.VoseSimPercentile(PNPV_3,$B99)),_xll.VoseSimPercentile(PNPV_3,$B99),NA())</f>
        <v>1103.7649230326974</v>
      </c>
      <c r="G99" s="79" cm="1">
        <f t="array" aca="1" ref="G99" ca="1">IF(ISNUMBER(_xll.VoseSimPercentile(PNPV_4,$B99)),_xll.VoseSimPercentile(PNPV_4,$B99),NA())</f>
        <v>1047.7509572167187</v>
      </c>
    </row>
    <row r="100" spans="2:7" hidden="1" outlineLevel="1" x14ac:dyDescent="0.45">
      <c r="B100" s="78">
        <v>0.81</v>
      </c>
      <c r="C100" s="78">
        <f t="shared" si="2"/>
        <v>0.18999999999999995</v>
      </c>
      <c r="D100" s="79" cm="1">
        <f t="array" aca="1" ref="D100" ca="1">IF(ISNUMBER(_xll.VoseSimPercentile(PNPV_1,$B100)),_xll.VoseSimPercentile(PNPV_1,$B100),NA())</f>
        <v>1274.7314469601326</v>
      </c>
      <c r="E100" s="79" cm="1">
        <f t="array" aca="1" ref="E100" ca="1">IF(ISNUMBER(_xll.VoseSimPercentile(PNPV_2,$B100)),_xll.VoseSimPercentile(PNPV_2,$B100),NA())</f>
        <v>1219.0591103226952</v>
      </c>
      <c r="F100" s="79" cm="1">
        <f t="array" aca="1" ref="F100" ca="1">IF(ISNUMBER(_xll.VoseSimPercentile(PNPV_3,$B100)),_xll.VoseSimPercentile(PNPV_3,$B100),NA())</f>
        <v>1166.9874190093772</v>
      </c>
      <c r="G100" s="79" cm="1">
        <f t="array" aca="1" ref="G100" ca="1">IF(ISNUMBER(_xll.VoseSimPercentile(PNPV_4,$B100)),_xll.VoseSimPercentile(PNPV_4,$B100),NA())</f>
        <v>1112.2292141633809</v>
      </c>
    </row>
    <row r="101" spans="2:7" hidden="1" outlineLevel="1" x14ac:dyDescent="0.45">
      <c r="B101" s="78">
        <v>0.83</v>
      </c>
      <c r="C101" s="78">
        <f t="shared" si="2"/>
        <v>0.17000000000000004</v>
      </c>
      <c r="D101" s="79" cm="1">
        <f t="array" aca="1" ref="D101" ca="1">IF(ISNUMBER(_xll.VoseSimPercentile(PNPV_1,$B101)),_xll.VoseSimPercentile(PNPV_1,$B101),NA())</f>
        <v>1355.9482788324253</v>
      </c>
      <c r="E101" s="79" cm="1">
        <f t="array" aca="1" ref="E101" ca="1">IF(ISNUMBER(_xll.VoseSimPercentile(PNPV_2,$B101)),_xll.VoseSimPercentile(PNPV_2,$B101),NA())</f>
        <v>1297.4023687139893</v>
      </c>
      <c r="F101" s="79" cm="1">
        <f t="array" aca="1" ref="F101" ca="1">IF(ISNUMBER(_xll.VoseSimPercentile(PNPV_3,$B101)),_xll.VoseSimPercentile(PNPV_3,$B101),NA())</f>
        <v>1233.361049161379</v>
      </c>
      <c r="G101" s="79" cm="1">
        <f t="array" aca="1" ref="G101" ca="1">IF(ISNUMBER(_xll.VoseSimPercentile(PNPV_4,$B101)),_xll.VoseSimPercentile(PNPV_4,$B101),NA())</f>
        <v>1182.0355115283151</v>
      </c>
    </row>
    <row r="102" spans="2:7" hidden="1" outlineLevel="1" x14ac:dyDescent="0.45">
      <c r="B102" s="78">
        <v>0.85</v>
      </c>
      <c r="C102" s="78">
        <f t="shared" si="2"/>
        <v>0.15000000000000002</v>
      </c>
      <c r="D102" s="79" cm="1">
        <f t="array" aca="1" ref="D102" ca="1">IF(ISNUMBER(_xll.VoseSimPercentile(PNPV_1,$B102)),_xll.VoseSimPercentile(PNPV_1,$B102),NA())</f>
        <v>1451.1736708701858</v>
      </c>
      <c r="E102" s="79" cm="1">
        <f t="array" aca="1" ref="E102" ca="1">IF(ISNUMBER(_xll.VoseSimPercentile(PNPV_2,$B102)),_xll.VoseSimPercentile(PNPV_2,$B102),NA())</f>
        <v>1375.2824289840619</v>
      </c>
      <c r="F102" s="79" cm="1">
        <f t="array" aca="1" ref="F102" ca="1">IF(ISNUMBER(_xll.VoseSimPercentile(PNPV_3,$B102)),_xll.VoseSimPercentile(PNPV_3,$B102),NA())</f>
        <v>1302.0626060341924</v>
      </c>
      <c r="G102" s="79" cm="1">
        <f t="array" aca="1" ref="G102" ca="1">IF(ISNUMBER(_xll.VoseSimPercentile(PNPV_4,$B102)),_xll.VoseSimPercentile(PNPV_4,$B102),NA())</f>
        <v>1257.3879922135618</v>
      </c>
    </row>
    <row r="103" spans="2:7" hidden="1" outlineLevel="1" x14ac:dyDescent="0.45">
      <c r="B103" s="78">
        <v>0.87</v>
      </c>
      <c r="C103" s="78">
        <f t="shared" si="2"/>
        <v>0.13</v>
      </c>
      <c r="D103" s="79" cm="1">
        <f t="array" aca="1" ref="D103" ca="1">IF(ISNUMBER(_xll.VoseSimPercentile(PNPV_1,$B103)),_xll.VoseSimPercentile(PNPV_1,$B103),NA())</f>
        <v>1559.4364963947821</v>
      </c>
      <c r="E103" s="79" cm="1">
        <f t="array" aca="1" ref="E103" ca="1">IF(ISNUMBER(_xll.VoseSimPercentile(PNPV_2,$B103)),_xll.VoseSimPercentile(PNPV_2,$B103),NA())</f>
        <v>1471.9882807509721</v>
      </c>
      <c r="F103" s="79" cm="1">
        <f t="array" aca="1" ref="F103" ca="1">IF(ISNUMBER(_xll.VoseSimPercentile(PNPV_3,$B103)),_xll.VoseSimPercentile(PNPV_3,$B103),NA())</f>
        <v>1393.1433639884776</v>
      </c>
      <c r="G103" s="79" cm="1">
        <f t="array" aca="1" ref="G103" ca="1">IF(ISNUMBER(_xll.VoseSimPercentile(PNPV_4,$B103)),_xll.VoseSimPercentile(PNPV_4,$B103),NA())</f>
        <v>1341.202185935927</v>
      </c>
    </row>
    <row r="104" spans="2:7" hidden="1" outlineLevel="1" x14ac:dyDescent="0.45">
      <c r="B104" s="78">
        <v>0.89</v>
      </c>
      <c r="C104" s="78">
        <f t="shared" si="2"/>
        <v>0.10999999999999999</v>
      </c>
      <c r="D104" s="79" cm="1">
        <f t="array" aca="1" ref="D104" ca="1">IF(ISNUMBER(_xll.VoseSimPercentile(PNPV_1,$B104)),_xll.VoseSimPercentile(PNPV_1,$B104),NA())</f>
        <v>1668.5715609772074</v>
      </c>
      <c r="E104" s="79" cm="1">
        <f t="array" aca="1" ref="E104" ca="1">IF(ISNUMBER(_xll.VoseSimPercentile(PNPV_2,$B104)),_xll.VoseSimPercentile(PNPV_2,$B104),NA())</f>
        <v>1567.6167049928581</v>
      </c>
      <c r="F104" s="79" cm="1">
        <f t="array" aca="1" ref="F104" ca="1">IF(ISNUMBER(_xll.VoseSimPercentile(PNPV_3,$B104)),_xll.VoseSimPercentile(PNPV_3,$B104),NA())</f>
        <v>1487.4130398937662</v>
      </c>
      <c r="G104" s="79" cm="1">
        <f t="array" aca="1" ref="G104" ca="1">IF(ISNUMBER(_xll.VoseSimPercentile(PNPV_4,$B104)),_xll.VoseSimPercentile(PNPV_4,$B104),NA())</f>
        <v>1448.2375620242633</v>
      </c>
    </row>
    <row r="105" spans="2:7" hidden="1" outlineLevel="1" x14ac:dyDescent="0.45">
      <c r="B105" s="78">
        <v>0.91</v>
      </c>
      <c r="C105" s="78">
        <f t="shared" si="2"/>
        <v>8.9999999999999969E-2</v>
      </c>
      <c r="D105" s="79" cm="1">
        <f t="array" aca="1" ref="D105" ca="1">IF(ISNUMBER(_xll.VoseSimPercentile(PNPV_1,$B105)),_xll.VoseSimPercentile(PNPV_1,$B105),NA())</f>
        <v>1798.8292681357034</v>
      </c>
      <c r="E105" s="79" cm="1">
        <f t="array" aca="1" ref="E105" ca="1">IF(ISNUMBER(_xll.VoseSimPercentile(PNPV_2,$B105)),_xll.VoseSimPercentile(PNPV_2,$B105),NA())</f>
        <v>1693.4103814352409</v>
      </c>
      <c r="F105" s="79" cm="1">
        <f t="array" aca="1" ref="F105" ca="1">IF(ISNUMBER(_xll.VoseSimPercentile(PNPV_3,$B105)),_xll.VoseSimPercentile(PNPV_3,$B105),NA())</f>
        <v>1594.4268777479322</v>
      </c>
      <c r="G105" s="79" cm="1">
        <f t="array" aca="1" ref="G105" ca="1">IF(ISNUMBER(_xll.VoseSimPercentile(PNPV_4,$B105)),_xll.VoseSimPercentile(PNPV_4,$B105),NA())</f>
        <v>1557.9454851751657</v>
      </c>
    </row>
    <row r="106" spans="2:7" hidden="1" outlineLevel="1" x14ac:dyDescent="0.45">
      <c r="B106" s="78">
        <v>0.93</v>
      </c>
      <c r="C106" s="78">
        <f t="shared" si="2"/>
        <v>6.9999999999999951E-2</v>
      </c>
      <c r="D106" s="79" cm="1">
        <f t="array" aca="1" ref="D106" ca="1">IF(ISNUMBER(_xll.VoseSimPercentile(PNPV_1,$B106)),_xll.VoseSimPercentile(PNPV_1,$B106),NA())</f>
        <v>1964.2949274996156</v>
      </c>
      <c r="E106" s="79" cm="1">
        <f t="array" aca="1" ref="E106" ca="1">IF(ISNUMBER(_xll.VoseSimPercentile(PNPV_2,$B106)),_xll.VoseSimPercentile(PNPV_2,$B106),NA())</f>
        <v>1838.6970202745299</v>
      </c>
      <c r="F106" s="79" cm="1">
        <f t="array" aca="1" ref="F106" ca="1">IF(ISNUMBER(_xll.VoseSimPercentile(PNPV_3,$B106)),_xll.VoseSimPercentile(PNPV_3,$B106),NA())</f>
        <v>1721.4688883580741</v>
      </c>
      <c r="G106" s="79" cm="1">
        <f t="array" aca="1" ref="G106" ca="1">IF(ISNUMBER(_xll.VoseSimPercentile(PNPV_4,$B106)),_xll.VoseSimPercentile(PNPV_4,$B106),NA())</f>
        <v>1736.8857535597954</v>
      </c>
    </row>
    <row r="107" spans="2:7" hidden="1" outlineLevel="1" x14ac:dyDescent="0.45">
      <c r="B107" s="78">
        <v>0.95</v>
      </c>
      <c r="C107" s="78">
        <f t="shared" si="2"/>
        <v>5.0000000000000044E-2</v>
      </c>
      <c r="D107" s="79" cm="1">
        <f t="array" aca="1" ref="D107" ca="1">IF(ISNUMBER(_xll.VoseSimPercentile(PNPV_1,$B107)),_xll.VoseSimPercentile(PNPV_1,$B107),NA())</f>
        <v>2171.0066021933567</v>
      </c>
      <c r="E107" s="79" cm="1">
        <f t="array" aca="1" ref="E107" ca="1">IF(ISNUMBER(_xll.VoseSimPercentile(PNPV_2,$B107)),_xll.VoseSimPercentile(PNPV_2,$B107),NA())</f>
        <v>2028.5514116376303</v>
      </c>
      <c r="F107" s="79" cm="1">
        <f t="array" aca="1" ref="F107" ca="1">IF(ISNUMBER(_xll.VoseSimPercentile(PNPV_3,$B107)),_xll.VoseSimPercentile(PNPV_3,$B107),NA())</f>
        <v>1896.857381136979</v>
      </c>
      <c r="G107" s="79" cm="1">
        <f t="array" aca="1" ref="G107" ca="1">IF(ISNUMBER(_xll.VoseSimPercentile(PNPV_4,$B107)),_xll.VoseSimPercentile(PNPV_4,$B107),NA())</f>
        <v>1942.3435020590484</v>
      </c>
    </row>
    <row r="108" spans="2:7" hidden="1" outlineLevel="1" x14ac:dyDescent="0.45">
      <c r="B108" s="78">
        <v>0.97</v>
      </c>
      <c r="C108" s="78">
        <f t="shared" si="2"/>
        <v>3.0000000000000027E-2</v>
      </c>
      <c r="D108" s="79" cm="1">
        <f t="array" aca="1" ref="D108" ca="1">IF(ISNUMBER(_xll.VoseSimPercentile(PNPV_1,$B108)),_xll.VoseSimPercentile(PNPV_1,$B108),NA())</f>
        <v>2511.4333047211385</v>
      </c>
      <c r="E108" s="79" cm="1">
        <f t="array" aca="1" ref="E108" ca="1">IF(ISNUMBER(_xll.VoseSimPercentile(PNPV_2,$B108)),_xll.VoseSimPercentile(PNPV_2,$B108),NA())</f>
        <v>2324.4062615474068</v>
      </c>
      <c r="F108" s="79" cm="1">
        <f t="array" aca="1" ref="F108" ca="1">IF(ISNUMBER(_xll.VoseSimPercentile(PNPV_3,$B108)),_xll.VoseSimPercentile(PNPV_3,$B108),NA())</f>
        <v>2166.1839615559925</v>
      </c>
      <c r="G108" s="79" cm="1">
        <f t="array" aca="1" ref="G108" ca="1">IF(ISNUMBER(_xll.VoseSimPercentile(PNPV_4,$B108)),_xll.VoseSimPercentile(PNPV_4,$B108),NA())</f>
        <v>2198.8725865361694</v>
      </c>
    </row>
    <row r="109" spans="2:7" hidden="1" outlineLevel="1" x14ac:dyDescent="0.45">
      <c r="B109" s="78">
        <v>0.99</v>
      </c>
      <c r="C109" s="78">
        <f t="shared" si="2"/>
        <v>1.0000000000000009E-2</v>
      </c>
      <c r="D109" s="79" cm="1">
        <f t="array" aca="1" ref="D109" ca="1">IF(ISNUMBER(_xll.VoseSimPercentile(PNPV_1,$B109)),_xll.VoseSimPercentile(PNPV_1,$B109),NA())</f>
        <v>3153.6612830687745</v>
      </c>
      <c r="E109" s="79" cm="1">
        <f t="array" aca="1" ref="E109" ca="1">IF(ISNUMBER(_xll.VoseSimPercentile(PNPV_2,$B109)),_xll.VoseSimPercentile(PNPV_2,$B109),NA())</f>
        <v>2994.0942250233365</v>
      </c>
      <c r="F109" s="79" cm="1">
        <f t="array" aca="1" ref="F109" ca="1">IF(ISNUMBER(_xll.VoseSimPercentile(PNPV_3,$B109)),_xll.VoseSimPercentile(PNPV_3,$B109),NA())</f>
        <v>2693.331761714363</v>
      </c>
      <c r="G109" s="79" cm="1">
        <f t="array" aca="1" ref="G109" ca="1">IF(ISNUMBER(_xll.VoseSimPercentile(PNPV_4,$B109)),_xll.VoseSimPercentile(PNPV_4,$B109),NA())</f>
        <v>2818.0048414710227</v>
      </c>
    </row>
    <row r="110" spans="2:7" hidden="1" outlineLevel="1" x14ac:dyDescent="0.45"/>
    <row r="111" spans="2:7" ht="28.05" hidden="1" customHeight="1" outlineLevel="1" x14ac:dyDescent="0.45">
      <c r="B111" s="23" t="s">
        <v>316</v>
      </c>
      <c r="C111" s="24" t="s">
        <v>317</v>
      </c>
      <c r="D111" s="24" t="s">
        <v>318</v>
      </c>
      <c r="E111" s="24" t="s">
        <v>319</v>
      </c>
      <c r="F111" s="24" t="s">
        <v>320</v>
      </c>
      <c r="G111" s="24" t="s">
        <v>212</v>
      </c>
    </row>
    <row r="112" spans="2:7" hidden="1" outlineLevel="1" x14ac:dyDescent="0.45">
      <c r="B112" s="80">
        <f>Spend!F6</f>
        <v>1</v>
      </c>
      <c r="C112" s="79" cm="1">
        <f t="array" aca="1" ref="C112" ca="1">IF(ISNUMBER(_xll.VoseSimPercentile(Spend!F40,0.1)),_xll.VoseSimPercentile(Spend!F40,0.1),NA())</f>
        <v>150</v>
      </c>
      <c r="D112" s="79" cm="1">
        <f t="array" aca="1" ref="D112" ca="1">IF(ISNUMBER(_xll.VoseSimPercentile(Spend!F40,0.5)),_xll.VoseSimPercentile(Spend!F40,0.5),NA())</f>
        <v>150</v>
      </c>
      <c r="E112" s="79" cm="1">
        <f t="array" aca="1" ref="E112" ca="1">IF(ISNUMBER(_xll.VoseSimPercentile(Spend!F40,0.9)),_xll.VoseSimPercentile(Spend!F40,0.9),NA())</f>
        <v>150</v>
      </c>
      <c r="F112" s="79" cm="1">
        <f t="array" aca="1" ref="F112" ca="1">IF(ISNUMBER(_xll.VoseSimMean(Spend!F40)),_xll.VoseSimMean(Spend!F40),NA())</f>
        <v>150</v>
      </c>
      <c r="G112" s="79">
        <f>IF(1&lt;=BudgetYears,Budget,NA())</f>
        <v>170</v>
      </c>
    </row>
    <row r="113" spans="2:7" hidden="1" outlineLevel="1" x14ac:dyDescent="0.45">
      <c r="B113" s="80">
        <f>Spend!G6</f>
        <v>2</v>
      </c>
      <c r="C113" s="79" cm="1">
        <f t="array" aca="1" ref="C113" ca="1">IF(ISNUMBER(_xll.VoseSimPercentile(Spend!G40,0.1)),_xll.VoseSimPercentile(Spend!G40,0.1),NA())</f>
        <v>135</v>
      </c>
      <c r="D113" s="79" cm="1">
        <f t="array" aca="1" ref="D113" ca="1">IF(ISNUMBER(_xll.VoseSimPercentile(Spend!G40,0.5)),_xll.VoseSimPercentile(Spend!G40,0.5),NA())</f>
        <v>160</v>
      </c>
      <c r="E113" s="79" cm="1">
        <f t="array" aca="1" ref="E113" ca="1">IF(ISNUMBER(_xll.VoseSimPercentile(Spend!G40,0.9)),_xll.VoseSimPercentile(Spend!G40,0.9),NA())</f>
        <v>160</v>
      </c>
      <c r="F113" s="79" cm="1">
        <f t="array" aca="1" ref="F113" ca="1">IF(ISNUMBER(_xll.VoseSimMean(Spend!G40)),_xll.VoseSimMean(Spend!G40),NA())</f>
        <v>151.17955897794889</v>
      </c>
      <c r="G113" s="79">
        <f>IF(2&lt;=BudgetYears,Budget,NA())</f>
        <v>170</v>
      </c>
    </row>
    <row r="114" spans="2:7" hidden="1" outlineLevel="1" x14ac:dyDescent="0.45">
      <c r="B114" s="80">
        <f>Spend!H6</f>
        <v>3</v>
      </c>
      <c r="C114" s="79" cm="1">
        <f t="array" aca="1" ref="C114" ca="1">IF(ISNUMBER(_xll.VoseSimPercentile(Spend!H40,0.1)),_xll.VoseSimPercentile(Spend!H40,0.1),NA())</f>
        <v>85</v>
      </c>
      <c r="D114" s="79" cm="1">
        <f t="array" aca="1" ref="D114" ca="1">IF(ISNUMBER(_xll.VoseSimPercentile(Spend!H40,0.5)),_xll.VoseSimPercentile(Spend!H40,0.5),NA())</f>
        <v>145</v>
      </c>
      <c r="E114" s="79" cm="1">
        <f t="array" aca="1" ref="E114" ca="1">IF(ISNUMBER(_xll.VoseSimPercentile(Spend!H40,0.9)),_xll.VoseSimPercentile(Spend!H40,0.9),NA())</f>
        <v>205</v>
      </c>
      <c r="F114" s="79" cm="1">
        <f t="array" aca="1" ref="F114" ca="1">IF(ISNUMBER(_xll.VoseSimMean(Spend!H40)),_xll.VoseSimMean(Spend!H40),NA())</f>
        <v>148.42917145857294</v>
      </c>
      <c r="G114" s="79">
        <f>IF(3&lt;=BudgetYears,Budget,NA())</f>
        <v>170</v>
      </c>
    </row>
    <row r="115" spans="2:7" hidden="1" outlineLevel="1" x14ac:dyDescent="0.45">
      <c r="B115" s="80">
        <f>Spend!I6</f>
        <v>4</v>
      </c>
      <c r="C115" s="79" cm="1">
        <f t="array" aca="1" ref="C115" ca="1">IF(ISNUMBER(_xll.VoseSimPercentile(Spend!I40,0.1)),_xll.VoseSimPercentile(Spend!I40,0.1),NA())</f>
        <v>5</v>
      </c>
      <c r="D115" s="79" cm="1">
        <f t="array" aca="1" ref="D115" ca="1">IF(ISNUMBER(_xll.VoseSimPercentile(Spend!I40,0.5)),_xll.VoseSimPercentile(Spend!I40,0.5),NA())</f>
        <v>65</v>
      </c>
      <c r="E115" s="79" cm="1">
        <f t="array" aca="1" ref="E115" ca="1">IF(ISNUMBER(_xll.VoseSimPercentile(Spend!I40,0.9)),_xll.VoseSimPercentile(Spend!I40,0.9),NA())</f>
        <v>180</v>
      </c>
      <c r="F115" s="79" cm="1">
        <f t="array" aca="1" ref="F115" ca="1">IF(ISNUMBER(_xll.VoseSimMean(Spend!I40)),_xll.VoseSimMean(Spend!I40),NA())</f>
        <v>84.772988649432477</v>
      </c>
      <c r="G115" s="79">
        <f>IF(4&lt;=BudgetYears,Budget,NA())</f>
        <v>170</v>
      </c>
    </row>
    <row r="116" spans="2:7" hidden="1" outlineLevel="1" x14ac:dyDescent="0.45">
      <c r="B116" s="80">
        <f>Spend!J6</f>
        <v>5</v>
      </c>
      <c r="C116" s="79" cm="1">
        <f t="array" aca="1" ref="C116" ca="1">IF(ISNUMBER(_xll.VoseSimPercentile(Spend!J40,0.1)),_xll.VoseSimPercentile(Spend!J40,0.1),NA())</f>
        <v>0</v>
      </c>
      <c r="D116" s="79" cm="1">
        <f t="array" aca="1" ref="D116" ca="1">IF(ISNUMBER(_xll.VoseSimPercentile(Spend!J40,0.5)),_xll.VoseSimPercentile(Spend!J40,0.5),NA())</f>
        <v>60</v>
      </c>
      <c r="E116" s="79" cm="1">
        <f t="array" aca="1" ref="E116" ca="1">IF(ISNUMBER(_xll.VoseSimPercentile(Spend!J40,0.9)),_xll.VoseSimPercentile(Spend!J40,0.9),NA())</f>
        <v>180</v>
      </c>
      <c r="F116" s="79" cm="1">
        <f t="array" aca="1" ref="F116" ca="1">IF(ISNUMBER(_xll.VoseSimMean(Spend!J40)),_xll.VoseSimMean(Spend!J40),NA())</f>
        <v>81.826091304565225</v>
      </c>
      <c r="G116" s="79">
        <f>IF(5&lt;=BudgetYears,Budget,NA())</f>
        <v>170</v>
      </c>
    </row>
    <row r="117" spans="2:7" hidden="1" outlineLevel="1" x14ac:dyDescent="0.45">
      <c r="B117" s="80">
        <f>Spend!K6</f>
        <v>6</v>
      </c>
      <c r="C117" s="79" cm="1">
        <f t="array" aca="1" ref="C117" ca="1">IF(ISNUMBER(_xll.VoseSimPercentile(Spend!K40,0.1)),_xll.VoseSimPercentile(Spend!K40,0.1),NA())</f>
        <v>0</v>
      </c>
      <c r="D117" s="79" cm="1">
        <f t="array" aca="1" ref="D117" ca="1">IF(ISNUMBER(_xll.VoseSimPercentile(Spend!K40,0.5)),_xll.VoseSimPercentile(Spend!K40,0.5),NA())</f>
        <v>5</v>
      </c>
      <c r="E117" s="79" cm="1">
        <f t="array" aca="1" ref="E117" ca="1">IF(ISNUMBER(_xll.VoseSimPercentile(Spend!K40,0.9)),_xll.VoseSimPercentile(Spend!K40,0.9),NA())</f>
        <v>60</v>
      </c>
      <c r="F117" s="79" cm="1">
        <f t="array" aca="1" ref="F117" ca="1">IF(ISNUMBER(_xll.VoseSimMean(Spend!K40)),_xll.VoseSimMean(Spend!K40),NA())</f>
        <v>13.435171758587929</v>
      </c>
      <c r="G117" s="79" t="e">
        <f>IF(6&lt;=BudgetYears,Budget,NA())</f>
        <v>#N/A</v>
      </c>
    </row>
    <row r="118" spans="2:7" hidden="1" outlineLevel="1" x14ac:dyDescent="0.45">
      <c r="B118" s="80">
        <f>Spend!L6</f>
        <v>7</v>
      </c>
      <c r="C118" s="79" cm="1">
        <f t="array" aca="1" ref="C118" ca="1">IF(ISNUMBER(_xll.VoseSimPercentile(Spend!L40,0.1)),_xll.VoseSimPercentile(Spend!L40,0.1),NA())</f>
        <v>0</v>
      </c>
      <c r="D118" s="79" cm="1">
        <f t="array" aca="1" ref="D118" ca="1">IF(ISNUMBER(_xll.VoseSimPercentile(Spend!L40,0.5)),_xll.VoseSimPercentile(Spend!L40,0.5),NA())</f>
        <v>0</v>
      </c>
      <c r="E118" s="79" cm="1">
        <f t="array" aca="1" ref="E118" ca="1">IF(ISNUMBER(_xll.VoseSimPercentile(Spend!L40,0.9)),_xll.VoseSimPercentile(Spend!L40,0.9),NA())</f>
        <v>0</v>
      </c>
      <c r="F118" s="79" cm="1">
        <f t="array" aca="1" ref="F118" ca="1">IF(ISNUMBER(_xll.VoseSimMean(Spend!L40)),_xll.VoseSimMean(Spend!L40),NA())</f>
        <v>0.44852242612130605</v>
      </c>
      <c r="G118" s="79" t="e">
        <f>IF(7&lt;=BudgetYears,Budget,NA())</f>
        <v>#N/A</v>
      </c>
    </row>
    <row r="119" spans="2:7" hidden="1" outlineLevel="1" x14ac:dyDescent="0.45">
      <c r="B119" s="80">
        <f>Spend!M6</f>
        <v>8</v>
      </c>
      <c r="C119" s="79" cm="1">
        <f t="array" aca="1" ref="C119" ca="1">IF(ISNUMBER(_xll.VoseSimPercentile(Spend!M40,0.1)),_xll.VoseSimPercentile(Spend!M40,0.1),NA())</f>
        <v>0</v>
      </c>
      <c r="D119" s="79" cm="1">
        <f t="array" aca="1" ref="D119" ca="1">IF(ISNUMBER(_xll.VoseSimPercentile(Spend!M40,0.5)),_xll.VoseSimPercentile(Spend!M40,0.5),NA())</f>
        <v>0</v>
      </c>
      <c r="E119" s="79" cm="1">
        <f t="array" aca="1" ref="E119" ca="1">IF(ISNUMBER(_xll.VoseSimPercentile(Spend!M40,0.9)),_xll.VoseSimPercentile(Spend!M40,0.9),NA())</f>
        <v>0</v>
      </c>
      <c r="F119" s="79" cm="1">
        <f t="array" aca="1" ref="F119" ca="1">IF(ISNUMBER(_xll.VoseSimMean(Spend!M40)),_xll.VoseSimMean(Spend!M40),NA())</f>
        <v>0</v>
      </c>
      <c r="G119" s="79" t="e">
        <f>IF(8&lt;=BudgetYears,Budget,NA())</f>
        <v>#N/A</v>
      </c>
    </row>
    <row r="120" spans="2:7" hidden="1" outlineLevel="1" x14ac:dyDescent="0.45">
      <c r="B120" s="80">
        <f>Spend!N6</f>
        <v>9</v>
      </c>
      <c r="C120" s="79" cm="1">
        <f t="array" aca="1" ref="C120" ca="1">IF(ISNUMBER(_xll.VoseSimPercentile(Spend!N40,0.1)),_xll.VoseSimPercentile(Spend!N40,0.1),NA())</f>
        <v>0</v>
      </c>
      <c r="D120" s="79" cm="1">
        <f t="array" aca="1" ref="D120" ca="1">IF(ISNUMBER(_xll.VoseSimPercentile(Spend!N40,0.5)),_xll.VoseSimPercentile(Spend!N40,0.5),NA())</f>
        <v>0</v>
      </c>
      <c r="E120" s="79" cm="1">
        <f t="array" aca="1" ref="E120" ca="1">IF(ISNUMBER(_xll.VoseSimPercentile(Spend!N40,0.9)),_xll.VoseSimPercentile(Spend!N40,0.9),NA())</f>
        <v>0</v>
      </c>
      <c r="F120" s="79" cm="1">
        <f t="array" aca="1" ref="F120" ca="1">IF(ISNUMBER(_xll.VoseSimMean(Spend!N40)),_xll.VoseSimMean(Spend!N40),NA())</f>
        <v>0</v>
      </c>
      <c r="G120" s="79" t="e">
        <f>IF(9&lt;=BudgetYears,Budget,NA())</f>
        <v>#N/A</v>
      </c>
    </row>
    <row r="121" spans="2:7" hidden="1" outlineLevel="1" x14ac:dyDescent="0.45">
      <c r="B121" s="80">
        <f>Spend!O6</f>
        <v>10</v>
      </c>
      <c r="C121" s="79" cm="1">
        <f t="array" aca="1" ref="C121" ca="1">IF(ISNUMBER(_xll.VoseSimPercentile(Spend!O40,0.1)),_xll.VoseSimPercentile(Spend!O40,0.1),NA())</f>
        <v>0</v>
      </c>
      <c r="D121" s="79" cm="1">
        <f t="array" aca="1" ref="D121" ca="1">IF(ISNUMBER(_xll.VoseSimPercentile(Spend!O40,0.5)),_xll.VoseSimPercentile(Spend!O40,0.5),NA())</f>
        <v>0</v>
      </c>
      <c r="E121" s="79" cm="1">
        <f t="array" aca="1" ref="E121" ca="1">IF(ISNUMBER(_xll.VoseSimPercentile(Spend!O40,0.9)),_xll.VoseSimPercentile(Spend!O40,0.9),NA())</f>
        <v>0</v>
      </c>
      <c r="F121" s="79" cm="1">
        <f t="array" aca="1" ref="F121" ca="1">IF(ISNUMBER(_xll.VoseSimMean(Spend!O40)),_xll.VoseSimMean(Spend!O40),NA())</f>
        <v>0</v>
      </c>
      <c r="G121" s="79" t="e">
        <f>IF(10&lt;=BudgetYears,Budget,NA())</f>
        <v>#N/A</v>
      </c>
    </row>
  </sheetData>
  <mergeCells count="5">
    <mergeCell ref="B51:G51"/>
    <mergeCell ref="B54:G54"/>
    <mergeCell ref="B50:G50"/>
    <mergeCell ref="B52:G52"/>
    <mergeCell ref="B53:G53"/>
  </mergeCells>
  <conditionalFormatting sqref="B7">
    <cfRule type="expression" dxfId="3" priority="2">
      <formula>LEFT($B$7,1)="✗"</formula>
    </cfRule>
  </conditionalFormatting>
  <conditionalFormatting sqref="B6:G6">
    <cfRule type="expression" dxfId="2" priority="1">
      <formula>LEFT($B$6,1)&lt;&gt;"✔"</formula>
    </cfRule>
  </conditionalFormatting>
  <conditionalFormatting sqref="C112:F121">
    <cfRule type="expression" dxfId="1" priority="4">
      <formula>ISNA(C112)</formula>
    </cfRule>
  </conditionalFormatting>
  <conditionalFormatting sqref="D60:G109">
    <cfRule type="expression" dxfId="0" priority="3">
      <formula>ISNA(D60)</formula>
    </cfRule>
  </conditionalFormatting>
  <hyperlinks>
    <hyperlink ref="B4" location="'Spend'!A1" display="◂  Spend" xr:uid="{00000000-0004-0000-0500-000000000000}"/>
  </hyperlinks>
  <printOptions horizontalCentered="1"/>
  <pageMargins left="0.4" right="0.4" top="0.5" bottom="0.6" header="0.25" footer="0.25"/>
  <pageSetup paperSize="9" scale="73" fitToHeight="0" orientation="landscape" r:id="rId1"/>
  <headerFooter>
    <oddFooter>&amp;L&amp;K3F5876&amp;8&amp;F · &amp;A&amp;R&amp;K3F5876&amp;8Page &amp;P of &amp;N</oddFooter>
  </headerFooter>
  <rowBreaks count="1" manualBreakCount="1">
    <brk id="40"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21EA4-D982-4405-A752-12B41E1FD511}">
  <dimension ref="A1:B1"/>
  <sheetViews>
    <sheetView workbookViewId="0"/>
  </sheetViews>
  <sheetFormatPr defaultRowHeight="14.25" x14ac:dyDescent="0.45"/>
  <sheetData>
    <row r="1" spans="1:2" x14ac:dyDescent="0.45">
      <c r="A1" s="85" t="s">
        <v>321</v>
      </c>
      <c r="B1">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12B0D-DA64-4A06-B404-C676DC8D99F2}">
  <dimension ref="A1"/>
  <sheetViews>
    <sheetView workbookViewId="0"/>
  </sheetViews>
  <sheetFormatPr defaultRowHeight="14.25" x14ac:dyDescent="0.4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C3BF1-CB91-48D2-BE5B-C8F79915756E}">
  <dimension ref="B3:B532"/>
  <sheetViews>
    <sheetView workbookViewId="0"/>
  </sheetViews>
  <sheetFormatPr defaultRowHeight="14.25" x14ac:dyDescent="0.45"/>
  <sheetData>
    <row r="3" spans="2:2" x14ac:dyDescent="0.45">
      <c r="B3">
        <v>0</v>
      </c>
    </row>
    <row r="4" spans="2:2" x14ac:dyDescent="0.45">
      <c r="B4">
        <v>0</v>
      </c>
    </row>
    <row r="5" spans="2:2" x14ac:dyDescent="0.45">
      <c r="B5">
        <v>0</v>
      </c>
    </row>
    <row r="6" spans="2:2" x14ac:dyDescent="0.45">
      <c r="B6">
        <v>0</v>
      </c>
    </row>
    <row r="7" spans="2:2" x14ac:dyDescent="0.45">
      <c r="B7">
        <v>0</v>
      </c>
    </row>
    <row r="8" spans="2:2" x14ac:dyDescent="0.45">
      <c r="B8">
        <v>2000</v>
      </c>
    </row>
    <row r="9" spans="2:2" x14ac:dyDescent="0.45">
      <c r="B9">
        <v>0</v>
      </c>
    </row>
    <row r="10" spans="2:2" x14ac:dyDescent="0.45">
      <c r="B10">
        <v>0</v>
      </c>
    </row>
    <row r="11" spans="2:2" x14ac:dyDescent="0.45">
      <c r="B11">
        <v>0</v>
      </c>
    </row>
    <row r="12" spans="2:2" x14ac:dyDescent="0.45">
      <c r="B12">
        <v>0</v>
      </c>
    </row>
    <row r="13" spans="2:2" x14ac:dyDescent="0.45">
      <c r="B13">
        <v>669</v>
      </c>
    </row>
    <row r="14" spans="2:2" x14ac:dyDescent="0.45">
      <c r="B14">
        <v>0</v>
      </c>
    </row>
    <row r="15" spans="2:2" x14ac:dyDescent="0.45">
      <c r="B15">
        <v>0</v>
      </c>
    </row>
    <row r="16" spans="2:2" x14ac:dyDescent="0.45">
      <c r="B16">
        <v>0</v>
      </c>
    </row>
    <row r="17" spans="2:2" x14ac:dyDescent="0.45">
      <c r="B17">
        <v>0</v>
      </c>
    </row>
    <row r="18" spans="2:2" x14ac:dyDescent="0.45">
      <c r="B18">
        <v>0</v>
      </c>
    </row>
    <row r="19" spans="2:2" x14ac:dyDescent="0.45">
      <c r="B19">
        <v>0</v>
      </c>
    </row>
    <row r="20" spans="2:2" x14ac:dyDescent="0.45">
      <c r="B20">
        <v>0</v>
      </c>
    </row>
    <row r="21" spans="2:2" x14ac:dyDescent="0.45">
      <c r="B21">
        <v>0</v>
      </c>
    </row>
    <row r="22" spans="2:2" x14ac:dyDescent="0.45">
      <c r="B22">
        <v>1331</v>
      </c>
    </row>
    <row r="23" spans="2:2" x14ac:dyDescent="0.45">
      <c r="B23">
        <v>145</v>
      </c>
    </row>
    <row r="24" spans="2:2" x14ac:dyDescent="0.45">
      <c r="B24">
        <v>301</v>
      </c>
    </row>
    <row r="25" spans="2:2" x14ac:dyDescent="0.45">
      <c r="B25">
        <v>289</v>
      </c>
    </row>
    <row r="26" spans="2:2" x14ac:dyDescent="0.45">
      <c r="B26">
        <v>0</v>
      </c>
    </row>
    <row r="27" spans="2:2" x14ac:dyDescent="0.45">
      <c r="B27">
        <v>568</v>
      </c>
    </row>
    <row r="28" spans="2:2" x14ac:dyDescent="0.45">
      <c r="B28">
        <v>201</v>
      </c>
    </row>
    <row r="29" spans="2:2" x14ac:dyDescent="0.45">
      <c r="B29">
        <v>0</v>
      </c>
    </row>
    <row r="30" spans="2:2" x14ac:dyDescent="0.45">
      <c r="B30">
        <v>385</v>
      </c>
    </row>
    <row r="31" spans="2:2" x14ac:dyDescent="0.45">
      <c r="B31">
        <v>34</v>
      </c>
    </row>
    <row r="32" spans="2:2" x14ac:dyDescent="0.45">
      <c r="B32">
        <v>77</v>
      </c>
    </row>
    <row r="33" spans="2:2" x14ac:dyDescent="0.45">
      <c r="B33">
        <v>374</v>
      </c>
    </row>
    <row r="34" spans="2:2" x14ac:dyDescent="0.45">
      <c r="B34">
        <v>0</v>
      </c>
    </row>
    <row r="35" spans="2:2" x14ac:dyDescent="0.45">
      <c r="B35">
        <v>803</v>
      </c>
    </row>
    <row r="36" spans="2:2" x14ac:dyDescent="0.45">
      <c r="B36">
        <v>0</v>
      </c>
    </row>
    <row r="37" spans="2:2" x14ac:dyDescent="0.45">
      <c r="B37">
        <v>253</v>
      </c>
    </row>
    <row r="38" spans="2:2" x14ac:dyDescent="0.45">
      <c r="B38">
        <v>352</v>
      </c>
    </row>
    <row r="39" spans="2:2" x14ac:dyDescent="0.45">
      <c r="B39">
        <v>0</v>
      </c>
    </row>
    <row r="40" spans="2:2" x14ac:dyDescent="0.45">
      <c r="B40">
        <v>205</v>
      </c>
    </row>
    <row r="41" spans="2:2" x14ac:dyDescent="0.45">
      <c r="B41">
        <v>0</v>
      </c>
    </row>
    <row r="42" spans="2:2" x14ac:dyDescent="0.45">
      <c r="B42">
        <v>13</v>
      </c>
    </row>
    <row r="43" spans="2:2" x14ac:dyDescent="0.45">
      <c r="B43">
        <v>374</v>
      </c>
    </row>
    <row r="44" spans="2:2" x14ac:dyDescent="0.45">
      <c r="B44">
        <v>0</v>
      </c>
    </row>
    <row r="45" spans="2:2" x14ac:dyDescent="0.45">
      <c r="B45">
        <v>803</v>
      </c>
    </row>
    <row r="46" spans="2:2" x14ac:dyDescent="0.45">
      <c r="B46">
        <v>0</v>
      </c>
    </row>
    <row r="47" spans="2:2" x14ac:dyDescent="0.45">
      <c r="B47">
        <v>605</v>
      </c>
    </row>
    <row r="48" spans="2:2" x14ac:dyDescent="0.45">
      <c r="B48">
        <v>0</v>
      </c>
    </row>
    <row r="49" spans="2:2" x14ac:dyDescent="0.45">
      <c r="B49">
        <v>0</v>
      </c>
    </row>
    <row r="50" spans="2:2" x14ac:dyDescent="0.45">
      <c r="B50">
        <v>205</v>
      </c>
    </row>
    <row r="51" spans="2:2" x14ac:dyDescent="0.45">
      <c r="B51">
        <v>0</v>
      </c>
    </row>
    <row r="52" spans="2:2" x14ac:dyDescent="0.45">
      <c r="B52">
        <v>13</v>
      </c>
    </row>
    <row r="53" spans="2:2" x14ac:dyDescent="0.45">
      <c r="B53">
        <v>1423</v>
      </c>
    </row>
    <row r="54" spans="2:2" x14ac:dyDescent="0.45">
      <c r="B54">
        <v>259</v>
      </c>
    </row>
    <row r="55" spans="2:2" x14ac:dyDescent="0.45">
      <c r="B55">
        <v>0</v>
      </c>
    </row>
    <row r="56" spans="2:2" x14ac:dyDescent="0.45">
      <c r="B56">
        <v>0</v>
      </c>
    </row>
    <row r="57" spans="2:2" x14ac:dyDescent="0.45">
      <c r="B57">
        <v>0</v>
      </c>
    </row>
    <row r="58" spans="2:2" x14ac:dyDescent="0.45">
      <c r="B58">
        <v>0</v>
      </c>
    </row>
    <row r="59" spans="2:2" x14ac:dyDescent="0.45">
      <c r="B59">
        <v>0</v>
      </c>
    </row>
    <row r="60" spans="2:2" x14ac:dyDescent="0.45">
      <c r="B60">
        <v>131</v>
      </c>
    </row>
    <row r="61" spans="2:2" x14ac:dyDescent="0.45">
      <c r="B61">
        <v>144</v>
      </c>
    </row>
    <row r="62" spans="2:2" x14ac:dyDescent="0.45">
      <c r="B62">
        <v>43</v>
      </c>
    </row>
    <row r="63" spans="2:2" x14ac:dyDescent="0.45">
      <c r="B63">
        <v>1832</v>
      </c>
    </row>
    <row r="64" spans="2:2" x14ac:dyDescent="0.45">
      <c r="B64">
        <v>0</v>
      </c>
    </row>
    <row r="65" spans="2:2" x14ac:dyDescent="0.45">
      <c r="B65">
        <v>0</v>
      </c>
    </row>
    <row r="66" spans="2:2" x14ac:dyDescent="0.45">
      <c r="B66">
        <v>0</v>
      </c>
    </row>
    <row r="67" spans="2:2" x14ac:dyDescent="0.45">
      <c r="B67">
        <v>0</v>
      </c>
    </row>
    <row r="68" spans="2:2" x14ac:dyDescent="0.45">
      <c r="B68">
        <v>0</v>
      </c>
    </row>
    <row r="69" spans="2:2" x14ac:dyDescent="0.45">
      <c r="B69">
        <v>0</v>
      </c>
    </row>
    <row r="70" spans="2:2" x14ac:dyDescent="0.45">
      <c r="B70">
        <v>0</v>
      </c>
    </row>
    <row r="71" spans="2:2" x14ac:dyDescent="0.45">
      <c r="B71">
        <v>0</v>
      </c>
    </row>
    <row r="72" spans="2:2" x14ac:dyDescent="0.45">
      <c r="B72">
        <v>168</v>
      </c>
    </row>
    <row r="73" spans="2:2" x14ac:dyDescent="0.45">
      <c r="B73">
        <v>0</v>
      </c>
    </row>
    <row r="74" spans="2:2" x14ac:dyDescent="0.45">
      <c r="B74">
        <v>0</v>
      </c>
    </row>
    <row r="75" spans="2:2" x14ac:dyDescent="0.45">
      <c r="B75">
        <v>0</v>
      </c>
    </row>
    <row r="76" spans="2:2" x14ac:dyDescent="0.45">
      <c r="B76">
        <v>0</v>
      </c>
    </row>
    <row r="77" spans="2:2" x14ac:dyDescent="0.45">
      <c r="B77">
        <v>0</v>
      </c>
    </row>
    <row r="78" spans="2:2" x14ac:dyDescent="0.45">
      <c r="B78">
        <v>2000</v>
      </c>
    </row>
    <row r="79" spans="2:2" x14ac:dyDescent="0.45">
      <c r="B79">
        <v>0</v>
      </c>
    </row>
    <row r="80" spans="2:2" x14ac:dyDescent="0.45">
      <c r="B80">
        <v>0</v>
      </c>
    </row>
    <row r="81" spans="2:2" x14ac:dyDescent="0.45">
      <c r="B81">
        <v>0</v>
      </c>
    </row>
    <row r="82" spans="2:2" x14ac:dyDescent="0.45">
      <c r="B82">
        <v>0</v>
      </c>
    </row>
    <row r="83" spans="2:2" x14ac:dyDescent="0.45">
      <c r="B83">
        <v>0</v>
      </c>
    </row>
    <row r="84" spans="2:2" x14ac:dyDescent="0.45">
      <c r="B84">
        <v>0</v>
      </c>
    </row>
    <row r="85" spans="2:2" x14ac:dyDescent="0.45">
      <c r="B85">
        <v>0</v>
      </c>
    </row>
    <row r="86" spans="2:2" x14ac:dyDescent="0.45">
      <c r="B86">
        <v>0</v>
      </c>
    </row>
    <row r="87" spans="2:2" x14ac:dyDescent="0.45">
      <c r="B87">
        <v>0</v>
      </c>
    </row>
    <row r="88" spans="2:2" x14ac:dyDescent="0.45">
      <c r="B88">
        <v>2000</v>
      </c>
    </row>
    <row r="89" spans="2:2" x14ac:dyDescent="0.45">
      <c r="B89">
        <v>0</v>
      </c>
    </row>
    <row r="90" spans="2:2" x14ac:dyDescent="0.45">
      <c r="B90">
        <v>0</v>
      </c>
    </row>
    <row r="91" spans="2:2" x14ac:dyDescent="0.45">
      <c r="B91">
        <v>0</v>
      </c>
    </row>
    <row r="92" spans="2:2" x14ac:dyDescent="0.45">
      <c r="B92">
        <v>0</v>
      </c>
    </row>
    <row r="93" spans="2:2" x14ac:dyDescent="0.45">
      <c r="B93">
        <v>0</v>
      </c>
    </row>
    <row r="94" spans="2:2" x14ac:dyDescent="0.45">
      <c r="B94">
        <v>0</v>
      </c>
    </row>
    <row r="95" spans="2:2" x14ac:dyDescent="0.45">
      <c r="B95">
        <v>0</v>
      </c>
    </row>
    <row r="96" spans="2:2" x14ac:dyDescent="0.45">
      <c r="B96">
        <v>0</v>
      </c>
    </row>
    <row r="97" spans="2:2" x14ac:dyDescent="0.45">
      <c r="B97">
        <v>0</v>
      </c>
    </row>
    <row r="98" spans="2:2" x14ac:dyDescent="0.45">
      <c r="B98">
        <v>2000</v>
      </c>
    </row>
    <row r="99" spans="2:2" x14ac:dyDescent="0.45">
      <c r="B99">
        <v>0</v>
      </c>
    </row>
    <row r="100" spans="2:2" x14ac:dyDescent="0.45">
      <c r="B100">
        <v>0</v>
      </c>
    </row>
    <row r="101" spans="2:2" x14ac:dyDescent="0.45">
      <c r="B101">
        <v>0</v>
      </c>
    </row>
    <row r="102" spans="2:2" x14ac:dyDescent="0.45">
      <c r="B102">
        <v>0</v>
      </c>
    </row>
    <row r="103" spans="2:2" x14ac:dyDescent="0.45">
      <c r="B103">
        <v>380</v>
      </c>
    </row>
    <row r="104" spans="2:2" x14ac:dyDescent="0.45">
      <c r="B104">
        <v>479</v>
      </c>
    </row>
    <row r="105" spans="2:2" x14ac:dyDescent="0.45">
      <c r="B105">
        <v>490</v>
      </c>
    </row>
    <row r="106" spans="2:2" x14ac:dyDescent="0.45">
      <c r="B106">
        <v>317</v>
      </c>
    </row>
    <row r="107" spans="2:2" x14ac:dyDescent="0.45">
      <c r="B107">
        <v>186</v>
      </c>
    </row>
    <row r="108" spans="2:2" x14ac:dyDescent="0.45">
      <c r="B108">
        <v>86</v>
      </c>
    </row>
    <row r="109" spans="2:2" x14ac:dyDescent="0.45">
      <c r="B109">
        <v>41</v>
      </c>
    </row>
    <row r="110" spans="2:2" x14ac:dyDescent="0.45">
      <c r="B110">
        <v>18</v>
      </c>
    </row>
    <row r="111" spans="2:2" x14ac:dyDescent="0.45">
      <c r="B111">
        <v>1</v>
      </c>
    </row>
    <row r="112" spans="2:2" x14ac:dyDescent="0.45">
      <c r="B112">
        <v>2</v>
      </c>
    </row>
    <row r="113" spans="2:2" x14ac:dyDescent="0.45">
      <c r="B113">
        <v>441</v>
      </c>
    </row>
    <row r="114" spans="2:2" x14ac:dyDescent="0.45">
      <c r="B114">
        <v>495</v>
      </c>
    </row>
    <row r="115" spans="2:2" x14ac:dyDescent="0.45">
      <c r="B115">
        <v>472</v>
      </c>
    </row>
    <row r="116" spans="2:2" x14ac:dyDescent="0.45">
      <c r="B116">
        <v>304</v>
      </c>
    </row>
    <row r="117" spans="2:2" x14ac:dyDescent="0.45">
      <c r="B117">
        <v>171</v>
      </c>
    </row>
    <row r="118" spans="2:2" x14ac:dyDescent="0.45">
      <c r="B118">
        <v>69</v>
      </c>
    </row>
    <row r="119" spans="2:2" x14ac:dyDescent="0.45">
      <c r="B119">
        <v>33</v>
      </c>
    </row>
    <row r="120" spans="2:2" x14ac:dyDescent="0.45">
      <c r="B120">
        <v>11</v>
      </c>
    </row>
    <row r="121" spans="2:2" x14ac:dyDescent="0.45">
      <c r="B121">
        <v>2</v>
      </c>
    </row>
    <row r="122" spans="2:2" x14ac:dyDescent="0.45">
      <c r="B122">
        <v>2</v>
      </c>
    </row>
    <row r="123" spans="2:2" x14ac:dyDescent="0.45">
      <c r="B123">
        <v>439</v>
      </c>
    </row>
    <row r="124" spans="2:2" x14ac:dyDescent="0.45">
      <c r="B124">
        <v>386</v>
      </c>
    </row>
    <row r="125" spans="2:2" x14ac:dyDescent="0.45">
      <c r="B125">
        <v>402</v>
      </c>
    </row>
    <row r="126" spans="2:2" x14ac:dyDescent="0.45">
      <c r="B126">
        <v>344</v>
      </c>
    </row>
    <row r="127" spans="2:2" x14ac:dyDescent="0.45">
      <c r="B127">
        <v>214</v>
      </c>
    </row>
    <row r="128" spans="2:2" x14ac:dyDescent="0.45">
      <c r="B128">
        <v>124</v>
      </c>
    </row>
    <row r="129" spans="2:2" x14ac:dyDescent="0.45">
      <c r="B129">
        <v>55</v>
      </c>
    </row>
    <row r="130" spans="2:2" x14ac:dyDescent="0.45">
      <c r="B130">
        <v>27</v>
      </c>
    </row>
    <row r="131" spans="2:2" x14ac:dyDescent="0.45">
      <c r="B131">
        <v>3</v>
      </c>
    </row>
    <row r="132" spans="2:2" x14ac:dyDescent="0.45">
      <c r="B132">
        <v>6</v>
      </c>
    </row>
    <row r="133" spans="2:2" x14ac:dyDescent="0.45">
      <c r="B133">
        <v>606</v>
      </c>
    </row>
    <row r="134" spans="2:2" x14ac:dyDescent="0.45">
      <c r="B134">
        <v>447</v>
      </c>
    </row>
    <row r="135" spans="2:2" x14ac:dyDescent="0.45">
      <c r="B135">
        <v>500</v>
      </c>
    </row>
    <row r="136" spans="2:2" x14ac:dyDescent="0.45">
      <c r="B136">
        <v>254</v>
      </c>
    </row>
    <row r="137" spans="2:2" x14ac:dyDescent="0.45">
      <c r="B137">
        <v>119</v>
      </c>
    </row>
    <row r="138" spans="2:2" x14ac:dyDescent="0.45">
      <c r="B138">
        <v>52</v>
      </c>
    </row>
    <row r="139" spans="2:2" x14ac:dyDescent="0.45">
      <c r="B139">
        <v>11</v>
      </c>
    </row>
    <row r="140" spans="2:2" x14ac:dyDescent="0.45">
      <c r="B140">
        <v>8</v>
      </c>
    </row>
    <row r="141" spans="2:2" x14ac:dyDescent="0.45">
      <c r="B141">
        <v>2</v>
      </c>
    </row>
    <row r="142" spans="2:2" x14ac:dyDescent="0.45">
      <c r="B142">
        <v>1</v>
      </c>
    </row>
    <row r="143" spans="2:2" x14ac:dyDescent="0.45">
      <c r="B143">
        <v>311</v>
      </c>
    </row>
    <row r="144" spans="2:2" x14ac:dyDescent="0.45">
      <c r="B144">
        <v>708</v>
      </c>
    </row>
    <row r="145" spans="2:2" x14ac:dyDescent="0.45">
      <c r="B145">
        <v>648</v>
      </c>
    </row>
    <row r="146" spans="2:2" x14ac:dyDescent="0.45">
      <c r="B146">
        <v>0</v>
      </c>
    </row>
    <row r="147" spans="2:2" x14ac:dyDescent="0.45">
      <c r="B147">
        <v>235</v>
      </c>
    </row>
    <row r="148" spans="2:2" x14ac:dyDescent="0.45">
      <c r="B148">
        <v>80</v>
      </c>
    </row>
    <row r="149" spans="2:2" x14ac:dyDescent="0.45">
      <c r="B149">
        <v>0</v>
      </c>
    </row>
    <row r="150" spans="2:2" x14ac:dyDescent="0.45">
      <c r="B150">
        <v>15</v>
      </c>
    </row>
    <row r="151" spans="2:2" x14ac:dyDescent="0.45">
      <c r="B151">
        <v>2</v>
      </c>
    </row>
    <row r="152" spans="2:2" x14ac:dyDescent="0.45">
      <c r="B152">
        <v>1</v>
      </c>
    </row>
    <row r="153" spans="2:2" x14ac:dyDescent="0.45">
      <c r="B153">
        <v>378</v>
      </c>
    </row>
    <row r="154" spans="2:2" x14ac:dyDescent="0.45">
      <c r="B154">
        <v>859</v>
      </c>
    </row>
    <row r="155" spans="2:2" x14ac:dyDescent="0.45">
      <c r="B155">
        <v>0</v>
      </c>
    </row>
    <row r="156" spans="2:2" x14ac:dyDescent="0.45">
      <c r="B156">
        <v>574</v>
      </c>
    </row>
    <row r="157" spans="2:2" x14ac:dyDescent="0.45">
      <c r="B157">
        <v>0</v>
      </c>
    </row>
    <row r="158" spans="2:2" x14ac:dyDescent="0.45">
      <c r="B158">
        <v>164</v>
      </c>
    </row>
    <row r="159" spans="2:2" x14ac:dyDescent="0.45">
      <c r="B159">
        <v>0</v>
      </c>
    </row>
    <row r="160" spans="2:2" x14ac:dyDescent="0.45">
      <c r="B160">
        <v>24</v>
      </c>
    </row>
    <row r="161" spans="2:2" x14ac:dyDescent="0.45">
      <c r="B161">
        <v>0</v>
      </c>
    </row>
    <row r="162" spans="2:2" x14ac:dyDescent="0.45">
      <c r="B162">
        <v>1</v>
      </c>
    </row>
    <row r="163" spans="2:2" x14ac:dyDescent="0.45">
      <c r="B163">
        <v>407</v>
      </c>
    </row>
    <row r="164" spans="2:2" x14ac:dyDescent="0.45">
      <c r="B164">
        <v>0</v>
      </c>
    </row>
    <row r="165" spans="2:2" x14ac:dyDescent="0.45">
      <c r="B165">
        <v>909</v>
      </c>
    </row>
    <row r="166" spans="2:2" x14ac:dyDescent="0.45">
      <c r="B166">
        <v>0</v>
      </c>
    </row>
    <row r="167" spans="2:2" x14ac:dyDescent="0.45">
      <c r="B167">
        <v>530</v>
      </c>
    </row>
    <row r="168" spans="2:2" x14ac:dyDescent="0.45">
      <c r="B168">
        <v>0</v>
      </c>
    </row>
    <row r="169" spans="2:2" x14ac:dyDescent="0.45">
      <c r="B169">
        <v>0</v>
      </c>
    </row>
    <row r="170" spans="2:2" x14ac:dyDescent="0.45">
      <c r="B170">
        <v>139</v>
      </c>
    </row>
    <row r="171" spans="2:2" x14ac:dyDescent="0.45">
      <c r="B171">
        <v>0</v>
      </c>
    </row>
    <row r="172" spans="2:2" x14ac:dyDescent="0.45">
      <c r="B172">
        <v>15</v>
      </c>
    </row>
    <row r="173" spans="2:2" x14ac:dyDescent="0.45">
      <c r="B173">
        <v>565</v>
      </c>
    </row>
    <row r="174" spans="2:2" x14ac:dyDescent="0.45">
      <c r="B174">
        <v>0</v>
      </c>
    </row>
    <row r="175" spans="2:2" x14ac:dyDescent="0.45">
      <c r="B175">
        <v>938</v>
      </c>
    </row>
    <row r="176" spans="2:2" x14ac:dyDescent="0.45">
      <c r="B176">
        <v>0</v>
      </c>
    </row>
    <row r="177" spans="2:2" x14ac:dyDescent="0.45">
      <c r="B177">
        <v>453</v>
      </c>
    </row>
    <row r="178" spans="2:2" x14ac:dyDescent="0.45">
      <c r="B178">
        <v>0</v>
      </c>
    </row>
    <row r="179" spans="2:2" x14ac:dyDescent="0.45">
      <c r="B179">
        <v>0</v>
      </c>
    </row>
    <row r="180" spans="2:2" x14ac:dyDescent="0.45">
      <c r="B180">
        <v>37</v>
      </c>
    </row>
    <row r="181" spans="2:2" x14ac:dyDescent="0.45">
      <c r="B181">
        <v>0</v>
      </c>
    </row>
    <row r="182" spans="2:2" x14ac:dyDescent="0.45">
      <c r="B182">
        <v>7</v>
      </c>
    </row>
    <row r="183" spans="2:2" x14ac:dyDescent="0.45">
      <c r="B183">
        <v>1689</v>
      </c>
    </row>
    <row r="184" spans="2:2" x14ac:dyDescent="0.45">
      <c r="B184">
        <v>0</v>
      </c>
    </row>
    <row r="185" spans="2:2" x14ac:dyDescent="0.45">
      <c r="B185">
        <v>0</v>
      </c>
    </row>
    <row r="186" spans="2:2" x14ac:dyDescent="0.45">
      <c r="B186">
        <v>0</v>
      </c>
    </row>
    <row r="187" spans="2:2" x14ac:dyDescent="0.45">
      <c r="B187">
        <v>0</v>
      </c>
    </row>
    <row r="188" spans="2:2" x14ac:dyDescent="0.45">
      <c r="B188">
        <v>0</v>
      </c>
    </row>
    <row r="189" spans="2:2" x14ac:dyDescent="0.45">
      <c r="B189">
        <v>0</v>
      </c>
    </row>
    <row r="190" spans="2:2" x14ac:dyDescent="0.45">
      <c r="B190">
        <v>0</v>
      </c>
    </row>
    <row r="191" spans="2:2" x14ac:dyDescent="0.45">
      <c r="B191">
        <v>0</v>
      </c>
    </row>
    <row r="192" spans="2:2" x14ac:dyDescent="0.45">
      <c r="B192">
        <v>311</v>
      </c>
    </row>
    <row r="193" spans="2:2" x14ac:dyDescent="0.45">
      <c r="B193">
        <v>1622</v>
      </c>
    </row>
    <row r="194" spans="2:2" x14ac:dyDescent="0.45">
      <c r="B194">
        <v>0</v>
      </c>
    </row>
    <row r="195" spans="2:2" x14ac:dyDescent="0.45">
      <c r="B195">
        <v>0</v>
      </c>
    </row>
    <row r="196" spans="2:2" x14ac:dyDescent="0.45">
      <c r="B196">
        <v>0</v>
      </c>
    </row>
    <row r="197" spans="2:2" x14ac:dyDescent="0.45">
      <c r="B197">
        <v>0</v>
      </c>
    </row>
    <row r="198" spans="2:2" x14ac:dyDescent="0.45">
      <c r="B198">
        <v>0</v>
      </c>
    </row>
    <row r="199" spans="2:2" x14ac:dyDescent="0.45">
      <c r="B199">
        <v>0</v>
      </c>
    </row>
    <row r="200" spans="2:2" x14ac:dyDescent="0.45">
      <c r="B200">
        <v>0</v>
      </c>
    </row>
    <row r="201" spans="2:2" x14ac:dyDescent="0.45">
      <c r="B201">
        <v>0</v>
      </c>
    </row>
    <row r="202" spans="2:2" x14ac:dyDescent="0.45">
      <c r="B202">
        <v>378</v>
      </c>
    </row>
    <row r="203" spans="2:2" x14ac:dyDescent="0.45">
      <c r="B203">
        <v>1593</v>
      </c>
    </row>
    <row r="204" spans="2:2" x14ac:dyDescent="0.45">
      <c r="B204">
        <v>0</v>
      </c>
    </row>
    <row r="205" spans="2:2" x14ac:dyDescent="0.45">
      <c r="B205">
        <v>0</v>
      </c>
    </row>
    <row r="206" spans="2:2" x14ac:dyDescent="0.45">
      <c r="B206">
        <v>0</v>
      </c>
    </row>
    <row r="207" spans="2:2" x14ac:dyDescent="0.45">
      <c r="B207">
        <v>0</v>
      </c>
    </row>
    <row r="208" spans="2:2" x14ac:dyDescent="0.45">
      <c r="B208">
        <v>0</v>
      </c>
    </row>
    <row r="209" spans="2:2" x14ac:dyDescent="0.45">
      <c r="B209">
        <v>0</v>
      </c>
    </row>
    <row r="210" spans="2:2" x14ac:dyDescent="0.45">
      <c r="B210">
        <v>0</v>
      </c>
    </row>
    <row r="211" spans="2:2" x14ac:dyDescent="0.45">
      <c r="B211">
        <v>0</v>
      </c>
    </row>
    <row r="212" spans="2:2" x14ac:dyDescent="0.45">
      <c r="B212">
        <v>407</v>
      </c>
    </row>
    <row r="213" spans="2:2" x14ac:dyDescent="0.45">
      <c r="B213">
        <v>1435</v>
      </c>
    </row>
    <row r="214" spans="2:2" x14ac:dyDescent="0.45">
      <c r="B214">
        <v>0</v>
      </c>
    </row>
    <row r="215" spans="2:2" x14ac:dyDescent="0.45">
      <c r="B215">
        <v>0</v>
      </c>
    </row>
    <row r="216" spans="2:2" x14ac:dyDescent="0.45">
      <c r="B216">
        <v>0</v>
      </c>
    </row>
    <row r="217" spans="2:2" x14ac:dyDescent="0.45">
      <c r="B217">
        <v>0</v>
      </c>
    </row>
    <row r="218" spans="2:2" x14ac:dyDescent="0.45">
      <c r="B218">
        <v>0</v>
      </c>
    </row>
    <row r="219" spans="2:2" x14ac:dyDescent="0.45">
      <c r="B219">
        <v>0</v>
      </c>
    </row>
    <row r="220" spans="2:2" x14ac:dyDescent="0.45">
      <c r="B220">
        <v>0</v>
      </c>
    </row>
    <row r="221" spans="2:2" x14ac:dyDescent="0.45">
      <c r="B221">
        <v>0</v>
      </c>
    </row>
    <row r="222" spans="2:2" x14ac:dyDescent="0.45">
      <c r="B222">
        <v>565</v>
      </c>
    </row>
    <row r="223" spans="2:2" x14ac:dyDescent="0.45">
      <c r="B223">
        <v>0</v>
      </c>
    </row>
    <row r="224" spans="2:2" x14ac:dyDescent="0.45">
      <c r="B224">
        <v>0</v>
      </c>
    </row>
    <row r="225" spans="2:2" x14ac:dyDescent="0.45">
      <c r="B225">
        <v>0</v>
      </c>
    </row>
    <row r="226" spans="2:2" x14ac:dyDescent="0.45">
      <c r="B226">
        <v>0</v>
      </c>
    </row>
    <row r="227" spans="2:2" x14ac:dyDescent="0.45">
      <c r="B227">
        <v>0</v>
      </c>
    </row>
    <row r="228" spans="2:2" x14ac:dyDescent="0.45">
      <c r="B228">
        <v>2000</v>
      </c>
    </row>
    <row r="229" spans="2:2" x14ac:dyDescent="0.45">
      <c r="B229">
        <v>0</v>
      </c>
    </row>
    <row r="230" spans="2:2" x14ac:dyDescent="0.45">
      <c r="B230">
        <v>0</v>
      </c>
    </row>
    <row r="231" spans="2:2" x14ac:dyDescent="0.45">
      <c r="B231">
        <v>0</v>
      </c>
    </row>
    <row r="232" spans="2:2" x14ac:dyDescent="0.45">
      <c r="B232">
        <v>0</v>
      </c>
    </row>
    <row r="233" spans="2:2" x14ac:dyDescent="0.45">
      <c r="B233">
        <v>1303</v>
      </c>
    </row>
    <row r="234" spans="2:2" x14ac:dyDescent="0.45">
      <c r="B234">
        <v>0</v>
      </c>
    </row>
    <row r="235" spans="2:2" x14ac:dyDescent="0.45">
      <c r="B235">
        <v>0</v>
      </c>
    </row>
    <row r="236" spans="2:2" x14ac:dyDescent="0.45">
      <c r="B236">
        <v>0</v>
      </c>
    </row>
    <row r="237" spans="2:2" x14ac:dyDescent="0.45">
      <c r="B237">
        <v>0</v>
      </c>
    </row>
    <row r="238" spans="2:2" x14ac:dyDescent="0.45">
      <c r="B238">
        <v>0</v>
      </c>
    </row>
    <row r="239" spans="2:2" x14ac:dyDescent="0.45">
      <c r="B239">
        <v>0</v>
      </c>
    </row>
    <row r="240" spans="2:2" x14ac:dyDescent="0.45">
      <c r="B240">
        <v>0</v>
      </c>
    </row>
    <row r="241" spans="2:2" x14ac:dyDescent="0.45">
      <c r="B241">
        <v>0</v>
      </c>
    </row>
    <row r="242" spans="2:2" x14ac:dyDescent="0.45">
      <c r="B242">
        <v>697</v>
      </c>
    </row>
    <row r="243" spans="2:2" x14ac:dyDescent="0.45">
      <c r="B243">
        <v>1303</v>
      </c>
    </row>
    <row r="244" spans="2:2" x14ac:dyDescent="0.45">
      <c r="B244">
        <v>0</v>
      </c>
    </row>
    <row r="245" spans="2:2" x14ac:dyDescent="0.45">
      <c r="B245">
        <v>0</v>
      </c>
    </row>
    <row r="246" spans="2:2" x14ac:dyDescent="0.45">
      <c r="B246">
        <v>0</v>
      </c>
    </row>
    <row r="247" spans="2:2" x14ac:dyDescent="0.45">
      <c r="B247">
        <v>0</v>
      </c>
    </row>
    <row r="248" spans="2:2" x14ac:dyDescent="0.45">
      <c r="B248">
        <v>0</v>
      </c>
    </row>
    <row r="249" spans="2:2" x14ac:dyDescent="0.45">
      <c r="B249">
        <v>0</v>
      </c>
    </row>
    <row r="250" spans="2:2" x14ac:dyDescent="0.45">
      <c r="B250">
        <v>0</v>
      </c>
    </row>
    <row r="251" spans="2:2" x14ac:dyDescent="0.45">
      <c r="B251">
        <v>0</v>
      </c>
    </row>
    <row r="252" spans="2:2" x14ac:dyDescent="0.45">
      <c r="B252">
        <v>697</v>
      </c>
    </row>
    <row r="253" spans="2:2" x14ac:dyDescent="0.45">
      <c r="B253">
        <v>1959</v>
      </c>
    </row>
    <row r="254" spans="2:2" x14ac:dyDescent="0.45">
      <c r="B254">
        <v>0</v>
      </c>
    </row>
    <row r="255" spans="2:2" x14ac:dyDescent="0.45">
      <c r="B255">
        <v>0</v>
      </c>
    </row>
    <row r="256" spans="2:2" x14ac:dyDescent="0.45">
      <c r="B256">
        <v>0</v>
      </c>
    </row>
    <row r="257" spans="2:2" x14ac:dyDescent="0.45">
      <c r="B257">
        <v>0</v>
      </c>
    </row>
    <row r="258" spans="2:2" x14ac:dyDescent="0.45">
      <c r="B258">
        <v>0</v>
      </c>
    </row>
    <row r="259" spans="2:2" x14ac:dyDescent="0.45">
      <c r="B259">
        <v>0</v>
      </c>
    </row>
    <row r="260" spans="2:2" x14ac:dyDescent="0.45">
      <c r="B260">
        <v>0</v>
      </c>
    </row>
    <row r="261" spans="2:2" x14ac:dyDescent="0.45">
      <c r="B261">
        <v>0</v>
      </c>
    </row>
    <row r="262" spans="2:2" x14ac:dyDescent="0.45">
      <c r="B262">
        <v>41</v>
      </c>
    </row>
    <row r="263" spans="2:2" x14ac:dyDescent="0.45">
      <c r="B263">
        <v>973</v>
      </c>
    </row>
    <row r="264" spans="2:2" x14ac:dyDescent="0.45">
      <c r="B264">
        <v>315</v>
      </c>
    </row>
    <row r="265" spans="2:2" x14ac:dyDescent="0.45">
      <c r="B265">
        <v>371</v>
      </c>
    </row>
    <row r="266" spans="2:2" x14ac:dyDescent="0.45">
      <c r="B266">
        <v>186</v>
      </c>
    </row>
    <row r="267" spans="2:2" x14ac:dyDescent="0.45">
      <c r="B267">
        <v>92</v>
      </c>
    </row>
    <row r="268" spans="2:2" x14ac:dyDescent="0.45">
      <c r="B268">
        <v>39</v>
      </c>
    </row>
    <row r="269" spans="2:2" x14ac:dyDescent="0.45">
      <c r="B269">
        <v>16</v>
      </c>
    </row>
    <row r="270" spans="2:2" x14ac:dyDescent="0.45">
      <c r="B270">
        <v>5</v>
      </c>
    </row>
    <row r="271" spans="2:2" x14ac:dyDescent="0.45">
      <c r="B271">
        <v>1</v>
      </c>
    </row>
    <row r="272" spans="2:2" x14ac:dyDescent="0.45">
      <c r="B272">
        <v>2</v>
      </c>
    </row>
    <row r="273" spans="2:2" x14ac:dyDescent="0.45">
      <c r="B273">
        <v>1638</v>
      </c>
    </row>
    <row r="274" spans="2:2" x14ac:dyDescent="0.45">
      <c r="B274">
        <v>48</v>
      </c>
    </row>
    <row r="275" spans="2:2" x14ac:dyDescent="0.45">
      <c r="B275">
        <v>100</v>
      </c>
    </row>
    <row r="276" spans="2:2" x14ac:dyDescent="0.45">
      <c r="B276">
        <v>84</v>
      </c>
    </row>
    <row r="277" spans="2:2" x14ac:dyDescent="0.45">
      <c r="B277">
        <v>49</v>
      </c>
    </row>
    <row r="278" spans="2:2" x14ac:dyDescent="0.45">
      <c r="B278">
        <v>32</v>
      </c>
    </row>
    <row r="279" spans="2:2" x14ac:dyDescent="0.45">
      <c r="B279">
        <v>20</v>
      </c>
    </row>
    <row r="280" spans="2:2" x14ac:dyDescent="0.45">
      <c r="B280">
        <v>17</v>
      </c>
    </row>
    <row r="281" spans="2:2" x14ac:dyDescent="0.45">
      <c r="B281">
        <v>6</v>
      </c>
    </row>
    <row r="282" spans="2:2" x14ac:dyDescent="0.45">
      <c r="B282">
        <v>6</v>
      </c>
    </row>
    <row r="283" spans="2:2" x14ac:dyDescent="0.45">
      <c r="B283">
        <v>1655</v>
      </c>
    </row>
    <row r="284" spans="2:2" x14ac:dyDescent="0.45">
      <c r="B284">
        <v>114</v>
      </c>
    </row>
    <row r="285" spans="2:2" x14ac:dyDescent="0.45">
      <c r="B285">
        <v>122</v>
      </c>
    </row>
    <row r="286" spans="2:2" x14ac:dyDescent="0.45">
      <c r="B286">
        <v>58</v>
      </c>
    </row>
    <row r="287" spans="2:2" x14ac:dyDescent="0.45">
      <c r="B287">
        <v>28</v>
      </c>
    </row>
    <row r="288" spans="2:2" x14ac:dyDescent="0.45">
      <c r="B288">
        <v>16</v>
      </c>
    </row>
    <row r="289" spans="2:2" x14ac:dyDescent="0.45">
      <c r="B289">
        <v>4</v>
      </c>
    </row>
    <row r="290" spans="2:2" x14ac:dyDescent="0.45">
      <c r="B290">
        <v>0</v>
      </c>
    </row>
    <row r="291" spans="2:2" x14ac:dyDescent="0.45">
      <c r="B291">
        <v>1</v>
      </c>
    </row>
    <row r="292" spans="2:2" x14ac:dyDescent="0.45">
      <c r="B292">
        <v>2</v>
      </c>
    </row>
    <row r="293" spans="2:2" x14ac:dyDescent="0.45">
      <c r="B293">
        <v>1742</v>
      </c>
    </row>
    <row r="294" spans="2:2" x14ac:dyDescent="0.45">
      <c r="B294">
        <v>85</v>
      </c>
    </row>
    <row r="295" spans="2:2" x14ac:dyDescent="0.45">
      <c r="B295">
        <v>84</v>
      </c>
    </row>
    <row r="296" spans="2:2" x14ac:dyDescent="0.45">
      <c r="B296">
        <v>41</v>
      </c>
    </row>
    <row r="297" spans="2:2" x14ac:dyDescent="0.45">
      <c r="B297">
        <v>25</v>
      </c>
    </row>
    <row r="298" spans="2:2" x14ac:dyDescent="0.45">
      <c r="B298">
        <v>12</v>
      </c>
    </row>
    <row r="299" spans="2:2" x14ac:dyDescent="0.45">
      <c r="B299">
        <v>5</v>
      </c>
    </row>
    <row r="300" spans="2:2" x14ac:dyDescent="0.45">
      <c r="B300">
        <v>4</v>
      </c>
    </row>
    <row r="301" spans="2:2" x14ac:dyDescent="0.45">
      <c r="B301">
        <v>1</v>
      </c>
    </row>
    <row r="302" spans="2:2" x14ac:dyDescent="0.45">
      <c r="B302">
        <v>1</v>
      </c>
    </row>
    <row r="303" spans="2:2" x14ac:dyDescent="0.45">
      <c r="B303">
        <v>1856</v>
      </c>
    </row>
    <row r="304" spans="2:2" x14ac:dyDescent="0.45">
      <c r="B304">
        <v>46</v>
      </c>
    </row>
    <row r="305" spans="2:2" x14ac:dyDescent="0.45">
      <c r="B305">
        <v>47</v>
      </c>
    </row>
    <row r="306" spans="2:2" x14ac:dyDescent="0.45">
      <c r="B306">
        <v>30</v>
      </c>
    </row>
    <row r="307" spans="2:2" x14ac:dyDescent="0.45">
      <c r="B307">
        <v>9</v>
      </c>
    </row>
    <row r="308" spans="2:2" x14ac:dyDescent="0.45">
      <c r="B308">
        <v>8</v>
      </c>
    </row>
    <row r="309" spans="2:2" x14ac:dyDescent="0.45">
      <c r="B309">
        <v>2</v>
      </c>
    </row>
    <row r="310" spans="2:2" x14ac:dyDescent="0.45">
      <c r="B310">
        <v>0</v>
      </c>
    </row>
    <row r="311" spans="2:2" x14ac:dyDescent="0.45">
      <c r="B311">
        <v>1</v>
      </c>
    </row>
    <row r="312" spans="2:2" x14ac:dyDescent="0.45">
      <c r="B312">
        <v>1</v>
      </c>
    </row>
    <row r="313" spans="2:2" x14ac:dyDescent="0.45">
      <c r="B313">
        <v>1891</v>
      </c>
    </row>
    <row r="314" spans="2:2" x14ac:dyDescent="0.45">
      <c r="B314">
        <v>24</v>
      </c>
    </row>
    <row r="315" spans="2:2" x14ac:dyDescent="0.45">
      <c r="B315">
        <v>31</v>
      </c>
    </row>
    <row r="316" spans="2:2" x14ac:dyDescent="0.45">
      <c r="B316">
        <v>21</v>
      </c>
    </row>
    <row r="317" spans="2:2" x14ac:dyDescent="0.45">
      <c r="B317">
        <v>18</v>
      </c>
    </row>
    <row r="318" spans="2:2" x14ac:dyDescent="0.45">
      <c r="B318">
        <v>4</v>
      </c>
    </row>
    <row r="319" spans="2:2" x14ac:dyDescent="0.45">
      <c r="B319">
        <v>5</v>
      </c>
    </row>
    <row r="320" spans="2:2" x14ac:dyDescent="0.45">
      <c r="B320">
        <v>3</v>
      </c>
    </row>
    <row r="321" spans="2:2" x14ac:dyDescent="0.45">
      <c r="B321">
        <v>2</v>
      </c>
    </row>
    <row r="322" spans="2:2" x14ac:dyDescent="0.45">
      <c r="B322">
        <v>1</v>
      </c>
    </row>
    <row r="323" spans="2:2" x14ac:dyDescent="0.45">
      <c r="B323">
        <v>332</v>
      </c>
    </row>
    <row r="324" spans="2:2" x14ac:dyDescent="0.45">
      <c r="B324">
        <v>1042</v>
      </c>
    </row>
    <row r="325" spans="2:2" x14ac:dyDescent="0.45">
      <c r="B325">
        <v>184</v>
      </c>
    </row>
    <row r="326" spans="2:2" x14ac:dyDescent="0.45">
      <c r="B326">
        <v>209</v>
      </c>
    </row>
    <row r="327" spans="2:2" x14ac:dyDescent="0.45">
      <c r="B327">
        <v>130</v>
      </c>
    </row>
    <row r="328" spans="2:2" x14ac:dyDescent="0.45">
      <c r="B328">
        <v>58</v>
      </c>
    </row>
    <row r="329" spans="2:2" x14ac:dyDescent="0.45">
      <c r="B329">
        <v>24</v>
      </c>
    </row>
    <row r="330" spans="2:2" x14ac:dyDescent="0.45">
      <c r="B330">
        <v>12</v>
      </c>
    </row>
    <row r="331" spans="2:2" x14ac:dyDescent="0.45">
      <c r="B331">
        <v>2</v>
      </c>
    </row>
    <row r="332" spans="2:2" x14ac:dyDescent="0.45">
      <c r="B332">
        <v>7</v>
      </c>
    </row>
    <row r="333" spans="2:2" x14ac:dyDescent="0.45">
      <c r="B333">
        <v>1857</v>
      </c>
    </row>
    <row r="334" spans="2:2" x14ac:dyDescent="0.45">
      <c r="B334">
        <v>29</v>
      </c>
    </row>
    <row r="335" spans="2:2" x14ac:dyDescent="0.45">
      <c r="B335">
        <v>33</v>
      </c>
    </row>
    <row r="336" spans="2:2" x14ac:dyDescent="0.45">
      <c r="B336">
        <v>46</v>
      </c>
    </row>
    <row r="337" spans="2:2" x14ac:dyDescent="0.45">
      <c r="B337">
        <v>16</v>
      </c>
    </row>
    <row r="338" spans="2:2" x14ac:dyDescent="0.45">
      <c r="B338">
        <v>3</v>
      </c>
    </row>
    <row r="339" spans="2:2" x14ac:dyDescent="0.45">
      <c r="B339">
        <v>8</v>
      </c>
    </row>
    <row r="340" spans="2:2" x14ac:dyDescent="0.45">
      <c r="B340">
        <v>4</v>
      </c>
    </row>
    <row r="341" spans="2:2" x14ac:dyDescent="0.45">
      <c r="B341">
        <v>3</v>
      </c>
    </row>
    <row r="342" spans="2:2" x14ac:dyDescent="0.45">
      <c r="B342">
        <v>1</v>
      </c>
    </row>
    <row r="343" spans="2:2" x14ac:dyDescent="0.45">
      <c r="B343">
        <v>951</v>
      </c>
    </row>
    <row r="344" spans="2:2" x14ac:dyDescent="0.45">
      <c r="B344">
        <v>0</v>
      </c>
    </row>
    <row r="345" spans="2:2" x14ac:dyDescent="0.45">
      <c r="B345">
        <v>0</v>
      </c>
    </row>
    <row r="346" spans="2:2" x14ac:dyDescent="0.45">
      <c r="B346">
        <v>0</v>
      </c>
    </row>
    <row r="347" spans="2:2" x14ac:dyDescent="0.45">
      <c r="B347">
        <v>0</v>
      </c>
    </row>
    <row r="348" spans="2:2" x14ac:dyDescent="0.45">
      <c r="B348">
        <v>0</v>
      </c>
    </row>
    <row r="349" spans="2:2" x14ac:dyDescent="0.45">
      <c r="B349">
        <v>0</v>
      </c>
    </row>
    <row r="350" spans="2:2" x14ac:dyDescent="0.45">
      <c r="B350">
        <v>0</v>
      </c>
    </row>
    <row r="351" spans="2:2" x14ac:dyDescent="0.45">
      <c r="B351">
        <v>0</v>
      </c>
    </row>
    <row r="352" spans="2:2" x14ac:dyDescent="0.45">
      <c r="B352">
        <v>1049</v>
      </c>
    </row>
    <row r="353" spans="2:2" x14ac:dyDescent="0.45">
      <c r="B353">
        <v>1635</v>
      </c>
    </row>
    <row r="354" spans="2:2" x14ac:dyDescent="0.45">
      <c r="B354">
        <v>0</v>
      </c>
    </row>
    <row r="355" spans="2:2" x14ac:dyDescent="0.45">
      <c r="B355">
        <v>0</v>
      </c>
    </row>
    <row r="356" spans="2:2" x14ac:dyDescent="0.45">
      <c r="B356">
        <v>0</v>
      </c>
    </row>
    <row r="357" spans="2:2" x14ac:dyDescent="0.45">
      <c r="B357">
        <v>0</v>
      </c>
    </row>
    <row r="358" spans="2:2" x14ac:dyDescent="0.45">
      <c r="B358">
        <v>0</v>
      </c>
    </row>
    <row r="359" spans="2:2" x14ac:dyDescent="0.45">
      <c r="B359">
        <v>0</v>
      </c>
    </row>
    <row r="360" spans="2:2" x14ac:dyDescent="0.45">
      <c r="B360">
        <v>0</v>
      </c>
    </row>
    <row r="361" spans="2:2" x14ac:dyDescent="0.45">
      <c r="B361">
        <v>0</v>
      </c>
    </row>
    <row r="362" spans="2:2" x14ac:dyDescent="0.45">
      <c r="B362">
        <v>365</v>
      </c>
    </row>
    <row r="363" spans="2:2" x14ac:dyDescent="0.45">
      <c r="B363">
        <v>1639</v>
      </c>
    </row>
    <row r="364" spans="2:2" x14ac:dyDescent="0.45">
      <c r="B364">
        <v>0</v>
      </c>
    </row>
    <row r="365" spans="2:2" x14ac:dyDescent="0.45">
      <c r="B365">
        <v>0</v>
      </c>
    </row>
    <row r="366" spans="2:2" x14ac:dyDescent="0.45">
      <c r="B366">
        <v>0</v>
      </c>
    </row>
    <row r="367" spans="2:2" x14ac:dyDescent="0.45">
      <c r="B367">
        <v>0</v>
      </c>
    </row>
    <row r="368" spans="2:2" x14ac:dyDescent="0.45">
      <c r="B368">
        <v>0</v>
      </c>
    </row>
    <row r="369" spans="2:2" x14ac:dyDescent="0.45">
      <c r="B369">
        <v>0</v>
      </c>
    </row>
    <row r="370" spans="2:2" x14ac:dyDescent="0.45">
      <c r="B370">
        <v>0</v>
      </c>
    </row>
    <row r="371" spans="2:2" x14ac:dyDescent="0.45">
      <c r="B371">
        <v>0</v>
      </c>
    </row>
    <row r="372" spans="2:2" x14ac:dyDescent="0.45">
      <c r="B372">
        <v>361</v>
      </c>
    </row>
    <row r="373" spans="2:2" x14ac:dyDescent="0.45">
      <c r="B373">
        <v>1732</v>
      </c>
    </row>
    <row r="374" spans="2:2" x14ac:dyDescent="0.45">
      <c r="B374">
        <v>0</v>
      </c>
    </row>
    <row r="375" spans="2:2" x14ac:dyDescent="0.45">
      <c r="B375">
        <v>0</v>
      </c>
    </row>
    <row r="376" spans="2:2" x14ac:dyDescent="0.45">
      <c r="B376">
        <v>0</v>
      </c>
    </row>
    <row r="377" spans="2:2" x14ac:dyDescent="0.45">
      <c r="B377">
        <v>0</v>
      </c>
    </row>
    <row r="378" spans="2:2" x14ac:dyDescent="0.45">
      <c r="B378">
        <v>0</v>
      </c>
    </row>
    <row r="379" spans="2:2" x14ac:dyDescent="0.45">
      <c r="B379">
        <v>0</v>
      </c>
    </row>
    <row r="380" spans="2:2" x14ac:dyDescent="0.45">
      <c r="B380">
        <v>0</v>
      </c>
    </row>
    <row r="381" spans="2:2" x14ac:dyDescent="0.45">
      <c r="B381">
        <v>0</v>
      </c>
    </row>
    <row r="382" spans="2:2" x14ac:dyDescent="0.45">
      <c r="B382">
        <v>268</v>
      </c>
    </row>
    <row r="383" spans="2:2" x14ac:dyDescent="0.45">
      <c r="B383">
        <v>1846</v>
      </c>
    </row>
    <row r="384" spans="2:2" x14ac:dyDescent="0.45">
      <c r="B384">
        <v>0</v>
      </c>
    </row>
    <row r="385" spans="2:2" x14ac:dyDescent="0.45">
      <c r="B385">
        <v>0</v>
      </c>
    </row>
    <row r="386" spans="2:2" x14ac:dyDescent="0.45">
      <c r="B386">
        <v>0</v>
      </c>
    </row>
    <row r="387" spans="2:2" x14ac:dyDescent="0.45">
      <c r="B387">
        <v>0</v>
      </c>
    </row>
    <row r="388" spans="2:2" x14ac:dyDescent="0.45">
      <c r="B388">
        <v>0</v>
      </c>
    </row>
    <row r="389" spans="2:2" x14ac:dyDescent="0.45">
      <c r="B389">
        <v>0</v>
      </c>
    </row>
    <row r="390" spans="2:2" x14ac:dyDescent="0.45">
      <c r="B390">
        <v>0</v>
      </c>
    </row>
    <row r="391" spans="2:2" x14ac:dyDescent="0.45">
      <c r="B391">
        <v>0</v>
      </c>
    </row>
    <row r="392" spans="2:2" x14ac:dyDescent="0.45">
      <c r="B392">
        <v>154</v>
      </c>
    </row>
    <row r="393" spans="2:2" x14ac:dyDescent="0.45">
      <c r="B393">
        <v>1891</v>
      </c>
    </row>
    <row r="394" spans="2:2" x14ac:dyDescent="0.45">
      <c r="B394">
        <v>0</v>
      </c>
    </row>
    <row r="395" spans="2:2" x14ac:dyDescent="0.45">
      <c r="B395">
        <v>0</v>
      </c>
    </row>
    <row r="396" spans="2:2" x14ac:dyDescent="0.45">
      <c r="B396">
        <v>0</v>
      </c>
    </row>
    <row r="397" spans="2:2" x14ac:dyDescent="0.45">
      <c r="B397">
        <v>0</v>
      </c>
    </row>
    <row r="398" spans="2:2" x14ac:dyDescent="0.45">
      <c r="B398">
        <v>0</v>
      </c>
    </row>
    <row r="399" spans="2:2" x14ac:dyDescent="0.45">
      <c r="B399">
        <v>0</v>
      </c>
    </row>
    <row r="400" spans="2:2" x14ac:dyDescent="0.45">
      <c r="B400">
        <v>0</v>
      </c>
    </row>
    <row r="401" spans="2:2" x14ac:dyDescent="0.45">
      <c r="B401">
        <v>0</v>
      </c>
    </row>
    <row r="402" spans="2:2" x14ac:dyDescent="0.45">
      <c r="B402">
        <v>109</v>
      </c>
    </row>
    <row r="403" spans="2:2" x14ac:dyDescent="0.45">
      <c r="B403">
        <v>1329</v>
      </c>
    </row>
    <row r="404" spans="2:2" x14ac:dyDescent="0.45">
      <c r="B404">
        <v>0</v>
      </c>
    </row>
    <row r="405" spans="2:2" x14ac:dyDescent="0.45">
      <c r="B405">
        <v>0</v>
      </c>
    </row>
    <row r="406" spans="2:2" x14ac:dyDescent="0.45">
      <c r="B406">
        <v>0</v>
      </c>
    </row>
    <row r="407" spans="2:2" x14ac:dyDescent="0.45">
      <c r="B407">
        <v>0</v>
      </c>
    </row>
    <row r="408" spans="2:2" x14ac:dyDescent="0.45">
      <c r="B408">
        <v>0</v>
      </c>
    </row>
    <row r="409" spans="2:2" x14ac:dyDescent="0.45">
      <c r="B409">
        <v>0</v>
      </c>
    </row>
    <row r="410" spans="2:2" x14ac:dyDescent="0.45">
      <c r="B410">
        <v>0</v>
      </c>
    </row>
    <row r="411" spans="2:2" x14ac:dyDescent="0.45">
      <c r="B411">
        <v>0</v>
      </c>
    </row>
    <row r="412" spans="2:2" x14ac:dyDescent="0.45">
      <c r="B412">
        <v>671</v>
      </c>
    </row>
    <row r="413" spans="2:2" x14ac:dyDescent="0.45">
      <c r="B413">
        <v>1854</v>
      </c>
    </row>
    <row r="414" spans="2:2" x14ac:dyDescent="0.45">
      <c r="B414">
        <v>0</v>
      </c>
    </row>
    <row r="415" spans="2:2" x14ac:dyDescent="0.45">
      <c r="B415">
        <v>0</v>
      </c>
    </row>
    <row r="416" spans="2:2" x14ac:dyDescent="0.45">
      <c r="B416">
        <v>0</v>
      </c>
    </row>
    <row r="417" spans="2:2" x14ac:dyDescent="0.45">
      <c r="B417">
        <v>0</v>
      </c>
    </row>
    <row r="418" spans="2:2" x14ac:dyDescent="0.45">
      <c r="B418">
        <v>0</v>
      </c>
    </row>
    <row r="419" spans="2:2" x14ac:dyDescent="0.45">
      <c r="B419">
        <v>0</v>
      </c>
    </row>
    <row r="420" spans="2:2" x14ac:dyDescent="0.45">
      <c r="B420">
        <v>0</v>
      </c>
    </row>
    <row r="421" spans="2:2" x14ac:dyDescent="0.45">
      <c r="B421">
        <v>0</v>
      </c>
    </row>
    <row r="422" spans="2:2" x14ac:dyDescent="0.45">
      <c r="B422">
        <v>146</v>
      </c>
    </row>
    <row r="423" spans="2:2" x14ac:dyDescent="0.45">
      <c r="B423">
        <v>836</v>
      </c>
    </row>
    <row r="424" spans="2:2" x14ac:dyDescent="0.45">
      <c r="B424">
        <v>0</v>
      </c>
    </row>
    <row r="425" spans="2:2" x14ac:dyDescent="0.45">
      <c r="B425">
        <v>0</v>
      </c>
    </row>
    <row r="426" spans="2:2" x14ac:dyDescent="0.45">
      <c r="B426">
        <v>0</v>
      </c>
    </row>
    <row r="427" spans="2:2" x14ac:dyDescent="0.45">
      <c r="B427">
        <v>0</v>
      </c>
    </row>
    <row r="428" spans="2:2" x14ac:dyDescent="0.45">
      <c r="B428">
        <v>0</v>
      </c>
    </row>
    <row r="429" spans="2:2" x14ac:dyDescent="0.45">
      <c r="B429">
        <v>0</v>
      </c>
    </row>
    <row r="430" spans="2:2" x14ac:dyDescent="0.45">
      <c r="B430">
        <v>0</v>
      </c>
    </row>
    <row r="431" spans="2:2" x14ac:dyDescent="0.45">
      <c r="B431">
        <v>0</v>
      </c>
    </row>
    <row r="432" spans="2:2" x14ac:dyDescent="0.45">
      <c r="B432">
        <v>1164</v>
      </c>
    </row>
    <row r="433" spans="2:2" x14ac:dyDescent="0.45">
      <c r="B433">
        <v>1329</v>
      </c>
    </row>
    <row r="434" spans="2:2" x14ac:dyDescent="0.45">
      <c r="B434">
        <v>0</v>
      </c>
    </row>
    <row r="435" spans="2:2" x14ac:dyDescent="0.45">
      <c r="B435">
        <v>0</v>
      </c>
    </row>
    <row r="436" spans="2:2" x14ac:dyDescent="0.45">
      <c r="B436">
        <v>0</v>
      </c>
    </row>
    <row r="437" spans="2:2" x14ac:dyDescent="0.45">
      <c r="B437">
        <v>0</v>
      </c>
    </row>
    <row r="438" spans="2:2" x14ac:dyDescent="0.45">
      <c r="B438">
        <v>0</v>
      </c>
    </row>
    <row r="439" spans="2:2" x14ac:dyDescent="0.45">
      <c r="B439">
        <v>0</v>
      </c>
    </row>
    <row r="440" spans="2:2" x14ac:dyDescent="0.45">
      <c r="B440">
        <v>0</v>
      </c>
    </row>
    <row r="441" spans="2:2" x14ac:dyDescent="0.45">
      <c r="B441">
        <v>0</v>
      </c>
    </row>
    <row r="442" spans="2:2" x14ac:dyDescent="0.45">
      <c r="B442">
        <v>671</v>
      </c>
    </row>
    <row r="443" spans="2:2" x14ac:dyDescent="0.45">
      <c r="B443">
        <v>1312</v>
      </c>
    </row>
    <row r="444" spans="2:2" x14ac:dyDescent="0.45">
      <c r="B444">
        <v>0</v>
      </c>
    </row>
    <row r="445" spans="2:2" x14ac:dyDescent="0.45">
      <c r="B445">
        <v>0</v>
      </c>
    </row>
    <row r="446" spans="2:2" x14ac:dyDescent="0.45">
      <c r="B446">
        <v>0</v>
      </c>
    </row>
    <row r="447" spans="2:2" x14ac:dyDescent="0.45">
      <c r="B447">
        <v>0</v>
      </c>
    </row>
    <row r="448" spans="2:2" x14ac:dyDescent="0.45">
      <c r="B448">
        <v>0</v>
      </c>
    </row>
    <row r="449" spans="2:2" x14ac:dyDescent="0.45">
      <c r="B449">
        <v>0</v>
      </c>
    </row>
    <row r="450" spans="2:2" x14ac:dyDescent="0.45">
      <c r="B450">
        <v>0</v>
      </c>
    </row>
    <row r="451" spans="2:2" x14ac:dyDescent="0.45">
      <c r="B451">
        <v>0</v>
      </c>
    </row>
    <row r="452" spans="2:2" x14ac:dyDescent="0.45">
      <c r="B452">
        <v>688</v>
      </c>
    </row>
    <row r="453" spans="2:2" x14ac:dyDescent="0.45">
      <c r="B453">
        <v>714</v>
      </c>
    </row>
    <row r="454" spans="2:2" x14ac:dyDescent="0.45">
      <c r="B454">
        <v>0</v>
      </c>
    </row>
    <row r="455" spans="2:2" x14ac:dyDescent="0.45">
      <c r="B455">
        <v>817</v>
      </c>
    </row>
    <row r="456" spans="2:2" x14ac:dyDescent="0.45">
      <c r="B456">
        <v>0</v>
      </c>
    </row>
    <row r="457" spans="2:2" x14ac:dyDescent="0.45">
      <c r="B457">
        <v>0</v>
      </c>
    </row>
    <row r="458" spans="2:2" x14ac:dyDescent="0.45">
      <c r="B458">
        <v>0</v>
      </c>
    </row>
    <row r="459" spans="2:2" x14ac:dyDescent="0.45">
      <c r="B459">
        <v>0</v>
      </c>
    </row>
    <row r="460" spans="2:2" x14ac:dyDescent="0.45">
      <c r="B460">
        <v>0</v>
      </c>
    </row>
    <row r="461" spans="2:2" x14ac:dyDescent="0.45">
      <c r="B461">
        <v>0</v>
      </c>
    </row>
    <row r="462" spans="2:2" x14ac:dyDescent="0.45">
      <c r="B462">
        <v>469</v>
      </c>
    </row>
    <row r="463" spans="2:2" x14ac:dyDescent="0.45">
      <c r="B463">
        <v>669</v>
      </c>
    </row>
    <row r="464" spans="2:2" x14ac:dyDescent="0.45">
      <c r="B464">
        <v>0</v>
      </c>
    </row>
    <row r="465" spans="2:2" x14ac:dyDescent="0.45">
      <c r="B465">
        <v>1013</v>
      </c>
    </row>
    <row r="466" spans="2:2" x14ac:dyDescent="0.45">
      <c r="B466">
        <v>0</v>
      </c>
    </row>
    <row r="467" spans="2:2" x14ac:dyDescent="0.45">
      <c r="B467">
        <v>0</v>
      </c>
    </row>
    <row r="468" spans="2:2" x14ac:dyDescent="0.45">
      <c r="B468">
        <v>0</v>
      </c>
    </row>
    <row r="469" spans="2:2" x14ac:dyDescent="0.45">
      <c r="B469">
        <v>0</v>
      </c>
    </row>
    <row r="470" spans="2:2" x14ac:dyDescent="0.45">
      <c r="B470">
        <v>0</v>
      </c>
    </row>
    <row r="471" spans="2:2" x14ac:dyDescent="0.45">
      <c r="B471">
        <v>0</v>
      </c>
    </row>
    <row r="472" spans="2:2" x14ac:dyDescent="0.45">
      <c r="B472">
        <v>318</v>
      </c>
    </row>
    <row r="473" spans="2:2" x14ac:dyDescent="0.45">
      <c r="B473">
        <v>1171</v>
      </c>
    </row>
    <row r="474" spans="2:2" x14ac:dyDescent="0.45">
      <c r="B474">
        <v>0</v>
      </c>
    </row>
    <row r="475" spans="2:2" x14ac:dyDescent="0.45">
      <c r="B475">
        <v>0</v>
      </c>
    </row>
    <row r="476" spans="2:2" x14ac:dyDescent="0.45">
      <c r="B476">
        <v>617</v>
      </c>
    </row>
    <row r="477" spans="2:2" x14ac:dyDescent="0.45">
      <c r="B477">
        <v>0</v>
      </c>
    </row>
    <row r="478" spans="2:2" x14ac:dyDescent="0.45">
      <c r="B478">
        <v>0</v>
      </c>
    </row>
    <row r="479" spans="2:2" x14ac:dyDescent="0.45">
      <c r="B479">
        <v>0</v>
      </c>
    </row>
    <row r="480" spans="2:2" x14ac:dyDescent="0.45">
      <c r="B480">
        <v>0</v>
      </c>
    </row>
    <row r="481" spans="2:2" x14ac:dyDescent="0.45">
      <c r="B481">
        <v>0</v>
      </c>
    </row>
    <row r="482" spans="2:2" x14ac:dyDescent="0.45">
      <c r="B482">
        <v>212</v>
      </c>
    </row>
    <row r="483" spans="2:2" x14ac:dyDescent="0.45">
      <c r="B483">
        <v>997</v>
      </c>
    </row>
    <row r="484" spans="2:2" x14ac:dyDescent="0.45">
      <c r="B484">
        <v>0</v>
      </c>
    </row>
    <row r="485" spans="2:2" x14ac:dyDescent="0.45">
      <c r="B485">
        <v>0</v>
      </c>
    </row>
    <row r="486" spans="2:2" x14ac:dyDescent="0.45">
      <c r="B486">
        <v>0</v>
      </c>
    </row>
    <row r="487" spans="2:2" x14ac:dyDescent="0.45">
      <c r="B487">
        <v>0</v>
      </c>
    </row>
    <row r="488" spans="2:2" x14ac:dyDescent="0.45">
      <c r="B488">
        <v>0</v>
      </c>
    </row>
    <row r="489" spans="2:2" x14ac:dyDescent="0.45">
      <c r="B489">
        <v>0</v>
      </c>
    </row>
    <row r="490" spans="2:2" x14ac:dyDescent="0.45">
      <c r="B490">
        <v>0</v>
      </c>
    </row>
    <row r="491" spans="2:2" x14ac:dyDescent="0.45">
      <c r="B491">
        <v>0</v>
      </c>
    </row>
    <row r="492" spans="2:2" x14ac:dyDescent="0.45">
      <c r="B492">
        <v>1003</v>
      </c>
    </row>
    <row r="493" spans="2:2" x14ac:dyDescent="0.45">
      <c r="B493">
        <v>1147</v>
      </c>
    </row>
    <row r="494" spans="2:2" x14ac:dyDescent="0.45">
      <c r="B494">
        <v>0</v>
      </c>
    </row>
    <row r="495" spans="2:2" x14ac:dyDescent="0.45">
      <c r="B495">
        <v>0</v>
      </c>
    </row>
    <row r="496" spans="2:2" x14ac:dyDescent="0.45">
      <c r="B496">
        <v>560</v>
      </c>
    </row>
    <row r="497" spans="2:2" x14ac:dyDescent="0.45">
      <c r="B497">
        <v>0</v>
      </c>
    </row>
    <row r="498" spans="2:2" x14ac:dyDescent="0.45">
      <c r="B498">
        <v>0</v>
      </c>
    </row>
    <row r="499" spans="2:2" x14ac:dyDescent="0.45">
      <c r="B499">
        <v>0</v>
      </c>
    </row>
    <row r="500" spans="2:2" x14ac:dyDescent="0.45">
      <c r="B500">
        <v>0</v>
      </c>
    </row>
    <row r="501" spans="2:2" x14ac:dyDescent="0.45">
      <c r="B501">
        <v>0</v>
      </c>
    </row>
    <row r="502" spans="2:2" x14ac:dyDescent="0.45">
      <c r="B502">
        <v>293</v>
      </c>
    </row>
    <row r="503" spans="2:2" x14ac:dyDescent="0.45">
      <c r="B503">
        <v>1949</v>
      </c>
    </row>
    <row r="504" spans="2:2" x14ac:dyDescent="0.45">
      <c r="B504">
        <v>0</v>
      </c>
    </row>
    <row r="505" spans="2:2" x14ac:dyDescent="0.45">
      <c r="B505">
        <v>0</v>
      </c>
    </row>
    <row r="506" spans="2:2" x14ac:dyDescent="0.45">
      <c r="B506">
        <v>0</v>
      </c>
    </row>
    <row r="507" spans="2:2" x14ac:dyDescent="0.45">
      <c r="B507">
        <v>0</v>
      </c>
    </row>
    <row r="508" spans="2:2" x14ac:dyDescent="0.45">
      <c r="B508">
        <v>0</v>
      </c>
    </row>
    <row r="509" spans="2:2" x14ac:dyDescent="0.45">
      <c r="B509">
        <v>0</v>
      </c>
    </row>
    <row r="510" spans="2:2" x14ac:dyDescent="0.45">
      <c r="B510">
        <v>0</v>
      </c>
    </row>
    <row r="511" spans="2:2" x14ac:dyDescent="0.45">
      <c r="B511">
        <v>0</v>
      </c>
    </row>
    <row r="512" spans="2:2" x14ac:dyDescent="0.45">
      <c r="B512">
        <v>51</v>
      </c>
    </row>
    <row r="513" spans="2:2" x14ac:dyDescent="0.45">
      <c r="B513">
        <v>1898</v>
      </c>
    </row>
    <row r="514" spans="2:2" x14ac:dyDescent="0.45">
      <c r="B514">
        <v>0</v>
      </c>
    </row>
    <row r="515" spans="2:2" x14ac:dyDescent="0.45">
      <c r="B515">
        <v>0</v>
      </c>
    </row>
    <row r="516" spans="2:2" x14ac:dyDescent="0.45">
      <c r="B516">
        <v>0</v>
      </c>
    </row>
    <row r="517" spans="2:2" x14ac:dyDescent="0.45">
      <c r="B517">
        <v>0</v>
      </c>
    </row>
    <row r="518" spans="2:2" x14ac:dyDescent="0.45">
      <c r="B518">
        <v>0</v>
      </c>
    </row>
    <row r="519" spans="2:2" x14ac:dyDescent="0.45">
      <c r="B519">
        <v>0</v>
      </c>
    </row>
    <row r="520" spans="2:2" x14ac:dyDescent="0.45">
      <c r="B520">
        <v>0</v>
      </c>
    </row>
    <row r="521" spans="2:2" x14ac:dyDescent="0.45">
      <c r="B521">
        <v>0</v>
      </c>
    </row>
    <row r="522" spans="2:2" x14ac:dyDescent="0.45">
      <c r="B522">
        <v>102</v>
      </c>
    </row>
    <row r="523" spans="2:2" x14ac:dyDescent="0.45">
      <c r="B523">
        <v>1972</v>
      </c>
    </row>
    <row r="524" spans="2:2" x14ac:dyDescent="0.45">
      <c r="B524">
        <v>0</v>
      </c>
    </row>
    <row r="525" spans="2:2" x14ac:dyDescent="0.45">
      <c r="B525">
        <v>0</v>
      </c>
    </row>
    <row r="526" spans="2:2" x14ac:dyDescent="0.45">
      <c r="B526">
        <v>0</v>
      </c>
    </row>
    <row r="527" spans="2:2" x14ac:dyDescent="0.45">
      <c r="B527">
        <v>0</v>
      </c>
    </row>
    <row r="528" spans="2:2" x14ac:dyDescent="0.45">
      <c r="B528">
        <v>0</v>
      </c>
    </row>
    <row r="529" spans="2:2" x14ac:dyDescent="0.45">
      <c r="B529">
        <v>0</v>
      </c>
    </row>
    <row r="530" spans="2:2" x14ac:dyDescent="0.45">
      <c r="B530">
        <v>0</v>
      </c>
    </row>
    <row r="531" spans="2:2" x14ac:dyDescent="0.45">
      <c r="B531">
        <v>0</v>
      </c>
    </row>
    <row r="532" spans="2:2" x14ac:dyDescent="0.45">
      <c r="B532">
        <v>28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r:ModelRisk xmlns:mr="ModelRisk">
  <mr:Charts xmlns:mr="ModelRisk" enc="base64" len="1300">PABGAEkATABUAEUAUgBTAD4ADQAKADwALwBDAE4AVAA6ADAADQAKAEYASQBMAFQARQBSAFMAPgANAAoAPABQAEEARwBFAFMAPgANAAoAQwBOAFQAOgAy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TgA6ADIADQAKAFQAWQBQAEUAOgAyAA0ACgBOAE0AOgBIAGkAcwB0AG8AZwByAGEAbQAyAA0ACgBTAEkATQBJAEQAOgAwAA0ACgBTAEUATABTADoAMAANAAoAQwBVAFIAUwBFAEwAOgAwAA0ACgA8AE8AUABUAEkATwBOAFMAPgANAAoAQwBOAFQAOgA4AA0ACgBOAE0AOgBDAGgAYQByAHQAXwBUAGkAdABsAGUADQAKAFQAUAA6ADIADQAKAFYAQQBMADoADQAKAE4ATQA6AHMAbABpAGQAZQByAHMADQAKAFQAUAA6ADAADQAKAFYAQQBMADoAMQANAAoATgBNADoAcwBsAGkAZABlAHIAcwBfAGMAdQBtAHUAbAANAAoAVABQADoAMAANAAoAVgBBAEwAOgAwAA0ACgBOAE0AOgBsAGUAZwBlAG4AZAANAAoAVABQADoAMAANAAoAVgBBAEwAOgAwAA0ACgBOAE0AOgBOAEIAYQByAHMADQAKAFQAUAA6ADAADQAKAFYAQQBMADoALQAxAA0ACgBOAE0AOgBMAGkAbgBlAHMADQAKAFQAUAA6ADAADQAKAFYAQQBMADoAMAANAAoATgBNADoAWQBMAGEAYgBlAGwADQAKAFQAUAA6ADIADQAKAFYAQQBMADoADQAKAE4ATQA6AE8AdgBlAHIAbABhAHkAVgBhAHIAcwANAAoAVABQADoAMAANAAoAVgBBAEwAOgAzAA0ACgA8AC8ATwBQAFQASQBPAE4AUwA+AA0ACgA8AC8AUABBAEcARQBTAD4ADQAKAA==</mr:Charts>
</mr:ModelRisk>
</file>

<file path=customXml/itemProps1.xml><?xml version="1.0" encoding="utf-8"?>
<ds:datastoreItem xmlns:ds="http://schemas.openxmlformats.org/officeDocument/2006/customXml" ds:itemID="{877E6C6D-E500-447F-B0C4-7AC3DFD4F638}">
  <ds:schemaRefs>
    <ds:schemaRef ds:uri="ModelRisk"/>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109</vt:i4>
      </vt:variant>
    </vt:vector>
  </HeadingPairs>
  <TitlesOfParts>
    <vt:vector size="118" baseType="lpstr">
      <vt:lpstr>About</vt:lpstr>
      <vt:lpstr>Inputs</vt:lpstr>
      <vt:lpstr>Projects</vt:lpstr>
      <vt:lpstr>Pipeline</vt:lpstr>
      <vt:lpstr>Spend</vt:lpstr>
      <vt:lpstr>Results</vt:lpstr>
      <vt:lpstr>ModelRiskDSN</vt:lpstr>
      <vt:lpstr>ModelRiskSYS1</vt:lpstr>
      <vt:lpstr>ModelRiskCharts</vt:lpstr>
      <vt:lpstr>Both_BH</vt:lpstr>
      <vt:lpstr>Both_CD</vt:lpstr>
      <vt:lpstr>Both_EF</vt:lpstr>
      <vt:lpstr>Budget</vt:lpstr>
      <vt:lpstr>BudgetYears</vt:lpstr>
      <vt:lpstr>ChartPort</vt:lpstr>
      <vt:lpstr>Checks</vt:lpstr>
      <vt:lpstr>CpyPh</vt:lpstr>
      <vt:lpstr>Disc</vt:lpstr>
      <vt:lpstr>DurPh</vt:lpstr>
      <vt:lpstr>Fund_1</vt:lpstr>
      <vt:lpstr>Fund_2</vt:lpstr>
      <vt:lpstr>Fund_3</vt:lpstr>
      <vt:lpstr>Fund_4</vt:lpstr>
      <vt:lpstr>Launched_A</vt:lpstr>
      <vt:lpstr>Launched_B</vt:lpstr>
      <vt:lpstr>Launched_C</vt:lpstr>
      <vt:lpstr>Launched_D</vt:lpstr>
      <vt:lpstr>Launched_E</vt:lpstr>
      <vt:lpstr>Launched_F</vt:lpstr>
      <vt:lpstr>Launched_G</vt:lpstr>
      <vt:lpstr>Launched_H</vt:lpstr>
      <vt:lpstr>LaunchedCol</vt:lpstr>
      <vt:lpstr>LaunchT_A</vt:lpstr>
      <vt:lpstr>LaunchT_B</vt:lpstr>
      <vt:lpstr>LaunchT_C</vt:lpstr>
      <vt:lpstr>LaunchT_D</vt:lpstr>
      <vt:lpstr>LaunchT_E</vt:lpstr>
      <vt:lpstr>LaunchT_F</vt:lpstr>
      <vt:lpstr>LaunchT_G</vt:lpstr>
      <vt:lpstr>LaunchT_H</vt:lpstr>
      <vt:lpstr>NPV_A</vt:lpstr>
      <vt:lpstr>NPV_B</vt:lpstr>
      <vt:lpstr>NPV_C</vt:lpstr>
      <vt:lpstr>NPV_D</vt:lpstr>
      <vt:lpstr>NPV_E</vt:lpstr>
      <vt:lpstr>NPV_F</vt:lpstr>
      <vt:lpstr>NPV_G</vt:lpstr>
      <vt:lpstr>NPV_H</vt:lpstr>
      <vt:lpstr>NPVCol</vt:lpstr>
      <vt:lpstr>OCost_A</vt:lpstr>
      <vt:lpstr>OCost_B</vt:lpstr>
      <vt:lpstr>OCost_C</vt:lpstr>
      <vt:lpstr>OCost_D</vt:lpstr>
      <vt:lpstr>OCost_E</vt:lpstr>
      <vt:lpstr>OCost_F</vt:lpstr>
      <vt:lpstr>OCost_G</vt:lpstr>
      <vt:lpstr>OCost_H</vt:lpstr>
      <vt:lpstr>OLaunch_A</vt:lpstr>
      <vt:lpstr>OLaunch_B</vt:lpstr>
      <vt:lpstr>OLaunch_C</vt:lpstr>
      <vt:lpstr>OLaunch_D</vt:lpstr>
      <vt:lpstr>OLaunch_E</vt:lpstr>
      <vt:lpstr>OLaunch_F</vt:lpstr>
      <vt:lpstr>OLaunch_G</vt:lpstr>
      <vt:lpstr>OLaunch_H</vt:lpstr>
      <vt:lpstr>ONPV_A</vt:lpstr>
      <vt:lpstr>ONPV_B</vt:lpstr>
      <vt:lpstr>ONPV_C</vt:lpstr>
      <vt:lpstr>ONPV_D</vt:lpstr>
      <vt:lpstr>ONPV_E</vt:lpstr>
      <vt:lpstr>ONPV_F</vt:lpstr>
      <vt:lpstr>ONPV_G</vt:lpstr>
      <vt:lpstr>ONPV_H</vt:lpstr>
      <vt:lpstr>PLaunch_1</vt:lpstr>
      <vt:lpstr>PLaunch_2</vt:lpstr>
      <vt:lpstr>PLaunch_3</vt:lpstr>
      <vt:lpstr>PLaunch_4</vt:lpstr>
      <vt:lpstr>PNone_1</vt:lpstr>
      <vt:lpstr>PNone_2</vt:lpstr>
      <vt:lpstr>PNone_3</vt:lpstr>
      <vt:lpstr>PNone_4</vt:lpstr>
      <vt:lpstr>PNPV_1</vt:lpstr>
      <vt:lpstr>PNPV_2</vt:lpstr>
      <vt:lpstr>PNPV_3</vt:lpstr>
      <vt:lpstr>PNPV_4</vt:lpstr>
      <vt:lpstr>POver_1</vt:lpstr>
      <vt:lpstr>POver_2</vt:lpstr>
      <vt:lpstr>POver_3</vt:lpstr>
      <vt:lpstr>POver_4</vt:lpstr>
      <vt:lpstr>Results!Print_Area</vt:lpstr>
      <vt:lpstr>Inputs!Print_Titles</vt:lpstr>
      <vt:lpstr>Results!Print_Titles</vt:lpstr>
      <vt:lpstr>Spend!Print_Titles</vt:lpstr>
      <vt:lpstr>PrjStage</vt:lpstr>
      <vt:lpstr>PVCost_A</vt:lpstr>
      <vt:lpstr>PVCost_B</vt:lpstr>
      <vt:lpstr>PVCost_C</vt:lpstr>
      <vt:lpstr>PVCost_D</vt:lpstr>
      <vt:lpstr>PVCost_E</vt:lpstr>
      <vt:lpstr>PVCost_F</vt:lpstr>
      <vt:lpstr>PVCost_G</vt:lpstr>
      <vt:lpstr>PVCost_H</vt:lpstr>
      <vt:lpstr>Rho</vt:lpstr>
      <vt:lpstr>StageIdx</vt:lpstr>
      <vt:lpstr>Stop_A</vt:lpstr>
      <vt:lpstr>Stop_B</vt:lpstr>
      <vt:lpstr>Stop_C</vt:lpstr>
      <vt:lpstr>Stop_D</vt:lpstr>
      <vt:lpstr>Stop_E</vt:lpstr>
      <vt:lpstr>Stop_F</vt:lpstr>
      <vt:lpstr>Stop_G</vt:lpstr>
      <vt:lpstr>Stop_H</vt:lpstr>
      <vt:lpstr>U_B</vt:lpstr>
      <vt:lpstr>U_C</vt:lpstr>
      <vt:lpstr>U_D</vt:lpstr>
      <vt:lpstr>U_E</vt:lpstr>
      <vt:lpstr>U_F</vt:lpstr>
      <vt:lpstr>U_H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PH-04 R&amp;D Portfolio: Which Projects to Fund</dc:title>
  <dc:subject>ModelRisk industry example library — Pharmaceuticals and biotech</dc:subject>
  <dc:creator>Vose Software</dc:creator>
  <cp:keywords>ModelRisk; Monte Carlo; Pharmaceuticals and biotech</cp:keywords>
  <dc:description>Eight projects with attrition, shared-mechanism correlation and an annual budget: four portfolios compared on value, launches and the chance of breaking the budget.</dc:description>
  <cp:lastModifiedBy>Timour Koupeev</cp:lastModifiedBy>
  <cp:lastPrinted>2026-10-05T08:36:42Z</cp:lastPrinted>
  <dcterms:created xsi:type="dcterms:W3CDTF">2026-10-05T08:35:12Z</dcterms:created>
  <dcterms:modified xsi:type="dcterms:W3CDTF">2026-10-05T08:36:43Z</dcterms:modified>
</cp:coreProperties>
</file>