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harmaceuticals and biotech\"/>
    </mc:Choice>
  </mc:AlternateContent>
  <xr:revisionPtr revIDLastSave="0" documentId="8_{22E3EEB7-474F-4033-B464-AF4AE2D4FC0A}"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Sites" sheetId="3" r:id="rId3"/>
    <sheet name="Enrolment" sheetId="4" r:id="rId4"/>
    <sheet name="Results" sheetId="5" r:id="rId5"/>
    <sheet name="ModelRiskDSN" sheetId="6" state="hidden" r:id="rId6"/>
    <sheet name="ModelRiskSYS1" sheetId="7" state="hidden" r:id="rId7"/>
    <sheet name="ModelRiskCharts" sheetId="8" state="hidden" r:id="rId8"/>
  </sheets>
  <definedNames>
    <definedName name="ByDeadline_1">Enrolment!$D$112</definedName>
    <definedName name="ByDeadline_2">Enrolment!$D$113</definedName>
    <definedName name="ByDeadline_3">Enrolment!$D$114</definedName>
    <definedName name="Checks">Enrolment!$D$122:$D$126</definedName>
    <definedName name="Confidence">Inputs!$D$12</definedName>
    <definedName name="Deadline">Inputs!$D$11</definedName>
    <definedName name="FullRate_1">Sites!$E$14</definedName>
    <definedName name="FullRate_2">Sites!$E$15</definedName>
    <definedName name="FullRate_3">Sites!$E$16</definedName>
    <definedName name="FullRate_out">Enrolment!$D$118</definedName>
    <definedName name="GShape">Sites!$F$8</definedName>
    <definedName name="InputMeans">Inputs!$I$24:$I$24</definedName>
    <definedName name="LastMonth">Enrolment!$D$11</definedName>
    <definedName name="Months_1">Enrolment!$D$109</definedName>
    <definedName name="Months_2">Enrolment!$D$110</definedName>
    <definedName name="Months_3">Enrolment!$D$111</definedName>
    <definedName name="OnTime_1">Enrolment!$D$115</definedName>
    <definedName name="OnTime_2">Enrolment!$D$116</definedName>
    <definedName name="OnTime_3">Enrolment!$D$117</definedName>
    <definedName name="Open_Hi">Inputs!$D$33</definedName>
    <definedName name="Open_Lo">Inputs!$D$31</definedName>
    <definedName name="Open_ML">Inputs!$D$32</definedName>
    <definedName name="PerfProb">Inputs!$D$26</definedName>
    <definedName name="PlanMonths_1">Enrolment!$D$12</definedName>
    <definedName name="PlanMonths_2">Enrolment!$D$13</definedName>
    <definedName name="PlanMonths_3">Enrolment!$D$14</definedName>
    <definedName name="_xlnm.Print_Area" localSheetId="4">Results!$A$1:$R$46</definedName>
    <definedName name="_xlnm.Print_Titles" localSheetId="3">Enrolment!$6:$7,Enrolment!$A:$D</definedName>
    <definedName name="_xlnm.Print_Titles" localSheetId="1">Inputs!$1:$4</definedName>
    <definedName name="_xlnm.Print_Titles" localSheetId="4">Results!$1:$4</definedName>
    <definedName name="_xlnm.Print_Titles" localSheetId="2">Sites!$20:$21</definedName>
    <definedName name="RateCV">Inputs!$D$25</definedName>
    <definedName name="RateMean">Inputs!$D$24</definedName>
    <definedName name="RateMean_Hi">Inputs!$H$24</definedName>
    <definedName name="RateMean_Lo">Inputs!$F$24</definedName>
    <definedName name="RateMean_Mean">Inputs!$I$24</definedName>
    <definedName name="RateMean_ML">Inputs!$G$24</definedName>
    <definedName name="Recruits">Sites!$C$22:$C$81</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iteNo">Sites!$B$22:$B$81</definedName>
    <definedName name="SiteOpen">Sites!$F$22:$F$81</definedName>
    <definedName name="SiteRate">Sites!$E$22:$E$81</definedName>
    <definedName name="Sites_1">Inputs!$D$17</definedName>
    <definedName name="Sites_2">Inputs!$D$18</definedName>
    <definedName name="Sites_3">Inputs!$D$19</definedName>
    <definedName name="Target">Inputs!$D$10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1" i="5" l="1"/>
  <c r="G151" i="5"/>
  <c r="H150" i="5"/>
  <c r="G150" i="5"/>
  <c r="H149" i="5"/>
  <c r="G149" i="5"/>
  <c r="H148" i="5"/>
  <c r="G148" i="5"/>
  <c r="H147" i="5"/>
  <c r="G147" i="5"/>
  <c r="H146" i="5"/>
  <c r="G146" i="5"/>
  <c r="H145" i="5"/>
  <c r="G145" i="5"/>
  <c r="H144" i="5"/>
  <c r="G144" i="5"/>
  <c r="H143" i="5"/>
  <c r="G143" i="5"/>
  <c r="H142" i="5"/>
  <c r="G142" i="5"/>
  <c r="H141" i="5"/>
  <c r="G141" i="5"/>
  <c r="H140" i="5"/>
  <c r="G140" i="5"/>
  <c r="H139" i="5"/>
  <c r="G139" i="5"/>
  <c r="H138" i="5"/>
  <c r="G138" i="5"/>
  <c r="H137" i="5"/>
  <c r="G137" i="5"/>
  <c r="H136" i="5"/>
  <c r="G136" i="5"/>
  <c r="H135" i="5"/>
  <c r="G135" i="5"/>
  <c r="H134" i="5"/>
  <c r="G134" i="5"/>
  <c r="H133" i="5"/>
  <c r="G133" i="5"/>
  <c r="H132" i="5"/>
  <c r="G132" i="5"/>
  <c r="H131" i="5"/>
  <c r="G131" i="5"/>
  <c r="H130" i="5"/>
  <c r="G130" i="5"/>
  <c r="H129" i="5"/>
  <c r="G129" i="5"/>
  <c r="H128" i="5"/>
  <c r="G128" i="5"/>
  <c r="H127" i="5"/>
  <c r="G127" i="5"/>
  <c r="H126" i="5"/>
  <c r="G126" i="5"/>
  <c r="H125" i="5"/>
  <c r="G125" i="5"/>
  <c r="H124" i="5"/>
  <c r="G124" i="5"/>
  <c r="H123" i="5"/>
  <c r="G123" i="5"/>
  <c r="H122" i="5"/>
  <c r="G122" i="5"/>
  <c r="H121" i="5"/>
  <c r="G121" i="5"/>
  <c r="H120" i="5"/>
  <c r="G120" i="5"/>
  <c r="H119" i="5"/>
  <c r="G119" i="5"/>
  <c r="H118" i="5"/>
  <c r="G118" i="5"/>
  <c r="H117" i="5"/>
  <c r="G117" i="5"/>
  <c r="H116" i="5"/>
  <c r="G116" i="5"/>
  <c r="H115" i="5"/>
  <c r="G115" i="5"/>
  <c r="H114" i="5"/>
  <c r="G114" i="5"/>
  <c r="H113" i="5"/>
  <c r="G113" i="5"/>
  <c r="H112" i="5"/>
  <c r="G112" i="5"/>
  <c r="H111" i="5"/>
  <c r="G111" i="5"/>
  <c r="H110" i="5"/>
  <c r="G110" i="5"/>
  <c r="H109" i="5"/>
  <c r="G109" i="5"/>
  <c r="H108" i="5"/>
  <c r="G108" i="5"/>
  <c r="H107" i="5"/>
  <c r="G107" i="5"/>
  <c r="H106" i="5"/>
  <c r="G106" i="5"/>
  <c r="H105" i="5"/>
  <c r="G105" i="5"/>
  <c r="H104" i="5"/>
  <c r="G104" i="5"/>
  <c r="B104"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C52" i="5"/>
  <c r="D31" i="5"/>
  <c r="D28" i="5"/>
  <c r="B17" i="5"/>
  <c r="B16" i="5"/>
  <c r="B15" i="5"/>
  <c r="B14" i="5"/>
  <c r="B13" i="5"/>
  <c r="E11" i="5"/>
  <c r="D125" i="4"/>
  <c r="D124" i="4"/>
  <c r="B100" i="4"/>
  <c r="B93" i="4"/>
  <c r="B84" i="4"/>
  <c r="B18" i="4"/>
  <c r="D14" i="4"/>
  <c r="C15" i="5" s="1"/>
  <c r="D13" i="4"/>
  <c r="C14" i="5"/>
  <c r="D12" i="4"/>
  <c r="C13" i="5"/>
  <c r="G6" i="4"/>
  <c r="B105" i="5" s="1"/>
  <c r="B23" i="3"/>
  <c r="C16" i="3"/>
  <c r="C15" i="3"/>
  <c r="C14" i="3"/>
  <c r="F8" i="3"/>
  <c r="B24" i="3"/>
  <c r="B20" i="4" s="1"/>
  <c r="B19" i="4"/>
  <c r="B25" i="3"/>
  <c r="B26" i="3" s="1"/>
  <c r="B27" i="3" s="1"/>
  <c r="B28" i="3" s="1"/>
  <c r="B29" i="3" s="1"/>
  <c r="B21" i="4"/>
  <c r="B22" i="4"/>
  <c r="AE81" i="4" a="1"/>
  <c r="Q81" i="4" a="1"/>
  <c r="G81" i="4" a="1"/>
  <c r="AJ81" i="4" a="1"/>
  <c r="AH81" i="4" a="1"/>
  <c r="X81" i="4" a="1"/>
  <c r="V81" i="4" a="1"/>
  <c r="L81" i="4" a="1"/>
  <c r="AY81" i="4" a="1"/>
  <c r="AB81" i="4" a="1"/>
  <c r="S81" i="4" a="1"/>
  <c r="I81" i="4" a="1"/>
  <c r="M81" i="4" a="1"/>
  <c r="BA81" i="4" a="1"/>
  <c r="AQ81" i="4" a="1"/>
  <c r="T81" i="4" a="1"/>
  <c r="AO81" i="4" a="1"/>
  <c r="AL81" i="4" a="1"/>
  <c r="H81" i="4" a="1"/>
  <c r="AV81" i="4" a="1"/>
  <c r="AK81" i="4" a="1"/>
  <c r="N81" i="4" a="1"/>
  <c r="Y81" i="4" a="1"/>
  <c r="J81" i="4" a="1"/>
  <c r="AW81" i="4" a="1"/>
  <c r="AC81" i="4" a="1"/>
  <c r="AZ81" i="4" a="1"/>
  <c r="AR81" i="4" a="1"/>
  <c r="AA81" i="4" a="1"/>
  <c r="AF81" i="4" a="1"/>
  <c r="AI81" i="4" a="1"/>
  <c r="AU81" i="4" a="1"/>
  <c r="O81" i="4" a="1"/>
  <c r="Z81" i="4" a="1"/>
  <c r="AG81" i="4" a="1"/>
  <c r="AT81" i="4" a="1"/>
  <c r="AM81" i="4" a="1"/>
  <c r="W81" i="4" a="1"/>
  <c r="AD81" i="4" a="1"/>
  <c r="R81" i="4" a="1"/>
  <c r="U81" i="4" a="1"/>
  <c r="P81" i="4" a="1"/>
  <c r="F81" i="4" a="1"/>
  <c r="K81" i="4" a="1"/>
  <c r="AX81" i="4" a="1"/>
  <c r="AP81" i="4" a="1"/>
  <c r="AN81" i="4" a="1"/>
  <c r="AS81" i="4" a="1"/>
  <c r="C80" i="3" a="1"/>
  <c r="C39" i="3" a="1"/>
  <c r="F81" i="3" a="1"/>
  <c r="C57" i="3" a="1"/>
  <c r="F35" i="3" a="1"/>
  <c r="F56" i="3" a="1"/>
  <c r="C77" i="3" a="1"/>
  <c r="C34" i="3" a="1"/>
  <c r="F78" i="3" a="1"/>
  <c r="C29" i="3" a="1"/>
  <c r="F43" i="3" a="1"/>
  <c r="C73" i="3" a="1"/>
  <c r="C67" i="3" a="1"/>
  <c r="F57" i="3" a="1"/>
  <c r="F37" i="3" a="1"/>
  <c r="F51" i="3" a="1"/>
  <c r="F25" i="3" a="1"/>
  <c r="F58" i="3" a="1"/>
  <c r="C72" i="3" a="1"/>
  <c r="C54" i="3" a="1"/>
  <c r="F32" i="3" a="1"/>
  <c r="C49" i="3" a="1"/>
  <c r="C31" i="3" a="1"/>
  <c r="F59" i="3" a="1"/>
  <c r="F65" i="3" a="1"/>
  <c r="F45" i="3" a="1"/>
  <c r="F60" i="3" a="1"/>
  <c r="F54" i="3" a="1"/>
  <c r="C41" i="3" a="1"/>
  <c r="F75" i="3" a="1"/>
  <c r="F28" i="3" a="1"/>
  <c r="C36" i="3" a="1"/>
  <c r="F34" i="3" a="1"/>
  <c r="C65" i="3" a="1"/>
  <c r="F74" i="3" a="1"/>
  <c r="F55" i="3" a="1"/>
  <c r="F62" i="3" a="1"/>
  <c r="C76" i="3" a="1"/>
  <c r="F39" i="3" a="1"/>
  <c r="C51" i="3" a="1"/>
  <c r="F29" i="3" a="1"/>
  <c r="C43" i="3" a="1"/>
  <c r="F50" i="3" a="1"/>
  <c r="F53" i="3" a="1"/>
  <c r="C58" i="3" a="1"/>
  <c r="C35" i="3" a="1"/>
  <c r="C30" i="3" a="1"/>
  <c r="F40" i="3" a="1"/>
  <c r="F66" i="3" a="1"/>
  <c r="C50" i="3" a="1"/>
  <c r="F68" i="3" a="1"/>
  <c r="F30" i="3" a="1"/>
  <c r="F44" i="3" a="1"/>
  <c r="F31" i="3" a="1"/>
  <c r="C59" i="3" a="1"/>
  <c r="F71" i="3" a="1"/>
  <c r="F72" i="3" a="1"/>
  <c r="F52" i="3" a="1"/>
  <c r="C52" i="3" a="1"/>
  <c r="C74" i="3" a="1"/>
  <c r="F33" i="3" a="1"/>
  <c r="F70" i="3" a="1"/>
  <c r="C28" i="3" a="1"/>
  <c r="C69" i="3" a="1"/>
  <c r="F47" i="3" a="1"/>
  <c r="C55" i="3" a="1"/>
  <c r="F22" i="3" a="1"/>
  <c r="F69" i="3" a="1"/>
  <c r="C56" i="3" a="1"/>
  <c r="C47" i="3" a="1"/>
  <c r="F79" i="3" a="1"/>
  <c r="C71" i="3" a="1"/>
  <c r="F49" i="3" a="1"/>
  <c r="C46" i="3" a="1"/>
  <c r="C26" i="3" a="1"/>
  <c r="F67" i="3" a="1"/>
  <c r="C25" i="3" a="1"/>
  <c r="C66" i="3" a="1"/>
  <c r="C53" i="3" a="1"/>
  <c r="F26" i="3" a="1"/>
  <c r="C61" i="3" a="1"/>
  <c r="F64" i="3" a="1"/>
  <c r="C40" i="3" a="1"/>
  <c r="F42" i="3" a="1"/>
  <c r="F23" i="3" a="1"/>
  <c r="F61" i="3" a="1"/>
  <c r="C37" i="3" a="1"/>
  <c r="F36" i="3" a="1"/>
  <c r="F77" i="3" a="1"/>
  <c r="C23" i="3" a="1"/>
  <c r="C60" i="3" a="1"/>
  <c r="C32" i="3" a="1"/>
  <c r="F46" i="3" a="1"/>
  <c r="C44" i="3" a="1"/>
  <c r="C38" i="3" a="1"/>
  <c r="F73" i="3" a="1"/>
  <c r="C78" i="3" a="1"/>
  <c r="C48" i="3" a="1"/>
  <c r="F38" i="3" a="1"/>
  <c r="D61" i="3" a="1"/>
  <c r="F48" i="3" a="1"/>
  <c r="F80" i="3" a="1"/>
  <c r="C79" i="3" a="1"/>
  <c r="C24" i="3" a="1"/>
  <c r="F76" i="3" a="1"/>
  <c r="C81" i="3" a="1"/>
  <c r="F27" i="3" a="1"/>
  <c r="C63" i="3" a="1"/>
  <c r="C70" i="3" a="1"/>
  <c r="C27" i="3" a="1"/>
  <c r="F24" i="3" a="1"/>
  <c r="D65" i="3" a="1"/>
  <c r="C75" i="3" a="1"/>
  <c r="C45" i="3" a="1"/>
  <c r="C22" i="3" a="1"/>
  <c r="D58" i="3" a="1"/>
  <c r="C68" i="3" a="1"/>
  <c r="C33" i="3" a="1"/>
  <c r="C62" i="3" a="1"/>
  <c r="C42" i="3" a="1"/>
  <c r="C64" i="3" a="1"/>
  <c r="F41" i="3" a="1"/>
  <c r="F63" i="3" a="1"/>
  <c r="D24" i="3" a="1"/>
  <c r="D45" i="3" a="1"/>
  <c r="D66" i="3" a="1"/>
  <c r="D24" i="2" a="1"/>
  <c r="I24" i="2" a="1"/>
  <c r="B30" i="3" l="1"/>
  <c r="B25" i="4"/>
  <c r="B24" i="4"/>
  <c r="B23" i="4"/>
  <c r="AS81" i="4"/>
  <c r="AN81" i="4"/>
  <c r="AP81" i="4"/>
  <c r="AX81" i="4"/>
  <c r="K81" i="4"/>
  <c r="F81" i="4"/>
  <c r="P81" i="4"/>
  <c r="U81" i="4"/>
  <c r="R81" i="4"/>
  <c r="AD81" i="4"/>
  <c r="W81" i="4"/>
  <c r="AM81" i="4"/>
  <c r="AT81" i="4"/>
  <c r="AG81" i="4"/>
  <c r="Z81" i="4"/>
  <c r="O81" i="4"/>
  <c r="AU81" i="4"/>
  <c r="AI81" i="4"/>
  <c r="AF81" i="4"/>
  <c r="AA81" i="4"/>
  <c r="AR81" i="4"/>
  <c r="AZ81" i="4"/>
  <c r="AC81" i="4"/>
  <c r="AW81" i="4"/>
  <c r="J81" i="4"/>
  <c r="Y81" i="4"/>
  <c r="N81" i="4"/>
  <c r="AK81" i="4"/>
  <c r="AV81" i="4"/>
  <c r="H81" i="4"/>
  <c r="AL81" i="4"/>
  <c r="AO81" i="4"/>
  <c r="T81" i="4"/>
  <c r="AQ81" i="4"/>
  <c r="BA81" i="4"/>
  <c r="M81" i="4"/>
  <c r="I81" i="4"/>
  <c r="S81" i="4"/>
  <c r="AB81" i="4"/>
  <c r="AY81" i="4"/>
  <c r="L81" i="4"/>
  <c r="V81" i="4"/>
  <c r="X81" i="4"/>
  <c r="AH81" i="4"/>
  <c r="AJ81" i="4"/>
  <c r="G81" i="4"/>
  <c r="Q81" i="4"/>
  <c r="AE81" i="4"/>
  <c r="H6" i="4"/>
  <c r="D66" i="3"/>
  <c r="D45" i="3"/>
  <c r="D24" i="3"/>
  <c r="F63" i="3"/>
  <c r="F41" i="3"/>
  <c r="C64" i="3"/>
  <c r="C42" i="3"/>
  <c r="C62" i="3"/>
  <c r="C33" i="3"/>
  <c r="C68" i="3"/>
  <c r="D58" i="3"/>
  <c r="C22" i="3"/>
  <c r="C45" i="3"/>
  <c r="C75" i="3"/>
  <c r="D65" i="3"/>
  <c r="F24" i="3"/>
  <c r="C27" i="3"/>
  <c r="C70" i="3"/>
  <c r="C63" i="3"/>
  <c r="F27" i="3"/>
  <c r="C81" i="3"/>
  <c r="F76" i="3"/>
  <c r="C24" i="3"/>
  <c r="C79" i="3"/>
  <c r="F80" i="3"/>
  <c r="F48" i="3"/>
  <c r="D61" i="3"/>
  <c r="F38" i="3"/>
  <c r="C48" i="3"/>
  <c r="C78" i="3"/>
  <c r="F73" i="3"/>
  <c r="C38" i="3"/>
  <c r="C44" i="3"/>
  <c r="F46" i="3"/>
  <c r="C32" i="3"/>
  <c r="C60" i="3"/>
  <c r="C23" i="3"/>
  <c r="F77" i="3"/>
  <c r="F36" i="3"/>
  <c r="C37" i="3"/>
  <c r="F61" i="3"/>
  <c r="F23" i="3"/>
  <c r="F42" i="3"/>
  <c r="C40" i="3"/>
  <c r="F64" i="3"/>
  <c r="C61" i="3"/>
  <c r="F26" i="3"/>
  <c r="C53" i="3"/>
  <c r="C66" i="3"/>
  <c r="C25" i="3"/>
  <c r="F67" i="3"/>
  <c r="C26" i="3"/>
  <c r="C46" i="3"/>
  <c r="F49" i="3"/>
  <c r="C71" i="3"/>
  <c r="F79" i="3"/>
  <c r="C47" i="3"/>
  <c r="C56" i="3"/>
  <c r="F69" i="3"/>
  <c r="F22" i="3"/>
  <c r="C55" i="3"/>
  <c r="F47" i="3"/>
  <c r="C69" i="3"/>
  <c r="C28" i="3"/>
  <c r="F70" i="3"/>
  <c r="F33" i="3"/>
  <c r="C74" i="3"/>
  <c r="C52" i="3"/>
  <c r="F52" i="3"/>
  <c r="F72" i="3"/>
  <c r="F71" i="3"/>
  <c r="C59" i="3"/>
  <c r="F31" i="3"/>
  <c r="F44" i="3"/>
  <c r="F30" i="3"/>
  <c r="F68" i="3"/>
  <c r="C50" i="3"/>
  <c r="F66" i="3"/>
  <c r="F40" i="3"/>
  <c r="C30" i="3"/>
  <c r="C35" i="3"/>
  <c r="C58" i="3"/>
  <c r="F53" i="3"/>
  <c r="F50" i="3"/>
  <c r="C43" i="3"/>
  <c r="F29" i="3"/>
  <c r="C51" i="3"/>
  <c r="F39" i="3"/>
  <c r="C76" i="3"/>
  <c r="F62" i="3"/>
  <c r="F55" i="3"/>
  <c r="F74" i="3"/>
  <c r="C65" i="3"/>
  <c r="F34" i="3"/>
  <c r="C36" i="3"/>
  <c r="F28" i="3"/>
  <c r="F75" i="3"/>
  <c r="C41" i="3"/>
  <c r="F54" i="3"/>
  <c r="F60" i="3"/>
  <c r="F45" i="3"/>
  <c r="F65" i="3"/>
  <c r="F59" i="3"/>
  <c r="C31" i="3"/>
  <c r="C49" i="3"/>
  <c r="F32" i="3"/>
  <c r="C54" i="3"/>
  <c r="C72" i="3"/>
  <c r="F58" i="3"/>
  <c r="F25" i="3"/>
  <c r="F51" i="3"/>
  <c r="F37" i="3"/>
  <c r="F57" i="3"/>
  <c r="C67" i="3"/>
  <c r="C73" i="3"/>
  <c r="F43" i="3"/>
  <c r="C29" i="3"/>
  <c r="F78" i="3"/>
  <c r="C34" i="3"/>
  <c r="C77" i="3"/>
  <c r="F56" i="3"/>
  <c r="F35" i="3"/>
  <c r="C57" i="3"/>
  <c r="F81" i="3"/>
  <c r="C39" i="3"/>
  <c r="C80" i="3"/>
  <c r="I24" i="2"/>
  <c r="D122" i="4" s="1"/>
  <c r="D24" i="2"/>
  <c r="D43" i="3" a="1"/>
  <c r="D54" i="3" a="1"/>
  <c r="D74" i="3" a="1"/>
  <c r="D29" i="3" a="1"/>
  <c r="D26" i="3" a="1"/>
  <c r="D57" i="3" a="1"/>
  <c r="D59" i="3" a="1"/>
  <c r="D41" i="3" a="1"/>
  <c r="D70" i="3" a="1"/>
  <c r="D67" i="3" a="1"/>
  <c r="D35" i="3" a="1"/>
  <c r="D75" i="3" a="1"/>
  <c r="D68" i="3" a="1"/>
  <c r="D81" i="3" a="1"/>
  <c r="D53" i="3" a="1"/>
  <c r="D64" i="3" a="1"/>
  <c r="D32" i="3" a="1"/>
  <c r="D48" i="3" a="1"/>
  <c r="D52" i="3" a="1"/>
  <c r="D51" i="3" a="1"/>
  <c r="D77" i="3" a="1"/>
  <c r="D56" i="3" a="1"/>
  <c r="D37" i="3" a="1"/>
  <c r="D55" i="3" a="1"/>
  <c r="D23" i="3" a="1"/>
  <c r="D72" i="3" a="1"/>
  <c r="D36" i="3" a="1"/>
  <c r="D73" i="3" a="1"/>
  <c r="D22" i="3" a="1"/>
  <c r="D39" i="3" a="1"/>
  <c r="D25" i="3" a="1"/>
  <c r="D62" i="3" a="1"/>
  <c r="D71" i="3" a="1"/>
  <c r="D40" i="3" a="1"/>
  <c r="D78" i="3" a="1"/>
  <c r="D63" i="3" a="1"/>
  <c r="D31" i="3" a="1"/>
  <c r="D42" i="3" a="1"/>
  <c r="D49" i="3" a="1"/>
  <c r="D30" i="3" a="1"/>
  <c r="D38" i="3" a="1"/>
  <c r="D79" i="3" a="1"/>
  <c r="D76" i="3" a="1"/>
  <c r="D27" i="3" a="1"/>
  <c r="D46" i="3" a="1"/>
  <c r="D33" i="3" a="1"/>
  <c r="D69" i="3" a="1"/>
  <c r="D60" i="3" a="1"/>
  <c r="D80" i="3" a="1"/>
  <c r="D47" i="3" a="1"/>
  <c r="D28" i="3" a="1"/>
  <c r="D34" i="3" a="1"/>
  <c r="D44" i="3" a="1"/>
  <c r="D50" i="3" a="1"/>
  <c r="I6" i="4" l="1"/>
  <c r="B106" i="5"/>
  <c r="B31" i="3"/>
  <c r="B26" i="4"/>
  <c r="E58" i="3"/>
  <c r="E66" i="3"/>
  <c r="E24" i="3"/>
  <c r="D50" i="3"/>
  <c r="E50" i="3" s="1"/>
  <c r="D44" i="3"/>
  <c r="E44" i="3" s="1"/>
  <c r="D34" i="3"/>
  <c r="E34" i="3" s="1"/>
  <c r="D28" i="3"/>
  <c r="E28" i="3" s="1"/>
  <c r="D47" i="3"/>
  <c r="E47" i="3" s="1"/>
  <c r="D80" i="3"/>
  <c r="E80" i="3" s="1"/>
  <c r="D60" i="3"/>
  <c r="E60" i="3" s="1"/>
  <c r="D69" i="3"/>
  <c r="E69" i="3" s="1"/>
  <c r="D33" i="3"/>
  <c r="E33" i="3" s="1"/>
  <c r="D46" i="3"/>
  <c r="E46" i="3" s="1"/>
  <c r="D27" i="3"/>
  <c r="E27" i="3" s="1"/>
  <c r="D76" i="3"/>
  <c r="E76" i="3" s="1"/>
  <c r="D79" i="3"/>
  <c r="E79" i="3" s="1"/>
  <c r="D38" i="3"/>
  <c r="E38" i="3" s="1"/>
  <c r="D30" i="3"/>
  <c r="E30" i="3" s="1"/>
  <c r="D49" i="3"/>
  <c r="E49" i="3" s="1"/>
  <c r="D42" i="3"/>
  <c r="E42" i="3" s="1"/>
  <c r="D31" i="3"/>
  <c r="E31" i="3" s="1"/>
  <c r="D63" i="3"/>
  <c r="E63" i="3" s="1"/>
  <c r="D78" i="3"/>
  <c r="E78" i="3" s="1"/>
  <c r="D40" i="3"/>
  <c r="E40" i="3" s="1"/>
  <c r="D71" i="3"/>
  <c r="E71" i="3" s="1"/>
  <c r="D62" i="3"/>
  <c r="E62" i="3" s="1"/>
  <c r="D25" i="3"/>
  <c r="E25" i="3" s="1"/>
  <c r="D39" i="3"/>
  <c r="E39" i="3" s="1"/>
  <c r="D22" i="3"/>
  <c r="E22" i="3" s="1"/>
  <c r="D73" i="3"/>
  <c r="E73" i="3" s="1"/>
  <c r="D36" i="3"/>
  <c r="E36" i="3" s="1"/>
  <c r="D72" i="3"/>
  <c r="E72" i="3" s="1"/>
  <c r="D23" i="3"/>
  <c r="E23" i="3" s="1"/>
  <c r="D55" i="3"/>
  <c r="E55" i="3" s="1"/>
  <c r="D37" i="3"/>
  <c r="E37" i="3" s="1"/>
  <c r="D56" i="3"/>
  <c r="E56" i="3" s="1"/>
  <c r="D77" i="3"/>
  <c r="E77" i="3" s="1"/>
  <c r="D51" i="3"/>
  <c r="E51" i="3" s="1"/>
  <c r="D52" i="3"/>
  <c r="E52" i="3" s="1"/>
  <c r="D48" i="3"/>
  <c r="E48" i="3" s="1"/>
  <c r="D32" i="3"/>
  <c r="E32" i="3" s="1"/>
  <c r="D64" i="3"/>
  <c r="E64" i="3" s="1"/>
  <c r="D53" i="3"/>
  <c r="E53" i="3" s="1"/>
  <c r="D81" i="3"/>
  <c r="E81" i="3" s="1"/>
  <c r="D68" i="3"/>
  <c r="E68" i="3" s="1"/>
  <c r="D75" i="3"/>
  <c r="E75" i="3" s="1"/>
  <c r="D35" i="3"/>
  <c r="E35" i="3" s="1"/>
  <c r="D67" i="3"/>
  <c r="E67" i="3" s="1"/>
  <c r="D70" i="3"/>
  <c r="E70" i="3" s="1"/>
  <c r="D41" i="3"/>
  <c r="E41" i="3" s="1"/>
  <c r="D59" i="3"/>
  <c r="E59" i="3" s="1"/>
  <c r="D57" i="3"/>
  <c r="E57" i="3" s="1"/>
  <c r="D26" i="3"/>
  <c r="E26" i="3" s="1"/>
  <c r="D29" i="3"/>
  <c r="E29" i="3" s="1"/>
  <c r="D74" i="3"/>
  <c r="E74" i="3" s="1"/>
  <c r="D54" i="3"/>
  <c r="E54" i="3" s="1"/>
  <c r="D43" i="3"/>
  <c r="E43" i="3" s="1"/>
  <c r="E61" i="3"/>
  <c r="E65" i="3"/>
  <c r="E45" i="3"/>
  <c r="B32" i="3" l="1"/>
  <c r="B27" i="4"/>
  <c r="J6" i="4"/>
  <c r="B107" i="5"/>
  <c r="J48" i="4"/>
  <c r="G48" i="4"/>
  <c r="F48" i="4"/>
  <c r="I48" i="4"/>
  <c r="H48" i="4"/>
  <c r="G64" i="4"/>
  <c r="F64" i="4"/>
  <c r="I64" i="4"/>
  <c r="H64" i="4"/>
  <c r="G31" i="4"/>
  <c r="H31" i="4"/>
  <c r="F31" i="4"/>
  <c r="J31" i="4"/>
  <c r="I31" i="4"/>
  <c r="F23" i="4"/>
  <c r="I23" i="4"/>
  <c r="H23" i="4"/>
  <c r="J23" i="4"/>
  <c r="G23" i="4"/>
  <c r="G42" i="4"/>
  <c r="F42" i="4"/>
  <c r="I42" i="4"/>
  <c r="J42" i="4"/>
  <c r="H42" i="4"/>
  <c r="G29" i="4"/>
  <c r="J29" i="4"/>
  <c r="I29" i="4"/>
  <c r="H29" i="4"/>
  <c r="F29" i="4"/>
  <c r="G70" i="4"/>
  <c r="F70" i="4"/>
  <c r="J70" i="4"/>
  <c r="H70" i="4"/>
  <c r="I70" i="4"/>
  <c r="F72" i="4"/>
  <c r="H72" i="4"/>
  <c r="J72" i="4"/>
  <c r="I72" i="4"/>
  <c r="G72" i="4"/>
  <c r="J30" i="4"/>
  <c r="I30" i="4"/>
  <c r="H30" i="4"/>
  <c r="G30" i="4"/>
  <c r="F30" i="4"/>
  <c r="H51" i="4"/>
  <c r="G51" i="4"/>
  <c r="F51" i="4"/>
  <c r="J51" i="4"/>
  <c r="I51" i="4"/>
  <c r="J32" i="4"/>
  <c r="I32" i="4"/>
  <c r="F32" i="4"/>
  <c r="H32" i="4"/>
  <c r="G32" i="4"/>
  <c r="F71" i="4"/>
  <c r="I71" i="4"/>
  <c r="H71" i="4"/>
  <c r="G71" i="4"/>
  <c r="J71" i="4"/>
  <c r="H18" i="4"/>
  <c r="G18" i="4"/>
  <c r="J18" i="4"/>
  <c r="I18" i="4"/>
  <c r="F18" i="4"/>
  <c r="F52" i="4"/>
  <c r="J52" i="4"/>
  <c r="I52" i="4"/>
  <c r="H52" i="4"/>
  <c r="G52" i="4"/>
  <c r="H69" i="4"/>
  <c r="G69" i="4"/>
  <c r="J69" i="4"/>
  <c r="I69" i="4"/>
  <c r="F69" i="4"/>
  <c r="F53" i="4"/>
  <c r="I53" i="4"/>
  <c r="J53" i="4"/>
  <c r="H53" i="4"/>
  <c r="G53" i="4"/>
  <c r="J63" i="4"/>
  <c r="I63" i="4"/>
  <c r="G63" i="4"/>
  <c r="F63" i="4"/>
  <c r="H63" i="4"/>
  <c r="F38" i="4"/>
  <c r="G38" i="4"/>
  <c r="J38" i="4"/>
  <c r="I38" i="4"/>
  <c r="H38" i="4"/>
  <c r="J24" i="4"/>
  <c r="I24" i="4"/>
  <c r="G24" i="4"/>
  <c r="F24" i="4"/>
  <c r="H24" i="4"/>
  <c r="F36" i="4"/>
  <c r="H36" i="4"/>
  <c r="J36" i="4"/>
  <c r="I36" i="4"/>
  <c r="G36" i="4"/>
  <c r="G35" i="4"/>
  <c r="F35" i="4"/>
  <c r="I35" i="4"/>
  <c r="J35" i="4"/>
  <c r="H35" i="4"/>
  <c r="F59" i="4"/>
  <c r="J59" i="4"/>
  <c r="I59" i="4"/>
  <c r="G59" i="4"/>
  <c r="H59" i="4"/>
  <c r="H77" i="4"/>
  <c r="F77" i="4"/>
  <c r="G77" i="4"/>
  <c r="I77" i="4"/>
  <c r="J77" i="4"/>
  <c r="I40" i="4"/>
  <c r="G40" i="4"/>
  <c r="F40" i="4"/>
  <c r="H40" i="4"/>
  <c r="J40" i="4"/>
  <c r="F43" i="4"/>
  <c r="I43" i="4"/>
  <c r="H43" i="4"/>
  <c r="G43" i="4"/>
  <c r="J43" i="4"/>
  <c r="G66" i="4"/>
  <c r="F66" i="4"/>
  <c r="I66" i="4"/>
  <c r="H66" i="4"/>
  <c r="J66" i="4"/>
  <c r="I68" i="4"/>
  <c r="F68" i="4"/>
  <c r="H68" i="4"/>
  <c r="J68" i="4"/>
  <c r="G68" i="4"/>
  <c r="G55" i="4"/>
  <c r="J55" i="4"/>
  <c r="F55" i="4"/>
  <c r="H55" i="4"/>
  <c r="I55" i="4"/>
  <c r="H49" i="4"/>
  <c r="G49" i="4"/>
  <c r="J49" i="4"/>
  <c r="F49" i="4"/>
  <c r="I49" i="4"/>
  <c r="G33" i="4"/>
  <c r="F33" i="4"/>
  <c r="J33" i="4"/>
  <c r="H33" i="4"/>
  <c r="I33" i="4"/>
  <c r="I21" i="4"/>
  <c r="H21" i="4"/>
  <c r="F21" i="4"/>
  <c r="J21" i="4"/>
  <c r="G21" i="4"/>
  <c r="I65" i="4"/>
  <c r="F65" i="4"/>
  <c r="H65" i="4"/>
  <c r="G65" i="4"/>
  <c r="J65" i="4"/>
  <c r="J20" i="4"/>
  <c r="I20" i="4"/>
  <c r="G20" i="4"/>
  <c r="H20" i="4"/>
  <c r="F20" i="4"/>
  <c r="I25" i="4"/>
  <c r="H25" i="4"/>
  <c r="G25" i="4"/>
  <c r="F25" i="4"/>
  <c r="J25" i="4"/>
  <c r="I74" i="4"/>
  <c r="G74" i="4"/>
  <c r="F74" i="4"/>
  <c r="J74" i="4"/>
  <c r="H74" i="4"/>
  <c r="I73" i="4"/>
  <c r="J73" i="4"/>
  <c r="H73" i="4"/>
  <c r="G73" i="4"/>
  <c r="F73" i="4"/>
  <c r="G41" i="4"/>
  <c r="J41" i="4"/>
  <c r="I41" i="4"/>
  <c r="F41" i="4"/>
  <c r="H41" i="4"/>
  <c r="J67" i="4"/>
  <c r="I67" i="4"/>
  <c r="H67" i="4"/>
  <c r="G67" i="4"/>
  <c r="F67" i="4"/>
  <c r="J47" i="4"/>
  <c r="I47" i="4"/>
  <c r="H47" i="4"/>
  <c r="G47" i="4"/>
  <c r="F47" i="4"/>
  <c r="J22" i="4"/>
  <c r="I22" i="4"/>
  <c r="H22" i="4"/>
  <c r="G22" i="4"/>
  <c r="F22" i="4"/>
  <c r="J27" i="4"/>
  <c r="I27" i="4"/>
  <c r="H27" i="4"/>
  <c r="G27" i="4"/>
  <c r="F27" i="4"/>
  <c r="H26" i="4"/>
  <c r="G26" i="4"/>
  <c r="J26" i="4"/>
  <c r="I26" i="4"/>
  <c r="F26" i="4"/>
  <c r="F46" i="4"/>
  <c r="G46" i="4"/>
  <c r="J46" i="4"/>
  <c r="I46" i="4"/>
  <c r="H46" i="4"/>
  <c r="G45" i="4"/>
  <c r="J45" i="4"/>
  <c r="I45" i="4"/>
  <c r="F45" i="4"/>
  <c r="H45" i="4"/>
  <c r="I37" i="4"/>
  <c r="H37" i="4"/>
  <c r="F37" i="4"/>
  <c r="G37" i="4"/>
  <c r="J37" i="4"/>
  <c r="G60" i="4"/>
  <c r="I60" i="4"/>
  <c r="H60" i="4"/>
  <c r="J60" i="4"/>
  <c r="F60" i="4"/>
  <c r="G58" i="4"/>
  <c r="I58" i="4"/>
  <c r="H58" i="4"/>
  <c r="J58" i="4"/>
  <c r="F58" i="4"/>
  <c r="G56" i="4"/>
  <c r="J56" i="4"/>
  <c r="I56" i="4"/>
  <c r="H56" i="4"/>
  <c r="F56" i="4"/>
  <c r="G50" i="4"/>
  <c r="F50" i="4"/>
  <c r="I50" i="4"/>
  <c r="J50" i="4"/>
  <c r="H50" i="4"/>
  <c r="F39" i="4"/>
  <c r="H39" i="4"/>
  <c r="J39" i="4"/>
  <c r="I39" i="4"/>
  <c r="G39" i="4"/>
  <c r="F57" i="4"/>
  <c r="J57" i="4"/>
  <c r="H57" i="4"/>
  <c r="G57" i="4"/>
  <c r="I57" i="4"/>
  <c r="F28" i="4"/>
  <c r="H28" i="4"/>
  <c r="J28" i="4"/>
  <c r="I28" i="4"/>
  <c r="G28" i="4"/>
  <c r="G19" i="4"/>
  <c r="F19" i="4"/>
  <c r="I19" i="4"/>
  <c r="H19" i="4"/>
  <c r="J19" i="4"/>
  <c r="F34" i="4"/>
  <c r="J34" i="4"/>
  <c r="I34" i="4"/>
  <c r="H34" i="4"/>
  <c r="G34" i="4"/>
  <c r="H62" i="4"/>
  <c r="G62" i="4"/>
  <c r="F62" i="4"/>
  <c r="I62" i="4"/>
  <c r="J62" i="4"/>
  <c r="G61" i="4"/>
  <c r="J61" i="4"/>
  <c r="I61" i="4"/>
  <c r="F61" i="4"/>
  <c r="H61" i="4"/>
  <c r="F76" i="4"/>
  <c r="J76" i="4"/>
  <c r="I76" i="4"/>
  <c r="H76" i="4"/>
  <c r="G76" i="4"/>
  <c r="G44" i="4"/>
  <c r="F44" i="4"/>
  <c r="I44" i="4"/>
  <c r="J44" i="4"/>
  <c r="H44" i="4"/>
  <c r="G75" i="4"/>
  <c r="J75" i="4"/>
  <c r="I75" i="4"/>
  <c r="H75" i="4"/>
  <c r="F75" i="4"/>
  <c r="G54" i="4"/>
  <c r="F54" i="4"/>
  <c r="I54" i="4"/>
  <c r="J54" i="4"/>
  <c r="H54" i="4"/>
  <c r="K6" i="4" l="1"/>
  <c r="B108" i="5"/>
  <c r="J64" i="4"/>
  <c r="B33" i="3"/>
  <c r="B28" i="4"/>
  <c r="B34" i="3" l="1"/>
  <c r="B29" i="4"/>
  <c r="L6" i="4"/>
  <c r="B109" i="5"/>
  <c r="K64" i="4"/>
  <c r="K51" i="4"/>
  <c r="K48" i="4"/>
  <c r="K72" i="4"/>
  <c r="K30" i="4"/>
  <c r="K71" i="4"/>
  <c r="K52" i="4"/>
  <c r="K53" i="4"/>
  <c r="K23" i="4"/>
  <c r="K18" i="4"/>
  <c r="K29" i="4"/>
  <c r="K35" i="4"/>
  <c r="K69" i="4"/>
  <c r="K63" i="4"/>
  <c r="K38" i="4"/>
  <c r="K77" i="4"/>
  <c r="K31" i="4"/>
  <c r="K40" i="4"/>
  <c r="K65" i="4"/>
  <c r="K22" i="4"/>
  <c r="K32" i="4"/>
  <c r="K68" i="4"/>
  <c r="K55" i="4"/>
  <c r="K74" i="4"/>
  <c r="K41" i="4"/>
  <c r="K26" i="4"/>
  <c r="K46" i="4"/>
  <c r="K58" i="4"/>
  <c r="K42" i="4"/>
  <c r="K33" i="4"/>
  <c r="K21" i="4"/>
  <c r="K47" i="4"/>
  <c r="K70" i="4"/>
  <c r="K24" i="4"/>
  <c r="K49" i="4"/>
  <c r="K73" i="4"/>
  <c r="K67" i="4"/>
  <c r="K27" i="4"/>
  <c r="K25" i="4"/>
  <c r="K37" i="4"/>
  <c r="K59" i="4"/>
  <c r="K43" i="4"/>
  <c r="K56" i="4"/>
  <c r="K60" i="4"/>
  <c r="K34" i="4"/>
  <c r="K54" i="4"/>
  <c r="K28" i="4"/>
  <c r="K45" i="4"/>
  <c r="K57" i="4"/>
  <c r="K76" i="4"/>
  <c r="K66" i="4"/>
  <c r="K61" i="4"/>
  <c r="K50" i="4"/>
  <c r="K39" i="4"/>
  <c r="K36" i="4"/>
  <c r="K19" i="4"/>
  <c r="K62" i="4"/>
  <c r="K44" i="4"/>
  <c r="K75" i="4"/>
  <c r="K20" i="4"/>
  <c r="B35" i="3" l="1"/>
  <c r="B30" i="4"/>
  <c r="M6" i="4"/>
  <c r="B110" i="5"/>
  <c r="L48" i="4"/>
  <c r="L23" i="4"/>
  <c r="L70" i="4"/>
  <c r="L72" i="4"/>
  <c r="L18" i="4"/>
  <c r="L42" i="4"/>
  <c r="L29" i="4"/>
  <c r="L51" i="4"/>
  <c r="L71" i="4"/>
  <c r="L52" i="4"/>
  <c r="L64" i="4"/>
  <c r="L30" i="4"/>
  <c r="L31" i="4"/>
  <c r="L38" i="4"/>
  <c r="L32" i="4"/>
  <c r="L77" i="4"/>
  <c r="L69" i="4"/>
  <c r="L36" i="4"/>
  <c r="L55" i="4"/>
  <c r="L26" i="4"/>
  <c r="L37" i="4"/>
  <c r="L59" i="4"/>
  <c r="L65" i="4"/>
  <c r="L27" i="4"/>
  <c r="L45" i="4"/>
  <c r="L56" i="4"/>
  <c r="L53" i="4"/>
  <c r="L73" i="4"/>
  <c r="L41" i="4"/>
  <c r="L22" i="4"/>
  <c r="L35" i="4"/>
  <c r="L43" i="4"/>
  <c r="L20" i="4"/>
  <c r="L47" i="4"/>
  <c r="L46" i="4"/>
  <c r="L58" i="4"/>
  <c r="L40" i="4"/>
  <c r="L60" i="4"/>
  <c r="L24" i="4"/>
  <c r="L63" i="4"/>
  <c r="L68" i="4"/>
  <c r="L28" i="4"/>
  <c r="L76" i="4"/>
  <c r="L39" i="4"/>
  <c r="L57" i="4"/>
  <c r="L19" i="4"/>
  <c r="L62" i="4"/>
  <c r="L61" i="4"/>
  <c r="L66" i="4"/>
  <c r="L25" i="4"/>
  <c r="L67" i="4"/>
  <c r="L75" i="4"/>
  <c r="L44" i="4"/>
  <c r="L54" i="4"/>
  <c r="L33" i="4"/>
  <c r="L34" i="4"/>
  <c r="L49" i="4"/>
  <c r="L50" i="4"/>
  <c r="L21" i="4"/>
  <c r="L74" i="4"/>
  <c r="N6" i="4" l="1"/>
  <c r="B111" i="5"/>
  <c r="M64" i="4"/>
  <c r="M30" i="4"/>
  <c r="M31" i="4"/>
  <c r="M42" i="4"/>
  <c r="M29" i="4"/>
  <c r="M70" i="4"/>
  <c r="M23" i="4"/>
  <c r="M69" i="4"/>
  <c r="M53" i="4"/>
  <c r="M38" i="4"/>
  <c r="M43" i="4"/>
  <c r="M77" i="4"/>
  <c r="M66" i="4"/>
  <c r="M49" i="4"/>
  <c r="M65" i="4"/>
  <c r="M60" i="4"/>
  <c r="M56" i="4"/>
  <c r="M72" i="4"/>
  <c r="M74" i="4"/>
  <c r="M47" i="4"/>
  <c r="M27" i="4"/>
  <c r="M45" i="4"/>
  <c r="M35" i="4"/>
  <c r="M68" i="4"/>
  <c r="M55" i="4"/>
  <c r="M25" i="4"/>
  <c r="M73" i="4"/>
  <c r="M67" i="4"/>
  <c r="M26" i="4"/>
  <c r="M18" i="4"/>
  <c r="M52" i="4"/>
  <c r="M21" i="4"/>
  <c r="M76" i="4"/>
  <c r="M54" i="4"/>
  <c r="M24" i="4"/>
  <c r="M59" i="4"/>
  <c r="M62" i="4"/>
  <c r="M51" i="4"/>
  <c r="M71" i="4"/>
  <c r="M41" i="4"/>
  <c r="M46" i="4"/>
  <c r="M19" i="4"/>
  <c r="M34" i="4"/>
  <c r="M61" i="4"/>
  <c r="M44" i="4"/>
  <c r="M20" i="4"/>
  <c r="M22" i="4"/>
  <c r="M48" i="4"/>
  <c r="M75" i="4"/>
  <c r="M63" i="4"/>
  <c r="M50" i="4"/>
  <c r="M36" i="4"/>
  <c r="M57" i="4"/>
  <c r="M58" i="4"/>
  <c r="M32" i="4"/>
  <c r="M37" i="4"/>
  <c r="M28" i="4"/>
  <c r="M33" i="4"/>
  <c r="M40" i="4"/>
  <c r="M39" i="4"/>
  <c r="B36" i="3"/>
  <c r="B31" i="4"/>
  <c r="O6" i="4" l="1"/>
  <c r="B112" i="5"/>
  <c r="N31" i="4"/>
  <c r="N69" i="4"/>
  <c r="N48" i="4"/>
  <c r="N29" i="4"/>
  <c r="N72" i="4"/>
  <c r="N18" i="4"/>
  <c r="N64" i="4"/>
  <c r="N32" i="4"/>
  <c r="N52" i="4"/>
  <c r="N63" i="4"/>
  <c r="N70" i="4"/>
  <c r="N24" i="4"/>
  <c r="N35" i="4"/>
  <c r="N51" i="4"/>
  <c r="N38" i="4"/>
  <c r="N23" i="4"/>
  <c r="N40" i="4"/>
  <c r="N68" i="4"/>
  <c r="N49" i="4"/>
  <c r="N41" i="4"/>
  <c r="N71" i="4"/>
  <c r="N43" i="4"/>
  <c r="N55" i="4"/>
  <c r="N20" i="4"/>
  <c r="N73" i="4"/>
  <c r="N66" i="4"/>
  <c r="N46" i="4"/>
  <c r="N37" i="4"/>
  <c r="N42" i="4"/>
  <c r="N59" i="4"/>
  <c r="N77" i="4"/>
  <c r="N74" i="4"/>
  <c r="N47" i="4"/>
  <c r="N26" i="4"/>
  <c r="N45" i="4"/>
  <c r="N56" i="4"/>
  <c r="N53" i="4"/>
  <c r="N36" i="4"/>
  <c r="N22" i="4"/>
  <c r="N19" i="4"/>
  <c r="N33" i="4"/>
  <c r="N50" i="4"/>
  <c r="N75" i="4"/>
  <c r="N65" i="4"/>
  <c r="N25" i="4"/>
  <c r="N67" i="4"/>
  <c r="N60" i="4"/>
  <c r="N34" i="4"/>
  <c r="N61" i="4"/>
  <c r="N57" i="4"/>
  <c r="N30" i="4"/>
  <c r="N44" i="4"/>
  <c r="N39" i="4"/>
  <c r="N21" i="4"/>
  <c r="N27" i="4"/>
  <c r="N28" i="4"/>
  <c r="N62" i="4"/>
  <c r="N76" i="4"/>
  <c r="N58" i="4"/>
  <c r="N54" i="4"/>
  <c r="B37" i="3"/>
  <c r="B32" i="4"/>
  <c r="B38" i="3" l="1"/>
  <c r="B33" i="4"/>
  <c r="P6" i="4"/>
  <c r="B113" i="5"/>
  <c r="O69" i="4"/>
  <c r="O32" i="4"/>
  <c r="O18" i="4"/>
  <c r="O70" i="4"/>
  <c r="O64" i="4"/>
  <c r="O31" i="4"/>
  <c r="O30" i="4"/>
  <c r="O52" i="4"/>
  <c r="O48" i="4"/>
  <c r="O53" i="4"/>
  <c r="O63" i="4"/>
  <c r="O59" i="4"/>
  <c r="O29" i="4"/>
  <c r="O43" i="4"/>
  <c r="O55" i="4"/>
  <c r="O67" i="4"/>
  <c r="O27" i="4"/>
  <c r="O77" i="4"/>
  <c r="O66" i="4"/>
  <c r="O68" i="4"/>
  <c r="O65" i="4"/>
  <c r="O25" i="4"/>
  <c r="O22" i="4"/>
  <c r="O60" i="4"/>
  <c r="O41" i="4"/>
  <c r="O36" i="4"/>
  <c r="O50" i="4"/>
  <c r="O39" i="4"/>
  <c r="O61" i="4"/>
  <c r="O51" i="4"/>
  <c r="O71" i="4"/>
  <c r="O72" i="4"/>
  <c r="O46" i="4"/>
  <c r="O57" i="4"/>
  <c r="O44" i="4"/>
  <c r="O74" i="4"/>
  <c r="O37" i="4"/>
  <c r="O58" i="4"/>
  <c r="O54" i="4"/>
  <c r="O42" i="4"/>
  <c r="O24" i="4"/>
  <c r="O49" i="4"/>
  <c r="O33" i="4"/>
  <c r="O62" i="4"/>
  <c r="O75" i="4"/>
  <c r="O23" i="4"/>
  <c r="O38" i="4"/>
  <c r="O40" i="4"/>
  <c r="O28" i="4"/>
  <c r="O56" i="4"/>
  <c r="O76" i="4"/>
  <c r="O47" i="4"/>
  <c r="O34" i="4"/>
  <c r="O26" i="4"/>
  <c r="O45" i="4"/>
  <c r="O73" i="4"/>
  <c r="O35" i="4"/>
  <c r="O21" i="4"/>
  <c r="O19" i="4"/>
  <c r="O20" i="4"/>
  <c r="B39" i="3" l="1"/>
  <c r="B34" i="4"/>
  <c r="Q6" i="4"/>
  <c r="B114" i="5"/>
  <c r="P64" i="4"/>
  <c r="P31" i="4"/>
  <c r="P23" i="4"/>
  <c r="P72" i="4"/>
  <c r="P30" i="4"/>
  <c r="P51" i="4"/>
  <c r="P70" i="4"/>
  <c r="P32" i="4"/>
  <c r="P53" i="4"/>
  <c r="P42" i="4"/>
  <c r="P69" i="4"/>
  <c r="P48" i="4"/>
  <c r="P77" i="4"/>
  <c r="P40" i="4"/>
  <c r="P29" i="4"/>
  <c r="P24" i="4"/>
  <c r="P35" i="4"/>
  <c r="P21" i="4"/>
  <c r="P47" i="4"/>
  <c r="P71" i="4"/>
  <c r="P18" i="4"/>
  <c r="P36" i="4"/>
  <c r="P27" i="4"/>
  <c r="P60" i="4"/>
  <c r="P59" i="4"/>
  <c r="P43" i="4"/>
  <c r="P66" i="4"/>
  <c r="P52" i="4"/>
  <c r="P65" i="4"/>
  <c r="P73" i="4"/>
  <c r="P41" i="4"/>
  <c r="P67" i="4"/>
  <c r="P22" i="4"/>
  <c r="P63" i="4"/>
  <c r="P39" i="4"/>
  <c r="P19" i="4"/>
  <c r="P34" i="4"/>
  <c r="P25" i="4"/>
  <c r="P45" i="4"/>
  <c r="P50" i="4"/>
  <c r="P75" i="4"/>
  <c r="P46" i="4"/>
  <c r="P56" i="4"/>
  <c r="P28" i="4"/>
  <c r="P61" i="4"/>
  <c r="P38" i="4"/>
  <c r="P74" i="4"/>
  <c r="P76" i="4"/>
  <c r="P44" i="4"/>
  <c r="P54" i="4"/>
  <c r="P33" i="4"/>
  <c r="P20" i="4"/>
  <c r="P37" i="4"/>
  <c r="P58" i="4"/>
  <c r="P62" i="4"/>
  <c r="P26" i="4"/>
  <c r="P68" i="4"/>
  <c r="P57" i="4"/>
  <c r="P49" i="4"/>
  <c r="P55" i="4"/>
  <c r="B40" i="3" l="1"/>
  <c r="B35" i="4"/>
  <c r="R6" i="4"/>
  <c r="B115" i="5"/>
  <c r="Q48" i="4"/>
  <c r="Q70" i="4"/>
  <c r="Q51" i="4"/>
  <c r="Q52" i="4"/>
  <c r="Q69" i="4"/>
  <c r="Q64" i="4"/>
  <c r="Q30" i="4"/>
  <c r="Q71" i="4"/>
  <c r="Q23" i="4"/>
  <c r="Q53" i="4"/>
  <c r="Q63" i="4"/>
  <c r="Q35" i="4"/>
  <c r="Q29" i="4"/>
  <c r="Q32" i="4"/>
  <c r="Q36" i="4"/>
  <c r="Q18" i="4"/>
  <c r="Q38" i="4"/>
  <c r="Q31" i="4"/>
  <c r="Q42" i="4"/>
  <c r="Q66" i="4"/>
  <c r="Q74" i="4"/>
  <c r="Q41" i="4"/>
  <c r="Q47" i="4"/>
  <c r="Q24" i="4"/>
  <c r="Q33" i="4"/>
  <c r="Q67" i="4"/>
  <c r="Q22" i="4"/>
  <c r="Q59" i="4"/>
  <c r="Q40" i="4"/>
  <c r="Q49" i="4"/>
  <c r="Q46" i="4"/>
  <c r="Q21" i="4"/>
  <c r="Q45" i="4"/>
  <c r="Q76" i="4"/>
  <c r="Q54" i="4"/>
  <c r="Q77" i="4"/>
  <c r="Q19" i="4"/>
  <c r="Q75" i="4"/>
  <c r="Q72" i="4"/>
  <c r="Q43" i="4"/>
  <c r="Q68" i="4"/>
  <c r="Q65" i="4"/>
  <c r="Q55" i="4"/>
  <c r="Q58" i="4"/>
  <c r="Q56" i="4"/>
  <c r="Q39" i="4"/>
  <c r="Q57" i="4"/>
  <c r="Q28" i="4"/>
  <c r="Q61" i="4"/>
  <c r="Q27" i="4"/>
  <c r="Q34" i="4"/>
  <c r="Q62" i="4"/>
  <c r="Q73" i="4"/>
  <c r="Q37" i="4"/>
  <c r="Q60" i="4"/>
  <c r="Q50" i="4"/>
  <c r="Q44" i="4"/>
  <c r="Q26" i="4"/>
  <c r="Q25" i="4"/>
  <c r="Q20" i="4"/>
  <c r="B41" i="3" l="1"/>
  <c r="B36" i="4"/>
  <c r="S6" i="4"/>
  <c r="B116" i="5"/>
  <c r="R70" i="4"/>
  <c r="R71" i="4"/>
  <c r="R69" i="4"/>
  <c r="R30" i="4"/>
  <c r="R51" i="4"/>
  <c r="R32" i="4"/>
  <c r="R23" i="4"/>
  <c r="R72" i="4"/>
  <c r="R53" i="4"/>
  <c r="R63" i="4"/>
  <c r="R36" i="4"/>
  <c r="R35" i="4"/>
  <c r="R77" i="4"/>
  <c r="R29" i="4"/>
  <c r="R38" i="4"/>
  <c r="R59" i="4"/>
  <c r="R18" i="4"/>
  <c r="R68" i="4"/>
  <c r="R55" i="4"/>
  <c r="R33" i="4"/>
  <c r="R25" i="4"/>
  <c r="R45" i="4"/>
  <c r="R64" i="4"/>
  <c r="R31" i="4"/>
  <c r="R42" i="4"/>
  <c r="R41" i="4"/>
  <c r="R67" i="4"/>
  <c r="R47" i="4"/>
  <c r="R24" i="4"/>
  <c r="R49" i="4"/>
  <c r="R27" i="4"/>
  <c r="R37" i="4"/>
  <c r="R43" i="4"/>
  <c r="R65" i="4"/>
  <c r="R74" i="4"/>
  <c r="R20" i="4"/>
  <c r="R39" i="4"/>
  <c r="R57" i="4"/>
  <c r="R28" i="4"/>
  <c r="R75" i="4"/>
  <c r="R40" i="4"/>
  <c r="R66" i="4"/>
  <c r="R73" i="4"/>
  <c r="R26" i="4"/>
  <c r="R19" i="4"/>
  <c r="R50" i="4"/>
  <c r="R48" i="4"/>
  <c r="R52" i="4"/>
  <c r="R22" i="4"/>
  <c r="R46" i="4"/>
  <c r="R54" i="4"/>
  <c r="R21" i="4"/>
  <c r="R62" i="4"/>
  <c r="R76" i="4"/>
  <c r="R58" i="4"/>
  <c r="R61" i="4"/>
  <c r="R56" i="4"/>
  <c r="R44" i="4"/>
  <c r="R60" i="4"/>
  <c r="R34" i="4"/>
  <c r="B42" i="3" l="1"/>
  <c r="B37" i="4"/>
  <c r="T6" i="4"/>
  <c r="B117" i="5"/>
  <c r="S18" i="4"/>
  <c r="S70" i="4"/>
  <c r="S53" i="4"/>
  <c r="S36" i="4"/>
  <c r="S48" i="4"/>
  <c r="S40" i="4"/>
  <c r="S32" i="4"/>
  <c r="S42" i="4"/>
  <c r="S30" i="4"/>
  <c r="S63" i="4"/>
  <c r="S29" i="4"/>
  <c r="S52" i="4"/>
  <c r="S68" i="4"/>
  <c r="S73" i="4"/>
  <c r="S26" i="4"/>
  <c r="S58" i="4"/>
  <c r="S56" i="4"/>
  <c r="S38" i="4"/>
  <c r="S59" i="4"/>
  <c r="S74" i="4"/>
  <c r="S64" i="4"/>
  <c r="S72" i="4"/>
  <c r="S71" i="4"/>
  <c r="S21" i="4"/>
  <c r="S67" i="4"/>
  <c r="S46" i="4"/>
  <c r="S60" i="4"/>
  <c r="S24" i="4"/>
  <c r="S77" i="4"/>
  <c r="S47" i="4"/>
  <c r="S27" i="4"/>
  <c r="S31" i="4"/>
  <c r="S54" i="4"/>
  <c r="S43" i="4"/>
  <c r="S33" i="4"/>
  <c r="S37" i="4"/>
  <c r="S39" i="4"/>
  <c r="S57" i="4"/>
  <c r="S51" i="4"/>
  <c r="S66" i="4"/>
  <c r="S76" i="4"/>
  <c r="S44" i="4"/>
  <c r="S50" i="4"/>
  <c r="S19" i="4"/>
  <c r="S34" i="4"/>
  <c r="S35" i="4"/>
  <c r="S62" i="4"/>
  <c r="S65" i="4"/>
  <c r="S28" i="4"/>
  <c r="S45" i="4"/>
  <c r="S23" i="4"/>
  <c r="S55" i="4"/>
  <c r="S69" i="4"/>
  <c r="S20" i="4"/>
  <c r="S75" i="4"/>
  <c r="S49" i="4"/>
  <c r="S25" i="4"/>
  <c r="S61" i="4"/>
  <c r="S22" i="4"/>
  <c r="S41" i="4"/>
  <c r="B43" i="3" l="1"/>
  <c r="B38" i="4"/>
  <c r="U6" i="4"/>
  <c r="B118" i="5"/>
  <c r="T51" i="4"/>
  <c r="T18" i="4"/>
  <c r="T69" i="4"/>
  <c r="T23" i="4"/>
  <c r="T32" i="4"/>
  <c r="T42" i="4"/>
  <c r="T29" i="4"/>
  <c r="T52" i="4"/>
  <c r="T63" i="4"/>
  <c r="T77" i="4"/>
  <c r="T31" i="4"/>
  <c r="T70" i="4"/>
  <c r="T35" i="4"/>
  <c r="T48" i="4"/>
  <c r="T64" i="4"/>
  <c r="T72" i="4"/>
  <c r="T36" i="4"/>
  <c r="T71" i="4"/>
  <c r="T38" i="4"/>
  <c r="T20" i="4"/>
  <c r="T41" i="4"/>
  <c r="T26" i="4"/>
  <c r="T46" i="4"/>
  <c r="T58" i="4"/>
  <c r="T40" i="4"/>
  <c r="T33" i="4"/>
  <c r="T21" i="4"/>
  <c r="T74" i="4"/>
  <c r="T73" i="4"/>
  <c r="T45" i="4"/>
  <c r="T24" i="4"/>
  <c r="T66" i="4"/>
  <c r="T49" i="4"/>
  <c r="T25" i="4"/>
  <c r="T22" i="4"/>
  <c r="T47" i="4"/>
  <c r="T28" i="4"/>
  <c r="T34" i="4"/>
  <c r="T76" i="4"/>
  <c r="T44" i="4"/>
  <c r="T75" i="4"/>
  <c r="T54" i="4"/>
  <c r="T39" i="4"/>
  <c r="T43" i="4"/>
  <c r="T68" i="4"/>
  <c r="T65" i="4"/>
  <c r="T57" i="4"/>
  <c r="T59" i="4"/>
  <c r="T37" i="4"/>
  <c r="T61" i="4"/>
  <c r="T62" i="4"/>
  <c r="T19" i="4"/>
  <c r="T50" i="4"/>
  <c r="T56" i="4"/>
  <c r="T67" i="4"/>
  <c r="T30" i="4"/>
  <c r="T53" i="4"/>
  <c r="T55" i="4"/>
  <c r="T27" i="4"/>
  <c r="T60" i="4"/>
  <c r="B44" i="3" l="1"/>
  <c r="B39" i="4"/>
  <c r="V6" i="4"/>
  <c r="B119" i="5"/>
  <c r="U23" i="4"/>
  <c r="U29" i="4"/>
  <c r="U71" i="4"/>
  <c r="U48" i="4"/>
  <c r="U31" i="4"/>
  <c r="U64" i="4"/>
  <c r="U70" i="4"/>
  <c r="U69" i="4"/>
  <c r="U52" i="4"/>
  <c r="U53" i="4"/>
  <c r="U72" i="4"/>
  <c r="U18" i="4"/>
  <c r="U35" i="4"/>
  <c r="U36" i="4"/>
  <c r="U59" i="4"/>
  <c r="U77" i="4"/>
  <c r="U51" i="4"/>
  <c r="U46" i="4"/>
  <c r="U45" i="4"/>
  <c r="U37" i="4"/>
  <c r="U49" i="4"/>
  <c r="U47" i="4"/>
  <c r="U68" i="4"/>
  <c r="U33" i="4"/>
  <c r="U20" i="4"/>
  <c r="U74" i="4"/>
  <c r="U41" i="4"/>
  <c r="U60" i="4"/>
  <c r="U42" i="4"/>
  <c r="U38" i="4"/>
  <c r="U43" i="4"/>
  <c r="U21" i="4"/>
  <c r="U65" i="4"/>
  <c r="U73" i="4"/>
  <c r="U66" i="4"/>
  <c r="U22" i="4"/>
  <c r="U27" i="4"/>
  <c r="U56" i="4"/>
  <c r="U50" i="4"/>
  <c r="U62" i="4"/>
  <c r="U63" i="4"/>
  <c r="U57" i="4"/>
  <c r="U28" i="4"/>
  <c r="U76" i="4"/>
  <c r="U55" i="4"/>
  <c r="U39" i="4"/>
  <c r="U30" i="4"/>
  <c r="U58" i="4"/>
  <c r="U54" i="4"/>
  <c r="U40" i="4"/>
  <c r="U26" i="4"/>
  <c r="U32" i="4"/>
  <c r="U61" i="4"/>
  <c r="U34" i="4"/>
  <c r="U75" i="4"/>
  <c r="U44" i="4"/>
  <c r="U67" i="4"/>
  <c r="U19" i="4"/>
  <c r="U24" i="4"/>
  <c r="U25" i="4"/>
  <c r="W6" i="4" l="1"/>
  <c r="B120" i="5"/>
  <c r="V32" i="4"/>
  <c r="V69" i="4"/>
  <c r="V29" i="4"/>
  <c r="V72" i="4"/>
  <c r="V31" i="4"/>
  <c r="V51" i="4"/>
  <c r="V71" i="4"/>
  <c r="V18" i="4"/>
  <c r="V64" i="4"/>
  <c r="V42" i="4"/>
  <c r="V52" i="4"/>
  <c r="V30" i="4"/>
  <c r="V53" i="4"/>
  <c r="V59" i="4"/>
  <c r="V24" i="4"/>
  <c r="V66" i="4"/>
  <c r="V25" i="4"/>
  <c r="V22" i="4"/>
  <c r="V60" i="4"/>
  <c r="V35" i="4"/>
  <c r="V40" i="4"/>
  <c r="V43" i="4"/>
  <c r="V67" i="4"/>
  <c r="V48" i="4"/>
  <c r="V63" i="4"/>
  <c r="V27" i="4"/>
  <c r="V23" i="4"/>
  <c r="V20" i="4"/>
  <c r="V55" i="4"/>
  <c r="V73" i="4"/>
  <c r="V47" i="4"/>
  <c r="V26" i="4"/>
  <c r="V75" i="4"/>
  <c r="V38" i="4"/>
  <c r="V39" i="4"/>
  <c r="V68" i="4"/>
  <c r="V58" i="4"/>
  <c r="V19" i="4"/>
  <c r="V34" i="4"/>
  <c r="V44" i="4"/>
  <c r="V62" i="4"/>
  <c r="V61" i="4"/>
  <c r="V76" i="4"/>
  <c r="V56" i="4"/>
  <c r="V57" i="4"/>
  <c r="V28" i="4"/>
  <c r="V33" i="4"/>
  <c r="V70" i="4"/>
  <c r="V77" i="4"/>
  <c r="V49" i="4"/>
  <c r="V41" i="4"/>
  <c r="V54" i="4"/>
  <c r="V74" i="4"/>
  <c r="V65" i="4"/>
  <c r="V21" i="4"/>
  <c r="V46" i="4"/>
  <c r="V36" i="4"/>
  <c r="V45" i="4"/>
  <c r="V37" i="4"/>
  <c r="V50" i="4"/>
  <c r="B45" i="3"/>
  <c r="B40" i="4"/>
  <c r="B46" i="3" l="1"/>
  <c r="B41" i="4"/>
  <c r="X6" i="4"/>
  <c r="B121" i="5"/>
  <c r="W71" i="4"/>
  <c r="W48" i="4"/>
  <c r="W72" i="4"/>
  <c r="W18" i="4"/>
  <c r="W69" i="4"/>
  <c r="W23" i="4"/>
  <c r="W40" i="4"/>
  <c r="W30" i="4"/>
  <c r="W77" i="4"/>
  <c r="W31" i="4"/>
  <c r="W42" i="4"/>
  <c r="W70" i="4"/>
  <c r="W24" i="4"/>
  <c r="W35" i="4"/>
  <c r="W53" i="4"/>
  <c r="W36" i="4"/>
  <c r="W59" i="4"/>
  <c r="W46" i="4"/>
  <c r="W60" i="4"/>
  <c r="W51" i="4"/>
  <c r="W52" i="4"/>
  <c r="W55" i="4"/>
  <c r="W33" i="4"/>
  <c r="W25" i="4"/>
  <c r="W26" i="4"/>
  <c r="W37" i="4"/>
  <c r="W58" i="4"/>
  <c r="W29" i="4"/>
  <c r="W32" i="4"/>
  <c r="W38" i="4"/>
  <c r="W41" i="4"/>
  <c r="W67" i="4"/>
  <c r="W64" i="4"/>
  <c r="W68" i="4"/>
  <c r="W45" i="4"/>
  <c r="W43" i="4"/>
  <c r="W49" i="4"/>
  <c r="W74" i="4"/>
  <c r="W57" i="4"/>
  <c r="W34" i="4"/>
  <c r="W61" i="4"/>
  <c r="W66" i="4"/>
  <c r="W54" i="4"/>
  <c r="W21" i="4"/>
  <c r="W65" i="4"/>
  <c r="W73" i="4"/>
  <c r="W76" i="4"/>
  <c r="W27" i="4"/>
  <c r="W39" i="4"/>
  <c r="W47" i="4"/>
  <c r="W75" i="4"/>
  <c r="W56" i="4"/>
  <c r="W50" i="4"/>
  <c r="W28" i="4"/>
  <c r="W63" i="4"/>
  <c r="W20" i="4"/>
  <c r="W44" i="4"/>
  <c r="W22" i="4"/>
  <c r="W62" i="4"/>
  <c r="W19" i="4"/>
  <c r="Y6" i="4" l="1"/>
  <c r="B122" i="5"/>
  <c r="X32" i="4"/>
  <c r="X29" i="4"/>
  <c r="X30" i="4"/>
  <c r="X52" i="4"/>
  <c r="X18" i="4"/>
  <c r="X24" i="4"/>
  <c r="X77" i="4"/>
  <c r="X23" i="4"/>
  <c r="X70" i="4"/>
  <c r="X51" i="4"/>
  <c r="X53" i="4"/>
  <c r="X42" i="4"/>
  <c r="X69" i="4"/>
  <c r="X64" i="4"/>
  <c r="X71" i="4"/>
  <c r="X59" i="4"/>
  <c r="X63" i="4"/>
  <c r="X40" i="4"/>
  <c r="X33" i="4"/>
  <c r="X58" i="4"/>
  <c r="X48" i="4"/>
  <c r="X38" i="4"/>
  <c r="X55" i="4"/>
  <c r="X21" i="4"/>
  <c r="X22" i="4"/>
  <c r="X46" i="4"/>
  <c r="X37" i="4"/>
  <c r="X31" i="4"/>
  <c r="X36" i="4"/>
  <c r="X20" i="4"/>
  <c r="X74" i="4"/>
  <c r="X47" i="4"/>
  <c r="X66" i="4"/>
  <c r="X65" i="4"/>
  <c r="X67" i="4"/>
  <c r="X49" i="4"/>
  <c r="X73" i="4"/>
  <c r="X26" i="4"/>
  <c r="X45" i="4"/>
  <c r="X56" i="4"/>
  <c r="X62" i="4"/>
  <c r="X75" i="4"/>
  <c r="X72" i="4"/>
  <c r="X35" i="4"/>
  <c r="X50" i="4"/>
  <c r="X57" i="4"/>
  <c r="X28" i="4"/>
  <c r="X27" i="4"/>
  <c r="X60" i="4"/>
  <c r="X43" i="4"/>
  <c r="X25" i="4"/>
  <c r="X39" i="4"/>
  <c r="X19" i="4"/>
  <c r="X61" i="4"/>
  <c r="X76" i="4"/>
  <c r="X68" i="4"/>
  <c r="X54" i="4"/>
  <c r="X44" i="4"/>
  <c r="X34" i="4"/>
  <c r="X41" i="4"/>
  <c r="B47" i="3"/>
  <c r="B42" i="4"/>
  <c r="Z6" i="4" l="1"/>
  <c r="B123" i="5"/>
  <c r="Y29" i="4"/>
  <c r="Y48" i="4"/>
  <c r="Y42" i="4"/>
  <c r="Y71" i="4"/>
  <c r="Y69" i="4"/>
  <c r="Y23" i="4"/>
  <c r="Y32" i="4"/>
  <c r="Y38" i="4"/>
  <c r="Y35" i="4"/>
  <c r="Y40" i="4"/>
  <c r="Y30" i="4"/>
  <c r="Y52" i="4"/>
  <c r="Y64" i="4"/>
  <c r="Y51" i="4"/>
  <c r="Y53" i="4"/>
  <c r="Y77" i="4"/>
  <c r="Y70" i="4"/>
  <c r="Y24" i="4"/>
  <c r="Y31" i="4"/>
  <c r="Y25" i="4"/>
  <c r="Y45" i="4"/>
  <c r="Y43" i="4"/>
  <c r="Y60" i="4"/>
  <c r="Y58" i="4"/>
  <c r="Y63" i="4"/>
  <c r="Y55" i="4"/>
  <c r="Y47" i="4"/>
  <c r="Y26" i="4"/>
  <c r="Y74" i="4"/>
  <c r="Y67" i="4"/>
  <c r="Y22" i="4"/>
  <c r="Y27" i="4"/>
  <c r="Y37" i="4"/>
  <c r="Y59" i="4"/>
  <c r="Y62" i="4"/>
  <c r="Y21" i="4"/>
  <c r="Y46" i="4"/>
  <c r="Y56" i="4"/>
  <c r="Y50" i="4"/>
  <c r="Y28" i="4"/>
  <c r="Y66" i="4"/>
  <c r="Y49" i="4"/>
  <c r="Y19" i="4"/>
  <c r="Y34" i="4"/>
  <c r="Y54" i="4"/>
  <c r="Y36" i="4"/>
  <c r="Y20" i="4"/>
  <c r="Y39" i="4"/>
  <c r="Y75" i="4"/>
  <c r="Y72" i="4"/>
  <c r="Y33" i="4"/>
  <c r="Y73" i="4"/>
  <c r="Y68" i="4"/>
  <c r="Y61" i="4"/>
  <c r="Y76" i="4"/>
  <c r="Y44" i="4"/>
  <c r="Y41" i="4"/>
  <c r="Y65" i="4"/>
  <c r="Y18" i="4"/>
  <c r="Y57" i="4"/>
  <c r="B48" i="3"/>
  <c r="B43" i="4"/>
  <c r="B49" i="3" l="1"/>
  <c r="B44" i="4"/>
  <c r="AA6" i="4"/>
  <c r="B124" i="5"/>
  <c r="Z64" i="4"/>
  <c r="Z51" i="4"/>
  <c r="Z32" i="4"/>
  <c r="Z48" i="4"/>
  <c r="Z29" i="4"/>
  <c r="Z72" i="4"/>
  <c r="Z23" i="4"/>
  <c r="Z18" i="4"/>
  <c r="Z69" i="4"/>
  <c r="Z63" i="4"/>
  <c r="Z38" i="4"/>
  <c r="Z24" i="4"/>
  <c r="Z77" i="4"/>
  <c r="Z40" i="4"/>
  <c r="Z30" i="4"/>
  <c r="Z36" i="4"/>
  <c r="Z70" i="4"/>
  <c r="Z21" i="4"/>
  <c r="Z45" i="4"/>
  <c r="Z37" i="4"/>
  <c r="Z31" i="4"/>
  <c r="Z53" i="4"/>
  <c r="Z66" i="4"/>
  <c r="Z65" i="4"/>
  <c r="Z73" i="4"/>
  <c r="Z41" i="4"/>
  <c r="Z27" i="4"/>
  <c r="Z71" i="4"/>
  <c r="Z52" i="4"/>
  <c r="Z59" i="4"/>
  <c r="Z25" i="4"/>
  <c r="Z26" i="4"/>
  <c r="Z46" i="4"/>
  <c r="Z33" i="4"/>
  <c r="Z56" i="4"/>
  <c r="Z62" i="4"/>
  <c r="Z61" i="4"/>
  <c r="Z39" i="4"/>
  <c r="Z34" i="4"/>
  <c r="Z67" i="4"/>
  <c r="Z68" i="4"/>
  <c r="Z28" i="4"/>
  <c r="Z44" i="4"/>
  <c r="Z75" i="4"/>
  <c r="Z20" i="4"/>
  <c r="Z76" i="4"/>
  <c r="Z42" i="4"/>
  <c r="Z35" i="4"/>
  <c r="Z50" i="4"/>
  <c r="Z57" i="4"/>
  <c r="Z55" i="4"/>
  <c r="Z19" i="4"/>
  <c r="Z49" i="4"/>
  <c r="Z47" i="4"/>
  <c r="Z22" i="4"/>
  <c r="Z54" i="4"/>
  <c r="Z60" i="4"/>
  <c r="Z43" i="4"/>
  <c r="Z74" i="4"/>
  <c r="Z58" i="4"/>
  <c r="AB6" i="4" l="1"/>
  <c r="B125" i="5"/>
  <c r="AA31" i="4"/>
  <c r="AA72" i="4"/>
  <c r="AA18" i="4"/>
  <c r="AA64" i="4"/>
  <c r="AA32" i="4"/>
  <c r="AA29" i="4"/>
  <c r="AA70" i="4"/>
  <c r="AA51" i="4"/>
  <c r="AA53" i="4"/>
  <c r="AA69" i="4"/>
  <c r="AA48" i="4"/>
  <c r="AA71" i="4"/>
  <c r="AA38" i="4"/>
  <c r="AA52" i="4"/>
  <c r="AA24" i="4"/>
  <c r="AA36" i="4"/>
  <c r="AA40" i="4"/>
  <c r="AA23" i="4"/>
  <c r="AA30" i="4"/>
  <c r="AA35" i="4"/>
  <c r="AA21" i="4"/>
  <c r="AA20" i="4"/>
  <c r="AA47" i="4"/>
  <c r="AA45" i="4"/>
  <c r="AA66" i="4"/>
  <c r="AA33" i="4"/>
  <c r="AA25" i="4"/>
  <c r="AA22" i="4"/>
  <c r="AA37" i="4"/>
  <c r="AA60" i="4"/>
  <c r="AA63" i="4"/>
  <c r="AA43" i="4"/>
  <c r="AA68" i="4"/>
  <c r="AA55" i="4"/>
  <c r="AA26" i="4"/>
  <c r="AA58" i="4"/>
  <c r="AA50" i="4"/>
  <c r="AA75" i="4"/>
  <c r="AA59" i="4"/>
  <c r="AA74" i="4"/>
  <c r="AA65" i="4"/>
  <c r="AA34" i="4"/>
  <c r="AA27" i="4"/>
  <c r="AA56" i="4"/>
  <c r="AA61" i="4"/>
  <c r="AA44" i="4"/>
  <c r="AA54" i="4"/>
  <c r="AA41" i="4"/>
  <c r="AA39" i="4"/>
  <c r="AA67" i="4"/>
  <c r="AA42" i="4"/>
  <c r="AA57" i="4"/>
  <c r="AA76" i="4"/>
  <c r="AA77" i="4"/>
  <c r="AA28" i="4"/>
  <c r="AA46" i="4"/>
  <c r="AA49" i="4"/>
  <c r="AA19" i="4"/>
  <c r="AA73" i="4"/>
  <c r="AA62" i="4"/>
  <c r="B50" i="3"/>
  <c r="B45" i="4"/>
  <c r="AC6" i="4" l="1"/>
  <c r="B126" i="5"/>
  <c r="AB42" i="4"/>
  <c r="AB23" i="4"/>
  <c r="AB72" i="4"/>
  <c r="AB71" i="4"/>
  <c r="AB48" i="4"/>
  <c r="AB70" i="4"/>
  <c r="AB51" i="4"/>
  <c r="AB69" i="4"/>
  <c r="AB63" i="4"/>
  <c r="AB59" i="4"/>
  <c r="AB32" i="4"/>
  <c r="AB18" i="4"/>
  <c r="AB38" i="4"/>
  <c r="AB40" i="4"/>
  <c r="AB53" i="4"/>
  <c r="AB35" i="4"/>
  <c r="AB64" i="4"/>
  <c r="AB30" i="4"/>
  <c r="AB73" i="4"/>
  <c r="AB46" i="4"/>
  <c r="AB58" i="4"/>
  <c r="AB24" i="4"/>
  <c r="AB49" i="4"/>
  <c r="AB26" i="4"/>
  <c r="AB52" i="4"/>
  <c r="AB65" i="4"/>
  <c r="AB45" i="4"/>
  <c r="AB60" i="4"/>
  <c r="AB74" i="4"/>
  <c r="AB37" i="4"/>
  <c r="AB33" i="4"/>
  <c r="AB44" i="4"/>
  <c r="AB43" i="4"/>
  <c r="AB67" i="4"/>
  <c r="AB56" i="4"/>
  <c r="AB61" i="4"/>
  <c r="AB31" i="4"/>
  <c r="AB29" i="4"/>
  <c r="AB47" i="4"/>
  <c r="AB50" i="4"/>
  <c r="AB21" i="4"/>
  <c r="AB28" i="4"/>
  <c r="AB62" i="4"/>
  <c r="AB54" i="4"/>
  <c r="AB36" i="4"/>
  <c r="AB55" i="4"/>
  <c r="AB75" i="4"/>
  <c r="AB19" i="4"/>
  <c r="AB39" i="4"/>
  <c r="AB68" i="4"/>
  <c r="AB22" i="4"/>
  <c r="AB25" i="4"/>
  <c r="AB41" i="4"/>
  <c r="AB57" i="4"/>
  <c r="AB77" i="4"/>
  <c r="AB66" i="4"/>
  <c r="AB20" i="4"/>
  <c r="AB34" i="4"/>
  <c r="AB76" i="4"/>
  <c r="AB27" i="4"/>
  <c r="B51" i="3"/>
  <c r="B46" i="4"/>
  <c r="AD6" i="4" l="1"/>
  <c r="B127" i="5"/>
  <c r="AC31" i="4"/>
  <c r="AC29" i="4"/>
  <c r="AC30" i="4"/>
  <c r="AC70" i="4"/>
  <c r="AC23" i="4"/>
  <c r="AC42" i="4"/>
  <c r="AC18" i="4"/>
  <c r="AC52" i="4"/>
  <c r="AC64" i="4"/>
  <c r="AC63" i="4"/>
  <c r="AC59" i="4"/>
  <c r="AC77" i="4"/>
  <c r="AC32" i="4"/>
  <c r="AC38" i="4"/>
  <c r="AC48" i="4"/>
  <c r="AC72" i="4"/>
  <c r="AC51" i="4"/>
  <c r="AC40" i="4"/>
  <c r="AC69" i="4"/>
  <c r="AC43" i="4"/>
  <c r="AC74" i="4"/>
  <c r="AC27" i="4"/>
  <c r="AC35" i="4"/>
  <c r="AC41" i="4"/>
  <c r="AC22" i="4"/>
  <c r="AC49" i="4"/>
  <c r="AC73" i="4"/>
  <c r="AC71" i="4"/>
  <c r="AC36" i="4"/>
  <c r="AC58" i="4"/>
  <c r="AC68" i="4"/>
  <c r="AC33" i="4"/>
  <c r="AC39" i="4"/>
  <c r="AC57" i="4"/>
  <c r="AC24" i="4"/>
  <c r="AC55" i="4"/>
  <c r="AC62" i="4"/>
  <c r="AC61" i="4"/>
  <c r="AC60" i="4"/>
  <c r="AC56" i="4"/>
  <c r="AC28" i="4"/>
  <c r="AC53" i="4"/>
  <c r="AC21" i="4"/>
  <c r="AC65" i="4"/>
  <c r="AC47" i="4"/>
  <c r="AC45" i="4"/>
  <c r="AC37" i="4"/>
  <c r="AC76" i="4"/>
  <c r="AC75" i="4"/>
  <c r="AC26" i="4"/>
  <c r="AC46" i="4"/>
  <c r="AC54" i="4"/>
  <c r="AC19" i="4"/>
  <c r="AC25" i="4"/>
  <c r="AC66" i="4"/>
  <c r="AC67" i="4"/>
  <c r="AC50" i="4"/>
  <c r="AC44" i="4"/>
  <c r="AC20" i="4"/>
  <c r="AC34" i="4"/>
  <c r="B52" i="3"/>
  <c r="B47" i="4"/>
  <c r="B53" i="3" l="1"/>
  <c r="B48" i="4"/>
  <c r="AE6" i="4"/>
  <c r="B128" i="5"/>
  <c r="AD53" i="4"/>
  <c r="AD31" i="4"/>
  <c r="AD72" i="4"/>
  <c r="AD70" i="4"/>
  <c r="AD30" i="4"/>
  <c r="AD51" i="4"/>
  <c r="AD52" i="4"/>
  <c r="AD29" i="4"/>
  <c r="AD63" i="4"/>
  <c r="AD77" i="4"/>
  <c r="AD64" i="4"/>
  <c r="AD71" i="4"/>
  <c r="AD69" i="4"/>
  <c r="AD48" i="4"/>
  <c r="AD68" i="4"/>
  <c r="AD60" i="4"/>
  <c r="AD23" i="4"/>
  <c r="AD42" i="4"/>
  <c r="AD36" i="4"/>
  <c r="AD20" i="4"/>
  <c r="AD27" i="4"/>
  <c r="AD35" i="4"/>
  <c r="AD55" i="4"/>
  <c r="AD49" i="4"/>
  <c r="AD73" i="4"/>
  <c r="AD41" i="4"/>
  <c r="AD26" i="4"/>
  <c r="AD46" i="4"/>
  <c r="AD65" i="4"/>
  <c r="AD45" i="4"/>
  <c r="AD33" i="4"/>
  <c r="AD44" i="4"/>
  <c r="AD18" i="4"/>
  <c r="AD74" i="4"/>
  <c r="AD22" i="4"/>
  <c r="AD37" i="4"/>
  <c r="AD57" i="4"/>
  <c r="AD38" i="4"/>
  <c r="AD24" i="4"/>
  <c r="AD25" i="4"/>
  <c r="AD54" i="4"/>
  <c r="AD43" i="4"/>
  <c r="AD66" i="4"/>
  <c r="AD58" i="4"/>
  <c r="AD34" i="4"/>
  <c r="AD40" i="4"/>
  <c r="AD50" i="4"/>
  <c r="AD32" i="4"/>
  <c r="AD28" i="4"/>
  <c r="AD19" i="4"/>
  <c r="AD61" i="4"/>
  <c r="AD21" i="4"/>
  <c r="AD56" i="4"/>
  <c r="AD59" i="4"/>
  <c r="AD67" i="4"/>
  <c r="AD76" i="4"/>
  <c r="AD75" i="4"/>
  <c r="AD39" i="4"/>
  <c r="AD47" i="4"/>
  <c r="AD62" i="4"/>
  <c r="AF6" i="4" l="1"/>
  <c r="B129" i="5"/>
  <c r="AE72" i="4"/>
  <c r="AE69" i="4"/>
  <c r="AE52" i="4"/>
  <c r="AE64" i="4"/>
  <c r="AE48" i="4"/>
  <c r="AE31" i="4"/>
  <c r="AE70" i="4"/>
  <c r="AE53" i="4"/>
  <c r="AE42" i="4"/>
  <c r="AE71" i="4"/>
  <c r="AE24" i="4"/>
  <c r="AE35" i="4"/>
  <c r="AE59" i="4"/>
  <c r="AE18" i="4"/>
  <c r="AE63" i="4"/>
  <c r="AE38" i="4"/>
  <c r="AE51" i="4"/>
  <c r="AE32" i="4"/>
  <c r="AE30" i="4"/>
  <c r="AE36" i="4"/>
  <c r="AE66" i="4"/>
  <c r="AE49" i="4"/>
  <c r="AE27" i="4"/>
  <c r="AE40" i="4"/>
  <c r="AE43" i="4"/>
  <c r="AE68" i="4"/>
  <c r="AE73" i="4"/>
  <c r="AE23" i="4"/>
  <c r="AE22" i="4"/>
  <c r="AE37" i="4"/>
  <c r="AE58" i="4"/>
  <c r="AE29" i="4"/>
  <c r="AE55" i="4"/>
  <c r="AE33" i="4"/>
  <c r="AE20" i="4"/>
  <c r="AE25" i="4"/>
  <c r="AE26" i="4"/>
  <c r="AE19" i="4"/>
  <c r="AE54" i="4"/>
  <c r="AE77" i="4"/>
  <c r="AE67" i="4"/>
  <c r="AE45" i="4"/>
  <c r="AE57" i="4"/>
  <c r="AE62" i="4"/>
  <c r="AE61" i="4"/>
  <c r="AE76" i="4"/>
  <c r="AE50" i="4"/>
  <c r="AE34" i="4"/>
  <c r="AE65" i="4"/>
  <c r="AE44" i="4"/>
  <c r="AE47" i="4"/>
  <c r="AE60" i="4"/>
  <c r="AE28" i="4"/>
  <c r="AE75" i="4"/>
  <c r="AE46" i="4"/>
  <c r="AE39" i="4"/>
  <c r="AE74" i="4"/>
  <c r="AE41" i="4"/>
  <c r="AE21" i="4"/>
  <c r="AE56" i="4"/>
  <c r="B54" i="3"/>
  <c r="B49" i="4"/>
  <c r="B55" i="3" l="1"/>
  <c r="B50" i="4"/>
  <c r="AG6" i="4"/>
  <c r="B130" i="5"/>
  <c r="AF64" i="4"/>
  <c r="AF72" i="4"/>
  <c r="AF30" i="4"/>
  <c r="AF51" i="4"/>
  <c r="AF31" i="4"/>
  <c r="AF42" i="4"/>
  <c r="AF70" i="4"/>
  <c r="AF32" i="4"/>
  <c r="AF18" i="4"/>
  <c r="AF23" i="4"/>
  <c r="AF38" i="4"/>
  <c r="AF36" i="4"/>
  <c r="AF59" i="4"/>
  <c r="AF71" i="4"/>
  <c r="AF53" i="4"/>
  <c r="AF40" i="4"/>
  <c r="AF48" i="4"/>
  <c r="AF52" i="4"/>
  <c r="AF29" i="4"/>
  <c r="AF77" i="4"/>
  <c r="AF49" i="4"/>
  <c r="AF45" i="4"/>
  <c r="AF24" i="4"/>
  <c r="AF21" i="4"/>
  <c r="AF20" i="4"/>
  <c r="AF43" i="4"/>
  <c r="AF68" i="4"/>
  <c r="AF33" i="4"/>
  <c r="AF27" i="4"/>
  <c r="AF60" i="4"/>
  <c r="AF63" i="4"/>
  <c r="AF65" i="4"/>
  <c r="AF47" i="4"/>
  <c r="AF37" i="4"/>
  <c r="AF58" i="4"/>
  <c r="AF35" i="4"/>
  <c r="AF74" i="4"/>
  <c r="AF67" i="4"/>
  <c r="AF57" i="4"/>
  <c r="AF28" i="4"/>
  <c r="AF44" i="4"/>
  <c r="AF55" i="4"/>
  <c r="AF41" i="4"/>
  <c r="AF39" i="4"/>
  <c r="AF73" i="4"/>
  <c r="AF56" i="4"/>
  <c r="AF76" i="4"/>
  <c r="AF22" i="4"/>
  <c r="AF50" i="4"/>
  <c r="AF61" i="4"/>
  <c r="AF34" i="4"/>
  <c r="AF62" i="4"/>
  <c r="AF25" i="4"/>
  <c r="AF46" i="4"/>
  <c r="AF26" i="4"/>
  <c r="AF19" i="4"/>
  <c r="AF75" i="4"/>
  <c r="AF66" i="4"/>
  <c r="AF69" i="4"/>
  <c r="AF54" i="4"/>
  <c r="AH6" i="4" l="1"/>
  <c r="B131" i="5"/>
  <c r="AG70" i="4"/>
  <c r="AG32" i="4"/>
  <c r="AG69" i="4"/>
  <c r="AG64" i="4"/>
  <c r="AG51" i="4"/>
  <c r="AG48" i="4"/>
  <c r="AG72" i="4"/>
  <c r="AG30" i="4"/>
  <c r="AG23" i="4"/>
  <c r="AG29" i="4"/>
  <c r="AG53" i="4"/>
  <c r="AG59" i="4"/>
  <c r="AG31" i="4"/>
  <c r="AG42" i="4"/>
  <c r="AG52" i="4"/>
  <c r="AG24" i="4"/>
  <c r="AG71" i="4"/>
  <c r="AG38" i="4"/>
  <c r="AG40" i="4"/>
  <c r="AG65" i="4"/>
  <c r="AG67" i="4"/>
  <c r="AG77" i="4"/>
  <c r="AG43" i="4"/>
  <c r="AG49" i="4"/>
  <c r="AG20" i="4"/>
  <c r="AG60" i="4"/>
  <c r="AG18" i="4"/>
  <c r="AG58" i="4"/>
  <c r="AG35" i="4"/>
  <c r="AG33" i="4"/>
  <c r="AG21" i="4"/>
  <c r="AG25" i="4"/>
  <c r="AG34" i="4"/>
  <c r="AG63" i="4"/>
  <c r="AG56" i="4"/>
  <c r="AG36" i="4"/>
  <c r="AG61" i="4"/>
  <c r="AG57" i="4"/>
  <c r="AG19" i="4"/>
  <c r="AG54" i="4"/>
  <c r="AG68" i="4"/>
  <c r="AG74" i="4"/>
  <c r="AG44" i="4"/>
  <c r="AG37" i="4"/>
  <c r="AG39" i="4"/>
  <c r="AG66" i="4"/>
  <c r="AG41" i="4"/>
  <c r="AG28" i="4"/>
  <c r="AG75" i="4"/>
  <c r="AG26" i="4"/>
  <c r="AG76" i="4"/>
  <c r="AG50" i="4"/>
  <c r="AG55" i="4"/>
  <c r="AG22" i="4"/>
  <c r="AG45" i="4"/>
  <c r="AG62" i="4"/>
  <c r="AG73" i="4"/>
  <c r="AG27" i="4"/>
  <c r="AG47" i="4"/>
  <c r="AG46" i="4"/>
  <c r="B56" i="3"/>
  <c r="B51" i="4"/>
  <c r="B57" i="3" l="1"/>
  <c r="B52" i="4"/>
  <c r="AI6" i="4"/>
  <c r="B132" i="5"/>
  <c r="AH64" i="4"/>
  <c r="AH31" i="4"/>
  <c r="AH23" i="4"/>
  <c r="AH42" i="4"/>
  <c r="AH29" i="4"/>
  <c r="AH30" i="4"/>
  <c r="AH52" i="4"/>
  <c r="AH71" i="4"/>
  <c r="AH51" i="4"/>
  <c r="AH69" i="4"/>
  <c r="AH18" i="4"/>
  <c r="AH59" i="4"/>
  <c r="AH53" i="4"/>
  <c r="AH63" i="4"/>
  <c r="AH24" i="4"/>
  <c r="AH77" i="4"/>
  <c r="AH40" i="4"/>
  <c r="AH72" i="4"/>
  <c r="AH33" i="4"/>
  <c r="AH74" i="4"/>
  <c r="AH70" i="4"/>
  <c r="AH66" i="4"/>
  <c r="AH38" i="4"/>
  <c r="AH55" i="4"/>
  <c r="AH49" i="4"/>
  <c r="AH32" i="4"/>
  <c r="AH47" i="4"/>
  <c r="AH26" i="4"/>
  <c r="AH58" i="4"/>
  <c r="AH35" i="4"/>
  <c r="AH27" i="4"/>
  <c r="AH56" i="4"/>
  <c r="AH76" i="4"/>
  <c r="AH43" i="4"/>
  <c r="AH68" i="4"/>
  <c r="AH73" i="4"/>
  <c r="AH44" i="4"/>
  <c r="AH48" i="4"/>
  <c r="AH21" i="4"/>
  <c r="AH20" i="4"/>
  <c r="AH67" i="4"/>
  <c r="AH37" i="4"/>
  <c r="AH28" i="4"/>
  <c r="AH75" i="4"/>
  <c r="AH25" i="4"/>
  <c r="AH41" i="4"/>
  <c r="AH19" i="4"/>
  <c r="AH62" i="4"/>
  <c r="AH46" i="4"/>
  <c r="AH60" i="4"/>
  <c r="AH22" i="4"/>
  <c r="AH45" i="4"/>
  <c r="AH57" i="4"/>
  <c r="AH50" i="4"/>
  <c r="AH61" i="4"/>
  <c r="AH36" i="4"/>
  <c r="AH65" i="4"/>
  <c r="AH39" i="4"/>
  <c r="AH54" i="4"/>
  <c r="AH34" i="4"/>
  <c r="AJ6" i="4" l="1"/>
  <c r="B133" i="5"/>
  <c r="AI64" i="4"/>
  <c r="AI23" i="4"/>
  <c r="AI51" i="4"/>
  <c r="AI71" i="4"/>
  <c r="AI52" i="4"/>
  <c r="AI31" i="4"/>
  <c r="AI70" i="4"/>
  <c r="AI69" i="4"/>
  <c r="AI72" i="4"/>
  <c r="AI42" i="4"/>
  <c r="AI32" i="4"/>
  <c r="AI18" i="4"/>
  <c r="AI53" i="4"/>
  <c r="AI38" i="4"/>
  <c r="AI24" i="4"/>
  <c r="AI35" i="4"/>
  <c r="AI63" i="4"/>
  <c r="AI36" i="4"/>
  <c r="AI48" i="4"/>
  <c r="AI77" i="4"/>
  <c r="AI40" i="4"/>
  <c r="AI59" i="4"/>
  <c r="AI65" i="4"/>
  <c r="AI74" i="4"/>
  <c r="AI73" i="4"/>
  <c r="AI37" i="4"/>
  <c r="AI68" i="4"/>
  <c r="AI25" i="4"/>
  <c r="AI47" i="4"/>
  <c r="AI21" i="4"/>
  <c r="AI55" i="4"/>
  <c r="AI41" i="4"/>
  <c r="AI46" i="4"/>
  <c r="AI60" i="4"/>
  <c r="AI58" i="4"/>
  <c r="AI62" i="4"/>
  <c r="AI30" i="4"/>
  <c r="AI49" i="4"/>
  <c r="AI20" i="4"/>
  <c r="AI56" i="4"/>
  <c r="AI76" i="4"/>
  <c r="AI33" i="4"/>
  <c r="AI67" i="4"/>
  <c r="AI27" i="4"/>
  <c r="AI26" i="4"/>
  <c r="AI57" i="4"/>
  <c r="AI22" i="4"/>
  <c r="AI44" i="4"/>
  <c r="AI19" i="4"/>
  <c r="AI75" i="4"/>
  <c r="AI39" i="4"/>
  <c r="AI43" i="4"/>
  <c r="AI45" i="4"/>
  <c r="AI34" i="4"/>
  <c r="AI50" i="4"/>
  <c r="AI28" i="4"/>
  <c r="AI29" i="4"/>
  <c r="AI61" i="4"/>
  <c r="AI54" i="4"/>
  <c r="AI66" i="4"/>
  <c r="B58" i="3"/>
  <c r="B53" i="4"/>
  <c r="B59" i="3" l="1"/>
  <c r="B54" i="4"/>
  <c r="AK6" i="4"/>
  <c r="B134" i="5"/>
  <c r="AJ42" i="4"/>
  <c r="AJ30" i="4"/>
  <c r="AJ71" i="4"/>
  <c r="AJ31" i="4"/>
  <c r="AJ72" i="4"/>
  <c r="AJ52" i="4"/>
  <c r="AJ18" i="4"/>
  <c r="AJ64" i="4"/>
  <c r="AJ69" i="4"/>
  <c r="AJ23" i="4"/>
  <c r="AJ70" i="4"/>
  <c r="AJ35" i="4"/>
  <c r="AJ29" i="4"/>
  <c r="AJ51" i="4"/>
  <c r="AJ63" i="4"/>
  <c r="AJ40" i="4"/>
  <c r="AJ22" i="4"/>
  <c r="AJ46" i="4"/>
  <c r="AJ48" i="4"/>
  <c r="AJ38" i="4"/>
  <c r="AJ36" i="4"/>
  <c r="AJ33" i="4"/>
  <c r="AJ65" i="4"/>
  <c r="AJ45" i="4"/>
  <c r="AJ21" i="4"/>
  <c r="AJ20" i="4"/>
  <c r="AJ25" i="4"/>
  <c r="AJ58" i="4"/>
  <c r="AJ43" i="4"/>
  <c r="AJ73" i="4"/>
  <c r="AJ47" i="4"/>
  <c r="AJ37" i="4"/>
  <c r="AJ60" i="4"/>
  <c r="AJ55" i="4"/>
  <c r="AJ27" i="4"/>
  <c r="AJ28" i="4"/>
  <c r="AJ19" i="4"/>
  <c r="AJ61" i="4"/>
  <c r="AJ44" i="4"/>
  <c r="AJ75" i="4"/>
  <c r="AJ54" i="4"/>
  <c r="AJ24" i="4"/>
  <c r="AJ59" i="4"/>
  <c r="AJ39" i="4"/>
  <c r="AJ53" i="4"/>
  <c r="AJ68" i="4"/>
  <c r="AJ26" i="4"/>
  <c r="AJ32" i="4"/>
  <c r="AJ66" i="4"/>
  <c r="AJ49" i="4"/>
  <c r="AJ56" i="4"/>
  <c r="AJ77" i="4"/>
  <c r="AJ76" i="4"/>
  <c r="AJ67" i="4"/>
  <c r="AJ62" i="4"/>
  <c r="AJ50" i="4"/>
  <c r="AJ74" i="4"/>
  <c r="AJ57" i="4"/>
  <c r="AJ34" i="4"/>
  <c r="AJ41" i="4"/>
  <c r="AL6" i="4" l="1"/>
  <c r="B135" i="5"/>
  <c r="AK52" i="4"/>
  <c r="AK51" i="4"/>
  <c r="AK64" i="4"/>
  <c r="AK23" i="4"/>
  <c r="AK29" i="4"/>
  <c r="AK69" i="4"/>
  <c r="AK30" i="4"/>
  <c r="AK71" i="4"/>
  <c r="AK72" i="4"/>
  <c r="AK35" i="4"/>
  <c r="AK63" i="4"/>
  <c r="AK38" i="4"/>
  <c r="AK36" i="4"/>
  <c r="AK42" i="4"/>
  <c r="AK24" i="4"/>
  <c r="AK77" i="4"/>
  <c r="AK53" i="4"/>
  <c r="AK25" i="4"/>
  <c r="AK55" i="4"/>
  <c r="AK74" i="4"/>
  <c r="AK41" i="4"/>
  <c r="AK67" i="4"/>
  <c r="AK58" i="4"/>
  <c r="AK40" i="4"/>
  <c r="AK66" i="4"/>
  <c r="AK20" i="4"/>
  <c r="AK48" i="4"/>
  <c r="AK31" i="4"/>
  <c r="AK59" i="4"/>
  <c r="AK27" i="4"/>
  <c r="AK45" i="4"/>
  <c r="AK32" i="4"/>
  <c r="AK65" i="4"/>
  <c r="AK39" i="4"/>
  <c r="AK61" i="4"/>
  <c r="AK54" i="4"/>
  <c r="AK70" i="4"/>
  <c r="AK43" i="4"/>
  <c r="AK47" i="4"/>
  <c r="AK46" i="4"/>
  <c r="AK60" i="4"/>
  <c r="AK34" i="4"/>
  <c r="AK62" i="4"/>
  <c r="AK33" i="4"/>
  <c r="AK21" i="4"/>
  <c r="AK22" i="4"/>
  <c r="AK50" i="4"/>
  <c r="AK44" i="4"/>
  <c r="AK68" i="4"/>
  <c r="AK19" i="4"/>
  <c r="AK26" i="4"/>
  <c r="AK28" i="4"/>
  <c r="AK73" i="4"/>
  <c r="AK57" i="4"/>
  <c r="AK75" i="4"/>
  <c r="AK76" i="4"/>
  <c r="AK18" i="4"/>
  <c r="AK56" i="4"/>
  <c r="AK49" i="4"/>
  <c r="AK37" i="4"/>
  <c r="B60" i="3"/>
  <c r="B55" i="4"/>
  <c r="B61" i="3" l="1"/>
  <c r="B56" i="4"/>
  <c r="AM6" i="4"/>
  <c r="B136" i="5"/>
  <c r="AL29" i="4"/>
  <c r="AL52" i="4"/>
  <c r="AL70" i="4"/>
  <c r="AL18" i="4"/>
  <c r="AL32" i="4"/>
  <c r="AL48" i="4"/>
  <c r="AL31" i="4"/>
  <c r="AL42" i="4"/>
  <c r="AL24" i="4"/>
  <c r="AL36" i="4"/>
  <c r="AL40" i="4"/>
  <c r="AL23" i="4"/>
  <c r="AL63" i="4"/>
  <c r="AL59" i="4"/>
  <c r="AL71" i="4"/>
  <c r="AL69" i="4"/>
  <c r="AL77" i="4"/>
  <c r="AL72" i="4"/>
  <c r="AL35" i="4"/>
  <c r="AL66" i="4"/>
  <c r="AL47" i="4"/>
  <c r="AL22" i="4"/>
  <c r="AL27" i="4"/>
  <c r="AL60" i="4"/>
  <c r="AL21" i="4"/>
  <c r="AL25" i="4"/>
  <c r="AL37" i="4"/>
  <c r="AL53" i="4"/>
  <c r="AL68" i="4"/>
  <c r="AL67" i="4"/>
  <c r="AL30" i="4"/>
  <c r="AL55" i="4"/>
  <c r="AL20" i="4"/>
  <c r="AL65" i="4"/>
  <c r="AL46" i="4"/>
  <c r="AL56" i="4"/>
  <c r="AL76" i="4"/>
  <c r="AL64" i="4"/>
  <c r="AL62" i="4"/>
  <c r="AL75" i="4"/>
  <c r="AL74" i="4"/>
  <c r="AL41" i="4"/>
  <c r="AL45" i="4"/>
  <c r="AL57" i="4"/>
  <c r="AL50" i="4"/>
  <c r="AL19" i="4"/>
  <c r="AL73" i="4"/>
  <c r="AL61" i="4"/>
  <c r="AL58" i="4"/>
  <c r="AL26" i="4"/>
  <c r="AL44" i="4"/>
  <c r="AL51" i="4"/>
  <c r="AL28" i="4"/>
  <c r="AL49" i="4"/>
  <c r="AL54" i="4"/>
  <c r="AL43" i="4"/>
  <c r="AL34" i="4"/>
  <c r="AL38" i="4"/>
  <c r="AL33" i="4"/>
  <c r="AL39" i="4"/>
  <c r="B62" i="3" l="1"/>
  <c r="B57" i="4"/>
  <c r="AN6" i="4"/>
  <c r="B137" i="5"/>
  <c r="AM52" i="4"/>
  <c r="AM64" i="4"/>
  <c r="AM48" i="4"/>
  <c r="AM18" i="4"/>
  <c r="AM31" i="4"/>
  <c r="AM32" i="4"/>
  <c r="AM71" i="4"/>
  <c r="AM69" i="4"/>
  <c r="AM38" i="4"/>
  <c r="AM24" i="4"/>
  <c r="AM36" i="4"/>
  <c r="AM77" i="4"/>
  <c r="AM40" i="4"/>
  <c r="AM23" i="4"/>
  <c r="AM29" i="4"/>
  <c r="AM35" i="4"/>
  <c r="AM59" i="4"/>
  <c r="AM70" i="4"/>
  <c r="AM37" i="4"/>
  <c r="AM72" i="4"/>
  <c r="AM43" i="4"/>
  <c r="AM22" i="4"/>
  <c r="AM51" i="4"/>
  <c r="AM55" i="4"/>
  <c r="AM26" i="4"/>
  <c r="AM46" i="4"/>
  <c r="AM53" i="4"/>
  <c r="AM33" i="4"/>
  <c r="AM25" i="4"/>
  <c r="AM74" i="4"/>
  <c r="AM58" i="4"/>
  <c r="AM42" i="4"/>
  <c r="AM21" i="4"/>
  <c r="AM45" i="4"/>
  <c r="AM50" i="4"/>
  <c r="AM34" i="4"/>
  <c r="AM61" i="4"/>
  <c r="AM30" i="4"/>
  <c r="AM49" i="4"/>
  <c r="AM20" i="4"/>
  <c r="AM47" i="4"/>
  <c r="AM56" i="4"/>
  <c r="AM39" i="4"/>
  <c r="AM44" i="4"/>
  <c r="AM63" i="4"/>
  <c r="AM62" i="4"/>
  <c r="AM65" i="4"/>
  <c r="AM41" i="4"/>
  <c r="AM66" i="4"/>
  <c r="AM73" i="4"/>
  <c r="AM67" i="4"/>
  <c r="AM60" i="4"/>
  <c r="AM75" i="4"/>
  <c r="AM27" i="4"/>
  <c r="AM28" i="4"/>
  <c r="AM68" i="4"/>
  <c r="AM19" i="4"/>
  <c r="AM76" i="4"/>
  <c r="AM54" i="4"/>
  <c r="AM57" i="4"/>
  <c r="AO6" i="4" l="1"/>
  <c r="B138" i="5"/>
  <c r="AN30" i="4"/>
  <c r="AN32" i="4"/>
  <c r="AN64" i="4"/>
  <c r="AN23" i="4"/>
  <c r="AN70" i="4"/>
  <c r="AN72" i="4"/>
  <c r="AN48" i="4"/>
  <c r="AN31" i="4"/>
  <c r="AN51" i="4"/>
  <c r="AN36" i="4"/>
  <c r="AN18" i="4"/>
  <c r="AN24" i="4"/>
  <c r="AN21" i="4"/>
  <c r="AN66" i="4"/>
  <c r="AN77" i="4"/>
  <c r="AN52" i="4"/>
  <c r="AN63" i="4"/>
  <c r="AN55" i="4"/>
  <c r="AN74" i="4"/>
  <c r="AN73" i="4"/>
  <c r="AN67" i="4"/>
  <c r="AN22" i="4"/>
  <c r="AN27" i="4"/>
  <c r="AN46" i="4"/>
  <c r="AN60" i="4"/>
  <c r="AN29" i="4"/>
  <c r="AN50" i="4"/>
  <c r="AN34" i="4"/>
  <c r="AN62" i="4"/>
  <c r="AN76" i="4"/>
  <c r="AN54" i="4"/>
  <c r="AN42" i="4"/>
  <c r="AN38" i="4"/>
  <c r="AN40" i="4"/>
  <c r="AN20" i="4"/>
  <c r="AN37" i="4"/>
  <c r="AN69" i="4"/>
  <c r="AN59" i="4"/>
  <c r="AN19" i="4"/>
  <c r="AN61" i="4"/>
  <c r="AN75" i="4"/>
  <c r="AN43" i="4"/>
  <c r="AN33" i="4"/>
  <c r="AN41" i="4"/>
  <c r="AN26" i="4"/>
  <c r="AN45" i="4"/>
  <c r="AN58" i="4"/>
  <c r="AN56" i="4"/>
  <c r="AN53" i="4"/>
  <c r="AN65" i="4"/>
  <c r="AN44" i="4"/>
  <c r="AN71" i="4"/>
  <c r="AN25" i="4"/>
  <c r="AN35" i="4"/>
  <c r="AN28" i="4"/>
  <c r="AN57" i="4"/>
  <c r="AN39" i="4"/>
  <c r="AN68" i="4"/>
  <c r="AN49" i="4"/>
  <c r="AN47" i="4"/>
  <c r="B63" i="3"/>
  <c r="B58" i="4"/>
  <c r="B64" i="3" l="1"/>
  <c r="B59" i="4"/>
  <c r="AP6" i="4"/>
  <c r="B139" i="5"/>
  <c r="AO48" i="4"/>
  <c r="AO70" i="4"/>
  <c r="AO64" i="4"/>
  <c r="AO52" i="4"/>
  <c r="AO31" i="4"/>
  <c r="AO32" i="4"/>
  <c r="AO18" i="4"/>
  <c r="AO72" i="4"/>
  <c r="AO42" i="4"/>
  <c r="AO30" i="4"/>
  <c r="AO71" i="4"/>
  <c r="AO24" i="4"/>
  <c r="AO77" i="4"/>
  <c r="AO40" i="4"/>
  <c r="AO59" i="4"/>
  <c r="AO35" i="4"/>
  <c r="AO53" i="4"/>
  <c r="AO20" i="4"/>
  <c r="AO47" i="4"/>
  <c r="AO23" i="4"/>
  <c r="AO29" i="4"/>
  <c r="AO68" i="4"/>
  <c r="AO25" i="4"/>
  <c r="AO22" i="4"/>
  <c r="AO37" i="4"/>
  <c r="AO60" i="4"/>
  <c r="AO38" i="4"/>
  <c r="AO41" i="4"/>
  <c r="AO51" i="4"/>
  <c r="AO66" i="4"/>
  <c r="AO26" i="4"/>
  <c r="AO45" i="4"/>
  <c r="AO19" i="4"/>
  <c r="AO55" i="4"/>
  <c r="AO39" i="4"/>
  <c r="AO62" i="4"/>
  <c r="AO54" i="4"/>
  <c r="AO73" i="4"/>
  <c r="AO46" i="4"/>
  <c r="AO50" i="4"/>
  <c r="AO76" i="4"/>
  <c r="AO69" i="4"/>
  <c r="AO67" i="4"/>
  <c r="AO36" i="4"/>
  <c r="AO21" i="4"/>
  <c r="AO74" i="4"/>
  <c r="AO34" i="4"/>
  <c r="AO49" i="4"/>
  <c r="AO28" i="4"/>
  <c r="AO44" i="4"/>
  <c r="AO75" i="4"/>
  <c r="AO33" i="4"/>
  <c r="AO27" i="4"/>
  <c r="AO61" i="4"/>
  <c r="AO63" i="4"/>
  <c r="AO65" i="4"/>
  <c r="AO58" i="4"/>
  <c r="AO57" i="4"/>
  <c r="AO43" i="4"/>
  <c r="AO56" i="4"/>
  <c r="AQ6" i="4" l="1"/>
  <c r="B140" i="5"/>
  <c r="AP48" i="4"/>
  <c r="AP71" i="4"/>
  <c r="AP69" i="4"/>
  <c r="AP23" i="4"/>
  <c r="AP42" i="4"/>
  <c r="AP29" i="4"/>
  <c r="AP70" i="4"/>
  <c r="AP32" i="4"/>
  <c r="AP30" i="4"/>
  <c r="AP52" i="4"/>
  <c r="AP72" i="4"/>
  <c r="AP18" i="4"/>
  <c r="AP51" i="4"/>
  <c r="AP24" i="4"/>
  <c r="AP77" i="4"/>
  <c r="AP40" i="4"/>
  <c r="AP31" i="4"/>
  <c r="AP53" i="4"/>
  <c r="AP35" i="4"/>
  <c r="AP22" i="4"/>
  <c r="AP46" i="4"/>
  <c r="AP64" i="4"/>
  <c r="AP63" i="4"/>
  <c r="AP41" i="4"/>
  <c r="AP27" i="4"/>
  <c r="AP45" i="4"/>
  <c r="AP43" i="4"/>
  <c r="AP68" i="4"/>
  <c r="AP25" i="4"/>
  <c r="AP37" i="4"/>
  <c r="AP49" i="4"/>
  <c r="AP21" i="4"/>
  <c r="AP66" i="4"/>
  <c r="AP74" i="4"/>
  <c r="AP57" i="4"/>
  <c r="AP28" i="4"/>
  <c r="AP34" i="4"/>
  <c r="AP36" i="4"/>
  <c r="AP55" i="4"/>
  <c r="AP65" i="4"/>
  <c r="AP50" i="4"/>
  <c r="AP76" i="4"/>
  <c r="AP54" i="4"/>
  <c r="AP20" i="4"/>
  <c r="AP62" i="4"/>
  <c r="AP59" i="4"/>
  <c r="AP19" i="4"/>
  <c r="AP61" i="4"/>
  <c r="AP26" i="4"/>
  <c r="AP58" i="4"/>
  <c r="AP56" i="4"/>
  <c r="AP44" i="4"/>
  <c r="AP73" i="4"/>
  <c r="AP47" i="4"/>
  <c r="AP38" i="4"/>
  <c r="AP75" i="4"/>
  <c r="AP67" i="4"/>
  <c r="AP60" i="4"/>
  <c r="AP33" i="4"/>
  <c r="AP39" i="4"/>
  <c r="B65" i="3"/>
  <c r="B60" i="4"/>
  <c r="AR6" i="4" l="1"/>
  <c r="B141" i="5"/>
  <c r="AQ32" i="4"/>
  <c r="AQ48" i="4"/>
  <c r="AQ18" i="4"/>
  <c r="AQ64" i="4"/>
  <c r="AQ51" i="4"/>
  <c r="AQ42" i="4"/>
  <c r="AQ72" i="4"/>
  <c r="AQ29" i="4"/>
  <c r="AQ36" i="4"/>
  <c r="AQ31" i="4"/>
  <c r="AQ63" i="4"/>
  <c r="AQ69" i="4"/>
  <c r="AQ59" i="4"/>
  <c r="AQ24" i="4"/>
  <c r="AQ43" i="4"/>
  <c r="AQ73" i="4"/>
  <c r="AQ67" i="4"/>
  <c r="AQ26" i="4"/>
  <c r="AQ53" i="4"/>
  <c r="AQ21" i="4"/>
  <c r="AQ47" i="4"/>
  <c r="AQ45" i="4"/>
  <c r="AQ30" i="4"/>
  <c r="AQ35" i="4"/>
  <c r="AQ68" i="4"/>
  <c r="AQ74" i="4"/>
  <c r="AQ70" i="4"/>
  <c r="AQ71" i="4"/>
  <c r="AQ40" i="4"/>
  <c r="AQ37" i="4"/>
  <c r="AQ49" i="4"/>
  <c r="AQ41" i="4"/>
  <c r="AQ76" i="4"/>
  <c r="AQ44" i="4"/>
  <c r="AQ77" i="4"/>
  <c r="AQ20" i="4"/>
  <c r="AQ25" i="4"/>
  <c r="AQ27" i="4"/>
  <c r="AQ50" i="4"/>
  <c r="AQ57" i="4"/>
  <c r="AQ52" i="4"/>
  <c r="AQ60" i="4"/>
  <c r="AQ28" i="4"/>
  <c r="AQ33" i="4"/>
  <c r="AQ61" i="4"/>
  <c r="AQ38" i="4"/>
  <c r="AQ55" i="4"/>
  <c r="AQ46" i="4"/>
  <c r="AQ56" i="4"/>
  <c r="AQ65" i="4"/>
  <c r="AQ22" i="4"/>
  <c r="AQ58" i="4"/>
  <c r="AQ66" i="4"/>
  <c r="AQ19" i="4"/>
  <c r="AQ75" i="4"/>
  <c r="AQ39" i="4"/>
  <c r="AQ34" i="4"/>
  <c r="AQ62" i="4"/>
  <c r="AQ54" i="4"/>
  <c r="AQ23" i="4"/>
  <c r="B66" i="3"/>
  <c r="B61" i="4"/>
  <c r="B67" i="3" l="1"/>
  <c r="B62" i="4"/>
  <c r="AS6" i="4"/>
  <c r="B142" i="5"/>
  <c r="AR23" i="4"/>
  <c r="AR30" i="4"/>
  <c r="AR48" i="4"/>
  <c r="AR64" i="4"/>
  <c r="AR51" i="4"/>
  <c r="AR69" i="4"/>
  <c r="AR29" i="4"/>
  <c r="AR32" i="4"/>
  <c r="AR52" i="4"/>
  <c r="AR72" i="4"/>
  <c r="AR35" i="4"/>
  <c r="AR40" i="4"/>
  <c r="AR59" i="4"/>
  <c r="AR31" i="4"/>
  <c r="AR42" i="4"/>
  <c r="AR71" i="4"/>
  <c r="AR53" i="4"/>
  <c r="AR63" i="4"/>
  <c r="AR77" i="4"/>
  <c r="AR66" i="4"/>
  <c r="AR25" i="4"/>
  <c r="AR58" i="4"/>
  <c r="AR47" i="4"/>
  <c r="AR24" i="4"/>
  <c r="AR36" i="4"/>
  <c r="AR49" i="4"/>
  <c r="AR73" i="4"/>
  <c r="AR45" i="4"/>
  <c r="AR18" i="4"/>
  <c r="AR38" i="4"/>
  <c r="AR68" i="4"/>
  <c r="AR46" i="4"/>
  <c r="AR37" i="4"/>
  <c r="AR43" i="4"/>
  <c r="AR20" i="4"/>
  <c r="AR74" i="4"/>
  <c r="AR44" i="4"/>
  <c r="AR70" i="4"/>
  <c r="AR65" i="4"/>
  <c r="AR41" i="4"/>
  <c r="AR60" i="4"/>
  <c r="AR61" i="4"/>
  <c r="AR76" i="4"/>
  <c r="AR27" i="4"/>
  <c r="AR34" i="4"/>
  <c r="AR55" i="4"/>
  <c r="AR21" i="4"/>
  <c r="AR39" i="4"/>
  <c r="AR28" i="4"/>
  <c r="AR19" i="4"/>
  <c r="AR67" i="4"/>
  <c r="AR33" i="4"/>
  <c r="AR50" i="4"/>
  <c r="AR54" i="4"/>
  <c r="AR56" i="4"/>
  <c r="AR75" i="4"/>
  <c r="AR22" i="4"/>
  <c r="AR26" i="4"/>
  <c r="AR57" i="4"/>
  <c r="AR62" i="4"/>
  <c r="AT6" i="4" l="1"/>
  <c r="B143" i="5"/>
  <c r="AS42" i="4"/>
  <c r="AS30" i="4"/>
  <c r="AS71" i="4"/>
  <c r="AS48" i="4"/>
  <c r="AS23" i="4"/>
  <c r="AS51" i="4"/>
  <c r="AS32" i="4"/>
  <c r="AS18" i="4"/>
  <c r="AS52" i="4"/>
  <c r="AS69" i="4"/>
  <c r="AS24" i="4"/>
  <c r="AS72" i="4"/>
  <c r="AS29" i="4"/>
  <c r="AS36" i="4"/>
  <c r="AS77" i="4"/>
  <c r="AS64" i="4"/>
  <c r="AS38" i="4"/>
  <c r="AS35" i="4"/>
  <c r="AS43" i="4"/>
  <c r="AS55" i="4"/>
  <c r="AS65" i="4"/>
  <c r="AS20" i="4"/>
  <c r="AS67" i="4"/>
  <c r="AS27" i="4"/>
  <c r="AS26" i="4"/>
  <c r="AS74" i="4"/>
  <c r="AS46" i="4"/>
  <c r="AS41" i="4"/>
  <c r="AS47" i="4"/>
  <c r="AS45" i="4"/>
  <c r="AS53" i="4"/>
  <c r="AS49" i="4"/>
  <c r="AS25" i="4"/>
  <c r="AS22" i="4"/>
  <c r="AS60" i="4"/>
  <c r="AS19" i="4"/>
  <c r="AS66" i="4"/>
  <c r="AS33" i="4"/>
  <c r="AS21" i="4"/>
  <c r="AS58" i="4"/>
  <c r="AS70" i="4"/>
  <c r="AS73" i="4"/>
  <c r="AS39" i="4"/>
  <c r="AS34" i="4"/>
  <c r="AS40" i="4"/>
  <c r="AS37" i="4"/>
  <c r="AS56" i="4"/>
  <c r="AS62" i="4"/>
  <c r="AS61" i="4"/>
  <c r="AS54" i="4"/>
  <c r="AS75" i="4"/>
  <c r="AS31" i="4"/>
  <c r="AS59" i="4"/>
  <c r="AS68" i="4"/>
  <c r="AS57" i="4"/>
  <c r="AS76" i="4"/>
  <c r="AS63" i="4"/>
  <c r="AS50" i="4"/>
  <c r="AS28" i="4"/>
  <c r="AS44" i="4"/>
  <c r="B68" i="3"/>
  <c r="B63" i="4"/>
  <c r="B69" i="3" l="1"/>
  <c r="B64" i="4"/>
  <c r="AU6" i="4"/>
  <c r="B144" i="5"/>
  <c r="AT42" i="4"/>
  <c r="AT18" i="4"/>
  <c r="AT69" i="4"/>
  <c r="AT29" i="4"/>
  <c r="AT31" i="4"/>
  <c r="AT30" i="4"/>
  <c r="AT51" i="4"/>
  <c r="AT32" i="4"/>
  <c r="AT71" i="4"/>
  <c r="AT70" i="4"/>
  <c r="AT52" i="4"/>
  <c r="AT63" i="4"/>
  <c r="AT40" i="4"/>
  <c r="AT64" i="4"/>
  <c r="AT72" i="4"/>
  <c r="AT38" i="4"/>
  <c r="AT36" i="4"/>
  <c r="AT59" i="4"/>
  <c r="AT68" i="4"/>
  <c r="AT73" i="4"/>
  <c r="AT41" i="4"/>
  <c r="AT35" i="4"/>
  <c r="AT65" i="4"/>
  <c r="AT67" i="4"/>
  <c r="AT26" i="4"/>
  <c r="AT43" i="4"/>
  <c r="AT33" i="4"/>
  <c r="AT47" i="4"/>
  <c r="AT22" i="4"/>
  <c r="AT27" i="4"/>
  <c r="AT58" i="4"/>
  <c r="AT48" i="4"/>
  <c r="AT66" i="4"/>
  <c r="AT37" i="4"/>
  <c r="AT50" i="4"/>
  <c r="AT23" i="4"/>
  <c r="AT25" i="4"/>
  <c r="AT28" i="4"/>
  <c r="AT19" i="4"/>
  <c r="AT44" i="4"/>
  <c r="AT77" i="4"/>
  <c r="AT75" i="4"/>
  <c r="AT49" i="4"/>
  <c r="AT20" i="4"/>
  <c r="AT74" i="4"/>
  <c r="AT60" i="4"/>
  <c r="AT76" i="4"/>
  <c r="AT57" i="4"/>
  <c r="AT34" i="4"/>
  <c r="AT54" i="4"/>
  <c r="AT45" i="4"/>
  <c r="AT53" i="4"/>
  <c r="AT61" i="4"/>
  <c r="AT56" i="4"/>
  <c r="AT55" i="4"/>
  <c r="AT39" i="4"/>
  <c r="AT62" i="4"/>
  <c r="AT24" i="4"/>
  <c r="AT21" i="4"/>
  <c r="AT46" i="4"/>
  <c r="AV6" i="4" l="1"/>
  <c r="B145" i="5"/>
  <c r="AU72" i="4"/>
  <c r="AU52" i="4"/>
  <c r="AU42" i="4"/>
  <c r="AU71" i="4"/>
  <c r="AU48" i="4"/>
  <c r="AU18" i="4"/>
  <c r="AU36" i="4"/>
  <c r="AU51" i="4"/>
  <c r="AU24" i="4"/>
  <c r="AU38" i="4"/>
  <c r="AU63" i="4"/>
  <c r="AU35" i="4"/>
  <c r="AU32" i="4"/>
  <c r="AU53" i="4"/>
  <c r="AU68" i="4"/>
  <c r="AU49" i="4"/>
  <c r="AU33" i="4"/>
  <c r="AU60" i="4"/>
  <c r="AU20" i="4"/>
  <c r="AU73" i="4"/>
  <c r="AU69" i="4"/>
  <c r="AU67" i="4"/>
  <c r="AU27" i="4"/>
  <c r="AU45" i="4"/>
  <c r="AU59" i="4"/>
  <c r="AU21" i="4"/>
  <c r="AU65" i="4"/>
  <c r="AU25" i="4"/>
  <c r="AU41" i="4"/>
  <c r="AU58" i="4"/>
  <c r="AU22" i="4"/>
  <c r="AU26" i="4"/>
  <c r="AU57" i="4"/>
  <c r="AU28" i="4"/>
  <c r="AU75" i="4"/>
  <c r="AU40" i="4"/>
  <c r="AU29" i="4"/>
  <c r="AU30" i="4"/>
  <c r="AU47" i="4"/>
  <c r="AU34" i="4"/>
  <c r="AU66" i="4"/>
  <c r="AU37" i="4"/>
  <c r="AU19" i="4"/>
  <c r="AU70" i="4"/>
  <c r="AU77" i="4"/>
  <c r="AU50" i="4"/>
  <c r="AU64" i="4"/>
  <c r="AU56" i="4"/>
  <c r="AU44" i="4"/>
  <c r="AU54" i="4"/>
  <c r="AU43" i="4"/>
  <c r="AU31" i="4"/>
  <c r="AU39" i="4"/>
  <c r="AU55" i="4"/>
  <c r="AU74" i="4"/>
  <c r="AU46" i="4"/>
  <c r="AU62" i="4"/>
  <c r="AU23" i="4"/>
  <c r="AU76" i="4"/>
  <c r="AU61" i="4"/>
  <c r="B70" i="3"/>
  <c r="B65" i="4"/>
  <c r="AW6" i="4" l="1"/>
  <c r="B146" i="5"/>
  <c r="AV18" i="4"/>
  <c r="AV31" i="4"/>
  <c r="AV70" i="4"/>
  <c r="AV23" i="4"/>
  <c r="AV72" i="4"/>
  <c r="AV51" i="4"/>
  <c r="AV71" i="4"/>
  <c r="AV35" i="4"/>
  <c r="AV63" i="4"/>
  <c r="AV36" i="4"/>
  <c r="AV29" i="4"/>
  <c r="AV32" i="4"/>
  <c r="AV52" i="4"/>
  <c r="AV38" i="4"/>
  <c r="AV77" i="4"/>
  <c r="AV48" i="4"/>
  <c r="AV42" i="4"/>
  <c r="AV49" i="4"/>
  <c r="AV21" i="4"/>
  <c r="AV30" i="4"/>
  <c r="AV59" i="4"/>
  <c r="AV33" i="4"/>
  <c r="AV24" i="4"/>
  <c r="AV65" i="4"/>
  <c r="AV20" i="4"/>
  <c r="AV67" i="4"/>
  <c r="AV26" i="4"/>
  <c r="AV69" i="4"/>
  <c r="AV22" i="4"/>
  <c r="AV45" i="4"/>
  <c r="AV60" i="4"/>
  <c r="AV50" i="4"/>
  <c r="AV53" i="4"/>
  <c r="AV68" i="4"/>
  <c r="AV64" i="4"/>
  <c r="AV55" i="4"/>
  <c r="AV25" i="4"/>
  <c r="AV54" i="4"/>
  <c r="AV73" i="4"/>
  <c r="AV41" i="4"/>
  <c r="AV47" i="4"/>
  <c r="AV46" i="4"/>
  <c r="AV28" i="4"/>
  <c r="AV34" i="4"/>
  <c r="AV62" i="4"/>
  <c r="AV44" i="4"/>
  <c r="AV43" i="4"/>
  <c r="AV66" i="4"/>
  <c r="AV74" i="4"/>
  <c r="AV39" i="4"/>
  <c r="AV57" i="4"/>
  <c r="AV19" i="4"/>
  <c r="AV58" i="4"/>
  <c r="AV40" i="4"/>
  <c r="AV75" i="4"/>
  <c r="AV27" i="4"/>
  <c r="AV61" i="4"/>
  <c r="AV76" i="4"/>
  <c r="AV56" i="4"/>
  <c r="AV37" i="4"/>
  <c r="B71" i="3"/>
  <c r="B66" i="4"/>
  <c r="B72" i="3" l="1"/>
  <c r="B67" i="4"/>
  <c r="AX6" i="4"/>
  <c r="B147" i="5"/>
  <c r="AW29" i="4"/>
  <c r="AW32" i="4"/>
  <c r="AW51" i="4"/>
  <c r="AW71" i="4"/>
  <c r="AW30" i="4"/>
  <c r="AW23" i="4"/>
  <c r="AW42" i="4"/>
  <c r="AW70" i="4"/>
  <c r="AW69" i="4"/>
  <c r="AW31" i="4"/>
  <c r="AW38" i="4"/>
  <c r="AW24" i="4"/>
  <c r="AW59" i="4"/>
  <c r="AW63" i="4"/>
  <c r="AW55" i="4"/>
  <c r="AW58" i="4"/>
  <c r="AW48" i="4"/>
  <c r="AW18" i="4"/>
  <c r="AW22" i="4"/>
  <c r="AW46" i="4"/>
  <c r="AW60" i="4"/>
  <c r="AW36" i="4"/>
  <c r="AW77" i="4"/>
  <c r="AW66" i="4"/>
  <c r="AW68" i="4"/>
  <c r="AW49" i="4"/>
  <c r="AW27" i="4"/>
  <c r="AW26" i="4"/>
  <c r="AW20" i="4"/>
  <c r="AW41" i="4"/>
  <c r="AW56" i="4"/>
  <c r="AW39" i="4"/>
  <c r="AW19" i="4"/>
  <c r="AW75" i="4"/>
  <c r="AW52" i="4"/>
  <c r="AW53" i="4"/>
  <c r="AW43" i="4"/>
  <c r="AW74" i="4"/>
  <c r="AW61" i="4"/>
  <c r="AW64" i="4"/>
  <c r="AW40" i="4"/>
  <c r="AW67" i="4"/>
  <c r="AW50" i="4"/>
  <c r="AW45" i="4"/>
  <c r="AW65" i="4"/>
  <c r="AW73" i="4"/>
  <c r="AW72" i="4"/>
  <c r="AW62" i="4"/>
  <c r="AW37" i="4"/>
  <c r="AW44" i="4"/>
  <c r="AW47" i="4"/>
  <c r="AW35" i="4"/>
  <c r="AW25" i="4"/>
  <c r="AW34" i="4"/>
  <c r="AW21" i="4"/>
  <c r="AW76" i="4"/>
  <c r="AW33" i="4"/>
  <c r="AW54" i="4"/>
  <c r="AW57" i="4"/>
  <c r="AW28" i="4"/>
  <c r="AY6" i="4" l="1"/>
  <c r="B148" i="5"/>
  <c r="AX23" i="4"/>
  <c r="AX32" i="4"/>
  <c r="AX52" i="4"/>
  <c r="AX31" i="4"/>
  <c r="AX30" i="4"/>
  <c r="AX64" i="4"/>
  <c r="AX51" i="4"/>
  <c r="AX71" i="4"/>
  <c r="AX53" i="4"/>
  <c r="AX24" i="4"/>
  <c r="AX42" i="4"/>
  <c r="AX29" i="4"/>
  <c r="AX70" i="4"/>
  <c r="AX69" i="4"/>
  <c r="AX35" i="4"/>
  <c r="AX63" i="4"/>
  <c r="AX40" i="4"/>
  <c r="AX72" i="4"/>
  <c r="AX18" i="4"/>
  <c r="AX38" i="4"/>
  <c r="AX74" i="4"/>
  <c r="AX67" i="4"/>
  <c r="AX55" i="4"/>
  <c r="AX20" i="4"/>
  <c r="AX58" i="4"/>
  <c r="AX37" i="4"/>
  <c r="AX68" i="4"/>
  <c r="AX21" i="4"/>
  <c r="AX47" i="4"/>
  <c r="AX46" i="4"/>
  <c r="AX36" i="4"/>
  <c r="AX41" i="4"/>
  <c r="AX22" i="4"/>
  <c r="AX45" i="4"/>
  <c r="AX44" i="4"/>
  <c r="AX33" i="4"/>
  <c r="AX73" i="4"/>
  <c r="AX60" i="4"/>
  <c r="AX50" i="4"/>
  <c r="AX34" i="4"/>
  <c r="AX54" i="4"/>
  <c r="AX49" i="4"/>
  <c r="AX26" i="4"/>
  <c r="AX66" i="4"/>
  <c r="AX25" i="4"/>
  <c r="AX65" i="4"/>
  <c r="AX62" i="4"/>
  <c r="AX61" i="4"/>
  <c r="AX19" i="4"/>
  <c r="AX43" i="4"/>
  <c r="AX27" i="4"/>
  <c r="AX48" i="4"/>
  <c r="AX28" i="4"/>
  <c r="AX76" i="4"/>
  <c r="AX75" i="4"/>
  <c r="AX39" i="4"/>
  <c r="AX59" i="4"/>
  <c r="AX77" i="4"/>
  <c r="AX57" i="4"/>
  <c r="AX56" i="4"/>
  <c r="B73" i="3"/>
  <c r="B68" i="4"/>
  <c r="B74" i="3" l="1"/>
  <c r="B69" i="4"/>
  <c r="AZ6" i="4"/>
  <c r="B149" i="5"/>
  <c r="AY48" i="4"/>
  <c r="AY70" i="4"/>
  <c r="AY69" i="4"/>
  <c r="AY31" i="4"/>
  <c r="AY71" i="4"/>
  <c r="AY42" i="4"/>
  <c r="AY18" i="4"/>
  <c r="AY29" i="4"/>
  <c r="AY30" i="4"/>
  <c r="AY32" i="4"/>
  <c r="AY36" i="4"/>
  <c r="AY53" i="4"/>
  <c r="AY35" i="4"/>
  <c r="AY40" i="4"/>
  <c r="AY23" i="4"/>
  <c r="AY52" i="4"/>
  <c r="AY65" i="4"/>
  <c r="AY20" i="4"/>
  <c r="AY49" i="4"/>
  <c r="AY25" i="4"/>
  <c r="AY64" i="4"/>
  <c r="AY59" i="4"/>
  <c r="AY73" i="4"/>
  <c r="AY24" i="4"/>
  <c r="AY33" i="4"/>
  <c r="AY72" i="4"/>
  <c r="AY38" i="4"/>
  <c r="AY68" i="4"/>
  <c r="AY55" i="4"/>
  <c r="AY28" i="4"/>
  <c r="AY34" i="4"/>
  <c r="AY76" i="4"/>
  <c r="AY27" i="4"/>
  <c r="AY60" i="4"/>
  <c r="AY58" i="4"/>
  <c r="AY75" i="4"/>
  <c r="AY63" i="4"/>
  <c r="AY43" i="4"/>
  <c r="AY22" i="4"/>
  <c r="AY54" i="4"/>
  <c r="AY67" i="4"/>
  <c r="AY47" i="4"/>
  <c r="AY26" i="4"/>
  <c r="AY51" i="4"/>
  <c r="AY46" i="4"/>
  <c r="AY45" i="4"/>
  <c r="AY62" i="4"/>
  <c r="AY56" i="4"/>
  <c r="AY66" i="4"/>
  <c r="AY74" i="4"/>
  <c r="AY41" i="4"/>
  <c r="AY39" i="4"/>
  <c r="AY19" i="4"/>
  <c r="AY61" i="4"/>
  <c r="AY50" i="4"/>
  <c r="AY37" i="4"/>
  <c r="AY57" i="4"/>
  <c r="AY77" i="4"/>
  <c r="AY21" i="4"/>
  <c r="AY44" i="4"/>
  <c r="BA6" i="4" l="1"/>
  <c r="B150" i="5"/>
  <c r="AZ51" i="4"/>
  <c r="AZ42" i="4"/>
  <c r="AZ72" i="4"/>
  <c r="AZ18" i="4"/>
  <c r="AZ48" i="4"/>
  <c r="AZ29" i="4"/>
  <c r="AZ71" i="4"/>
  <c r="AZ52" i="4"/>
  <c r="AZ64" i="4"/>
  <c r="AZ69" i="4"/>
  <c r="AZ38" i="4"/>
  <c r="AZ35" i="4"/>
  <c r="AZ40" i="4"/>
  <c r="AZ59" i="4"/>
  <c r="AZ77" i="4"/>
  <c r="AZ31" i="4"/>
  <c r="AZ70" i="4"/>
  <c r="AZ23" i="4"/>
  <c r="AZ63" i="4"/>
  <c r="AZ36" i="4"/>
  <c r="AZ43" i="4"/>
  <c r="AZ41" i="4"/>
  <c r="AZ33" i="4"/>
  <c r="AZ65" i="4"/>
  <c r="AZ46" i="4"/>
  <c r="AZ60" i="4"/>
  <c r="AZ66" i="4"/>
  <c r="AZ25" i="4"/>
  <c r="AZ67" i="4"/>
  <c r="AZ73" i="4"/>
  <c r="AZ45" i="4"/>
  <c r="AZ61" i="4"/>
  <c r="AZ32" i="4"/>
  <c r="AZ26" i="4"/>
  <c r="AZ55" i="4"/>
  <c r="AZ58" i="4"/>
  <c r="AZ56" i="4"/>
  <c r="AZ50" i="4"/>
  <c r="AZ57" i="4"/>
  <c r="AZ62" i="4"/>
  <c r="AZ75" i="4"/>
  <c r="AZ30" i="4"/>
  <c r="AZ53" i="4"/>
  <c r="AZ49" i="4"/>
  <c r="AZ20" i="4"/>
  <c r="AZ37" i="4"/>
  <c r="AZ39" i="4"/>
  <c r="AZ76" i="4"/>
  <c r="AZ44" i="4"/>
  <c r="AZ21" i="4"/>
  <c r="AZ24" i="4"/>
  <c r="AZ22" i="4"/>
  <c r="AZ47" i="4"/>
  <c r="AZ68" i="4"/>
  <c r="AZ54" i="4"/>
  <c r="AZ74" i="4"/>
  <c r="AZ28" i="4"/>
  <c r="AZ19" i="4"/>
  <c r="AZ34" i="4"/>
  <c r="AZ27" i="4"/>
  <c r="B75" i="3"/>
  <c r="B70" i="4"/>
  <c r="B151" i="5" l="1"/>
  <c r="BA31" i="4"/>
  <c r="BA29" i="4"/>
  <c r="BA18" i="4"/>
  <c r="BA23" i="4"/>
  <c r="BA70" i="4"/>
  <c r="BA30" i="4"/>
  <c r="BA36" i="4"/>
  <c r="BA59" i="4"/>
  <c r="BA77" i="4"/>
  <c r="BA48" i="4"/>
  <c r="BA51" i="4"/>
  <c r="BA32" i="4"/>
  <c r="BA40" i="4"/>
  <c r="BA38" i="4"/>
  <c r="BA52" i="4"/>
  <c r="BA69" i="4"/>
  <c r="BA53" i="4"/>
  <c r="BA63" i="4"/>
  <c r="BA74" i="4"/>
  <c r="BA73" i="4"/>
  <c r="BA37" i="4"/>
  <c r="BA42" i="4"/>
  <c r="BA55" i="4"/>
  <c r="BA21" i="4"/>
  <c r="BA65" i="4"/>
  <c r="BA64" i="4"/>
  <c r="BA20" i="4"/>
  <c r="BA41" i="4"/>
  <c r="BA24" i="4"/>
  <c r="BA67" i="4"/>
  <c r="BA46" i="4"/>
  <c r="BA62" i="4"/>
  <c r="BA33" i="4"/>
  <c r="BA19" i="4"/>
  <c r="BA71" i="4"/>
  <c r="BA47" i="4"/>
  <c r="BA27" i="4"/>
  <c r="BA26" i="4"/>
  <c r="BA66" i="4"/>
  <c r="BA22" i="4"/>
  <c r="BA45" i="4"/>
  <c r="BA57" i="4"/>
  <c r="BA75" i="4"/>
  <c r="BA25" i="4"/>
  <c r="BA28" i="4"/>
  <c r="BA50" i="4"/>
  <c r="BA34" i="4"/>
  <c r="BA44" i="4"/>
  <c r="BA39" i="4"/>
  <c r="BA68" i="4"/>
  <c r="BA49" i="4"/>
  <c r="BA72" i="4"/>
  <c r="BA54" i="4"/>
  <c r="BA76" i="4"/>
  <c r="BA58" i="4"/>
  <c r="BA35" i="4"/>
  <c r="BA60" i="4"/>
  <c r="BA61" i="4"/>
  <c r="BA43" i="4"/>
  <c r="BA56" i="4"/>
  <c r="D11" i="4"/>
  <c r="D126" i="4" s="1"/>
  <c r="B76" i="3"/>
  <c r="B71" i="4"/>
  <c r="B77" i="3" l="1"/>
  <c r="B72" i="4"/>
  <c r="B78" i="3" l="1"/>
  <c r="B73" i="4"/>
  <c r="B79" i="3" l="1"/>
  <c r="B74" i="4"/>
  <c r="B80" i="3" l="1"/>
  <c r="B75" i="4"/>
  <c r="B81" i="3" l="1"/>
  <c r="B76" i="4"/>
  <c r="B77" i="4" l="1"/>
  <c r="D123" i="4"/>
  <c r="B7" i="5" s="1"/>
  <c r="D15" i="3"/>
  <c r="E14" i="3"/>
  <c r="D118" i="4" s="1" a="1"/>
  <c r="D118" i="4" s="1"/>
  <c r="E15" i="3"/>
  <c r="D14" i="3"/>
  <c r="D16" i="3"/>
  <c r="E16" i="3"/>
  <c r="D30" i="5" a="1"/>
  <c r="D29" i="5" a="1"/>
  <c r="D29" i="5" l="1"/>
  <c r="D30" i="5"/>
  <c r="I101" i="4"/>
  <c r="J101" i="4"/>
  <c r="F101" i="4"/>
  <c r="F102" i="4" s="1" a="1"/>
  <c r="F102" i="4" s="1"/>
  <c r="F103" i="4" s="1"/>
  <c r="H94" i="4"/>
  <c r="H101" i="4"/>
  <c r="G85" i="4"/>
  <c r="J94" i="4"/>
  <c r="L85" i="4"/>
  <c r="K94" i="4"/>
  <c r="G94" i="4"/>
  <c r="F94" i="4"/>
  <c r="F95" i="4" s="1" a="1"/>
  <c r="F95" i="4" s="1"/>
  <c r="F96" i="4" s="1"/>
  <c r="F97" i="4" s="1"/>
  <c r="I94" i="4"/>
  <c r="H85" i="4"/>
  <c r="K85" i="4"/>
  <c r="I85" i="4"/>
  <c r="L101" i="4"/>
  <c r="K101" i="4"/>
  <c r="G101" i="4"/>
  <c r="J85" i="4"/>
  <c r="L94" i="4"/>
  <c r="F85" i="4"/>
  <c r="F86" i="4" s="1" a="1"/>
  <c r="F86" i="4" s="1"/>
  <c r="F87" i="4" s="1"/>
  <c r="M101" i="4"/>
  <c r="M94" i="4"/>
  <c r="N85" i="4"/>
  <c r="N94" i="4"/>
  <c r="M85" i="4"/>
  <c r="N101" i="4"/>
  <c r="P101" i="4"/>
  <c r="O101" i="4"/>
  <c r="P94" i="4"/>
  <c r="S101" i="4"/>
  <c r="O94" i="4"/>
  <c r="O85" i="4"/>
  <c r="P85" i="4"/>
  <c r="Q94" i="4"/>
  <c r="Q101" i="4"/>
  <c r="Q85" i="4"/>
  <c r="U94" i="4"/>
  <c r="R85" i="4"/>
  <c r="R94" i="4"/>
  <c r="T85" i="4"/>
  <c r="S94" i="4"/>
  <c r="U85" i="4"/>
  <c r="R101" i="4"/>
  <c r="S85" i="4"/>
  <c r="T101" i="4"/>
  <c r="W94" i="4"/>
  <c r="V85" i="4"/>
  <c r="V94" i="4"/>
  <c r="T94" i="4"/>
  <c r="U101" i="4"/>
  <c r="X101" i="4"/>
  <c r="V101" i="4"/>
  <c r="W101" i="4"/>
  <c r="W85" i="4"/>
  <c r="Z94" i="4"/>
  <c r="X85" i="4"/>
  <c r="Y101" i="4"/>
  <c r="Y94" i="4"/>
  <c r="Z85" i="4"/>
  <c r="X94" i="4"/>
  <c r="Y85" i="4"/>
  <c r="Z101" i="4"/>
  <c r="AA94" i="4"/>
  <c r="AB94" i="4"/>
  <c r="AA85" i="4"/>
  <c r="AB85" i="4"/>
  <c r="AA101" i="4"/>
  <c r="AD85" i="4"/>
  <c r="AB101" i="4"/>
  <c r="AC85" i="4"/>
  <c r="AF94" i="4"/>
  <c r="AC94" i="4"/>
  <c r="AC101" i="4"/>
  <c r="AD94" i="4"/>
  <c r="AF101" i="4"/>
  <c r="AE85" i="4"/>
  <c r="AF85" i="4"/>
  <c r="AD101" i="4"/>
  <c r="AE94" i="4"/>
  <c r="AE101" i="4"/>
  <c r="AG85" i="4"/>
  <c r="AG94" i="4"/>
  <c r="AG101" i="4"/>
  <c r="AH94" i="4"/>
  <c r="AH85" i="4"/>
  <c r="AJ101" i="4"/>
  <c r="AH101" i="4"/>
  <c r="AI101" i="4"/>
  <c r="AI85" i="4"/>
  <c r="AJ85" i="4"/>
  <c r="AK94" i="4"/>
  <c r="AJ94" i="4"/>
  <c r="AK85" i="4"/>
  <c r="AI94" i="4"/>
  <c r="AO85" i="4"/>
  <c r="AL85" i="4"/>
  <c r="AL94" i="4"/>
  <c r="AK101" i="4"/>
  <c r="AO101" i="4"/>
  <c r="AN85" i="4"/>
  <c r="AL101" i="4"/>
  <c r="AM101" i="4"/>
  <c r="AO94" i="4"/>
  <c r="AN94" i="4"/>
  <c r="AM94" i="4"/>
  <c r="AM85" i="4"/>
  <c r="AN101" i="4"/>
  <c r="AQ85" i="4"/>
  <c r="AP94" i="4"/>
  <c r="AP85" i="4"/>
  <c r="AQ94" i="4"/>
  <c r="AS101" i="4"/>
  <c r="AP101" i="4"/>
  <c r="AT101" i="4"/>
  <c r="AQ101" i="4"/>
  <c r="AR101" i="4"/>
  <c r="AR85" i="4"/>
  <c r="AR94" i="4"/>
  <c r="AV94" i="4"/>
  <c r="AS94" i="4"/>
  <c r="AT85" i="4"/>
  <c r="AT94" i="4"/>
  <c r="AS85" i="4"/>
  <c r="AU94" i="4"/>
  <c r="AX94" i="4"/>
  <c r="AU85" i="4"/>
  <c r="AV101" i="4"/>
  <c r="AV85" i="4"/>
  <c r="AU101" i="4"/>
  <c r="AW101" i="4"/>
  <c r="AZ85" i="4"/>
  <c r="BA94" i="4"/>
  <c r="AW85" i="4"/>
  <c r="AW94" i="4"/>
  <c r="AY94" i="4"/>
  <c r="AX101" i="4"/>
  <c r="AZ101" i="4"/>
  <c r="AX85" i="4"/>
  <c r="BA101" i="4"/>
  <c r="BA85" i="4"/>
  <c r="AY101" i="4"/>
  <c r="AZ94" i="4"/>
  <c r="AY85" i="4"/>
  <c r="J95" i="4" a="1"/>
  <c r="I86" i="4" a="1"/>
  <c r="M95" i="4" a="1"/>
  <c r="S102" i="4" a="1"/>
  <c r="R86" i="4" a="1"/>
  <c r="W95" i="4" a="1"/>
  <c r="W86" i="4" a="1"/>
  <c r="Z102" i="4" a="1"/>
  <c r="AC86" i="4" a="1"/>
  <c r="AD102" i="4" a="1"/>
  <c r="AJ102" i="4" a="1"/>
  <c r="AI95" i="4" a="1"/>
  <c r="AM102" i="4" a="1"/>
  <c r="AP86" i="4" a="1"/>
  <c r="AR95" i="4" a="1"/>
  <c r="AU86" i="4" a="1"/>
  <c r="AW95" i="4" a="1"/>
  <c r="AZ95" i="4" a="1"/>
  <c r="J86" i="4" a="1"/>
  <c r="Q95" i="4" a="1"/>
  <c r="Y95" i="4" a="1"/>
  <c r="AG95" i="4" a="1"/>
  <c r="AT102" i="4" a="1"/>
  <c r="H95" i="4" a="1"/>
  <c r="Q102" i="4" a="1"/>
  <c r="AA102" i="4" a="1"/>
  <c r="AN102" i="4" a="1"/>
  <c r="BA102" i="4" a="1"/>
  <c r="O102" i="4" a="1"/>
  <c r="V102" i="4" a="1"/>
  <c r="AH95" i="4" a="1"/>
  <c r="AQ86" i="4" a="1"/>
  <c r="BA86" i="4" a="1"/>
  <c r="P95" i="4" a="1"/>
  <c r="Y86" i="4" a="1"/>
  <c r="AK86" i="4" a="1"/>
  <c r="AX95" i="4" a="1"/>
  <c r="L86" i="4" a="1"/>
  <c r="L102" i="4" a="1"/>
  <c r="N86" i="4" a="1"/>
  <c r="O95" i="4" a="1"/>
  <c r="R95" i="4" a="1"/>
  <c r="V86" i="4" a="1"/>
  <c r="Z95" i="4" a="1"/>
  <c r="AA95" i="4" a="1"/>
  <c r="AF95" i="4" a="1"/>
  <c r="AE95" i="4" a="1"/>
  <c r="AH102" i="4" a="1"/>
  <c r="AO86" i="4" a="1"/>
  <c r="AO95" i="4" a="1"/>
  <c r="AQ95" i="4" a="1"/>
  <c r="AV95" i="4" a="1"/>
  <c r="AV102" i="4" a="1"/>
  <c r="AY95" i="4" a="1"/>
  <c r="AY86" i="4" a="1"/>
  <c r="N102" i="4" a="1"/>
  <c r="U102" i="4" a="1"/>
  <c r="AJ86" i="4" a="1"/>
  <c r="AT95" i="4" a="1"/>
  <c r="I95" i="4" a="1"/>
  <c r="R102" i="4" a="1"/>
  <c r="AF102" i="4" a="1"/>
  <c r="AO102" i="4" a="1"/>
  <c r="AZ86" i="4" a="1"/>
  <c r="AE86" i="4" a="1"/>
  <c r="AR102" i="4" a="1"/>
  <c r="M102" i="4" a="1"/>
  <c r="W102" i="4" a="1"/>
  <c r="AH86" i="4" a="1"/>
  <c r="AR86" i="4" a="1"/>
  <c r="I102" i="4" a="1"/>
  <c r="K95" i="4" a="1"/>
  <c r="K102" i="4" a="1"/>
  <c r="N95" i="4" a="1"/>
  <c r="O86" i="4" a="1"/>
  <c r="T86" i="4" a="1"/>
  <c r="V95" i="4" a="1"/>
  <c r="X86" i="4" a="1"/>
  <c r="AB95" i="4" a="1"/>
  <c r="AC95" i="4" a="1"/>
  <c r="AE102" i="4" a="1"/>
  <c r="AI102" i="4" a="1"/>
  <c r="AL86" i="4" a="1"/>
  <c r="AN95" i="4" a="1"/>
  <c r="AS102" i="4" a="1"/>
  <c r="AS95" i="4" a="1"/>
  <c r="AV86" i="4" a="1"/>
  <c r="AX102" i="4" a="1"/>
  <c r="AB86" i="4" a="1"/>
  <c r="AK102" i="4" a="1"/>
  <c r="AW102" i="4" a="1"/>
  <c r="L95" i="4" a="1"/>
  <c r="X102" i="4" a="1"/>
  <c r="AG102" i="4" a="1"/>
  <c r="AQ102" i="4" a="1"/>
  <c r="H102" i="4" a="1"/>
  <c r="Q86" i="4" a="1"/>
  <c r="X95" i="4" a="1"/>
  <c r="AJ95" i="4" a="1"/>
  <c r="AU95" i="4" a="1"/>
  <c r="G86" i="4" a="1"/>
  <c r="U95" i="4" a="1"/>
  <c r="AB102" i="4" a="1"/>
  <c r="AL102" i="4" a="1"/>
  <c r="AW86" i="4" a="1"/>
  <c r="J102" i="4" a="1"/>
  <c r="G95" i="4" a="1"/>
  <c r="G102" i="4" a="1"/>
  <c r="M86" i="4" a="1"/>
  <c r="P86" i="4" a="1"/>
  <c r="S95" i="4" a="1"/>
  <c r="T95" i="4" a="1"/>
  <c r="Y102" i="4" a="1"/>
  <c r="AA86" i="4" a="1"/>
  <c r="AC102" i="4" a="1"/>
  <c r="AG86" i="4" a="1"/>
  <c r="AI86" i="4" a="1"/>
  <c r="AL95" i="4" a="1"/>
  <c r="AM95" i="4" a="1"/>
  <c r="AP102" i="4" a="1"/>
  <c r="AT86" i="4" a="1"/>
  <c r="AU102" i="4" a="1"/>
  <c r="AZ102" i="4" a="1"/>
  <c r="U86" i="4" a="1"/>
  <c r="AD95" i="4" a="1"/>
  <c r="AM86" i="4" a="1"/>
  <c r="AX86" i="4" a="1"/>
  <c r="P102" i="4" a="1"/>
  <c r="Z86" i="4" a="1"/>
  <c r="AK95" i="4" a="1"/>
  <c r="AS86" i="4" a="1"/>
  <c r="H86" i="4" a="1"/>
  <c r="S86" i="4" a="1"/>
  <c r="AD86" i="4" a="1"/>
  <c r="AN86" i="4" a="1"/>
  <c r="BA95" i="4" a="1"/>
  <c r="K86" i="4" a="1"/>
  <c r="T102" i="4" a="1"/>
  <c r="AF86" i="4" a="1"/>
  <c r="AP95" i="4" a="1"/>
  <c r="AY102" i="4" a="1"/>
  <c r="AY102" i="4" l="1"/>
  <c r="AP95" i="4"/>
  <c r="AF86" i="4"/>
  <c r="T102" i="4"/>
  <c r="K86" i="4"/>
  <c r="BA95" i="4"/>
  <c r="AN86" i="4"/>
  <c r="AD86" i="4"/>
  <c r="S86" i="4"/>
  <c r="H86" i="4"/>
  <c r="AS86" i="4"/>
  <c r="AK95" i="4"/>
  <c r="Z86" i="4"/>
  <c r="P102" i="4"/>
  <c r="AX86" i="4"/>
  <c r="AM86" i="4"/>
  <c r="AD95" i="4"/>
  <c r="U86" i="4"/>
  <c r="AZ102" i="4"/>
  <c r="AU102" i="4"/>
  <c r="AT86" i="4"/>
  <c r="AP102" i="4"/>
  <c r="AM95" i="4"/>
  <c r="AL95" i="4"/>
  <c r="AI86" i="4"/>
  <c r="AG86" i="4"/>
  <c r="AC102" i="4"/>
  <c r="AA86" i="4"/>
  <c r="Y102" i="4"/>
  <c r="T95" i="4"/>
  <c r="S95" i="4"/>
  <c r="P86" i="4"/>
  <c r="M86" i="4"/>
  <c r="G102" i="4"/>
  <c r="G103" i="4" s="1"/>
  <c r="G95" i="4"/>
  <c r="G96" i="4" s="1"/>
  <c r="J102" i="4"/>
  <c r="AW86" i="4"/>
  <c r="AL102" i="4"/>
  <c r="AB102" i="4"/>
  <c r="U95" i="4"/>
  <c r="G86" i="4"/>
  <c r="G87" i="4" s="1"/>
  <c r="G88" i="4" s="1"/>
  <c r="AU95" i="4"/>
  <c r="AJ95" i="4"/>
  <c r="X95" i="4"/>
  <c r="Q86" i="4"/>
  <c r="H102" i="4"/>
  <c r="AQ102" i="4"/>
  <c r="AG102" i="4"/>
  <c r="X102" i="4"/>
  <c r="L95" i="4"/>
  <c r="AW102" i="4"/>
  <c r="AK102" i="4"/>
  <c r="AB86" i="4"/>
  <c r="AX102" i="4"/>
  <c r="AV86" i="4"/>
  <c r="AS95" i="4"/>
  <c r="AS102" i="4"/>
  <c r="AN95" i="4"/>
  <c r="AL86" i="4"/>
  <c r="AI102" i="4"/>
  <c r="AE102" i="4"/>
  <c r="AC95" i="4"/>
  <c r="AB95" i="4"/>
  <c r="X86" i="4"/>
  <c r="V95" i="4"/>
  <c r="T86" i="4"/>
  <c r="O86" i="4"/>
  <c r="N95" i="4"/>
  <c r="K102" i="4"/>
  <c r="K95" i="4"/>
  <c r="I102" i="4"/>
  <c r="AR86" i="4"/>
  <c r="AH86" i="4"/>
  <c r="W102" i="4"/>
  <c r="M102" i="4"/>
  <c r="AR102" i="4"/>
  <c r="AE86" i="4"/>
  <c r="AZ86" i="4"/>
  <c r="AO102" i="4"/>
  <c r="AF102" i="4"/>
  <c r="R102" i="4"/>
  <c r="I95" i="4"/>
  <c r="AT95" i="4"/>
  <c r="AJ86" i="4"/>
  <c r="U102" i="4"/>
  <c r="N102" i="4"/>
  <c r="AY86" i="4"/>
  <c r="AY95" i="4"/>
  <c r="AV102" i="4"/>
  <c r="AV95" i="4"/>
  <c r="AQ95" i="4"/>
  <c r="AO95" i="4"/>
  <c r="AO86" i="4"/>
  <c r="AH102" i="4"/>
  <c r="AE95" i="4"/>
  <c r="AF95" i="4"/>
  <c r="AA95" i="4"/>
  <c r="Z95" i="4"/>
  <c r="V86" i="4"/>
  <c r="R95" i="4"/>
  <c r="O95" i="4"/>
  <c r="N86" i="4"/>
  <c r="L102" i="4"/>
  <c r="L86" i="4"/>
  <c r="AX95" i="4"/>
  <c r="AK86" i="4"/>
  <c r="Y86" i="4"/>
  <c r="P95" i="4"/>
  <c r="BA86" i="4"/>
  <c r="AQ86" i="4"/>
  <c r="AH95" i="4"/>
  <c r="V102" i="4"/>
  <c r="O102" i="4"/>
  <c r="BA102" i="4"/>
  <c r="AN102" i="4"/>
  <c r="AA102" i="4"/>
  <c r="Q102" i="4"/>
  <c r="H95" i="4"/>
  <c r="AT102" i="4"/>
  <c r="AG95" i="4"/>
  <c r="Y95" i="4"/>
  <c r="Q95" i="4"/>
  <c r="J86" i="4"/>
  <c r="AZ95" i="4"/>
  <c r="AW95" i="4"/>
  <c r="AU86" i="4"/>
  <c r="AR95" i="4"/>
  <c r="AP86" i="4"/>
  <c r="AM102" i="4"/>
  <c r="AI95" i="4"/>
  <c r="AJ102" i="4"/>
  <c r="AD102" i="4"/>
  <c r="AC86" i="4"/>
  <c r="Z102" i="4"/>
  <c r="W86" i="4"/>
  <c r="W95" i="4"/>
  <c r="R86" i="4"/>
  <c r="S102" i="4"/>
  <c r="M95" i="4"/>
  <c r="I86" i="4"/>
  <c r="J95" i="4"/>
  <c r="F104" i="4"/>
  <c r="G104" i="4"/>
  <c r="F88" i="4"/>
  <c r="F90" i="4" a="1"/>
  <c r="F90" i="4" s="1"/>
  <c r="C104" i="5" a="1"/>
  <c r="D104" i="5" a="1"/>
  <c r="F104" i="5" a="1"/>
  <c r="E104" i="5" a="1"/>
  <c r="E104" i="5" l="1"/>
  <c r="F104" i="5"/>
  <c r="D104" i="5"/>
  <c r="C104" i="5"/>
  <c r="G97" i="4"/>
  <c r="H96" i="4"/>
  <c r="H97" i="4" s="1"/>
  <c r="H103" i="4"/>
  <c r="G90" i="4" a="1"/>
  <c r="G90" i="4" s="1"/>
  <c r="H87" i="4"/>
  <c r="D105" i="5" a="1"/>
  <c r="F105" i="5" a="1"/>
  <c r="C105" i="5" a="1"/>
  <c r="E105" i="5" a="1"/>
  <c r="E105" i="5" l="1"/>
  <c r="C105" i="5"/>
  <c r="F105" i="5"/>
  <c r="D105" i="5"/>
  <c r="H104" i="4"/>
  <c r="I103" i="4"/>
  <c r="I104" i="4" s="1"/>
  <c r="I96" i="4"/>
  <c r="H88" i="4"/>
  <c r="H90" i="4" a="1"/>
  <c r="H90" i="4" s="1"/>
  <c r="I87" i="4"/>
  <c r="I88" i="4" s="1"/>
  <c r="F106" i="5" a="1"/>
  <c r="C106" i="5" a="1"/>
  <c r="D106" i="5" a="1"/>
  <c r="E106" i="5" a="1"/>
  <c r="E106" i="5" l="1"/>
  <c r="D106" i="5"/>
  <c r="C106" i="5"/>
  <c r="F106" i="5"/>
  <c r="J103" i="4"/>
  <c r="J104" i="4" s="1"/>
  <c r="J96" i="4"/>
  <c r="K96" i="4" s="1"/>
  <c r="J87" i="4"/>
  <c r="J88" i="4" s="1"/>
  <c r="I90" i="4" a="1"/>
  <c r="I90" i="4" s="1"/>
  <c r="I97" i="4"/>
  <c r="F107" i="5" a="1"/>
  <c r="E107" i="5" a="1"/>
  <c r="C107" i="5" a="1"/>
  <c r="D107" i="5" a="1"/>
  <c r="D107" i="5" l="1"/>
  <c r="C107" i="5"/>
  <c r="E107" i="5"/>
  <c r="F107" i="5"/>
  <c r="K97" i="4"/>
  <c r="L96" i="4"/>
  <c r="J97" i="4"/>
  <c r="K103" i="4"/>
  <c r="L103" i="4" s="1"/>
  <c r="J90" i="4" a="1"/>
  <c r="J90" i="4" s="1"/>
  <c r="K87" i="4"/>
  <c r="K88" i="4" s="1"/>
  <c r="F108" i="5" a="1"/>
  <c r="C108" i="5" a="1"/>
  <c r="D108" i="5" a="1"/>
  <c r="E108" i="5" a="1"/>
  <c r="K104" i="4" l="1"/>
  <c r="E108" i="5"/>
  <c r="D108" i="5"/>
  <c r="C108" i="5"/>
  <c r="F108" i="5"/>
  <c r="L97" i="4"/>
  <c r="M96" i="4"/>
  <c r="L87" i="4"/>
  <c r="K90" i="4" a="1"/>
  <c r="K90" i="4" s="1"/>
  <c r="L104" i="4"/>
  <c r="M103" i="4"/>
  <c r="M104" i="4" s="1"/>
  <c r="C109" i="5" a="1"/>
  <c r="D109" i="5" a="1"/>
  <c r="F109" i="5" a="1"/>
  <c r="E109" i="5" a="1"/>
  <c r="E109" i="5" l="1"/>
  <c r="F109" i="5"/>
  <c r="D109" i="5"/>
  <c r="C109" i="5"/>
  <c r="M97" i="4"/>
  <c r="N96" i="4"/>
  <c r="O96" i="4" s="1"/>
  <c r="L88" i="4"/>
  <c r="L90" i="4" a="1"/>
  <c r="L90" i="4" s="1"/>
  <c r="M87" i="4"/>
  <c r="N103" i="4"/>
  <c r="N104" i="4" s="1"/>
  <c r="D110" i="5" a="1"/>
  <c r="F110" i="5" a="1"/>
  <c r="C110" i="5" a="1"/>
  <c r="E110" i="5" a="1"/>
  <c r="N97" i="4" l="1"/>
  <c r="E110" i="5"/>
  <c r="C110" i="5"/>
  <c r="F110" i="5"/>
  <c r="D110" i="5"/>
  <c r="O97" i="4"/>
  <c r="P96" i="4"/>
  <c r="Q96" i="4" s="1"/>
  <c r="O103" i="4"/>
  <c r="O104" i="4" s="1"/>
  <c r="M88" i="4"/>
  <c r="N87" i="4"/>
  <c r="N88" i="4" s="1"/>
  <c r="M90" i="4" a="1"/>
  <c r="M90" i="4" s="1"/>
  <c r="F111" i="5" a="1"/>
  <c r="E111" i="5" a="1"/>
  <c r="C111" i="5" a="1"/>
  <c r="D111" i="5" a="1"/>
  <c r="P97" i="4" l="1"/>
  <c r="D111" i="5"/>
  <c r="C111" i="5"/>
  <c r="E111" i="5"/>
  <c r="F111" i="5"/>
  <c r="Q97" i="4"/>
  <c r="R96" i="4"/>
  <c r="O87" i="4"/>
  <c r="N90" i="4" a="1"/>
  <c r="N90" i="4" s="1"/>
  <c r="P103" i="4"/>
  <c r="Q103" i="4" s="1"/>
  <c r="C112" i="5" a="1"/>
  <c r="D112" i="5" a="1"/>
  <c r="F112" i="5" a="1"/>
  <c r="E112" i="5" a="1"/>
  <c r="E112" i="5" l="1"/>
  <c r="F112" i="5"/>
  <c r="D112" i="5"/>
  <c r="C112" i="5"/>
  <c r="R97" i="4"/>
  <c r="S96" i="4"/>
  <c r="S97" i="4"/>
  <c r="O88" i="4"/>
  <c r="P87" i="4"/>
  <c r="P88" i="4" s="1"/>
  <c r="O90" i="4" a="1"/>
  <c r="O90" i="4" s="1"/>
  <c r="P104" i="4"/>
  <c r="Q104" i="4"/>
  <c r="R103" i="4"/>
  <c r="F113" i="5" a="1"/>
  <c r="D113" i="5" a="1"/>
  <c r="C113" i="5" a="1"/>
  <c r="E113" i="5" a="1"/>
  <c r="E113" i="5" l="1"/>
  <c r="C113" i="5"/>
  <c r="D113" i="5"/>
  <c r="F113" i="5"/>
  <c r="T96" i="4"/>
  <c r="R104" i="4"/>
  <c r="S103" i="4"/>
  <c r="Q87" i="4"/>
  <c r="Q88" i="4" s="1"/>
  <c r="P90" i="4" a="1"/>
  <c r="P90" i="4" s="1"/>
  <c r="C114" i="5" a="1"/>
  <c r="F114" i="5" a="1"/>
  <c r="D114" i="5" a="1"/>
  <c r="E114" i="5" a="1"/>
  <c r="E114" i="5" l="1"/>
  <c r="D114" i="5"/>
  <c r="F114" i="5"/>
  <c r="C114" i="5"/>
  <c r="U96" i="4"/>
  <c r="U97" i="4" s="1"/>
  <c r="S104" i="4"/>
  <c r="T103" i="4"/>
  <c r="T97" i="4"/>
  <c r="R87" i="4"/>
  <c r="R88" i="4" s="1"/>
  <c r="Q90" i="4" a="1"/>
  <c r="Q90" i="4" s="1"/>
  <c r="C115" i="5" a="1"/>
  <c r="D115" i="5" a="1"/>
  <c r="F115" i="5" a="1"/>
  <c r="E115" i="5" a="1"/>
  <c r="E115" i="5" l="1"/>
  <c r="F115" i="5"/>
  <c r="D115" i="5"/>
  <c r="C115" i="5"/>
  <c r="U103" i="4"/>
  <c r="V103" i="4" s="1"/>
  <c r="S87" i="4"/>
  <c r="R90" i="4" a="1"/>
  <c r="R90" i="4" s="1"/>
  <c r="V96" i="4"/>
  <c r="W96" i="4" s="1"/>
  <c r="T104" i="4"/>
  <c r="F116" i="5" a="1"/>
  <c r="C116" i="5" a="1"/>
  <c r="D116" i="5" a="1"/>
  <c r="E116" i="5" a="1"/>
  <c r="V97" i="4" l="1"/>
  <c r="E116" i="5"/>
  <c r="D116" i="5"/>
  <c r="C116" i="5"/>
  <c r="F116" i="5"/>
  <c r="T87" i="4"/>
  <c r="S90" i="4" a="1"/>
  <c r="S90" i="4" s="1"/>
  <c r="U104" i="4"/>
  <c r="W97" i="4"/>
  <c r="X96" i="4"/>
  <c r="D113" i="4" a="1"/>
  <c r="D113" i="4" s="1"/>
  <c r="V104" i="4"/>
  <c r="W103" i="4"/>
  <c r="S88" i="4"/>
  <c r="G14" i="5" a="1"/>
  <c r="C117" i="5" a="1"/>
  <c r="F117" i="5" a="1"/>
  <c r="D117" i="5" a="1"/>
  <c r="E117" i="5" a="1"/>
  <c r="E117" i="5" l="1"/>
  <c r="D117" i="5"/>
  <c r="F117" i="5"/>
  <c r="C117" i="5"/>
  <c r="G14" i="5"/>
  <c r="D114" i="4" a="1"/>
  <c r="D114" i="4" s="1"/>
  <c r="X103" i="4"/>
  <c r="W104" i="4"/>
  <c r="T88" i="4"/>
  <c r="T90" i="4" a="1"/>
  <c r="T90" i="4" s="1"/>
  <c r="U87" i="4"/>
  <c r="U88" i="4" s="1"/>
  <c r="X97" i="4"/>
  <c r="Y96" i="4"/>
  <c r="D118" i="5" a="1"/>
  <c r="C118" i="5" a="1"/>
  <c r="F118" i="5" a="1"/>
  <c r="E118" i="5" a="1"/>
  <c r="G15" i="5" a="1"/>
  <c r="G15" i="5" l="1"/>
  <c r="E118" i="5"/>
  <c r="F118" i="5"/>
  <c r="C118" i="5"/>
  <c r="D118" i="5"/>
  <c r="V87" i="4"/>
  <c r="U90" i="4" a="1"/>
  <c r="U90" i="4" s="1"/>
  <c r="X104" i="4"/>
  <c r="Y103" i="4"/>
  <c r="Y97" i="4"/>
  <c r="Z96" i="4"/>
  <c r="AA96" i="4" s="1"/>
  <c r="F119" i="5" a="1"/>
  <c r="C119" i="5" a="1"/>
  <c r="D119" i="5" a="1"/>
  <c r="E119" i="5" a="1"/>
  <c r="E119" i="5" l="1"/>
  <c r="D119" i="5"/>
  <c r="C119" i="5"/>
  <c r="F119" i="5"/>
  <c r="AA97" i="4"/>
  <c r="AB96" i="4"/>
  <c r="AC96" i="4" s="1"/>
  <c r="Z97" i="4"/>
  <c r="V88" i="4"/>
  <c r="W87" i="4"/>
  <c r="W88" i="4" s="1"/>
  <c r="V90" i="4" a="1"/>
  <c r="V90" i="4" s="1"/>
  <c r="Y104" i="4"/>
  <c r="Z103" i="4"/>
  <c r="Z104" i="4" s="1"/>
  <c r="C120" i="5" a="1"/>
  <c r="F120" i="5" a="1"/>
  <c r="D120" i="5" a="1"/>
  <c r="E120" i="5" a="1"/>
  <c r="E120" i="5" l="1"/>
  <c r="D120" i="5"/>
  <c r="F120" i="5"/>
  <c r="C120" i="5"/>
  <c r="AC97" i="4"/>
  <c r="AD96" i="4"/>
  <c r="AB97" i="4"/>
  <c r="AA103" i="4"/>
  <c r="D112" i="4" a="1"/>
  <c r="D112" i="4" s="1"/>
  <c r="W90" i="4" a="1"/>
  <c r="W90" i="4" s="1"/>
  <c r="X87" i="4"/>
  <c r="X88" i="4" s="1"/>
  <c r="G13" i="5" a="1"/>
  <c r="D32" i="5" a="1"/>
  <c r="D33" i="5" a="1"/>
  <c r="C121" i="5" a="1"/>
  <c r="D121" i="5" a="1"/>
  <c r="F121" i="5" a="1"/>
  <c r="E121" i="5" a="1"/>
  <c r="E121" i="5" l="1"/>
  <c r="F121" i="5"/>
  <c r="D121" i="5"/>
  <c r="C121" i="5"/>
  <c r="D33" i="5"/>
  <c r="D32" i="5"/>
  <c r="G13" i="5"/>
  <c r="AB103" i="4"/>
  <c r="AD97" i="4"/>
  <c r="AE96" i="4"/>
  <c r="X90" i="4" a="1"/>
  <c r="X90" i="4" s="1"/>
  <c r="Y87" i="4"/>
  <c r="AA104" i="4"/>
  <c r="D122" i="5" a="1"/>
  <c r="C122" i="5" a="1"/>
  <c r="E122" i="5" a="1"/>
  <c r="F122" i="5" a="1"/>
  <c r="F122" i="5" l="1"/>
  <c r="E122" i="5"/>
  <c r="C122" i="5"/>
  <c r="D122" i="5"/>
  <c r="Z87" i="4"/>
  <c r="Y90" i="4" a="1"/>
  <c r="Y90" i="4" s="1"/>
  <c r="Z88" i="4"/>
  <c r="AC103" i="4"/>
  <c r="Y88" i="4"/>
  <c r="AE97" i="4"/>
  <c r="AF96" i="4"/>
  <c r="AG96" i="4" s="1"/>
  <c r="AB104" i="4"/>
  <c r="C123" i="5" a="1"/>
  <c r="E123" i="5" a="1"/>
  <c r="F123" i="5" a="1"/>
  <c r="D123" i="5" a="1"/>
  <c r="AF97" i="4" l="1"/>
  <c r="D123" i="5"/>
  <c r="F123" i="5"/>
  <c r="E123" i="5"/>
  <c r="C123" i="5"/>
  <c r="Z90" i="4" a="1"/>
  <c r="Z90" i="4" s="1"/>
  <c r="AA87" i="4"/>
  <c r="AG97" i="4"/>
  <c r="AH96" i="4"/>
  <c r="AH97" i="4" s="1"/>
  <c r="AD103" i="4"/>
  <c r="AD104" i="4" s="1"/>
  <c r="AC104" i="4"/>
  <c r="C124" i="5" a="1"/>
  <c r="D124" i="5" a="1"/>
  <c r="E124" i="5" a="1"/>
  <c r="F124" i="5" a="1"/>
  <c r="F124" i="5" l="1"/>
  <c r="E124" i="5"/>
  <c r="D124" i="5"/>
  <c r="C124" i="5"/>
  <c r="AA90" i="4" a="1"/>
  <c r="AA90" i="4" s="1"/>
  <c r="AB87" i="4"/>
  <c r="AB88" i="4" s="1"/>
  <c r="AE103" i="4"/>
  <c r="AA88" i="4"/>
  <c r="AI96" i="4"/>
  <c r="AI97" i="4" s="1"/>
  <c r="D125" i="5" a="1"/>
  <c r="E125" i="5" a="1"/>
  <c r="F125" i="5" a="1"/>
  <c r="C125" i="5" a="1"/>
  <c r="C125" i="5" l="1"/>
  <c r="F125" i="5"/>
  <c r="E125" i="5"/>
  <c r="D125" i="5"/>
  <c r="AF103" i="4"/>
  <c r="AG103" i="4" s="1"/>
  <c r="AC87" i="4"/>
  <c r="AB90" i="4" a="1"/>
  <c r="AB90" i="4" s="1"/>
  <c r="AJ96" i="4"/>
  <c r="AK96" i="4" s="1"/>
  <c r="AE104" i="4"/>
  <c r="D126" i="5" a="1"/>
  <c r="E126" i="5" a="1"/>
  <c r="C126" i="5" a="1"/>
  <c r="F126" i="5" a="1"/>
  <c r="AJ97" i="4" l="1"/>
  <c r="AF104" i="4"/>
  <c r="F126" i="5"/>
  <c r="C126" i="5"/>
  <c r="E126" i="5"/>
  <c r="D126" i="5"/>
  <c r="AC88" i="4"/>
  <c r="AD87" i="4"/>
  <c r="AC90" i="4" a="1"/>
  <c r="AC90" i="4" s="1"/>
  <c r="AG104" i="4"/>
  <c r="AH103" i="4"/>
  <c r="AK97" i="4"/>
  <c r="AL96" i="4"/>
  <c r="C127" i="5" a="1"/>
  <c r="F127" i="5" a="1"/>
  <c r="D127" i="5" a="1"/>
  <c r="E127" i="5" a="1"/>
  <c r="E127" i="5" l="1"/>
  <c r="D127" i="5"/>
  <c r="F127" i="5"/>
  <c r="C127" i="5"/>
  <c r="AD88" i="4"/>
  <c r="AE87" i="4"/>
  <c r="AD90" i="4" a="1"/>
  <c r="AD90" i="4" s="1"/>
  <c r="AL97" i="4"/>
  <c r="AM96" i="4"/>
  <c r="AM97" i="4" s="1"/>
  <c r="AH104" i="4"/>
  <c r="AI103" i="4"/>
  <c r="D128" i="5" a="1"/>
  <c r="E128" i="5" a="1"/>
  <c r="F128" i="5" a="1"/>
  <c r="C128" i="5" a="1"/>
  <c r="C128" i="5" l="1"/>
  <c r="F128" i="5"/>
  <c r="E128" i="5"/>
  <c r="D128" i="5"/>
  <c r="AF87" i="4"/>
  <c r="AE90" i="4" a="1"/>
  <c r="AE90" i="4" s="1"/>
  <c r="AE88" i="4"/>
  <c r="AI104" i="4"/>
  <c r="AJ103" i="4"/>
  <c r="AJ104" i="4" s="1"/>
  <c r="AN96" i="4"/>
  <c r="AO96" i="4" s="1"/>
  <c r="D129" i="5" a="1"/>
  <c r="E129" i="5" a="1"/>
  <c r="C129" i="5" a="1"/>
  <c r="F129" i="5" a="1"/>
  <c r="AN97" i="4" l="1"/>
  <c r="F129" i="5"/>
  <c r="C129" i="5"/>
  <c r="E129" i="5"/>
  <c r="D129" i="5"/>
  <c r="AO97" i="4"/>
  <c r="AP96" i="4"/>
  <c r="AF88" i="4"/>
  <c r="AF90" i="4" a="1"/>
  <c r="AF90" i="4" s="1"/>
  <c r="AG87" i="4"/>
  <c r="AG88" i="4" s="1"/>
  <c r="AK103" i="4"/>
  <c r="AK104" i="4" s="1"/>
  <c r="C130" i="5" a="1"/>
  <c r="E130" i="5" a="1"/>
  <c r="F130" i="5" a="1"/>
  <c r="D130" i="5" a="1"/>
  <c r="D130" i="5" l="1"/>
  <c r="F130" i="5"/>
  <c r="E130" i="5"/>
  <c r="C130" i="5"/>
  <c r="AP97" i="4"/>
  <c r="AQ96" i="4"/>
  <c r="AL103" i="4"/>
  <c r="AM103" i="4" s="1"/>
  <c r="AG90" i="4" a="1"/>
  <c r="AG90" i="4" s="1"/>
  <c r="AH87" i="4"/>
  <c r="AH88" i="4" s="1"/>
  <c r="C131" i="5" a="1"/>
  <c r="E131" i="5" a="1"/>
  <c r="F131" i="5" a="1"/>
  <c r="D131" i="5" a="1"/>
  <c r="D131" i="5" l="1"/>
  <c r="F131" i="5"/>
  <c r="E131" i="5"/>
  <c r="C131" i="5"/>
  <c r="AR96" i="4"/>
  <c r="AR97" i="4" s="1"/>
  <c r="AM104" i="4"/>
  <c r="AN103" i="4"/>
  <c r="AO103" i="4" s="1"/>
  <c r="AQ97" i="4"/>
  <c r="AH90" i="4" a="1"/>
  <c r="AH90" i="4" s="1"/>
  <c r="AI87" i="4"/>
  <c r="AL104" i="4"/>
  <c r="C132" i="5" a="1"/>
  <c r="E132" i="5" a="1"/>
  <c r="F132" i="5" a="1"/>
  <c r="D132" i="5" a="1"/>
  <c r="AN104" i="4" l="1"/>
  <c r="D132" i="5"/>
  <c r="F132" i="5"/>
  <c r="E132" i="5"/>
  <c r="C132" i="5"/>
  <c r="AI88" i="4"/>
  <c r="AI90" i="4" a="1"/>
  <c r="AI90" i="4" s="1"/>
  <c r="AJ87" i="4"/>
  <c r="AJ88" i="4" s="1"/>
  <c r="AS96" i="4"/>
  <c r="AT96" i="4" s="1"/>
  <c r="AO104" i="4"/>
  <c r="AP103" i="4"/>
  <c r="D133" i="5" a="1"/>
  <c r="E133" i="5" a="1"/>
  <c r="F133" i="5" a="1"/>
  <c r="C133" i="5" a="1"/>
  <c r="AS97" i="4" l="1"/>
  <c r="C133" i="5"/>
  <c r="F133" i="5"/>
  <c r="E133" i="5"/>
  <c r="D133" i="5"/>
  <c r="AP104" i="4"/>
  <c r="AQ103" i="4"/>
  <c r="AJ90" i="4" a="1"/>
  <c r="AJ90" i="4" s="1"/>
  <c r="AK87" i="4"/>
  <c r="AK88" i="4" s="1"/>
  <c r="AT97" i="4"/>
  <c r="AU96" i="4"/>
  <c r="AV96" i="4" s="1"/>
  <c r="D134" i="5" a="1"/>
  <c r="E134" i="5" a="1"/>
  <c r="F134" i="5" a="1"/>
  <c r="C134" i="5" a="1"/>
  <c r="C134" i="5" l="1"/>
  <c r="F134" i="5"/>
  <c r="E134" i="5"/>
  <c r="D134" i="5"/>
  <c r="AR103" i="4"/>
  <c r="AV97" i="4"/>
  <c r="AW96" i="4"/>
  <c r="AU97" i="4"/>
  <c r="AQ104" i="4"/>
  <c r="AL87" i="4"/>
  <c r="AK90" i="4" a="1"/>
  <c r="AK90" i="4" s="1"/>
  <c r="C135" i="5" a="1"/>
  <c r="E135" i="5" a="1"/>
  <c r="D135" i="5" a="1"/>
  <c r="F135" i="5" a="1"/>
  <c r="F135" i="5" l="1"/>
  <c r="D135" i="5"/>
  <c r="E135" i="5"/>
  <c r="C135" i="5"/>
  <c r="AS103" i="4"/>
  <c r="AX96" i="4"/>
  <c r="AY96" i="4" s="1"/>
  <c r="AL88" i="4"/>
  <c r="AM87" i="4"/>
  <c r="AM88" i="4" s="1"/>
  <c r="AL90" i="4" a="1"/>
  <c r="AL90" i="4" s="1"/>
  <c r="AR104" i="4"/>
  <c r="AW97" i="4"/>
  <c r="D136" i="5" a="1"/>
  <c r="E136" i="5" a="1"/>
  <c r="F136" i="5" a="1"/>
  <c r="C136" i="5" a="1"/>
  <c r="C136" i="5" l="1"/>
  <c r="F136" i="5"/>
  <c r="E136" i="5"/>
  <c r="D136" i="5"/>
  <c r="AX97" i="4"/>
  <c r="AT103" i="4"/>
  <c r="AT104" i="4" s="1"/>
  <c r="AY97" i="4"/>
  <c r="AZ96" i="4"/>
  <c r="BA96" i="4" s="1"/>
  <c r="BA97" i="4" s="1"/>
  <c r="AS104" i="4"/>
  <c r="AM90" i="4" a="1"/>
  <c r="AM90" i="4" s="1"/>
  <c r="AN87" i="4"/>
  <c r="AN88" i="4" s="1"/>
  <c r="D137" i="5" a="1"/>
  <c r="F137" i="5" a="1"/>
  <c r="C137" i="5" a="1"/>
  <c r="E137" i="5" a="1"/>
  <c r="AZ97" i="4" l="1"/>
  <c r="D110" i="4" a="1"/>
  <c r="D110" i="4" s="1"/>
  <c r="D116" i="4" s="1" a="1"/>
  <c r="D116" i="4" s="1"/>
  <c r="E137" i="5"/>
  <c r="C137" i="5"/>
  <c r="F137" i="5"/>
  <c r="D137" i="5"/>
  <c r="AO87" i="4"/>
  <c r="AN90" i="4" a="1"/>
  <c r="AN90" i="4" s="1"/>
  <c r="AU103" i="4"/>
  <c r="AV103" i="4" s="1"/>
  <c r="E54" i="5" a="1"/>
  <c r="D14" i="5" a="1"/>
  <c r="E95" i="5" a="1"/>
  <c r="E99" i="5" a="1"/>
  <c r="E60" i="5" a="1"/>
  <c r="E56" i="5" a="1"/>
  <c r="E74" i="5" a="1"/>
  <c r="E71" i="5" a="1"/>
  <c r="E72" i="5" a="1"/>
  <c r="E64" i="5" a="1"/>
  <c r="E81" i="5" a="1"/>
  <c r="E79" i="5" a="1"/>
  <c r="E53" i="5" a="1"/>
  <c r="E59" i="5" a="1"/>
  <c r="E77" i="5" a="1"/>
  <c r="E88" i="5" a="1"/>
  <c r="E76" i="5" a="1"/>
  <c r="E80" i="5" a="1"/>
  <c r="E67" i="5" a="1"/>
  <c r="E70" i="5" a="1"/>
  <c r="E14" i="5" a="1"/>
  <c r="E82" i="5" a="1"/>
  <c r="E57" i="5" a="1"/>
  <c r="E96" i="5" a="1"/>
  <c r="E58" i="5" a="1"/>
  <c r="E68" i="5" a="1"/>
  <c r="E92" i="5" a="1"/>
  <c r="E65" i="5" a="1"/>
  <c r="E62" i="5" a="1"/>
  <c r="E93" i="5" a="1"/>
  <c r="E98" i="5" a="1"/>
  <c r="E100" i="5" a="1"/>
  <c r="E89" i="5" a="1"/>
  <c r="E69" i="5" a="1"/>
  <c r="E55" i="5" a="1"/>
  <c r="E52" i="5" a="1"/>
  <c r="E85" i="5" a="1"/>
  <c r="E91" i="5" a="1"/>
  <c r="E101" i="5" a="1"/>
  <c r="E86" i="5" a="1"/>
  <c r="E66" i="5" a="1"/>
  <c r="E94" i="5" a="1"/>
  <c r="E90" i="5" a="1"/>
  <c r="E73" i="5" a="1"/>
  <c r="E75" i="5" a="1"/>
  <c r="E97" i="5" a="1"/>
  <c r="E83" i="5" a="1"/>
  <c r="E63" i="5" a="1"/>
  <c r="E84" i="5" a="1"/>
  <c r="E78" i="5" a="1"/>
  <c r="E61" i="5" a="1"/>
  <c r="E87" i="5" a="1"/>
  <c r="C138" i="5" a="1"/>
  <c r="F138" i="5" a="1"/>
  <c r="D138" i="5" a="1"/>
  <c r="E138" i="5" a="1"/>
  <c r="F14" i="5" a="1"/>
  <c r="E87" i="5" l="1"/>
  <c r="E61" i="5"/>
  <c r="E78" i="5"/>
  <c r="E84" i="5"/>
  <c r="E63" i="5"/>
  <c r="E83" i="5"/>
  <c r="E97" i="5"/>
  <c r="E75" i="5"/>
  <c r="E73" i="5"/>
  <c r="E90" i="5"/>
  <c r="E94" i="5"/>
  <c r="E66" i="5"/>
  <c r="E86" i="5"/>
  <c r="E101" i="5"/>
  <c r="E91" i="5"/>
  <c r="E85" i="5"/>
  <c r="E52" i="5"/>
  <c r="E55" i="5"/>
  <c r="E69" i="5"/>
  <c r="E89" i="5"/>
  <c r="E100" i="5"/>
  <c r="E98" i="5"/>
  <c r="E93" i="5"/>
  <c r="E62" i="5"/>
  <c r="E65" i="5"/>
  <c r="E92" i="5"/>
  <c r="E68" i="5"/>
  <c r="E58" i="5"/>
  <c r="E96" i="5"/>
  <c r="E57" i="5"/>
  <c r="E82" i="5"/>
  <c r="E14" i="5"/>
  <c r="E70" i="5"/>
  <c r="E67" i="5"/>
  <c r="E80" i="5"/>
  <c r="E76" i="5"/>
  <c r="E88" i="5"/>
  <c r="E77" i="5"/>
  <c r="E59" i="5"/>
  <c r="E53" i="5"/>
  <c r="E79" i="5"/>
  <c r="E81" i="5"/>
  <c r="E64" i="5"/>
  <c r="E72" i="5"/>
  <c r="E71" i="5"/>
  <c r="E74" i="5"/>
  <c r="E56" i="5"/>
  <c r="E60" i="5"/>
  <c r="E99" i="5"/>
  <c r="E95" i="5"/>
  <c r="D14" i="5"/>
  <c r="E54" i="5"/>
  <c r="F14" i="5"/>
  <c r="E138" i="5"/>
  <c r="D138" i="5"/>
  <c r="F138" i="5"/>
  <c r="C138" i="5"/>
  <c r="AU104" i="4"/>
  <c r="AV104" i="4"/>
  <c r="AW103" i="4"/>
  <c r="AO88" i="4"/>
  <c r="AO90" i="4" a="1"/>
  <c r="AO90" i="4" s="1"/>
  <c r="AP87" i="4"/>
  <c r="D139" i="5" a="1"/>
  <c r="E139" i="5" a="1"/>
  <c r="F139" i="5" a="1"/>
  <c r="C139" i="5" a="1"/>
  <c r="C139" i="5" l="1"/>
  <c r="F139" i="5"/>
  <c r="E139" i="5"/>
  <c r="D139" i="5"/>
  <c r="AX103" i="4"/>
  <c r="AP88" i="4"/>
  <c r="AP90" i="4" a="1"/>
  <c r="AP90" i="4" s="1"/>
  <c r="AQ87" i="4"/>
  <c r="AQ88" i="4" s="1"/>
  <c r="AW104" i="4"/>
  <c r="C140" i="5" a="1"/>
  <c r="F140" i="5" a="1"/>
  <c r="D140" i="5" a="1"/>
  <c r="E140" i="5" a="1"/>
  <c r="E140" i="5" l="1"/>
  <c r="D140" i="5"/>
  <c r="F140" i="5"/>
  <c r="C140" i="5"/>
  <c r="AY103" i="4"/>
  <c r="AZ103" i="4" s="1"/>
  <c r="AX104" i="4"/>
  <c r="AR87" i="4"/>
  <c r="AR88" i="4" s="1"/>
  <c r="AQ90" i="4" a="1"/>
  <c r="AQ90" i="4" s="1"/>
  <c r="C141" i="5" a="1"/>
  <c r="E141" i="5" a="1"/>
  <c r="F141" i="5" a="1"/>
  <c r="D141" i="5" a="1"/>
  <c r="D141" i="5" l="1"/>
  <c r="F141" i="5"/>
  <c r="E141" i="5"/>
  <c r="C141" i="5"/>
  <c r="AY104" i="4"/>
  <c r="AS87" i="4"/>
  <c r="AR90" i="4" a="1"/>
  <c r="AR90" i="4" s="1"/>
  <c r="AZ104" i="4"/>
  <c r="BA103" i="4"/>
  <c r="BA104" i="4" s="1"/>
  <c r="D142" i="5" a="1"/>
  <c r="E142" i="5" a="1"/>
  <c r="F142" i="5" a="1"/>
  <c r="C142" i="5" a="1"/>
  <c r="D111" i="4" l="1" a="1"/>
  <c r="D111" i="4" s="1"/>
  <c r="C142" i="5"/>
  <c r="F142" i="5"/>
  <c r="E142" i="5"/>
  <c r="D142" i="5"/>
  <c r="AS88" i="4"/>
  <c r="AS90" i="4" a="1"/>
  <c r="AS90" i="4" s="1"/>
  <c r="AT87" i="4"/>
  <c r="D117" i="4" a="1"/>
  <c r="D117" i="4" s="1"/>
  <c r="F83" i="5" a="1"/>
  <c r="F98" i="5" a="1"/>
  <c r="F58" i="5" a="1"/>
  <c r="F59" i="5" a="1"/>
  <c r="F95" i="5" a="1"/>
  <c r="F94" i="5" a="1"/>
  <c r="F77" i="5" a="1"/>
  <c r="F100" i="5" a="1"/>
  <c r="F99" i="5" a="1"/>
  <c r="F75" i="5" a="1"/>
  <c r="F91" i="5" a="1"/>
  <c r="F56" i="5" a="1"/>
  <c r="F55" i="5" a="1"/>
  <c r="F71" i="5" a="1"/>
  <c r="F60" i="5" a="1"/>
  <c r="F53" i="5" a="1"/>
  <c r="F57" i="5" a="1"/>
  <c r="F80" i="5" a="1"/>
  <c r="F84" i="5" a="1"/>
  <c r="F86" i="5" a="1"/>
  <c r="F65" i="5" a="1"/>
  <c r="F62" i="5" a="1"/>
  <c r="F78" i="5" a="1"/>
  <c r="F101" i="5" a="1"/>
  <c r="F81" i="5" a="1"/>
  <c r="F76" i="5" a="1"/>
  <c r="F68" i="5" a="1"/>
  <c r="F92" i="5" a="1"/>
  <c r="F72" i="5" a="1"/>
  <c r="F52" i="5" a="1"/>
  <c r="F74" i="5" a="1"/>
  <c r="F82" i="5" a="1"/>
  <c r="F54" i="5" a="1"/>
  <c r="F67" i="5" a="1"/>
  <c r="F89" i="5" a="1"/>
  <c r="F69" i="5" a="1"/>
  <c r="D15" i="5" a="1"/>
  <c r="F64" i="5" a="1"/>
  <c r="F70" i="5" a="1"/>
  <c r="F85" i="5" a="1"/>
  <c r="F66" i="5" a="1"/>
  <c r="F90" i="5" a="1"/>
  <c r="F96" i="5" a="1"/>
  <c r="E15" i="5" a="1"/>
  <c r="F97" i="5" a="1"/>
  <c r="F73" i="5" a="1"/>
  <c r="F63" i="5" a="1"/>
  <c r="F87" i="5" a="1"/>
  <c r="F79" i="5" a="1"/>
  <c r="F93" i="5" a="1"/>
  <c r="F88" i="5" a="1"/>
  <c r="F61" i="5" a="1"/>
  <c r="C143" i="5" a="1"/>
  <c r="F143" i="5" a="1"/>
  <c r="D143" i="5" a="1"/>
  <c r="E143" i="5" a="1"/>
  <c r="F15" i="5" a="1"/>
  <c r="F61" i="5" l="1"/>
  <c r="F88" i="5"/>
  <c r="F93" i="5"/>
  <c r="F79" i="5"/>
  <c r="F87" i="5"/>
  <c r="F63" i="5"/>
  <c r="F73" i="5"/>
  <c r="F97" i="5"/>
  <c r="E15" i="5"/>
  <c r="F96" i="5"/>
  <c r="F90" i="5"/>
  <c r="F66" i="5"/>
  <c r="F85" i="5"/>
  <c r="F70" i="5"/>
  <c r="F64" i="5"/>
  <c r="D15" i="5"/>
  <c r="F69" i="5"/>
  <c r="F89" i="5"/>
  <c r="F67" i="5"/>
  <c r="F54" i="5"/>
  <c r="F82" i="5"/>
  <c r="F74" i="5"/>
  <c r="F52" i="5"/>
  <c r="F72" i="5"/>
  <c r="F92" i="5"/>
  <c r="F68" i="5"/>
  <c r="F76" i="5"/>
  <c r="F81" i="5"/>
  <c r="F101" i="5"/>
  <c r="F78" i="5"/>
  <c r="F62" i="5"/>
  <c r="F65" i="5"/>
  <c r="F86" i="5"/>
  <c r="F84" i="5"/>
  <c r="F80" i="5"/>
  <c r="F57" i="5"/>
  <c r="F53" i="5"/>
  <c r="F60" i="5"/>
  <c r="F71" i="5"/>
  <c r="F55" i="5"/>
  <c r="F56" i="5"/>
  <c r="F91" i="5"/>
  <c r="F75" i="5"/>
  <c r="F99" i="5"/>
  <c r="F100" i="5"/>
  <c r="F77" i="5"/>
  <c r="F94" i="5"/>
  <c r="F95" i="5"/>
  <c r="F59" i="5"/>
  <c r="F58" i="5"/>
  <c r="F98" i="5"/>
  <c r="F83" i="5"/>
  <c r="F15" i="5"/>
  <c r="E143" i="5"/>
  <c r="D143" i="5"/>
  <c r="F143" i="5"/>
  <c r="C143" i="5"/>
  <c r="AT88" i="4"/>
  <c r="AT90" i="4" a="1"/>
  <c r="AT90" i="4" s="1"/>
  <c r="AU87" i="4"/>
  <c r="D144" i="5" a="1"/>
  <c r="E144" i="5" a="1"/>
  <c r="F144" i="5" a="1"/>
  <c r="C144" i="5" a="1"/>
  <c r="C144" i="5" l="1"/>
  <c r="F144" i="5"/>
  <c r="E144" i="5"/>
  <c r="D144" i="5"/>
  <c r="AU88" i="4"/>
  <c r="AV87" i="4"/>
  <c r="AU90" i="4" a="1"/>
  <c r="AU90" i="4" s="1"/>
  <c r="D145" i="5" a="1"/>
  <c r="F145" i="5" a="1"/>
  <c r="C145" i="5" a="1"/>
  <c r="E145" i="5" a="1"/>
  <c r="E145" i="5" l="1"/>
  <c r="C145" i="5"/>
  <c r="F145" i="5"/>
  <c r="D145" i="5"/>
  <c r="AV88" i="4"/>
  <c r="AV90" i="4" a="1"/>
  <c r="AV90" i="4" s="1"/>
  <c r="AW87" i="4"/>
  <c r="C146" i="5" a="1"/>
  <c r="F146" i="5" a="1"/>
  <c r="E146" i="5" a="1"/>
  <c r="D146" i="5" a="1"/>
  <c r="D146" i="5" l="1"/>
  <c r="E146" i="5"/>
  <c r="F146" i="5"/>
  <c r="C146" i="5"/>
  <c r="AW88" i="4"/>
  <c r="AX87" i="4"/>
  <c r="AW90" i="4" a="1"/>
  <c r="AW90" i="4" s="1"/>
  <c r="D147" i="5" a="1"/>
  <c r="E147" i="5" a="1"/>
  <c r="F147" i="5" a="1"/>
  <c r="C147" i="5" a="1"/>
  <c r="C147" i="5" l="1"/>
  <c r="F147" i="5"/>
  <c r="E147" i="5"/>
  <c r="D147" i="5"/>
  <c r="AX88" i="4"/>
  <c r="AX90" i="4" a="1"/>
  <c r="AX90" i="4" s="1"/>
  <c r="AY87" i="4"/>
  <c r="C148" i="5" a="1"/>
  <c r="F148" i="5" a="1"/>
  <c r="D148" i="5" a="1"/>
  <c r="E148" i="5" a="1"/>
  <c r="E148" i="5" l="1"/>
  <c r="D148" i="5"/>
  <c r="F148" i="5"/>
  <c r="C148" i="5"/>
  <c r="AY90" i="4" a="1"/>
  <c r="AY90" i="4" s="1"/>
  <c r="AZ87" i="4"/>
  <c r="AY88" i="4"/>
  <c r="D149" i="5" a="1"/>
  <c r="E149" i="5" a="1"/>
  <c r="F149" i="5" a="1"/>
  <c r="C149" i="5" a="1"/>
  <c r="C149" i="5" l="1"/>
  <c r="F149" i="5"/>
  <c r="E149" i="5"/>
  <c r="D149" i="5"/>
  <c r="AZ88" i="4"/>
  <c r="BA87" i="4"/>
  <c r="BA90" i="4" s="1" a="1"/>
  <c r="BA90" i="4" s="1"/>
  <c r="AZ90" i="4" a="1"/>
  <c r="AZ90" i="4" s="1"/>
  <c r="D150" i="5" a="1"/>
  <c r="F150" i="5" a="1"/>
  <c r="E150" i="5" a="1"/>
  <c r="C150" i="5" a="1"/>
  <c r="C151" i="5" a="1"/>
  <c r="D151" i="5" a="1"/>
  <c r="E151" i="5" a="1"/>
  <c r="F151" i="5" a="1"/>
  <c r="BA88" i="4" l="1"/>
  <c r="D109" i="4" s="1" a="1"/>
  <c r="D109" i="4" s="1"/>
  <c r="D115" i="4" s="1" a="1"/>
  <c r="D115" i="4" s="1"/>
  <c r="F151" i="5"/>
  <c r="E151" i="5"/>
  <c r="D151" i="5"/>
  <c r="C151" i="5"/>
  <c r="C150" i="5"/>
  <c r="E150" i="5"/>
  <c r="F150" i="5"/>
  <c r="D150" i="5"/>
  <c r="D74" i="5" a="1"/>
  <c r="D85" i="5" a="1"/>
  <c r="D96" i="5" a="1"/>
  <c r="D52" i="5" a="1"/>
  <c r="D92" i="5" a="1"/>
  <c r="D101" i="5" a="1"/>
  <c r="D89" i="5" a="1"/>
  <c r="D97" i="5" a="1"/>
  <c r="D94" i="5" a="1"/>
  <c r="D91" i="5" a="1"/>
  <c r="D70" i="5" a="1"/>
  <c r="D93" i="5" a="1"/>
  <c r="D82" i="5" a="1"/>
  <c r="D71" i="5" a="1"/>
  <c r="D76" i="5" a="1"/>
  <c r="D78" i="5" a="1"/>
  <c r="D87" i="5" a="1"/>
  <c r="D72" i="5" a="1"/>
  <c r="D100" i="5" a="1"/>
  <c r="D80" i="5" a="1"/>
  <c r="D67" i="5" a="1"/>
  <c r="D83" i="5" a="1"/>
  <c r="D66" i="5" a="1"/>
  <c r="D54" i="5" a="1"/>
  <c r="D88" i="5" a="1"/>
  <c r="D77" i="5" a="1"/>
  <c r="D69" i="5" a="1"/>
  <c r="D95" i="5" a="1"/>
  <c r="D79" i="5" a="1"/>
  <c r="D68" i="5" a="1"/>
  <c r="B6" i="5" a="1"/>
  <c r="D84" i="5" a="1"/>
  <c r="D73" i="5" a="1"/>
  <c r="D81" i="5" a="1"/>
  <c r="D56" i="5" a="1"/>
  <c r="D65" i="5" a="1"/>
  <c r="D75" i="5" a="1"/>
  <c r="D57" i="5" a="1"/>
  <c r="D98" i="5" a="1"/>
  <c r="D61" i="5" a="1"/>
  <c r="D53" i="5" a="1"/>
  <c r="D62" i="5" a="1"/>
  <c r="D60" i="5" a="1"/>
  <c r="D55" i="5" a="1"/>
  <c r="D63" i="5" a="1"/>
  <c r="D64" i="5" a="1"/>
  <c r="D99" i="5" a="1"/>
  <c r="E13" i="5" a="1"/>
  <c r="D59" i="5" a="1"/>
  <c r="D58" i="5" a="1"/>
  <c r="D86" i="5" a="1"/>
  <c r="D90" i="5" a="1"/>
  <c r="D13" i="5" a="1"/>
  <c r="F13" i="5" a="1"/>
  <c r="D13" i="5" l="1"/>
  <c r="D90" i="5"/>
  <c r="D86" i="5"/>
  <c r="D58" i="5"/>
  <c r="D59" i="5"/>
  <c r="E13" i="5"/>
  <c r="D99" i="5"/>
  <c r="D64" i="5"/>
  <c r="D63" i="5"/>
  <c r="D55" i="5"/>
  <c r="D60" i="5"/>
  <c r="D62" i="5"/>
  <c r="D53" i="5"/>
  <c r="D61" i="5"/>
  <c r="D98" i="5"/>
  <c r="D57" i="5"/>
  <c r="D75" i="5"/>
  <c r="D65" i="5"/>
  <c r="D56" i="5"/>
  <c r="D81" i="5"/>
  <c r="D73" i="5"/>
  <c r="D84" i="5"/>
  <c r="B6" i="5"/>
  <c r="D68" i="5"/>
  <c r="D79" i="5"/>
  <c r="D95" i="5"/>
  <c r="D69" i="5"/>
  <c r="D77" i="5"/>
  <c r="D88" i="5"/>
  <c r="D54" i="5"/>
  <c r="D66" i="5"/>
  <c r="D83" i="5"/>
  <c r="D67" i="5"/>
  <c r="D80" i="5"/>
  <c r="D100" i="5"/>
  <c r="D72" i="5"/>
  <c r="D87" i="5"/>
  <c r="D78" i="5"/>
  <c r="D76" i="5"/>
  <c r="D71" i="5"/>
  <c r="D82" i="5"/>
  <c r="D93" i="5"/>
  <c r="D70" i="5"/>
  <c r="D91" i="5"/>
  <c r="D94" i="5"/>
  <c r="D97" i="5"/>
  <c r="D89" i="5"/>
  <c r="D101" i="5"/>
  <c r="D92" i="5"/>
  <c r="D52" i="5"/>
  <c r="D96" i="5"/>
  <c r="D85" i="5"/>
  <c r="D74" i="5"/>
  <c r="F13" i="5"/>
  <c r="D16" i="5" s="1" a="1"/>
  <c r="D16"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<sst xmlns="http://schemas.openxmlformats.org/spreadsheetml/2006/main" count="420" uniqueCount="255">
  <si>
    <t>Patient Recruitment and Trial Timelines</t>
  </si>
  <si>
    <t>ModelRisk example  ·  Pharmaceuticals and biotech  ·  PH-02</t>
  </si>
  <si>
    <t>When will the last patient be enrolled — and how many sites does it take to be confident of the deadline?</t>
  </si>
  <si>
    <t>Next:  Inputs  ▸</t>
  </si>
  <si>
    <t>Model card</t>
  </si>
  <si>
    <t>Industry</t>
  </si>
  <si>
    <t>Pharmaceuticals and biotech</t>
  </si>
  <si>
    <t>Difficulty</t>
  </si>
  <si>
    <t>★★★☆☆   Sixty sites, each with its own opening time and recruitment rate; a Poisson–Gamma model of enrolment month by month for three numbers of sites on the same simulated sites.</t>
  </si>
  <si>
    <t>Business question</t>
  </si>
  <si>
    <t>A Phase III trial must enrol 300 patients, and the last patient must be in within 18 months for the results to support the filing on time. The plan — 40 sites at half a patient a month each — just makes it. How likely is the plan to finish on time when sites open late, recruit at very different rates and some recruit no one? And how many sites should be opened to be 80% sure of the deadline?</t>
  </si>
  <si>
    <t>Who it is for</t>
  </si>
  <si>
    <t>Clinical operations, feasibility and study start-up teams; programme leaders planning a filing date.</t>
  </si>
  <si>
    <t>Main outputs</t>
  </si>
  <si>
    <t>The month the last patient is enrolled for 40, 50 and 60 sites: plan, median, P80 and the chance of meeting the deadline · patients enrolled by the deadline · cumulative enrolment month by month against the plan.</t>
  </si>
  <si>
    <t>ModelRisk techniques</t>
  </si>
  <si>
    <t>The Poisson–Gamma recruitment model: each site's rate drawn from a Gamma distribution around an uncertain mean (VoseGamma, VosePERT), sites that never recruit (VoseBernoulli), uncertain opening times (VosePERT) · monthly enrolment as a Poisson count of the open sites' rates (VosePoisson) · three numbers of sites compared on the same sites and the same uniform draws (common random numbers through the U argument) · fan chart against the plan.</t>
  </si>
  <si>
    <t>File</t>
  </si>
  <si>
    <t>PH-02 Patient recruitment and trial timelines  ·  Version 1.0  ·  October 2026  ·  built with ModelRisk 10</t>
  </si>
  <si>
    <t>The business question</t>
  </si>
  <si>
    <t>A company is planning a Phase III trial that must enrol 300 patients; the last patient must be in within 18 months of the first site being ready, or the filing slips by a year. The feasibility study counts on 40 sites recruiting half a patient a month each once they open, about three months after the start: 20 patients a month, and 300 patients in 18 months. But in past trials in this indication the average rate per site ranged from 0.3 to 0.7, sites differed widely — some recruited three times the average — about one site in seven never enrolled anyone, and sites opened anywhere from one to eight months after the start. The company can open 50 or 60 sites instead, at a cost. How many should it open?</t>
  </si>
  <si>
    <t>How the model works</t>
  </si>
  <si>
    <t>Four sheets after this one, read from left to right. Each one feeds the next.</t>
  </si>
  <si>
    <t>1  Inputs</t>
  </si>
  <si>
    <t>The patients to enrol and the deadline; the three numbers of sites to compare; the average recruitment rate per site (uncertain), the spread between sites, the share of sites that never recruit; the earliest, most likely and latest opening of a site.</t>
  </si>
  <si>
    <t>2  Sites</t>
  </si>
  <si>
    <t>For each of sixty sites: VoseBernoulli decides whether it ever recruits, VoseGamma its rate relative to the average, VosePERT the month it opens. An option with 40 sites uses the first 40, so all options share the same sites.</t>
  </si>
  <si>
    <t>3  Enrolment</t>
  </si>
  <si>
    <t>A grid of sites by months gives each site's expected patients in each month: its rate times the share of the month it is open. Each option adds up the grid over its sites (SUMIF on the site number); the actual number is Poisson with that mean. One uniform draw per month drives all three options. The month the cumulative count crosses the target, interpolated within the month, is the month the last patient is enrolled.</t>
  </si>
  <si>
    <t>4  Results</t>
  </si>
  <si>
    <t>For each option: the plan's completion month, the simulated median and the percentile the Inputs ask for, the chance of meeting the deadline and the patients enrolled by then; the fewest sites that meet the deadline that often; the fan of cumulative enrolment against the plan.</t>
  </si>
  <si>
    <t>How to use it</t>
  </si>
  <si>
    <t>Step 1</t>
  </si>
  <si>
    <t>Enter your target, deadline and the numbers of sites to compare on the Inputs sheet.</t>
  </si>
  <si>
    <t>Step 2</t>
  </si>
  <si>
    <t>Enter recruitment rates from your feasibility work or previous trials: the average, the spread, the sites that never recruit.</t>
  </si>
  <si>
    <t>Step 3</t>
  </si>
  <si>
    <t>Run a simulation from the ModelRisk ribbon (10,000 samples with a fixed seed are set).</t>
  </si>
  <si>
    <t>Step 4</t>
  </si>
  <si>
    <t>Set how sure you need to be of the deadline on the Inputs sheet: the Results sheet highlights the options that meet it that often.</t>
  </si>
  <si>
    <t>Workbook map</t>
  </si>
  <si>
    <t>Inputs</t>
  </si>
  <si>
    <t>Target, deadline, options, recruitment and site openings.</t>
  </si>
  <si>
    <t>Sites</t>
  </si>
  <si>
    <t>Sixty sites: recruits or not, rate, opening, options.</t>
  </si>
  <si>
    <t>Enrolment</t>
  </si>
  <si>
    <t>Expected patients by site and month; enrolment month by month for each option; outputs and checks.</t>
  </si>
  <si>
    <t>Results</t>
  </si>
  <si>
    <t>Options compared, enrolment against the plan.</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</si>
  <si>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</si>
  <si>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</si>
  <si>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</si>
  <si>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</si>
  <si>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</si>
  <si>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</si>
  <si>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</si>
  <si>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</si>
  <si>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</si>
  <si>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</si>
  <si>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</si>
  <si>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</si>
  <si>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Time</t>
  </si>
  <si>
    <t>Months from the start: the first site can open from month 1.</t>
  </si>
  <si>
    <t>Rates</t>
  </si>
  <si>
    <t>Patients a site enrols a month once it is open.</t>
  </si>
  <si>
    <t>Completion</t>
  </si>
  <si>
    <t>The month the target is reached, interpolated within the month: 17.5 = half way through month 18.</t>
  </si>
  <si>
    <t>Plan</t>
  </si>
  <si>
    <t>Every site recruits at the most likely average rate and opens at the most likely month.</t>
  </si>
  <si>
    <t>Key assumptions and limitations</t>
  </si>
  <si>
    <t>Recruitment</t>
  </si>
  <si>
    <t>A Poisson process at each open site: patients arrive independently at the site's rate, which stays constant once the site is open.</t>
  </si>
  <si>
    <t>Rates differ between sites (Gamma); the average rate is uncertain and common to all sites; sites open independently.</t>
  </si>
  <si>
    <t>Options</t>
  </si>
  <si>
    <t>The extra sites are like the first 40; screening capacity and drug supply never limit enrolment.</t>
  </si>
  <si>
    <t>Data</t>
  </si>
  <si>
    <t>The trial and all figures are invented for this example.</t>
  </si>
  <si>
    <t>ModelRisk functions used</t>
  </si>
  <si>
    <t>VoseGamma</t>
  </si>
  <si>
    <t>Each site's rate relative to the average: a mean of 1 and the spread between sites.</t>
  </si>
  <si>
    <t>VoseBernoulli</t>
  </si>
  <si>
    <t>Whether a site ever recruits.</t>
  </si>
  <si>
    <t>VosePERT</t>
  </si>
  <si>
    <t>The average rate per site, and the month each site opens.</t>
  </si>
  <si>
    <t>VosePoisson</t>
  </si>
  <si>
    <t>Patients enrolled in a month, with a shared uniform draw (U argument) across the options.</t>
  </si>
  <si>
    <t>VoseUniform</t>
  </si>
  <si>
    <t>The month's uniform draw that drives all three options.</t>
  </si>
  <si>
    <t>VoseOutput, VoseSimMean, VoseSimPercentile</t>
  </si>
  <si>
    <t>Outputs and their statistics on the Results sheet.</t>
  </si>
  <si>
    <t>Further reading</t>
  </si>
  <si>
    <t>Recruitment model</t>
  </si>
  <si>
    <t>Anisimov, V. V. &amp; Fedorov, V. V. (2007). Modelling, prediction and adaptive adjustment of recruitment in multicentre trials. Statistics in Medicine 26(27), 4958–4975.</t>
  </si>
  <si>
    <t>Site performance</t>
  </si>
  <si>
    <t>Tufts CSDD (2013). 89% of trials meet enrollment, but timelines slip. Impact Report 15(1).</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</si>
  <si>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</si>
  <si>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</si>
  <si>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</si>
  <si>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Sites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</si>
  <si>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</si>
  <si>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The trial</t>
  </si>
  <si>
    <t>Assumption</t>
  </si>
  <si>
    <t>Unit</t>
  </si>
  <si>
    <t>Value in model</t>
  </si>
  <si>
    <t>Uncertainty</t>
  </si>
  <si>
    <t>Basis / source (illustrative)</t>
  </si>
  <si>
    <t>Patients to enrol</t>
  </si>
  <si>
    <t>patients</t>
  </si>
  <si>
    <t>Fixed</t>
  </si>
  <si>
    <t>From the sample-size calculation.</t>
  </si>
  <si>
    <t>Last patient in by the end of month</t>
  </si>
  <si>
    <t>month</t>
  </si>
  <si>
    <t>Later, and the filing slips by a year.</t>
  </si>
  <si>
    <t>How sure the company wants to be of the deadline</t>
  </si>
  <si>
    <t>probability</t>
  </si>
  <si>
    <t>The Results sheet highlights the options that meet the deadline this often.</t>
  </si>
  <si>
    <t>2   Options</t>
  </si>
  <si>
    <t>Numbers of sites to compare, in increasing order; each option uses the first sites on the Sites sheet.</t>
  </si>
  <si>
    <t>sites</t>
  </si>
  <si>
    <t>The feasibility study's plan.</t>
  </si>
  <si>
    <t>More sites</t>
  </si>
  <si>
    <t>Most sites</t>
  </si>
  <si>
    <t>At most 60: the sites listed.</t>
  </si>
  <si>
    <t>3   Recruitment</t>
  </si>
  <si>
    <t>Low</t>
  </si>
  <si>
    <t>Most likely</t>
  </si>
  <si>
    <t>High</t>
  </si>
  <si>
    <t>Mean</t>
  </si>
  <si>
    <t>Average rate of a recruiting site</t>
  </si>
  <si>
    <t>patients / month</t>
  </si>
  <si>
    <t>PERT</t>
  </si>
  <si>
    <t>Previous trials in this indication: 0.3 to 0.7. Common to all sites in an iteration.</t>
  </si>
  <si>
    <t>Spread between sites  (CV)</t>
  </si>
  <si>
    <t>of the average</t>
  </si>
  <si>
    <t>Some sites recruit three times the average, others a fraction of it.</t>
  </si>
  <si>
    <t>Chance that a site ever recruits</t>
  </si>
  <si>
    <t>About one site in seven never enrols a patient.</t>
  </si>
  <si>
    <t>4   Site openings</t>
  </si>
  <si>
    <t>Month in which a site opens, counted from the start: a PERT for each site.</t>
  </si>
  <si>
    <t>Earliest</t>
  </si>
  <si>
    <t>Contracts and ethics approval.</t>
  </si>
  <si>
    <t>Latest</t>
  </si>
  <si>
    <t>SITES   ·   Whether each site recruits, its rate, when it opens, and the options that include it.</t>
  </si>
  <si>
    <t>◂  Inputs</t>
  </si>
  <si>
    <t>Next:  Enrolment  ▸</t>
  </si>
  <si>
    <t>1   This iteration's single value</t>
  </si>
  <si>
    <t>Quantity</t>
  </si>
  <si>
    <t>Value</t>
  </si>
  <si>
    <t>How it is calculated</t>
  </si>
  <si>
    <t>Gamma shape: 1 ÷ spread²</t>
  </si>
  <si>
    <t>Site factors: mean 1, spread as on Inputs</t>
  </si>
  <si>
    <t>2   The options</t>
  </si>
  <si>
    <t>Each option uses the first sites in the list below: SUMIF over the site numbers up to its number of sites.</t>
  </si>
  <si>
    <t>Option</t>
  </si>
  <si>
    <t>Recruiting</t>
  </si>
  <si>
    <t>Patients</t>
  </si>
  <si>
    <t>a month, all open</t>
  </si>
  <si>
    <t>3   The sites</t>
  </si>
  <si>
    <t>VoseBernoulli: does the site ever recruit?  VoseGamma: its rate relative to the average.  VosePERT: the month it opens.</t>
  </si>
  <si>
    <t>Site</t>
  </si>
  <si>
    <t>Recruits</t>
  </si>
  <si>
    <t>Factor</t>
  </si>
  <si>
    <t>Rate</t>
  </si>
  <si>
    <t>Opens</t>
  </si>
  <si>
    <t>1 / 0</t>
  </si>
  <si>
    <t>× average</t>
  </si>
  <si>
    <t>per month</t>
  </si>
  <si>
    <t>ENROLMENT   ·   Forty-eight months of enrolment for each option.</t>
  </si>
  <si>
    <t>◂  Sites</t>
  </si>
  <si>
    <t>Next:  Results  ▸</t>
  </si>
  <si>
    <t>Month</t>
  </si>
  <si>
    <t>Total</t>
  </si>
  <si>
    <t>1   This iteration's single values</t>
  </si>
  <si>
    <t>Months simulated</t>
  </si>
  <si>
    <t>months</t>
  </si>
  <si>
    <t>The month columns of this sheet</t>
  </si>
  <si>
    <t>Plan: completion month on the plan</t>
  </si>
  <si>
    <t>Every site open at the most likely month, recruiting at the most likely rate</t>
  </si>
  <si>
    <t>More sites: completion month on the plan</t>
  </si>
  <si>
    <t>Most sites: completion month on the plan</t>
  </si>
  <si>
    <t>2   Expected patients by site and month</t>
  </si>
  <si>
    <t>Each site's rate × the share of the month it is open: MAX(0, MIN(1, month − opening)).</t>
  </si>
  <si>
    <t>3   The month's uniform draw</t>
  </si>
  <si>
    <t>VoseUniform: one draw a month, passed as the U argument of all three options' Poisson counts so that they share their luck.</t>
  </si>
  <si>
    <t>Uniform draw</t>
  </si>
  <si>
    <t>0 – 1</t>
  </si>
  <si>
    <t>4   Option 1: plan</t>
  </si>
  <si>
    <t>Expected patients</t>
  </si>
  <si>
    <t>Patients coming forward</t>
  </si>
  <si>
    <t>Enrolled, cumulative  (stops at the target)</t>
  </si>
  <si>
    <t>Target crossed this month: when, within the month</t>
  </si>
  <si>
    <t>Cumulative, plan's sites  (output, for the fan chart)</t>
  </si>
  <si>
    <t>5   Option 2: more sites</t>
  </si>
  <si>
    <t>6   Option 3: most sites</t>
  </si>
  <si>
    <t>7   Value in this iteration</t>
  </si>
  <si>
    <t>Key outputs, recorded by ModelRisk at every sample (VoseOutput). Their statistics appear on the Results sheet.</t>
  </si>
  <si>
    <t>Output</t>
  </si>
  <si>
    <t>Meaning</t>
  </si>
  <si>
    <t>Plan: last patient enrolled</t>
  </si>
  <si>
    <t>The month the target is crossed; one past the last month if it never is.</t>
  </si>
  <si>
    <t>More sites: last patient enrolled</t>
  </si>
  <si>
    <t>Most sites: last patient enrolled</t>
  </si>
  <si>
    <t>Plan: patients enrolled by the deadline</t>
  </si>
  <si>
    <t>More sites: patients enrolled by the deadline</t>
  </si>
  <si>
    <t>Most sites: patients enrolled by the deadline</t>
  </si>
  <si>
    <t>Plan: deadline met?  (1 = yes)</t>
  </si>
  <si>
    <t>More sites: deadline met?  (1 = yes)</t>
  </si>
  <si>
    <t>Most sites: deadline met?  (1 = yes)</t>
  </si>
  <si>
    <t>Plan: patients a month with all its sites open</t>
  </si>
  <si>
    <t>Against the plan's sites × the most likely rate.</t>
  </si>
  <si>
    <t>8   Model checks</t>
  </si>
  <si>
    <t>Should all read OK. A CHECK means an input has been set outside the range the model is built for.</t>
  </si>
  <si>
    <t>Every range on the Inputs sheet is in order  (no ✗ under Mean)</t>
  </si>
  <si>
    <t>Each option uses at most the sites listed</t>
  </si>
  <si>
    <t>The options are in increasing numbers of sites</t>
  </si>
  <si>
    <t>Site openings: earliest ≤ most likely ≤ latest</t>
  </si>
  <si>
    <t>The deadline lies within the months simulated</t>
  </si>
  <si>
    <t>RESULTS   ·   Filled in automatically from the last simulation. Run a simulation after changing any input.</t>
  </si>
  <si>
    <t>◂  Enrolment</t>
  </si>
  <si>
    <t>1   When will the last patient be enrolled?</t>
  </si>
  <si>
    <t>Month of the last patient in — cumulative probability</t>
  </si>
  <si>
    <t>Month of the last patient in, by number of sites. Highlighted: the options that meet the deadline as often as the Inputs ask.</t>
  </si>
  <si>
    <t>Median</t>
  </si>
  <si>
    <t>Deadline</t>
  </si>
  <si>
    <t>By deadline</t>
  </si>
  <si>
    <t>chance met</t>
  </si>
  <si>
    <t>patients, mean</t>
  </si>
  <si>
    <t>2   The plan's sites, month by month</t>
  </si>
  <si>
    <t>Cumulative enrolment with the plan's sites</t>
  </si>
  <si>
    <t>Cumulative enrolment against the plan and the target.</t>
  </si>
  <si>
    <t>Measure</t>
  </si>
  <si>
    <t>Patients a month with all sites open, on the plan</t>
  </si>
  <si>
    <t>…simulated mean</t>
  </si>
  <si>
    <t>…chance of falling short of the plan's rate</t>
  </si>
  <si>
    <t>Sites that never recruit, on average</t>
  </si>
  <si>
    <t>Patients enrolled by the deadline, mean</t>
  </si>
  <si>
    <t>…10th percentile</t>
  </si>
  <si>
    <t>3   How to read these results</t>
  </si>
  <si>
    <t>•  The plan — 40 sites at half a patient a month, open from month 3 — enrols the 300th patient at the end of month 18, just in time. The simulation gives it a 15% chance of meeting the deadline: the median finish is month 21.4, and one trial in five is still enrolling after month 25.</t>
  </si>
  <si>
    <t>•  The plan leaves out three things. About six of the 40 sites never recruit; the others recruit at very different rates, around an average that is itself uncertain; and the sites open over several months. With all sites open, the 40 sites enrol about 17 patients a month on average, not 20, and fall short of the plan's rate in 81% of futures.</t>
  </si>
  <si>
    <t>•  Opening 50 sites gives an even chance of the deadline (54%); 60 sites give 83%, with the P80 finish in month 17.6. The plan's arithmetic says 60 sites would finish five months early, in month 13: averages hide how often enrolment runs slow. Sixty is the fewest of the three that meets the deadline 80% of the time; change the confidence on the Inputs sheet and the line under the table follows.</t>
  </si>
  <si>
    <t>•  By the deadline the 40 sites have enrolled about 242 patients on average, and fewer than 183 one time in ten. Tracking actual enrolment against the fan chart shows early whether rescue sites are needed.</t>
  </si>
  <si>
    <t>•  Recruitment rates are the weakest assumption. Update them as the sites report: a Gamma prior on each site's rate and its Poisson counts give a Gamma posterior, and the forecast sharpens within a few months (PH-08 shows Bayesian updating).</t>
  </si>
  <si>
    <t>Chart data</t>
  </si>
  <si>
    <t>Statistics of the last simulation behind the charts and the ranking above. Grouped: click + in the left margin to show them.</t>
  </si>
  <si>
    <t>Cumulative probability</t>
  </si>
  <si>
    <t>Exceedance</t>
  </si>
  <si>
    <t>Months_1</t>
  </si>
  <si>
    <t>Months_2</t>
  </si>
  <si>
    <t>Months_3</t>
  </si>
  <si>
    <t>Period</t>
  </si>
  <si>
    <t>10th percentile</t>
  </si>
  <si>
    <t>90th percentile</t>
  </si>
  <si>
    <t>Target</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</si>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</sst>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0\);&quot;–&quot;_)"/>
    <numFmt numFmtId="165" formatCode="#,##0.00_);\(#,##0.00\);&quot;–&quot;_)"/>
    <numFmt numFmtId="166" formatCode="#,##0.0_);\(#,##0.0\);&quot;–&quot;_)"/>
    <numFmt numFmtId="167" formatCode="&quot;Site &quot;0"/>
    <numFmt numFmtId="168" formatCode="#,##0.0_);\(#,##0.0\);&quot;–&quot;_);&quot;–&quot;"/>
    <numFmt numFmtId="169" formatCode="0%;\-0%;0%;&quot;–&quot;"/>
    <numFmt numFmtId="170" formatCode="#,##0_);\(#,##0\);&quot;–&quot;_);&quot;–&quot;"/>
  </numFmts>
  <fonts count="27"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9"/>
      <color rgb="FF0F2A47"/>
      <name val="Calibri"/>
    </font>
    <font>
      <b/>
      <sz val="9"/>
      <color rgb="FF8AA0BA"/>
      <name val="Calibri"/>
    </font>
    <font>
      <sz val="10"/>
      <color rgb="FF8AA0BA"/>
      <name val="Calibri"/>
    </font>
    <font>
      <b/>
      <sz val="10"/>
      <color rgb="FF15803D"/>
      <name val="Calibri"/>
    </font>
    <font>
      <b/>
      <sz val="11"/>
      <color rgb="FF15803D"/>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
      <left/>
      <right/>
      <top style="thin">
        <color rgb="FF3F5876"/>
      </top>
      <bottom style="thin">
        <color rgb="FFE4E9F0"/>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4">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 fontId="1" fillId="2" borderId="7" xfId="1" applyNumberFormat="1" applyBorder="1">
      <alignment horizontal="right" vertical="center"/>
    </xf>
    <xf numFmtId="9" fontId="1" fillId="2" borderId="7" xfId="1" applyNumberFormat="1" applyBorder="1">
      <alignment horizontal="right" vertical="center"/>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166"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19" fillId="7" borderId="4" xfId="0" applyFont="1" applyFill="1" applyBorder="1" applyAlignment="1">
      <alignment horizontal="right" vertical="center"/>
    </xf>
    <xf numFmtId="1" fontId="3" fillId="0" borderId="8" xfId="3" applyNumberFormat="1" applyBorder="1">
      <alignment horizontal="right" vertical="center"/>
    </xf>
    <xf numFmtId="164" fontId="3" fillId="0" borderId="8" xfId="3" applyNumberFormat="1" applyBorder="1">
      <alignment horizontal="right" vertical="center"/>
    </xf>
    <xf numFmtId="166" fontId="3" fillId="0" borderId="8" xfId="3" applyNumberFormat="1" applyBorder="1">
      <alignment horizontal="right" vertical="center"/>
    </xf>
    <xf numFmtId="167" fontId="0" fillId="0" borderId="6" xfId="0" applyNumberFormat="1" applyBorder="1" applyAlignment="1">
      <alignment horizontal="left" vertical="center" indent="1"/>
    </xf>
    <xf numFmtId="1" fontId="2" fillId="3" borderId="7" xfId="2" applyNumberFormat="1" applyBorder="1">
      <alignment horizontal="right" vertical="center"/>
    </xf>
    <xf numFmtId="166" fontId="2" fillId="3" borderId="7" xfId="2"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1" fillId="7" borderId="0" xfId="0" applyFont="1" applyFill="1" applyAlignment="1">
      <alignment horizontal="right" vertical="center"/>
    </xf>
    <xf numFmtId="1" fontId="20" fillId="7" borderId="0" xfId="0" applyNumberFormat="1" applyFont="1" applyFill="1" applyAlignment="1">
      <alignment horizontal="right" vertical="center"/>
    </xf>
    <xf numFmtId="167" fontId="3" fillId="0" borderId="6" xfId="0" applyNumberFormat="1" applyFont="1" applyBorder="1" applyAlignment="1">
      <alignment horizontal="left" vertical="center" indent="1"/>
    </xf>
    <xf numFmtId="2" fontId="2" fillId="3" borderId="7" xfId="2" applyNumberFormat="1" applyBorder="1">
      <alignment horizontal="right" vertical="center"/>
    </xf>
    <xf numFmtId="164" fontId="2" fillId="3" borderId="7" xfId="2" applyNumberFormat="1" applyBorder="1">
      <alignment horizontal="right" vertical="center"/>
    </xf>
    <xf numFmtId="0" fontId="12" fillId="0" borderId="6" xfId="0" applyFont="1" applyBorder="1" applyAlignment="1">
      <alignment horizontal="left" vertical="center" indent="1"/>
    </xf>
    <xf numFmtId="164" fontId="22" fillId="0" borderId="8" xfId="3" applyNumberFormat="1" applyFont="1" applyBorder="1">
      <alignment horizontal="right" vertical="center"/>
    </xf>
    <xf numFmtId="164" fontId="12" fillId="0" borderId="8" xfId="3" applyNumberFormat="1" applyFont="1" applyBorder="1">
      <alignment horizontal="right" vertical="center"/>
    </xf>
    <xf numFmtId="164" fontId="4" fillId="4" borderId="9" xfId="4" applyNumberFormat="1" applyBorder="1">
      <alignment horizontal="right" vertical="center"/>
    </xf>
    <xf numFmtId="166" fontId="4" fillId="4" borderId="9" xfId="4" applyNumberFormat="1" applyBorder="1">
      <alignment horizontal="right" vertical="center"/>
    </xf>
    <xf numFmtId="1" fontId="4" fillId="4" borderId="9" xfId="4" applyNumberFormat="1" applyBorder="1">
      <alignment horizontal="right" vertical="center"/>
    </xf>
    <xf numFmtId="0" fontId="23"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6"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68" fontId="1" fillId="5" borderId="7" xfId="5" applyNumberFormat="1" applyBorder="1">
      <alignment horizontal="right" vertical="center"/>
    </xf>
    <xf numFmtId="169" fontId="1" fillId="5" borderId="7" xfId="5" applyNumberFormat="1" applyBorder="1">
      <alignment horizontal="right" vertical="center"/>
    </xf>
    <xf numFmtId="170" fontId="1" fillId="5" borderId="7" xfId="5" applyNumberFormat="1" applyBorder="1">
      <alignment horizontal="right" vertical="center"/>
    </xf>
    <xf numFmtId="0" fontId="12" fillId="0" borderId="11" xfId="0" applyFont="1" applyBorder="1" applyAlignment="1">
      <alignment horizontal="left" vertical="center" indent="1"/>
    </xf>
    <xf numFmtId="0" fontId="0" fillId="0" borderId="11" xfId="0" applyBorder="1"/>
    <xf numFmtId="0" fontId="24" fillId="0" borderId="11" xfId="0" applyFont="1" applyBorder="1" applyAlignment="1">
      <alignment horizontal="left" vertical="center" indent="1"/>
    </xf>
    <xf numFmtId="0" fontId="13" fillId="0" borderId="0" xfId="0" applyFont="1" applyAlignment="1">
      <alignment horizontal="left" vertical="center" indent="1"/>
    </xf>
    <xf numFmtId="0" fontId="25" fillId="0" borderId="6" xfId="0" applyFont="1" applyBorder="1" applyAlignment="1">
      <alignment horizontal="left" vertical="center" indent="1"/>
    </xf>
    <xf numFmtId="9" fontId="3" fillId="0" borderId="2" xfId="3" applyNumberFormat="1">
      <alignment horizontal="right" vertical="center"/>
    </xf>
    <xf numFmtId="4" fontId="3" fillId="0" borderId="2" xfId="3" applyNumberFormat="1">
      <alignment horizontal="right" vertical="center"/>
    </xf>
    <xf numFmtId="0" fontId="25" fillId="0" borderId="0" xfId="0" applyFont="1" applyAlignment="1">
      <alignment horizontal="left" vertical="center" indent="1"/>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7">
    <dxf>
      <font>
        <color rgb="FF8AA0BA"/>
      </font>
    </dxf>
    <dxf>
      <font>
        <color rgb="FF8AA0BA"/>
      </font>
    </dxf>
    <dxf>
      <fill>
        <patternFill patternType="solid">
          <fgColor rgb="FFDCFCE7"/>
          <bgColor rgb="FFDCFCE7"/>
        </patternFill>
      </fill>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Plan</c:v>
          </c:tx>
          <c:spPr>
            <a:ln w="25400">
              <a:solidFill>
                <a:srgbClr val="0E4F92"/>
              </a:solidFill>
              <a:prstDash val="solid"/>
            </a:ln>
          </c:spPr>
          <c:marker>
            <c:symbol val="none"/>
          </c:marker>
          <c:xVal>
            <c:numRef>
              <c:f>Results!$D$52:$D$101</c:f>
              <c:numCache>
                <c:formatCode>#,##0.00</c:formatCode>
                <c:ptCount val="50"/>
                <c:pt idx="0">
                  <c:v>15.060606060606061</c:v>
                </c:pt>
                <c:pt idx="1">
                  <c:v>15.944444444444445</c:v>
                </c:pt>
                <c:pt idx="2">
                  <c:v>16.48</c:v>
                </c:pt>
                <c:pt idx="3">
                  <c:v>16.851851851851851</c:v>
                </c:pt>
                <c:pt idx="4">
                  <c:v>17.166666666666668</c:v>
                </c:pt>
                <c:pt idx="5">
                  <c:v>17.482758620689655</c:v>
                </c:pt>
                <c:pt idx="6">
                  <c:v>17.73076923076923</c:v>
                </c:pt>
                <c:pt idx="7">
                  <c:v>17.964285714285715</c:v>
                </c:pt>
                <c:pt idx="8">
                  <c:v>18.2</c:v>
                </c:pt>
                <c:pt idx="9">
                  <c:v>18.421052631578949</c:v>
                </c:pt>
                <c:pt idx="10">
                  <c:v>18.625</c:v>
                </c:pt>
                <c:pt idx="11">
                  <c:v>18.826086956521738</c:v>
                </c:pt>
                <c:pt idx="12">
                  <c:v>19</c:v>
                </c:pt>
                <c:pt idx="13">
                  <c:v>19.181818181818183</c:v>
                </c:pt>
                <c:pt idx="14">
                  <c:v>19.375</c:v>
                </c:pt>
                <c:pt idx="15">
                  <c:v>19.5625</c:v>
                </c:pt>
                <c:pt idx="16">
                  <c:v>19.761904761904763</c:v>
                </c:pt>
                <c:pt idx="17">
                  <c:v>19.95</c:v>
                </c:pt>
                <c:pt idx="18">
                  <c:v>20.136363636363637</c:v>
                </c:pt>
                <c:pt idx="19">
                  <c:v>20.315789473684209</c:v>
                </c:pt>
                <c:pt idx="20">
                  <c:v>20.5</c:v>
                </c:pt>
                <c:pt idx="21">
                  <c:v>20.705882352941178</c:v>
                </c:pt>
                <c:pt idx="22">
                  <c:v>20.875</c:v>
                </c:pt>
                <c:pt idx="23">
                  <c:v>21.076923076923077</c:v>
                </c:pt>
                <c:pt idx="24">
                  <c:v>21.277777777777779</c:v>
                </c:pt>
                <c:pt idx="25">
                  <c:v>21.470588235294116</c:v>
                </c:pt>
                <c:pt idx="26">
                  <c:v>21.681818181818183</c:v>
                </c:pt>
                <c:pt idx="27">
                  <c:v>21.882352941176471</c:v>
                </c:pt>
                <c:pt idx="28">
                  <c:v>22.083333333333332</c:v>
                </c:pt>
                <c:pt idx="29">
                  <c:v>22.277777777777779</c:v>
                </c:pt>
                <c:pt idx="30">
                  <c:v>22.5</c:v>
                </c:pt>
                <c:pt idx="31">
                  <c:v>22.714285714285715</c:v>
                </c:pt>
                <c:pt idx="32">
                  <c:v>22.923076923076923</c:v>
                </c:pt>
                <c:pt idx="33">
                  <c:v>23.142857142857142</c:v>
                </c:pt>
                <c:pt idx="34">
                  <c:v>23.388888888888889</c:v>
                </c:pt>
                <c:pt idx="35">
                  <c:v>23.625</c:v>
                </c:pt>
                <c:pt idx="36">
                  <c:v>23.916666666666668</c:v>
                </c:pt>
                <c:pt idx="37">
                  <c:v>24.2</c:v>
                </c:pt>
                <c:pt idx="38">
                  <c:v>24.5</c:v>
                </c:pt>
                <c:pt idx="39">
                  <c:v>24.842105263157894</c:v>
                </c:pt>
                <c:pt idx="40">
                  <c:v>25.2</c:v>
                </c:pt>
                <c:pt idx="41">
                  <c:v>25.526315789473685</c:v>
                </c:pt>
                <c:pt idx="42">
                  <c:v>25.9375</c:v>
                </c:pt>
                <c:pt idx="43">
                  <c:v>26.4375</c:v>
                </c:pt>
                <c:pt idx="44">
                  <c:v>26.933333333333334</c:v>
                </c:pt>
                <c:pt idx="45">
                  <c:v>27.5</c:v>
                </c:pt>
                <c:pt idx="46">
                  <c:v>28.176470588235293</c:v>
                </c:pt>
                <c:pt idx="47">
                  <c:v>29.176470588235293</c:v>
                </c:pt>
                <c:pt idx="48">
                  <c:v>30.647058823529413</c:v>
                </c:pt>
                <c:pt idx="49">
                  <c:v>33.384615384615387</c:v>
                </c:pt>
              </c:numCache>
            </c:numRef>
          </c:xVal>
          <c:yVal>
            <c:numRef>
              <c:f>Results!$B$52:$B$101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8A87-4D5B-AC7E-B42065239973}"/>
            </c:ext>
          </c:extLst>
        </c:ser>
        <c:ser>
          <c:idx val="1"/>
          <c:order val="1"/>
          <c:tx>
            <c:v>More sites</c:v>
          </c:tx>
          <c:spPr>
            <a:ln w="25400">
              <a:solidFill>
                <a:srgbClr val="B45309"/>
              </a:solidFill>
              <a:prstDash val="dash"/>
            </a:ln>
          </c:spPr>
          <c:marker>
            <c:symbol val="none"/>
          </c:marker>
          <c:xVal>
            <c:numRef>
              <c:f>Results!$E$52:$E$101</c:f>
              <c:numCache>
                <c:formatCode>#,##0.00</c:formatCode>
                <c:ptCount val="50"/>
                <c:pt idx="0">
                  <c:v>12.818181818181818</c:v>
                </c:pt>
                <c:pt idx="1">
                  <c:v>13.590909090909092</c:v>
                </c:pt>
                <c:pt idx="2">
                  <c:v>14</c:v>
                </c:pt>
                <c:pt idx="3">
                  <c:v>14.321428571428571</c:v>
                </c:pt>
                <c:pt idx="4">
                  <c:v>14.555555555555555</c:v>
                </c:pt>
                <c:pt idx="5">
                  <c:v>14.777777777777779</c:v>
                </c:pt>
                <c:pt idx="6">
                  <c:v>15</c:v>
                </c:pt>
                <c:pt idx="7">
                  <c:v>15.1875</c:v>
                </c:pt>
                <c:pt idx="8">
                  <c:v>15.35</c:v>
                </c:pt>
                <c:pt idx="9">
                  <c:v>15.5</c:v>
                </c:pt>
                <c:pt idx="10">
                  <c:v>15.652173913043478</c:v>
                </c:pt>
                <c:pt idx="11">
                  <c:v>15.814814814814815</c:v>
                </c:pt>
                <c:pt idx="12">
                  <c:v>15.961538461538462</c:v>
                </c:pt>
                <c:pt idx="13">
                  <c:v>16.105263157894736</c:v>
                </c:pt>
                <c:pt idx="14">
                  <c:v>16.25</c:v>
                </c:pt>
                <c:pt idx="15">
                  <c:v>16.391304347826086</c:v>
                </c:pt>
                <c:pt idx="16">
                  <c:v>16.523809523809526</c:v>
                </c:pt>
                <c:pt idx="17">
                  <c:v>16.666666666666668</c:v>
                </c:pt>
                <c:pt idx="18">
                  <c:v>16.8125</c:v>
                </c:pt>
                <c:pt idx="19">
                  <c:v>16.952380952380953</c:v>
                </c:pt>
                <c:pt idx="20">
                  <c:v>17.095238095238095</c:v>
                </c:pt>
                <c:pt idx="21">
                  <c:v>17.217391304347824</c:v>
                </c:pt>
                <c:pt idx="22">
                  <c:v>17.366666666666667</c:v>
                </c:pt>
                <c:pt idx="23">
                  <c:v>17.526315789473685</c:v>
                </c:pt>
                <c:pt idx="24">
                  <c:v>17.666666666666668</c:v>
                </c:pt>
                <c:pt idx="25">
                  <c:v>17.833333333333332</c:v>
                </c:pt>
                <c:pt idx="26">
                  <c:v>18</c:v>
                </c:pt>
                <c:pt idx="27">
                  <c:v>18.130434782608695</c:v>
                </c:pt>
                <c:pt idx="28">
                  <c:v>18.28</c:v>
                </c:pt>
                <c:pt idx="29">
                  <c:v>18.454545454545453</c:v>
                </c:pt>
                <c:pt idx="30">
                  <c:v>18.636363636363637</c:v>
                </c:pt>
                <c:pt idx="31">
                  <c:v>18.8</c:v>
                </c:pt>
                <c:pt idx="32">
                  <c:v>18.952380952380953</c:v>
                </c:pt>
                <c:pt idx="33">
                  <c:v>19.142857142857142</c:v>
                </c:pt>
                <c:pt idx="34">
                  <c:v>19.324324324324323</c:v>
                </c:pt>
                <c:pt idx="35">
                  <c:v>19.526315789473685</c:v>
                </c:pt>
                <c:pt idx="36">
                  <c:v>19.733333333333334</c:v>
                </c:pt>
                <c:pt idx="37">
                  <c:v>19.95</c:v>
                </c:pt>
                <c:pt idx="38">
                  <c:v>20.166666666666668</c:v>
                </c:pt>
                <c:pt idx="39">
                  <c:v>20.40909090909091</c:v>
                </c:pt>
                <c:pt idx="40">
                  <c:v>20.692307692307693</c:v>
                </c:pt>
                <c:pt idx="41">
                  <c:v>21</c:v>
                </c:pt>
                <c:pt idx="42">
                  <c:v>21.3</c:v>
                </c:pt>
                <c:pt idx="43">
                  <c:v>21.615384615384617</c:v>
                </c:pt>
                <c:pt idx="44">
                  <c:v>22</c:v>
                </c:pt>
                <c:pt idx="45">
                  <c:v>22.526315789473685</c:v>
                </c:pt>
                <c:pt idx="46">
                  <c:v>23.0625</c:v>
                </c:pt>
                <c:pt idx="47">
                  <c:v>23.846153846153847</c:v>
                </c:pt>
                <c:pt idx="48">
                  <c:v>24.90909090909091</c:v>
                </c:pt>
                <c:pt idx="49">
                  <c:v>27</c:v>
                </c:pt>
              </c:numCache>
            </c:numRef>
          </c:xVal>
          <c:yVal>
            <c:numRef>
              <c:f>Results!$B$52:$B$101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8A87-4D5B-AC7E-B42065239973}"/>
            </c:ext>
          </c:extLst>
        </c:ser>
        <c:ser>
          <c:idx val="2"/>
          <c:order val="2"/>
          <c:tx>
            <c:v>Most sites</c:v>
          </c:tx>
          <c:spPr>
            <a:ln w="25400">
              <a:solidFill>
                <a:srgbClr val="15803D"/>
              </a:solidFill>
              <a:prstDash val="solid"/>
            </a:ln>
          </c:spPr>
          <c:marker>
            <c:symbol val="none"/>
          </c:marker>
          <c:xVal>
            <c:numRef>
              <c:f>Results!$F$52:$F$101</c:f>
              <c:numCache>
                <c:formatCode>#,##0.00</c:formatCode>
                <c:ptCount val="50"/>
                <c:pt idx="0">
                  <c:v>11.387096774193548</c:v>
                </c:pt>
                <c:pt idx="1">
                  <c:v>12</c:v>
                </c:pt>
                <c:pt idx="2">
                  <c:v>12.3125</c:v>
                </c:pt>
                <c:pt idx="3">
                  <c:v>12.571428571428571</c:v>
                </c:pt>
                <c:pt idx="4">
                  <c:v>12.8</c:v>
                </c:pt>
                <c:pt idx="5">
                  <c:v>12.961538461538462</c:v>
                </c:pt>
                <c:pt idx="6">
                  <c:v>13.125</c:v>
                </c:pt>
                <c:pt idx="7">
                  <c:v>13.275862068965518</c:v>
                </c:pt>
                <c:pt idx="8">
                  <c:v>13.409090909090908</c:v>
                </c:pt>
                <c:pt idx="9">
                  <c:v>13.541666666666666</c:v>
                </c:pt>
                <c:pt idx="10">
                  <c:v>13.666666666666666</c:v>
                </c:pt>
                <c:pt idx="11">
                  <c:v>13.777777777777779</c:v>
                </c:pt>
                <c:pt idx="12">
                  <c:v>13.903225806451612</c:v>
                </c:pt>
                <c:pt idx="13">
                  <c:v>14.03225806451613</c:v>
                </c:pt>
                <c:pt idx="14">
                  <c:v>14.15625</c:v>
                </c:pt>
                <c:pt idx="15">
                  <c:v>14.264705882352942</c:v>
                </c:pt>
                <c:pt idx="16">
                  <c:v>14.384615384615385</c:v>
                </c:pt>
                <c:pt idx="17">
                  <c:v>14.5</c:v>
                </c:pt>
                <c:pt idx="18">
                  <c:v>14.607142857142858</c:v>
                </c:pt>
                <c:pt idx="19">
                  <c:v>14.709677419354838</c:v>
                </c:pt>
                <c:pt idx="20">
                  <c:v>14.826086956521738</c:v>
                </c:pt>
                <c:pt idx="21">
                  <c:v>14.9375</c:v>
                </c:pt>
                <c:pt idx="22">
                  <c:v>15.047619047619047</c:v>
                </c:pt>
                <c:pt idx="23">
                  <c:v>15.166666666666666</c:v>
                </c:pt>
                <c:pt idx="24">
                  <c:v>15.294117647058824</c:v>
                </c:pt>
                <c:pt idx="25">
                  <c:v>15.40625</c:v>
                </c:pt>
                <c:pt idx="26">
                  <c:v>15.529411764705882</c:v>
                </c:pt>
                <c:pt idx="27">
                  <c:v>15.655172413793103</c:v>
                </c:pt>
                <c:pt idx="28">
                  <c:v>15.818181818181818</c:v>
                </c:pt>
                <c:pt idx="29">
                  <c:v>15.941176470588236</c:v>
                </c:pt>
                <c:pt idx="30">
                  <c:v>16.0625</c:v>
                </c:pt>
                <c:pt idx="31">
                  <c:v>16.2</c:v>
                </c:pt>
                <c:pt idx="32">
                  <c:v>16.363636363636363</c:v>
                </c:pt>
                <c:pt idx="33">
                  <c:v>16.5</c:v>
                </c:pt>
                <c:pt idx="34">
                  <c:v>16.666666666666668</c:v>
                </c:pt>
                <c:pt idx="35">
                  <c:v>16.80952380952381</c:v>
                </c:pt>
                <c:pt idx="36">
                  <c:v>16.954545454545453</c:v>
                </c:pt>
                <c:pt idx="37">
                  <c:v>17.117647058823529</c:v>
                </c:pt>
                <c:pt idx="38">
                  <c:v>17.3</c:v>
                </c:pt>
                <c:pt idx="39">
                  <c:v>17.5</c:v>
                </c:pt>
                <c:pt idx="40">
                  <c:v>17.761904761904763</c:v>
                </c:pt>
                <c:pt idx="41">
                  <c:v>18</c:v>
                </c:pt>
                <c:pt idx="42">
                  <c:v>18.235294117647058</c:v>
                </c:pt>
                <c:pt idx="43">
                  <c:v>18.52</c:v>
                </c:pt>
                <c:pt idx="44">
                  <c:v>18.842105263157894</c:v>
                </c:pt>
                <c:pt idx="45">
                  <c:v>19.23076923076923</c:v>
                </c:pt>
                <c:pt idx="46">
                  <c:v>19.72</c:v>
                </c:pt>
                <c:pt idx="47">
                  <c:v>20.285714285714285</c:v>
                </c:pt>
                <c:pt idx="48">
                  <c:v>21.166666666666668</c:v>
                </c:pt>
                <c:pt idx="49">
                  <c:v>22.647058823529413</c:v>
                </c:pt>
              </c:numCache>
            </c:numRef>
          </c:xVal>
          <c:yVal>
            <c:numRef>
              <c:f>Results!$B$52:$B$101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8A87-4D5B-AC7E-B42065239973}"/>
            </c:ext>
          </c:extLst>
        </c:ser>
        <c:dLbls>
          <c:showLegendKey val="0"/>
          <c:showVal val="0"/>
          <c:showCatName val="0"/>
          <c:showSerName val="0"/>
          <c:showPercent val="0"/>
          <c:showBubbleSize val="0"/>
        </c:dLbls>
        <c:axId val="10"/>
        <c:axId val="20"/>
      </c:scatterChart>
      <c:valAx>
        <c:axId val="10"/>
        <c:scaling>
          <c:orientation val="minMax"/>
          <c:min val="8"/>
        </c:scaling>
        <c:delete val="0"/>
        <c:axPos val="b"/>
        <c:title>
          <c:tx>
            <c:rich>
              <a:bodyPr/>
              <a:lstStyle/>
              <a:p>
                <a:pPr>
                  <a:defRPr/>
                </a:pPr>
                <a:r>
                  <a:rPr lang="en-US"/>
                  <a:t>Month</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Results!$B$104:$B$151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numCache>
            </c:numRef>
          </c:cat>
          <c:val>
            <c:numRef>
              <c:f>Results!$E$104:$E$151</c:f>
              <c:numCache>
                <c:formatCode>#,##0.00</c:formatCode>
                <c:ptCount val="48"/>
                <c:pt idx="0">
                  <c:v>0</c:v>
                </c:pt>
                <c:pt idx="1">
                  <c:v>2</c:v>
                </c:pt>
                <c:pt idx="2">
                  <c:v>9</c:v>
                </c:pt>
                <c:pt idx="3">
                  <c:v>21</c:v>
                </c:pt>
                <c:pt idx="4">
                  <c:v>38</c:v>
                </c:pt>
                <c:pt idx="5">
                  <c:v>58</c:v>
                </c:pt>
                <c:pt idx="6">
                  <c:v>79</c:v>
                </c:pt>
                <c:pt idx="7">
                  <c:v>101</c:v>
                </c:pt>
                <c:pt idx="8">
                  <c:v>122</c:v>
                </c:pt>
                <c:pt idx="9">
                  <c:v>143</c:v>
                </c:pt>
                <c:pt idx="10">
                  <c:v>165</c:v>
                </c:pt>
                <c:pt idx="11">
                  <c:v>186</c:v>
                </c:pt>
                <c:pt idx="12">
                  <c:v>207</c:v>
                </c:pt>
                <c:pt idx="13">
                  <c:v>229</c:v>
                </c:pt>
                <c:pt idx="14">
                  <c:v>250</c:v>
                </c:pt>
                <c:pt idx="15">
                  <c:v>271</c:v>
                </c:pt>
                <c:pt idx="16">
                  <c:v>293</c:v>
                </c:pt>
                <c:pt idx="17">
                  <c:v>300</c:v>
                </c:pt>
                <c:pt idx="18">
                  <c:v>300</c:v>
                </c:pt>
                <c:pt idx="19">
                  <c:v>300</c:v>
                </c:pt>
                <c:pt idx="20">
                  <c:v>300</c:v>
                </c:pt>
                <c:pt idx="21">
                  <c:v>300</c:v>
                </c:pt>
                <c:pt idx="22">
                  <c:v>300</c:v>
                </c:pt>
                <c:pt idx="23">
                  <c:v>300</c:v>
                </c:pt>
                <c:pt idx="24">
                  <c:v>300</c:v>
                </c:pt>
                <c:pt idx="25">
                  <c:v>300</c:v>
                </c:pt>
                <c:pt idx="26">
                  <c:v>300</c:v>
                </c:pt>
                <c:pt idx="27">
                  <c:v>300</c:v>
                </c:pt>
                <c:pt idx="28">
                  <c:v>300</c:v>
                </c:pt>
                <c:pt idx="29">
                  <c:v>300</c:v>
                </c:pt>
                <c:pt idx="30">
                  <c:v>300</c:v>
                </c:pt>
                <c:pt idx="31">
                  <c:v>300</c:v>
                </c:pt>
                <c:pt idx="32">
                  <c:v>300</c:v>
                </c:pt>
                <c:pt idx="33">
                  <c:v>300</c:v>
                </c:pt>
                <c:pt idx="34">
                  <c:v>300</c:v>
                </c:pt>
                <c:pt idx="35">
                  <c:v>300</c:v>
                </c:pt>
                <c:pt idx="36">
                  <c:v>300</c:v>
                </c:pt>
                <c:pt idx="37">
                  <c:v>300</c:v>
                </c:pt>
                <c:pt idx="38">
                  <c:v>300</c:v>
                </c:pt>
                <c:pt idx="39">
                  <c:v>300</c:v>
                </c:pt>
                <c:pt idx="40">
                  <c:v>300</c:v>
                </c:pt>
                <c:pt idx="41">
                  <c:v>300</c:v>
                </c:pt>
                <c:pt idx="42">
                  <c:v>300</c:v>
                </c:pt>
                <c:pt idx="43">
                  <c:v>300</c:v>
                </c:pt>
                <c:pt idx="44">
                  <c:v>300</c:v>
                </c:pt>
                <c:pt idx="45">
                  <c:v>300</c:v>
                </c:pt>
                <c:pt idx="46">
                  <c:v>300</c:v>
                </c:pt>
                <c:pt idx="47">
                  <c:v>300</c:v>
                </c:pt>
              </c:numCache>
            </c:numRef>
          </c:val>
          <c:smooth val="0"/>
          <c:extLst>
            <c:ext xmlns:c16="http://schemas.microsoft.com/office/drawing/2014/chart" uri="{C3380CC4-5D6E-409C-BE32-E72D297353CC}">
              <c16:uniqueId val="{00000000-A4FF-42A6-A36F-F18F7AA4DBBB}"/>
            </c:ext>
          </c:extLst>
        </c:ser>
        <c:ser>
          <c:idx val="1"/>
          <c:order val="1"/>
          <c:tx>
            <c:v>Median</c:v>
          </c:tx>
          <c:spPr>
            <a:ln w="28575">
              <a:solidFill>
                <a:srgbClr val="0E4F92"/>
              </a:solidFill>
              <a:prstDash val="solid"/>
            </a:ln>
          </c:spPr>
          <c:marker>
            <c:symbol val="none"/>
          </c:marker>
          <c:cat>
            <c:numRef>
              <c:f>Results!$B$104:$B$151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numCache>
            </c:numRef>
          </c:cat>
          <c:val>
            <c:numRef>
              <c:f>Results!$D$104:$D$151</c:f>
              <c:numCache>
                <c:formatCode>#,##0.00</c:formatCode>
                <c:ptCount val="48"/>
                <c:pt idx="0">
                  <c:v>0</c:v>
                </c:pt>
                <c:pt idx="1">
                  <c:v>0</c:v>
                </c:pt>
                <c:pt idx="2">
                  <c:v>5</c:v>
                </c:pt>
                <c:pt idx="3">
                  <c:v>13</c:v>
                </c:pt>
                <c:pt idx="4">
                  <c:v>26</c:v>
                </c:pt>
                <c:pt idx="5">
                  <c:v>42</c:v>
                </c:pt>
                <c:pt idx="6">
                  <c:v>59</c:v>
                </c:pt>
                <c:pt idx="7">
                  <c:v>75</c:v>
                </c:pt>
                <c:pt idx="8">
                  <c:v>92</c:v>
                </c:pt>
                <c:pt idx="9">
                  <c:v>109</c:v>
                </c:pt>
                <c:pt idx="10">
                  <c:v>126</c:v>
                </c:pt>
                <c:pt idx="11">
                  <c:v>143</c:v>
                </c:pt>
                <c:pt idx="12">
                  <c:v>159</c:v>
                </c:pt>
                <c:pt idx="13">
                  <c:v>176</c:v>
                </c:pt>
                <c:pt idx="14">
                  <c:v>193</c:v>
                </c:pt>
                <c:pt idx="15">
                  <c:v>210</c:v>
                </c:pt>
                <c:pt idx="16">
                  <c:v>227</c:v>
                </c:pt>
                <c:pt idx="17">
                  <c:v>243</c:v>
                </c:pt>
                <c:pt idx="18">
                  <c:v>260</c:v>
                </c:pt>
                <c:pt idx="19">
                  <c:v>277</c:v>
                </c:pt>
                <c:pt idx="20">
                  <c:v>294</c:v>
                </c:pt>
                <c:pt idx="21">
                  <c:v>300</c:v>
                </c:pt>
                <c:pt idx="22">
                  <c:v>300</c:v>
                </c:pt>
                <c:pt idx="23">
                  <c:v>300</c:v>
                </c:pt>
                <c:pt idx="24">
                  <c:v>300</c:v>
                </c:pt>
                <c:pt idx="25">
                  <c:v>300</c:v>
                </c:pt>
                <c:pt idx="26">
                  <c:v>300</c:v>
                </c:pt>
                <c:pt idx="27">
                  <c:v>300</c:v>
                </c:pt>
                <c:pt idx="28">
                  <c:v>300</c:v>
                </c:pt>
                <c:pt idx="29">
                  <c:v>300</c:v>
                </c:pt>
                <c:pt idx="30">
                  <c:v>300</c:v>
                </c:pt>
                <c:pt idx="31">
                  <c:v>300</c:v>
                </c:pt>
                <c:pt idx="32">
                  <c:v>300</c:v>
                </c:pt>
                <c:pt idx="33">
                  <c:v>300</c:v>
                </c:pt>
                <c:pt idx="34">
                  <c:v>300</c:v>
                </c:pt>
                <c:pt idx="35">
                  <c:v>300</c:v>
                </c:pt>
                <c:pt idx="36">
                  <c:v>300</c:v>
                </c:pt>
                <c:pt idx="37">
                  <c:v>300</c:v>
                </c:pt>
                <c:pt idx="38">
                  <c:v>300</c:v>
                </c:pt>
                <c:pt idx="39">
                  <c:v>300</c:v>
                </c:pt>
                <c:pt idx="40">
                  <c:v>300</c:v>
                </c:pt>
                <c:pt idx="41">
                  <c:v>300</c:v>
                </c:pt>
                <c:pt idx="42">
                  <c:v>300</c:v>
                </c:pt>
                <c:pt idx="43">
                  <c:v>300</c:v>
                </c:pt>
                <c:pt idx="44">
                  <c:v>300</c:v>
                </c:pt>
                <c:pt idx="45">
                  <c:v>300</c:v>
                </c:pt>
                <c:pt idx="46">
                  <c:v>300</c:v>
                </c:pt>
                <c:pt idx="47">
                  <c:v>300</c:v>
                </c:pt>
              </c:numCache>
            </c:numRef>
          </c:val>
          <c:smooth val="0"/>
          <c:extLst>
            <c:ext xmlns:c16="http://schemas.microsoft.com/office/drawing/2014/chart" uri="{C3380CC4-5D6E-409C-BE32-E72D297353CC}">
              <c16:uniqueId val="{00000001-A4FF-42A6-A36F-F18F7AA4DBBB}"/>
            </c:ext>
          </c:extLst>
        </c:ser>
        <c:ser>
          <c:idx val="2"/>
          <c:order val="2"/>
          <c:tx>
            <c:v>Mean</c:v>
          </c:tx>
          <c:spPr>
            <a:ln w="19050">
              <a:solidFill>
                <a:srgbClr val="B45309"/>
              </a:solidFill>
              <a:prstDash val="solid"/>
            </a:ln>
          </c:spPr>
          <c:marker>
            <c:symbol val="none"/>
          </c:marker>
          <c:cat>
            <c:numRef>
              <c:f>Results!$B$104:$B$151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numCache>
            </c:numRef>
          </c:cat>
          <c:val>
            <c:numRef>
              <c:f>Results!$F$104:$F$151</c:f>
              <c:numCache>
                <c:formatCode>#,##0.00</c:formatCode>
                <c:ptCount val="48"/>
                <c:pt idx="0">
                  <c:v>0</c:v>
                </c:pt>
                <c:pt idx="1">
                  <c:v>0.68033401670083504</c:v>
                </c:pt>
                <c:pt idx="2">
                  <c:v>4.902995149757488</c:v>
                </c:pt>
                <c:pt idx="3">
                  <c:v>13.924446222311115</c:v>
                </c:pt>
                <c:pt idx="4">
                  <c:v>27.062453122656134</c:v>
                </c:pt>
                <c:pt idx="5">
                  <c:v>42.796089804490222</c:v>
                </c:pt>
                <c:pt idx="6">
                  <c:v>59.5690784539227</c:v>
                </c:pt>
                <c:pt idx="7">
                  <c:v>76.50722536126807</c:v>
                </c:pt>
                <c:pt idx="8">
                  <c:v>93.481574078703929</c:v>
                </c:pt>
                <c:pt idx="9">
                  <c:v>110.39341967098355</c:v>
                </c:pt>
                <c:pt idx="10">
                  <c:v>127.39681984099205</c:v>
                </c:pt>
                <c:pt idx="11">
                  <c:v>144.35871793589681</c:v>
                </c:pt>
                <c:pt idx="12">
                  <c:v>161.38496924846243</c:v>
                </c:pt>
                <c:pt idx="13">
                  <c:v>178.41147057352867</c:v>
                </c:pt>
                <c:pt idx="14">
                  <c:v>195.24626231311566</c:v>
                </c:pt>
                <c:pt idx="15">
                  <c:v>211.78928946447323</c:v>
                </c:pt>
                <c:pt idx="16">
                  <c:v>227.5149257462873</c:v>
                </c:pt>
                <c:pt idx="17">
                  <c:v>241.8520426021301</c:v>
                </c:pt>
                <c:pt idx="18">
                  <c:v>254.46927346367318</c:v>
                </c:pt>
                <c:pt idx="19">
                  <c:v>265.16980849042454</c:v>
                </c:pt>
                <c:pt idx="20">
                  <c:v>273.8772438621931</c:v>
                </c:pt>
                <c:pt idx="21">
                  <c:v>280.8461923096155</c:v>
                </c:pt>
                <c:pt idx="22">
                  <c:v>286.17390869543476</c:v>
                </c:pt>
                <c:pt idx="23">
                  <c:v>290.17100855042753</c:v>
                </c:pt>
                <c:pt idx="24">
                  <c:v>293.14895744787242</c:v>
                </c:pt>
                <c:pt idx="25">
                  <c:v>295.27686384319213</c:v>
                </c:pt>
                <c:pt idx="26">
                  <c:v>296.78693934696736</c:v>
                </c:pt>
                <c:pt idx="27">
                  <c:v>297.82369118455921</c:v>
                </c:pt>
                <c:pt idx="28">
                  <c:v>298.54412720636032</c:v>
                </c:pt>
                <c:pt idx="29">
                  <c:v>299.02395119755988</c:v>
                </c:pt>
                <c:pt idx="30">
                  <c:v>299.35286764338218</c:v>
                </c:pt>
                <c:pt idx="31">
                  <c:v>299.57467873393671</c:v>
                </c:pt>
                <c:pt idx="32">
                  <c:v>299.71078553927697</c:v>
                </c:pt>
                <c:pt idx="33">
                  <c:v>299.80219010950549</c:v>
                </c:pt>
                <c:pt idx="34">
                  <c:v>299.86449322466126</c:v>
                </c:pt>
                <c:pt idx="35">
                  <c:v>299.90539526976346</c:v>
                </c:pt>
                <c:pt idx="36">
                  <c:v>299.93299664983249</c:v>
                </c:pt>
                <c:pt idx="37">
                  <c:v>299.95409770488527</c:v>
                </c:pt>
                <c:pt idx="38">
                  <c:v>299.9721986099305</c:v>
                </c:pt>
                <c:pt idx="39">
                  <c:v>299.98319915995802</c:v>
                </c:pt>
                <c:pt idx="40">
                  <c:v>299.989999499975</c:v>
                </c:pt>
                <c:pt idx="41">
                  <c:v>299.99369968498422</c:v>
                </c:pt>
                <c:pt idx="42">
                  <c:v>299.99749987499376</c:v>
                </c:pt>
                <c:pt idx="43">
                  <c:v>299.99849992499622</c:v>
                </c:pt>
                <c:pt idx="44">
                  <c:v>299.99969998499927</c:v>
                </c:pt>
                <c:pt idx="45">
                  <c:v>300</c:v>
                </c:pt>
                <c:pt idx="46">
                  <c:v>300</c:v>
                </c:pt>
                <c:pt idx="47">
                  <c:v>300</c:v>
                </c:pt>
              </c:numCache>
            </c:numRef>
          </c:val>
          <c:smooth val="0"/>
          <c:extLst>
            <c:ext xmlns:c16="http://schemas.microsoft.com/office/drawing/2014/chart" uri="{C3380CC4-5D6E-409C-BE32-E72D297353CC}">
              <c16:uniqueId val="{00000002-A4FF-42A6-A36F-F18F7AA4DBBB}"/>
            </c:ext>
          </c:extLst>
        </c:ser>
        <c:ser>
          <c:idx val="3"/>
          <c:order val="3"/>
          <c:tx>
            <c:v>10th percentile</c:v>
          </c:tx>
          <c:spPr>
            <a:ln w="15875">
              <a:solidFill>
                <a:srgbClr val="0E4F92"/>
              </a:solidFill>
              <a:prstDash val="dash"/>
            </a:ln>
          </c:spPr>
          <c:marker>
            <c:symbol val="none"/>
          </c:marker>
          <c:cat>
            <c:numRef>
              <c:f>Results!$B$104:$B$151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numCache>
            </c:numRef>
          </c:cat>
          <c:val>
            <c:numRef>
              <c:f>Results!$C$104:$C$151</c:f>
              <c:numCache>
                <c:formatCode>#,##0.00</c:formatCode>
                <c:ptCount val="48"/>
                <c:pt idx="0">
                  <c:v>0</c:v>
                </c:pt>
                <c:pt idx="1">
                  <c:v>0</c:v>
                </c:pt>
                <c:pt idx="2">
                  <c:v>2</c:v>
                </c:pt>
                <c:pt idx="3">
                  <c:v>7</c:v>
                </c:pt>
                <c:pt idx="4">
                  <c:v>17</c:v>
                </c:pt>
                <c:pt idx="5">
                  <c:v>29</c:v>
                </c:pt>
                <c:pt idx="6">
                  <c:v>42</c:v>
                </c:pt>
                <c:pt idx="7">
                  <c:v>54</c:v>
                </c:pt>
                <c:pt idx="8">
                  <c:v>67</c:v>
                </c:pt>
                <c:pt idx="9">
                  <c:v>80</c:v>
                </c:pt>
                <c:pt idx="10">
                  <c:v>93</c:v>
                </c:pt>
                <c:pt idx="11">
                  <c:v>105</c:v>
                </c:pt>
                <c:pt idx="12">
                  <c:v>118</c:v>
                </c:pt>
                <c:pt idx="13">
                  <c:v>131</c:v>
                </c:pt>
                <c:pt idx="14">
                  <c:v>144</c:v>
                </c:pt>
                <c:pt idx="15">
                  <c:v>157</c:v>
                </c:pt>
                <c:pt idx="16">
                  <c:v>169</c:v>
                </c:pt>
                <c:pt idx="17">
                  <c:v>183</c:v>
                </c:pt>
                <c:pt idx="18">
                  <c:v>195</c:v>
                </c:pt>
                <c:pt idx="19">
                  <c:v>208</c:v>
                </c:pt>
                <c:pt idx="20">
                  <c:v>221</c:v>
                </c:pt>
                <c:pt idx="21">
                  <c:v>233</c:v>
                </c:pt>
                <c:pt idx="22">
                  <c:v>246</c:v>
                </c:pt>
                <c:pt idx="23">
                  <c:v>259</c:v>
                </c:pt>
                <c:pt idx="24">
                  <c:v>272</c:v>
                </c:pt>
                <c:pt idx="25">
                  <c:v>285</c:v>
                </c:pt>
                <c:pt idx="26">
                  <c:v>297</c:v>
                </c:pt>
                <c:pt idx="27">
                  <c:v>300</c:v>
                </c:pt>
                <c:pt idx="28">
                  <c:v>300</c:v>
                </c:pt>
                <c:pt idx="29">
                  <c:v>300</c:v>
                </c:pt>
                <c:pt idx="30">
                  <c:v>300</c:v>
                </c:pt>
                <c:pt idx="31">
                  <c:v>300</c:v>
                </c:pt>
                <c:pt idx="32">
                  <c:v>300</c:v>
                </c:pt>
                <c:pt idx="33">
                  <c:v>300</c:v>
                </c:pt>
                <c:pt idx="34">
                  <c:v>300</c:v>
                </c:pt>
                <c:pt idx="35">
                  <c:v>300</c:v>
                </c:pt>
                <c:pt idx="36">
                  <c:v>300</c:v>
                </c:pt>
                <c:pt idx="37">
                  <c:v>300</c:v>
                </c:pt>
                <c:pt idx="38">
                  <c:v>300</c:v>
                </c:pt>
                <c:pt idx="39">
                  <c:v>300</c:v>
                </c:pt>
                <c:pt idx="40">
                  <c:v>300</c:v>
                </c:pt>
                <c:pt idx="41">
                  <c:v>300</c:v>
                </c:pt>
                <c:pt idx="42">
                  <c:v>300</c:v>
                </c:pt>
                <c:pt idx="43">
                  <c:v>300</c:v>
                </c:pt>
                <c:pt idx="44">
                  <c:v>300</c:v>
                </c:pt>
                <c:pt idx="45">
                  <c:v>300</c:v>
                </c:pt>
                <c:pt idx="46">
                  <c:v>300</c:v>
                </c:pt>
                <c:pt idx="47">
                  <c:v>300</c:v>
                </c:pt>
              </c:numCache>
            </c:numRef>
          </c:val>
          <c:smooth val="0"/>
          <c:extLst>
            <c:ext xmlns:c16="http://schemas.microsoft.com/office/drawing/2014/chart" uri="{C3380CC4-5D6E-409C-BE32-E72D297353CC}">
              <c16:uniqueId val="{00000003-A4FF-42A6-A36F-F18F7AA4DBBB}"/>
            </c:ext>
          </c:extLst>
        </c:ser>
        <c:ser>
          <c:idx val="4"/>
          <c:order val="4"/>
          <c:tx>
            <c:v>Target</c:v>
          </c:tx>
          <c:spPr>
            <a:ln w="22225">
              <a:solidFill>
                <a:srgbClr val="15803D"/>
              </a:solidFill>
              <a:prstDash val="solid"/>
            </a:ln>
          </c:spPr>
          <c:marker>
            <c:symbol val="none"/>
          </c:marker>
          <c:cat>
            <c:numRef>
              <c:f>Results!$B$104:$B$151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numCache>
            </c:numRef>
          </c:cat>
          <c:val>
            <c:numRef>
              <c:f>Results!$G$104:$G$151</c:f>
              <c:numCache>
                <c:formatCode>#,##0.00</c:formatCode>
                <c:ptCount val="48"/>
                <c:pt idx="0">
                  <c:v>300</c:v>
                </c:pt>
                <c:pt idx="1">
                  <c:v>300</c:v>
                </c:pt>
                <c:pt idx="2">
                  <c:v>300</c:v>
                </c:pt>
                <c:pt idx="3">
                  <c:v>300</c:v>
                </c:pt>
                <c:pt idx="4">
                  <c:v>300</c:v>
                </c:pt>
                <c:pt idx="5">
                  <c:v>300</c:v>
                </c:pt>
                <c:pt idx="6">
                  <c:v>300</c:v>
                </c:pt>
                <c:pt idx="7">
                  <c:v>300</c:v>
                </c:pt>
                <c:pt idx="8">
                  <c:v>300</c:v>
                </c:pt>
                <c:pt idx="9">
                  <c:v>300</c:v>
                </c:pt>
                <c:pt idx="10">
                  <c:v>300</c:v>
                </c:pt>
                <c:pt idx="11">
                  <c:v>300</c:v>
                </c:pt>
                <c:pt idx="12">
                  <c:v>300</c:v>
                </c:pt>
                <c:pt idx="13">
                  <c:v>300</c:v>
                </c:pt>
                <c:pt idx="14">
                  <c:v>300</c:v>
                </c:pt>
                <c:pt idx="15">
                  <c:v>300</c:v>
                </c:pt>
                <c:pt idx="16">
                  <c:v>300</c:v>
                </c:pt>
                <c:pt idx="17">
                  <c:v>300</c:v>
                </c:pt>
                <c:pt idx="18">
                  <c:v>300</c:v>
                </c:pt>
                <c:pt idx="19">
                  <c:v>300</c:v>
                </c:pt>
                <c:pt idx="20">
                  <c:v>300</c:v>
                </c:pt>
                <c:pt idx="21">
                  <c:v>300</c:v>
                </c:pt>
                <c:pt idx="22">
                  <c:v>300</c:v>
                </c:pt>
                <c:pt idx="23">
                  <c:v>300</c:v>
                </c:pt>
                <c:pt idx="24">
                  <c:v>300</c:v>
                </c:pt>
                <c:pt idx="25">
                  <c:v>300</c:v>
                </c:pt>
                <c:pt idx="26">
                  <c:v>300</c:v>
                </c:pt>
                <c:pt idx="27">
                  <c:v>300</c:v>
                </c:pt>
                <c:pt idx="28">
                  <c:v>300</c:v>
                </c:pt>
                <c:pt idx="29">
                  <c:v>300</c:v>
                </c:pt>
                <c:pt idx="30">
                  <c:v>300</c:v>
                </c:pt>
                <c:pt idx="31">
                  <c:v>300</c:v>
                </c:pt>
                <c:pt idx="32">
                  <c:v>300</c:v>
                </c:pt>
                <c:pt idx="33">
                  <c:v>300</c:v>
                </c:pt>
                <c:pt idx="34">
                  <c:v>300</c:v>
                </c:pt>
                <c:pt idx="35">
                  <c:v>300</c:v>
                </c:pt>
                <c:pt idx="36">
                  <c:v>300</c:v>
                </c:pt>
                <c:pt idx="37">
                  <c:v>300</c:v>
                </c:pt>
                <c:pt idx="38">
                  <c:v>300</c:v>
                </c:pt>
                <c:pt idx="39">
                  <c:v>300</c:v>
                </c:pt>
                <c:pt idx="40">
                  <c:v>300</c:v>
                </c:pt>
                <c:pt idx="41">
                  <c:v>300</c:v>
                </c:pt>
                <c:pt idx="42">
                  <c:v>300</c:v>
                </c:pt>
                <c:pt idx="43">
                  <c:v>300</c:v>
                </c:pt>
                <c:pt idx="44">
                  <c:v>300</c:v>
                </c:pt>
                <c:pt idx="45">
                  <c:v>300</c:v>
                </c:pt>
                <c:pt idx="46">
                  <c:v>300</c:v>
                </c:pt>
                <c:pt idx="47">
                  <c:v>300</c:v>
                </c:pt>
              </c:numCache>
            </c:numRef>
          </c:val>
          <c:smooth val="0"/>
          <c:extLst>
            <c:ext xmlns:c16="http://schemas.microsoft.com/office/drawing/2014/chart" uri="{C3380CC4-5D6E-409C-BE32-E72D297353CC}">
              <c16:uniqueId val="{00000004-A4FF-42A6-A36F-F18F7AA4DBBB}"/>
            </c:ext>
          </c:extLst>
        </c:ser>
        <c:ser>
          <c:idx val="5"/>
          <c:order val="5"/>
          <c:tx>
            <c:v>Plan</c:v>
          </c:tx>
          <c:spPr>
            <a:ln w="22225">
              <a:solidFill>
                <a:srgbClr val="15803D"/>
              </a:solidFill>
              <a:prstDash val="sysDash"/>
            </a:ln>
          </c:spPr>
          <c:marker>
            <c:symbol val="none"/>
          </c:marker>
          <c:cat>
            <c:numRef>
              <c:f>Results!$B$104:$B$151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numCache>
            </c:numRef>
          </c:cat>
          <c:val>
            <c:numRef>
              <c:f>Results!$H$104:$H$151</c:f>
              <c:numCache>
                <c:formatCode>#,##0.00</c:formatCode>
                <c:ptCount val="48"/>
                <c:pt idx="0">
                  <c:v>0</c:v>
                </c:pt>
                <c:pt idx="1">
                  <c:v>0</c:v>
                </c:pt>
                <c:pt idx="2">
                  <c:v>0</c:v>
                </c:pt>
                <c:pt idx="3">
                  <c:v>20</c:v>
                </c:pt>
                <c:pt idx="4">
                  <c:v>40</c:v>
                </c:pt>
                <c:pt idx="5">
                  <c:v>60</c:v>
                </c:pt>
                <c:pt idx="6">
                  <c:v>80</c:v>
                </c:pt>
                <c:pt idx="7">
                  <c:v>100</c:v>
                </c:pt>
                <c:pt idx="8">
                  <c:v>120</c:v>
                </c:pt>
                <c:pt idx="9">
                  <c:v>140</c:v>
                </c:pt>
                <c:pt idx="10">
                  <c:v>160</c:v>
                </c:pt>
                <c:pt idx="11">
                  <c:v>180</c:v>
                </c:pt>
                <c:pt idx="12">
                  <c:v>200</c:v>
                </c:pt>
                <c:pt idx="13">
                  <c:v>220</c:v>
                </c:pt>
                <c:pt idx="14">
                  <c:v>240</c:v>
                </c:pt>
                <c:pt idx="15">
                  <c:v>260</c:v>
                </c:pt>
                <c:pt idx="16">
                  <c:v>280</c:v>
                </c:pt>
                <c:pt idx="17">
                  <c:v>300</c:v>
                </c:pt>
                <c:pt idx="18">
                  <c:v>300</c:v>
                </c:pt>
                <c:pt idx="19">
                  <c:v>300</c:v>
                </c:pt>
                <c:pt idx="20">
                  <c:v>300</c:v>
                </c:pt>
                <c:pt idx="21">
                  <c:v>300</c:v>
                </c:pt>
                <c:pt idx="22">
                  <c:v>300</c:v>
                </c:pt>
                <c:pt idx="23">
                  <c:v>300</c:v>
                </c:pt>
                <c:pt idx="24">
                  <c:v>300</c:v>
                </c:pt>
                <c:pt idx="25">
                  <c:v>300</c:v>
                </c:pt>
                <c:pt idx="26">
                  <c:v>300</c:v>
                </c:pt>
                <c:pt idx="27">
                  <c:v>300</c:v>
                </c:pt>
                <c:pt idx="28">
                  <c:v>300</c:v>
                </c:pt>
                <c:pt idx="29">
                  <c:v>300</c:v>
                </c:pt>
                <c:pt idx="30">
                  <c:v>300</c:v>
                </c:pt>
                <c:pt idx="31">
                  <c:v>300</c:v>
                </c:pt>
                <c:pt idx="32">
                  <c:v>300</c:v>
                </c:pt>
                <c:pt idx="33">
                  <c:v>300</c:v>
                </c:pt>
                <c:pt idx="34">
                  <c:v>300</c:v>
                </c:pt>
                <c:pt idx="35">
                  <c:v>300</c:v>
                </c:pt>
                <c:pt idx="36">
                  <c:v>300</c:v>
                </c:pt>
                <c:pt idx="37">
                  <c:v>300</c:v>
                </c:pt>
                <c:pt idx="38">
                  <c:v>300</c:v>
                </c:pt>
                <c:pt idx="39">
                  <c:v>300</c:v>
                </c:pt>
                <c:pt idx="40">
                  <c:v>300</c:v>
                </c:pt>
                <c:pt idx="41">
                  <c:v>300</c:v>
                </c:pt>
                <c:pt idx="42">
                  <c:v>300</c:v>
                </c:pt>
                <c:pt idx="43">
                  <c:v>300</c:v>
                </c:pt>
                <c:pt idx="44">
                  <c:v>300</c:v>
                </c:pt>
                <c:pt idx="45">
                  <c:v>300</c:v>
                </c:pt>
                <c:pt idx="46">
                  <c:v>300</c:v>
                </c:pt>
                <c:pt idx="47">
                  <c:v>300</c:v>
                </c:pt>
              </c:numCache>
            </c:numRef>
          </c:val>
          <c:smooth val="0"/>
          <c:extLst>
            <c:ext xmlns:c16="http://schemas.microsoft.com/office/drawing/2014/chart" uri="{C3380CC4-5D6E-409C-BE32-E72D297353CC}">
              <c16:uniqueId val="{00000005-A4FF-42A6-A36F-F18F7AA4DBB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6"/>
        <c:tickMarkSkip val="6"/>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Patients</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52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6"/>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5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79" t="s">
        <v>20</v>
      </c>
      <c r="C16" s="80"/>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39.4" x14ac:dyDescent="0.45">
      <c r="B30" s="9" t="s">
        <v>27</v>
      </c>
      <c r="C30" s="10" t="s">
        <v>28</v>
      </c>
    </row>
    <row r="31" spans="2:3" ht="26.25"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x14ac:dyDescent="0.45">
      <c r="B35" s="9" t="s">
        <v>34</v>
      </c>
      <c r="C35" s="10" t="s">
        <v>35</v>
      </c>
    </row>
    <row r="36" spans="2:3" x14ac:dyDescent="0.45">
      <c r="B36" s="9" t="s">
        <v>36</v>
      </c>
      <c r="C36" s="10" t="s">
        <v>37</v>
      </c>
    </row>
    <row r="37" spans="2:3"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ht="12" customHeight="1" x14ac:dyDescent="0.45"/>
    <row r="45" spans="2:3" ht="22.05" customHeight="1" x14ac:dyDescent="0.5">
      <c r="B45" s="7" t="s">
        <v>49</v>
      </c>
      <c r="C45" s="8"/>
    </row>
    <row r="46" spans="2:3" x14ac:dyDescent="0.45">
      <c r="B46" s="15" t="s">
        <v>50</v>
      </c>
      <c r="C46" s="12" t="s">
        <v>51</v>
      </c>
    </row>
    <row r="47" spans="2:3" x14ac:dyDescent="0.45">
      <c r="B47" s="16" t="s">
        <v>52</v>
      </c>
      <c r="C47" s="12" t="s">
        <v>53</v>
      </c>
    </row>
    <row r="48" spans="2:3" x14ac:dyDescent="0.45">
      <c r="B48" s="17" t="s">
        <v>54</v>
      </c>
      <c r="C48" s="12" t="s">
        <v>55</v>
      </c>
    </row>
    <row r="49" spans="2:3" x14ac:dyDescent="0.45">
      <c r="B49" s="18" t="s">
        <v>56</v>
      </c>
      <c r="C49" s="12" t="s">
        <v>57</v>
      </c>
    </row>
    <row r="50" spans="2:3" x14ac:dyDescent="0.45">
      <c r="B50" s="19" t="s">
        <v>58</v>
      </c>
      <c r="C50" s="12" t="s">
        <v>59</v>
      </c>
    </row>
    <row r="51" spans="2:3" ht="12" customHeight="1" x14ac:dyDescent="0.45"/>
    <row r="52" spans="2:3" ht="22.05" customHeight="1" x14ac:dyDescent="0.5">
      <c r="B52" s="7" t="s">
        <v>60</v>
      </c>
      <c r="C52" s="8"/>
    </row>
    <row r="53" spans="2:3" x14ac:dyDescent="0.45">
      <c r="B53" s="9" t="s">
        <v>61</v>
      </c>
      <c r="C53" s="10" t="s">
        <v>62</v>
      </c>
    </row>
    <row r="54" spans="2:3" x14ac:dyDescent="0.45">
      <c r="B54" s="9" t="s">
        <v>63</v>
      </c>
      <c r="C54" s="10" t="s">
        <v>64</v>
      </c>
    </row>
    <row r="55" spans="2:3" x14ac:dyDescent="0.45">
      <c r="B55" s="9" t="s">
        <v>65</v>
      </c>
      <c r="C55" s="10" t="s">
        <v>66</v>
      </c>
    </row>
    <row r="56" spans="2:3" x14ac:dyDescent="0.45">
      <c r="B56" s="9" t="s">
        <v>67</v>
      </c>
      <c r="C56" s="10" t="s">
        <v>68</v>
      </c>
    </row>
    <row r="57" spans="2:3" ht="12" customHeight="1" x14ac:dyDescent="0.45"/>
    <row r="58" spans="2:3" ht="22.05" customHeight="1" x14ac:dyDescent="0.5">
      <c r="B58" s="7" t="s">
        <v>69</v>
      </c>
      <c r="C58" s="8"/>
    </row>
    <row r="59" spans="2:3" x14ac:dyDescent="0.45">
      <c r="B59" s="9" t="s">
        <v>70</v>
      </c>
      <c r="C59" s="10" t="s">
        <v>71</v>
      </c>
    </row>
    <row r="60" spans="2:3" x14ac:dyDescent="0.45">
      <c r="B60" s="9" t="s">
        <v>43</v>
      </c>
      <c r="C60" s="10" t="s">
        <v>72</v>
      </c>
    </row>
    <row r="61" spans="2:3" x14ac:dyDescent="0.45">
      <c r="B61" s="9" t="s">
        <v>73</v>
      </c>
      <c r="C61" s="10" t="s">
        <v>74</v>
      </c>
    </row>
    <row r="62" spans="2:3" x14ac:dyDescent="0.45">
      <c r="B62" s="9" t="s">
        <v>75</v>
      </c>
      <c r="C62" s="10" t="s">
        <v>76</v>
      </c>
    </row>
    <row r="63" spans="2:3" ht="12" customHeight="1" x14ac:dyDescent="0.45"/>
    <row r="64" spans="2:3" ht="22.05" customHeight="1" x14ac:dyDescent="0.5">
      <c r="B64" s="7" t="s">
        <v>77</v>
      </c>
      <c r="C64" s="8"/>
    </row>
    <row r="65" spans="2:3" x14ac:dyDescent="0.45">
      <c r="B65" s="20" t="s">
        <v>78</v>
      </c>
      <c r="C65" s="10" t="s">
        <v>79</v>
      </c>
    </row>
    <row r="66" spans="2:3" x14ac:dyDescent="0.45">
      <c r="B66" s="20" t="s">
        <v>80</v>
      </c>
      <c r="C66" s="10" t="s">
        <v>81</v>
      </c>
    </row>
    <row r="67" spans="2:3" x14ac:dyDescent="0.45">
      <c r="B67" s="20" t="s">
        <v>82</v>
      </c>
      <c r="C67" s="10" t="s">
        <v>83</v>
      </c>
    </row>
    <row r="68" spans="2:3" x14ac:dyDescent="0.45">
      <c r="B68" s="20" t="s">
        <v>84</v>
      </c>
      <c r="C68" s="10" t="s">
        <v>85</v>
      </c>
    </row>
    <row r="69" spans="2:3" x14ac:dyDescent="0.45">
      <c r="B69" s="20" t="s">
        <v>86</v>
      </c>
      <c r="C69" s="10" t="s">
        <v>87</v>
      </c>
    </row>
    <row r="70" spans="2:3" ht="26.25" x14ac:dyDescent="0.45">
      <c r="B70" s="20" t="s">
        <v>88</v>
      </c>
      <c r="C70" s="10" t="s">
        <v>89</v>
      </c>
    </row>
    <row r="71" spans="2:3" ht="12" customHeight="1" x14ac:dyDescent="0.45"/>
    <row r="72" spans="2:3" ht="22.05" customHeight="1" x14ac:dyDescent="0.5">
      <c r="B72" s="7" t="s">
        <v>90</v>
      </c>
      <c r="C72" s="8"/>
    </row>
    <row r="73" spans="2:3" ht="26.25" x14ac:dyDescent="0.45">
      <c r="B73" s="9" t="s">
        <v>91</v>
      </c>
      <c r="C73" s="10" t="s">
        <v>92</v>
      </c>
    </row>
    <row r="74" spans="2:3" x14ac:dyDescent="0.45">
      <c r="B74" s="9" t="s">
        <v>93</v>
      </c>
      <c r="C74" s="10" t="s">
        <v>94</v>
      </c>
    </row>
    <row r="75" spans="2:3" ht="16.05" customHeight="1" x14ac:dyDescent="0.45"/>
    <row r="76" spans="2:3" x14ac:dyDescent="0.45">
      <c r="B76" s="81" t="s">
        <v>95</v>
      </c>
      <c r="C76" s="80"/>
    </row>
  </sheetData>
  <mergeCells count="2">
    <mergeCell ref="B16:C16"/>
    <mergeCell ref="B76:C76"/>
  </mergeCells>
  <hyperlinks>
    <hyperlink ref="D4" location="'Inputs'!A1" display="Next:  Inputs  ▸" xr:uid="{00000000-0004-0000-0000-000000000000}"/>
    <hyperlink ref="B40" location="'Inputs'!A1" display="Inputs" xr:uid="{00000000-0004-0000-0000-000001000000}"/>
    <hyperlink ref="B41" location="'Sites'!A1" display="Sites" xr:uid="{00000000-0004-0000-0000-000002000000}"/>
    <hyperlink ref="B42" location="'Enrolment'!A1" display="Enrolment" xr:uid="{00000000-0004-0000-0000-000003000000}"/>
    <hyperlink ref="B43"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4"/>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96</v>
      </c>
      <c r="C3" s="1"/>
      <c r="D3" s="1"/>
      <c r="E3" s="1"/>
      <c r="F3" s="1"/>
      <c r="G3" s="1"/>
      <c r="H3" s="1"/>
      <c r="I3" s="1"/>
      <c r="J3" s="1"/>
    </row>
    <row r="4" spans="1:10" ht="20" customHeight="1" x14ac:dyDescent="0.45">
      <c r="A4" s="5"/>
      <c r="B4" s="22" t="s">
        <v>97</v>
      </c>
      <c r="C4" s="5"/>
      <c r="D4" s="5"/>
      <c r="E4" s="5"/>
      <c r="F4" s="5"/>
      <c r="G4" s="5"/>
      <c r="H4" s="5"/>
      <c r="I4" s="5"/>
      <c r="J4" s="6" t="s">
        <v>98</v>
      </c>
    </row>
    <row r="5" spans="1:10" ht="8" customHeight="1" x14ac:dyDescent="0.45"/>
    <row r="6" spans="1:10" ht="30" customHeight="1" x14ac:dyDescent="0.45">
      <c r="B6" s="82" t="s">
        <v>99</v>
      </c>
      <c r="C6" s="80"/>
      <c r="D6" s="80"/>
      <c r="E6" s="80"/>
      <c r="F6" s="80"/>
      <c r="G6" s="80"/>
      <c r="H6" s="80"/>
      <c r="I6" s="80"/>
      <c r="J6" s="80"/>
    </row>
    <row r="7" spans="1:10" ht="6" customHeight="1" x14ac:dyDescent="0.45"/>
    <row r="8" spans="1:10" ht="22.05" customHeight="1" x14ac:dyDescent="0.5">
      <c r="B8" s="7" t="s">
        <v>100</v>
      </c>
      <c r="C8" s="8"/>
      <c r="D8" s="8"/>
      <c r="E8" s="8"/>
      <c r="F8" s="8"/>
      <c r="G8" s="8"/>
      <c r="H8" s="8"/>
      <c r="I8" s="8"/>
      <c r="J8" s="8"/>
    </row>
    <row r="9" spans="1:10" ht="18" customHeight="1" x14ac:dyDescent="0.45">
      <c r="B9" s="23" t="s">
        <v>101</v>
      </c>
      <c r="C9" s="23" t="s">
        <v>102</v>
      </c>
      <c r="D9" s="24" t="s">
        <v>103</v>
      </c>
      <c r="E9" s="23" t="s">
        <v>104</v>
      </c>
      <c r="F9" s="5"/>
      <c r="G9" s="5"/>
      <c r="H9" s="5"/>
      <c r="I9" s="5"/>
      <c r="J9" s="23" t="s">
        <v>105</v>
      </c>
    </row>
    <row r="10" spans="1:10" x14ac:dyDescent="0.45">
      <c r="B10" s="25" t="s">
        <v>106</v>
      </c>
      <c r="C10" s="26" t="s">
        <v>107</v>
      </c>
      <c r="D10" s="27">
        <v>300</v>
      </c>
      <c r="E10" s="26" t="s">
        <v>108</v>
      </c>
      <c r="F10" s="28"/>
      <c r="G10" s="28"/>
      <c r="H10" s="28"/>
      <c r="I10" s="28"/>
      <c r="J10" s="29" t="s">
        <v>109</v>
      </c>
    </row>
    <row r="11" spans="1:10" x14ac:dyDescent="0.45">
      <c r="B11" s="25" t="s">
        <v>110</v>
      </c>
      <c r="C11" s="26" t="s">
        <v>111</v>
      </c>
      <c r="D11" s="30">
        <v>18</v>
      </c>
      <c r="E11" s="26" t="s">
        <v>108</v>
      </c>
      <c r="F11" s="28"/>
      <c r="G11" s="28"/>
      <c r="H11" s="28"/>
      <c r="I11" s="28"/>
      <c r="J11" s="29" t="s">
        <v>112</v>
      </c>
    </row>
    <row r="12" spans="1:10" x14ac:dyDescent="0.45">
      <c r="B12" s="25" t="s">
        <v>113</v>
      </c>
      <c r="C12" s="26" t="s">
        <v>114</v>
      </c>
      <c r="D12" s="31">
        <v>0.8</v>
      </c>
      <c r="E12" s="26" t="s">
        <v>108</v>
      </c>
      <c r="F12" s="28"/>
      <c r="G12" s="28"/>
      <c r="H12" s="28"/>
      <c r="I12" s="28"/>
      <c r="J12" s="29" t="s">
        <v>115</v>
      </c>
    </row>
    <row r="13" spans="1:10" ht="8" customHeight="1" x14ac:dyDescent="0.45"/>
    <row r="14" spans="1:10" ht="22.05" customHeight="1" x14ac:dyDescent="0.5">
      <c r="B14" s="7" t="s">
        <v>116</v>
      </c>
      <c r="C14" s="8"/>
      <c r="D14" s="8"/>
      <c r="E14" s="8"/>
      <c r="F14" s="8"/>
      <c r="G14" s="8"/>
      <c r="H14" s="8"/>
      <c r="I14" s="8"/>
      <c r="J14" s="8"/>
    </row>
    <row r="15" spans="1:10" ht="18" customHeight="1" x14ac:dyDescent="0.45">
      <c r="B15" s="13" t="s">
        <v>117</v>
      </c>
    </row>
    <row r="16" spans="1:10" ht="18" customHeight="1" x14ac:dyDescent="0.45">
      <c r="B16" s="23" t="s">
        <v>101</v>
      </c>
      <c r="C16" s="23" t="s">
        <v>102</v>
      </c>
      <c r="D16" s="24" t="s">
        <v>103</v>
      </c>
      <c r="E16" s="23" t="s">
        <v>104</v>
      </c>
      <c r="F16" s="5"/>
      <c r="G16" s="5"/>
      <c r="H16" s="5"/>
      <c r="I16" s="5"/>
      <c r="J16" s="23" t="s">
        <v>105</v>
      </c>
    </row>
    <row r="17" spans="2:10" x14ac:dyDescent="0.45">
      <c r="B17" s="25" t="s">
        <v>67</v>
      </c>
      <c r="C17" s="26" t="s">
        <v>118</v>
      </c>
      <c r="D17" s="30">
        <v>40</v>
      </c>
      <c r="E17" s="26" t="s">
        <v>108</v>
      </c>
      <c r="F17" s="28"/>
      <c r="G17" s="28"/>
      <c r="H17" s="28"/>
      <c r="I17" s="28"/>
      <c r="J17" s="29" t="s">
        <v>119</v>
      </c>
    </row>
    <row r="18" spans="2:10" x14ac:dyDescent="0.45">
      <c r="B18" s="25" t="s">
        <v>120</v>
      </c>
      <c r="C18" s="26" t="s">
        <v>118</v>
      </c>
      <c r="D18" s="30">
        <v>50</v>
      </c>
      <c r="E18" s="26" t="s">
        <v>108</v>
      </c>
      <c r="F18" s="28"/>
      <c r="G18" s="28"/>
      <c r="H18" s="28"/>
      <c r="I18" s="28"/>
      <c r="J18" s="29"/>
    </row>
    <row r="19" spans="2:10" x14ac:dyDescent="0.45">
      <c r="B19" s="25" t="s">
        <v>121</v>
      </c>
      <c r="C19" s="26" t="s">
        <v>118</v>
      </c>
      <c r="D19" s="30">
        <v>60</v>
      </c>
      <c r="E19" s="26" t="s">
        <v>108</v>
      </c>
      <c r="F19" s="28"/>
      <c r="G19" s="28"/>
      <c r="H19" s="28"/>
      <c r="I19" s="28"/>
      <c r="J19" s="29" t="s">
        <v>122</v>
      </c>
    </row>
    <row r="20" spans="2:10" ht="8" customHeight="1" x14ac:dyDescent="0.45"/>
    <row r="21" spans="2:10" ht="22.05" customHeight="1" x14ac:dyDescent="0.5">
      <c r="B21" s="7" t="s">
        <v>123</v>
      </c>
      <c r="C21" s="8"/>
      <c r="D21" s="8"/>
      <c r="E21" s="8"/>
      <c r="F21" s="8"/>
      <c r="G21" s="8"/>
      <c r="H21" s="8"/>
      <c r="I21" s="8"/>
      <c r="J21" s="8"/>
    </row>
    <row r="22" spans="2:10" ht="18" customHeight="1" x14ac:dyDescent="0.45">
      <c r="B22" s="13" t="s">
        <v>64</v>
      </c>
    </row>
    <row r="23" spans="2:10" ht="18" customHeight="1" x14ac:dyDescent="0.45">
      <c r="B23" s="23" t="s">
        <v>101</v>
      </c>
      <c r="C23" s="23" t="s">
        <v>102</v>
      </c>
      <c r="D23" s="24" t="s">
        <v>103</v>
      </c>
      <c r="E23" s="23" t="s">
        <v>104</v>
      </c>
      <c r="F23" s="24" t="s">
        <v>124</v>
      </c>
      <c r="G23" s="24" t="s">
        <v>125</v>
      </c>
      <c r="H23" s="24" t="s">
        <v>126</v>
      </c>
      <c r="I23" s="24" t="s">
        <v>127</v>
      </c>
      <c r="J23" s="23" t="s">
        <v>105</v>
      </c>
    </row>
    <row r="24" spans="2:10" x14ac:dyDescent="0.45">
      <c r="B24" s="25" t="s">
        <v>128</v>
      </c>
      <c r="C24" s="26" t="s">
        <v>129</v>
      </c>
      <c r="D24" s="32" cm="1">
        <f t="array" aca="1" ref="D24" ca="1">_xll.VoseInput("Average rate of a recruiting site","patients / month")+_xll.VosePERT(F24,G24,H24)</f>
        <v>0.3945276342842392</v>
      </c>
      <c r="E24" s="26" t="s">
        <v>130</v>
      </c>
      <c r="F24" s="33">
        <v>0.3</v>
      </c>
      <c r="G24" s="33">
        <v>0.5</v>
      </c>
      <c r="H24" s="33">
        <v>0.7</v>
      </c>
      <c r="I24" s="34" cm="1">
        <f t="array" ref="I24">IF(AND(F24&lt;=G24,G24&lt;=H24,F24&lt;H24),_xll.VoseMean(_xll.VosePERTObject(F24,G24,H24)),"✗ range")</f>
        <v>0.5</v>
      </c>
      <c r="J24" s="29" t="s">
        <v>131</v>
      </c>
    </row>
    <row r="25" spans="2:10" x14ac:dyDescent="0.45">
      <c r="B25" s="25" t="s">
        <v>132</v>
      </c>
      <c r="C25" s="26" t="s">
        <v>133</v>
      </c>
      <c r="D25" s="31">
        <v>0.6</v>
      </c>
      <c r="E25" s="26" t="s">
        <v>108</v>
      </c>
      <c r="F25" s="28"/>
      <c r="G25" s="28"/>
      <c r="H25" s="28"/>
      <c r="I25" s="28"/>
      <c r="J25" s="29" t="s">
        <v>134</v>
      </c>
    </row>
    <row r="26" spans="2:10" x14ac:dyDescent="0.45">
      <c r="B26" s="25" t="s">
        <v>135</v>
      </c>
      <c r="C26" s="26" t="s">
        <v>114</v>
      </c>
      <c r="D26" s="31">
        <v>0.85</v>
      </c>
      <c r="E26" s="26" t="s">
        <v>108</v>
      </c>
      <c r="F26" s="28"/>
      <c r="G26" s="28"/>
      <c r="H26" s="28"/>
      <c r="I26" s="28"/>
      <c r="J26" s="29" t="s">
        <v>136</v>
      </c>
    </row>
    <row r="27" spans="2:10" ht="8" customHeight="1" x14ac:dyDescent="0.45"/>
    <row r="28" spans="2:10" ht="22.05" customHeight="1" x14ac:dyDescent="0.5">
      <c r="B28" s="7" t="s">
        <v>137</v>
      </c>
      <c r="C28" s="8"/>
      <c r="D28" s="8"/>
      <c r="E28" s="8"/>
      <c r="F28" s="8"/>
      <c r="G28" s="8"/>
      <c r="H28" s="8"/>
      <c r="I28" s="8"/>
      <c r="J28" s="8"/>
    </row>
    <row r="29" spans="2:10" ht="18" customHeight="1" x14ac:dyDescent="0.45">
      <c r="B29" s="13" t="s">
        <v>138</v>
      </c>
    </row>
    <row r="30" spans="2:10" ht="18" customHeight="1" x14ac:dyDescent="0.45">
      <c r="B30" s="23" t="s">
        <v>101</v>
      </c>
      <c r="C30" s="23" t="s">
        <v>102</v>
      </c>
      <c r="D30" s="24" t="s">
        <v>103</v>
      </c>
      <c r="E30" s="23" t="s">
        <v>104</v>
      </c>
      <c r="F30" s="5"/>
      <c r="G30" s="5"/>
      <c r="H30" s="5"/>
      <c r="I30" s="5"/>
      <c r="J30" s="23" t="s">
        <v>105</v>
      </c>
    </row>
    <row r="31" spans="2:10" x14ac:dyDescent="0.45">
      <c r="B31" s="25" t="s">
        <v>139</v>
      </c>
      <c r="C31" s="26" t="s">
        <v>111</v>
      </c>
      <c r="D31" s="35">
        <v>1</v>
      </c>
      <c r="E31" s="26" t="s">
        <v>108</v>
      </c>
      <c r="F31" s="28"/>
      <c r="G31" s="28"/>
      <c r="H31" s="28"/>
      <c r="I31" s="28"/>
      <c r="J31" s="29"/>
    </row>
    <row r="32" spans="2:10" x14ac:dyDescent="0.45">
      <c r="B32" s="25" t="s">
        <v>125</v>
      </c>
      <c r="C32" s="26" t="s">
        <v>111</v>
      </c>
      <c r="D32" s="35">
        <v>3</v>
      </c>
      <c r="E32" s="26" t="s">
        <v>108</v>
      </c>
      <c r="F32" s="28"/>
      <c r="G32" s="28"/>
      <c r="H32" s="28"/>
      <c r="I32" s="28"/>
      <c r="J32" s="29" t="s">
        <v>140</v>
      </c>
    </row>
    <row r="33" spans="2:10" x14ac:dyDescent="0.45">
      <c r="B33" s="25" t="s">
        <v>141</v>
      </c>
      <c r="C33" s="26" t="s">
        <v>111</v>
      </c>
      <c r="D33" s="35">
        <v>8</v>
      </c>
      <c r="E33" s="26" t="s">
        <v>108</v>
      </c>
      <c r="F33" s="28"/>
      <c r="G33" s="28"/>
      <c r="H33" s="28"/>
      <c r="I33" s="28"/>
      <c r="J33" s="29"/>
    </row>
    <row r="34" spans="2:10" ht="8" customHeight="1" x14ac:dyDescent="0.45"/>
  </sheetData>
  <mergeCells count="1">
    <mergeCell ref="B6:J6"/>
  </mergeCells>
  <conditionalFormatting sqref="I24">
    <cfRule type="expression" dxfId="6" priority="1">
      <formula>LEFT($I24,1)="✗"</formula>
    </cfRule>
  </conditionalFormatting>
  <dataValidations count="5">
    <dataValidation type="decimal" operator="greaterThan" showErrorMessage="1" errorTitle="Positive value" error="Enter a value greater than zero." sqref="D10 D31:D33 D25" xr:uid="{00000000-0002-0000-0100-000000000000}">
      <formula1>0</formula1>
    </dataValidation>
    <dataValidation type="whole" showErrorMessage="1" errorTitle="Whole number" error="Enter a whole number from 1 to 48." sqref="D11" xr:uid="{00000000-0002-0000-0100-000001000000}">
      <formula1>1</formula1>
      <formula2>48</formula2>
    </dataValidation>
    <dataValidation type="decimal" showErrorMessage="1" errorTitle="Probability" error="Enter a value between 0% and 100%." sqref="D12 D26" xr:uid="{00000000-0002-0000-0100-000002000000}">
      <formula1>0</formula1>
      <formula2>1</formula2>
    </dataValidation>
    <dataValidation type="whole" showErrorMessage="1" errorTitle="Whole number" error="Enter a whole number from 1 to 60." sqref="D17:D19" xr:uid="{00000000-0002-0000-0100-000003000000}">
      <formula1>1</formula1>
      <formula2>60</formula2>
    </dataValidation>
    <dataValidation type="custom" showErrorMessage="1" errorTitle="PERT range" error="Low must be below High, with Most likely between them." sqref="F24:H24" xr:uid="{00000000-0002-0000-0100-000006000000}">
      <formula1>AND($F24&lt;=$G24,$G24&lt;=$H24,$F24&lt;$H24)</formula1>
    </dataValidation>
  </dataValidations>
  <hyperlinks>
    <hyperlink ref="B4" location="'About'!A1" display="◂  About" xr:uid="{00000000-0004-0000-0100-000000000000}"/>
    <hyperlink ref="J4" location="'Sites'!A1" display="Next:  Site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J81"/>
  <sheetViews>
    <sheetView showGridLines="0" workbookViewId="0"/>
  </sheetViews>
  <sheetFormatPr defaultRowHeight="14.25" x14ac:dyDescent="0.45"/>
  <cols>
    <col min="1" max="1" width="2" customWidth="1"/>
    <col min="2" max="2" width="24" customWidth="1"/>
    <col min="3" max="6" width="12" customWidth="1"/>
    <col min="7" max="7" width="3" customWidth="1"/>
    <col min="8" max="10" width="11"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142</v>
      </c>
      <c r="C3" s="1"/>
      <c r="D3" s="1"/>
      <c r="E3" s="1"/>
      <c r="F3" s="1"/>
      <c r="G3" s="1"/>
      <c r="H3" s="1"/>
      <c r="I3" s="1"/>
      <c r="J3" s="1"/>
    </row>
    <row r="4" spans="1:10" ht="20" customHeight="1" x14ac:dyDescent="0.45">
      <c r="A4" s="5"/>
      <c r="B4" s="22" t="s">
        <v>143</v>
      </c>
      <c r="C4" s="5"/>
      <c r="D4" s="5"/>
      <c r="E4" s="5"/>
      <c r="F4" s="5"/>
      <c r="G4" s="5"/>
      <c r="H4" s="5"/>
      <c r="I4" s="5"/>
      <c r="J4" s="6" t="s">
        <v>144</v>
      </c>
    </row>
    <row r="5" spans="1:10" ht="8" customHeight="1" x14ac:dyDescent="0.45"/>
    <row r="6" spans="1:10" ht="22.05" customHeight="1" x14ac:dyDescent="0.5">
      <c r="B6" s="7" t="s">
        <v>145</v>
      </c>
      <c r="C6" s="8"/>
      <c r="D6" s="8"/>
      <c r="E6" s="8"/>
      <c r="F6" s="8"/>
      <c r="G6" s="8"/>
      <c r="H6" s="8"/>
      <c r="I6" s="8"/>
      <c r="J6" s="8"/>
    </row>
    <row r="7" spans="1:10" ht="18" customHeight="1" x14ac:dyDescent="0.45">
      <c r="B7" s="36" t="s">
        <v>146</v>
      </c>
      <c r="C7" s="5"/>
      <c r="D7" s="5"/>
      <c r="E7" s="5"/>
      <c r="F7" s="37" t="s">
        <v>147</v>
      </c>
      <c r="G7" s="5"/>
      <c r="H7" s="36" t="s">
        <v>148</v>
      </c>
      <c r="I7" s="5"/>
      <c r="J7" s="5"/>
    </row>
    <row r="8" spans="1:10" x14ac:dyDescent="0.45">
      <c r="B8" s="25" t="s">
        <v>149</v>
      </c>
      <c r="C8" s="28"/>
      <c r="D8" s="28"/>
      <c r="E8" s="28"/>
      <c r="F8" s="34">
        <f>1/RateCV^2</f>
        <v>2.7777777777777777</v>
      </c>
      <c r="G8" s="28"/>
      <c r="H8" s="26" t="s">
        <v>150</v>
      </c>
      <c r="I8" s="28"/>
      <c r="J8" s="28"/>
    </row>
    <row r="9" spans="1:10" ht="8" customHeight="1" x14ac:dyDescent="0.45"/>
    <row r="10" spans="1:10" ht="22.05" customHeight="1" x14ac:dyDescent="0.5">
      <c r="B10" s="7" t="s">
        <v>151</v>
      </c>
      <c r="C10" s="8"/>
      <c r="D10" s="8"/>
      <c r="E10" s="8"/>
      <c r="F10" s="8"/>
      <c r="G10" s="8"/>
      <c r="H10" s="8"/>
      <c r="I10" s="8"/>
      <c r="J10" s="8"/>
    </row>
    <row r="11" spans="1:10" ht="18" customHeight="1" x14ac:dyDescent="0.45">
      <c r="B11" s="13" t="s">
        <v>152</v>
      </c>
    </row>
    <row r="12" spans="1:10" ht="18" customHeight="1" x14ac:dyDescent="0.45">
      <c r="B12" s="38" t="s">
        <v>153</v>
      </c>
      <c r="C12" s="39" t="s">
        <v>43</v>
      </c>
      <c r="D12" s="39" t="s">
        <v>154</v>
      </c>
      <c r="E12" s="39" t="s">
        <v>155</v>
      </c>
      <c r="F12" s="5"/>
      <c r="G12" s="5"/>
      <c r="H12" s="5"/>
      <c r="I12" s="5"/>
      <c r="J12" s="5"/>
    </row>
    <row r="13" spans="1:10" x14ac:dyDescent="0.45">
      <c r="B13" s="40"/>
      <c r="C13" s="40"/>
      <c r="D13" s="40" t="s">
        <v>118</v>
      </c>
      <c r="E13" s="40" t="s">
        <v>156</v>
      </c>
    </row>
    <row r="14" spans="1:10" x14ac:dyDescent="0.45">
      <c r="B14" s="25" t="s">
        <v>67</v>
      </c>
      <c r="C14" s="41">
        <f>Sites_1</f>
        <v>40</v>
      </c>
      <c r="D14" s="42">
        <f ca="1">SUMIF(Sites!$B$22:$B$81,"&lt;="&amp;Sites_1,Sites!$C$22:$C$81)</f>
        <v>36</v>
      </c>
      <c r="E14" s="43">
        <f ca="1">SUMIF(Sites!$B$22:$B$81,"&lt;="&amp;Sites_1,Sites!$E$22:$E$81)</f>
        <v>12.853780398278785</v>
      </c>
      <c r="F14" s="28"/>
      <c r="G14" s="28"/>
      <c r="H14" s="28"/>
      <c r="I14" s="28"/>
      <c r="J14" s="28"/>
    </row>
    <row r="15" spans="1:10" x14ac:dyDescent="0.45">
      <c r="B15" s="25" t="s">
        <v>120</v>
      </c>
      <c r="C15" s="41">
        <f>Sites_2</f>
        <v>50</v>
      </c>
      <c r="D15" s="42">
        <f ca="1">SUMIF(Sites!$B$22:$B$81,"&lt;="&amp;Sites_2,Sites!$C$22:$C$81)</f>
        <v>44</v>
      </c>
      <c r="E15" s="43">
        <f ca="1">SUMIF(Sites!$B$22:$B$81,"&lt;="&amp;Sites_2,Sites!$E$22:$E$81)</f>
        <v>15.865085237553046</v>
      </c>
      <c r="F15" s="28"/>
      <c r="G15" s="28"/>
      <c r="H15" s="28"/>
      <c r="I15" s="28"/>
      <c r="J15" s="28"/>
    </row>
    <row r="16" spans="1:10" x14ac:dyDescent="0.45">
      <c r="B16" s="25" t="s">
        <v>121</v>
      </c>
      <c r="C16" s="41">
        <f>Sites_3</f>
        <v>60</v>
      </c>
      <c r="D16" s="42">
        <f ca="1">SUMIF(Sites!$B$22:$B$81,"&lt;="&amp;Sites_3,Sites!$C$22:$C$81)</f>
        <v>51</v>
      </c>
      <c r="E16" s="43">
        <f ca="1">SUMIF(Sites!$B$22:$B$81,"&lt;="&amp;Sites_3,Sites!$E$22:$E$81)</f>
        <v>17.683832149424155</v>
      </c>
      <c r="F16" s="28"/>
      <c r="G16" s="28"/>
      <c r="H16" s="28"/>
      <c r="I16" s="28"/>
      <c r="J16" s="28"/>
    </row>
    <row r="17" spans="2:10" ht="8" customHeight="1" x14ac:dyDescent="0.45"/>
    <row r="18" spans="2:10" ht="22.05" customHeight="1" x14ac:dyDescent="0.5">
      <c r="B18" s="7" t="s">
        <v>157</v>
      </c>
      <c r="C18" s="8"/>
      <c r="D18" s="8"/>
      <c r="E18" s="8"/>
      <c r="F18" s="8"/>
      <c r="G18" s="8"/>
      <c r="H18" s="8"/>
      <c r="I18" s="8"/>
      <c r="J18" s="8"/>
    </row>
    <row r="19" spans="2:10" ht="18" customHeight="1" x14ac:dyDescent="0.45">
      <c r="B19" s="13" t="s">
        <v>158</v>
      </c>
    </row>
    <row r="20" spans="2:10" ht="18" customHeight="1" x14ac:dyDescent="0.45">
      <c r="B20" s="38" t="s">
        <v>159</v>
      </c>
      <c r="C20" s="39" t="s">
        <v>160</v>
      </c>
      <c r="D20" s="39" t="s">
        <v>161</v>
      </c>
      <c r="E20" s="39" t="s">
        <v>162</v>
      </c>
      <c r="F20" s="39" t="s">
        <v>163</v>
      </c>
      <c r="G20" s="5"/>
      <c r="H20" s="5"/>
      <c r="I20" s="5"/>
      <c r="J20" s="5"/>
    </row>
    <row r="21" spans="2:10" x14ac:dyDescent="0.45">
      <c r="B21" s="40"/>
      <c r="C21" s="40" t="s">
        <v>164</v>
      </c>
      <c r="D21" s="40" t="s">
        <v>165</v>
      </c>
      <c r="E21" s="40" t="s">
        <v>166</v>
      </c>
      <c r="F21" s="40" t="s">
        <v>111</v>
      </c>
    </row>
    <row r="22" spans="2:10" x14ac:dyDescent="0.45">
      <c r="B22" s="44">
        <v>1</v>
      </c>
      <c r="C22" s="45" cm="1">
        <f t="array" aca="1" ref="C22" ca="1">_xll.VoseBernoulli(PerfProb)</f>
        <v>1</v>
      </c>
      <c r="D22" s="32" cm="1">
        <f t="array" aca="1" ref="D22" ca="1">_xll.VoseGamma(GShape,1/GShape)</f>
        <v>0.53442605472509208</v>
      </c>
      <c r="E22" s="34">
        <f t="shared" ref="E22:E53" ca="1" si="0">C22*D22*RateMean</f>
        <v>0.21084584707054993</v>
      </c>
      <c r="F22" s="46" cm="1">
        <f t="array" aca="1" ref="F22" ca="1">_xll.VosePERT(Open_Lo,Open_ML,Open_Hi)</f>
        <v>3.4785522067189536</v>
      </c>
      <c r="G22" s="28"/>
      <c r="H22" s="28"/>
      <c r="I22" s="28"/>
      <c r="J22" s="28"/>
    </row>
    <row r="23" spans="2:10" x14ac:dyDescent="0.45">
      <c r="B23" s="44">
        <f t="shared" ref="B23:B54" si="1">B22+1</f>
        <v>2</v>
      </c>
      <c r="C23" s="45" cm="1">
        <f t="array" aca="1" ref="C23" ca="1">_xll.VoseBernoulli(PerfProb)</f>
        <v>0</v>
      </c>
      <c r="D23" s="32" cm="1">
        <f t="array" aca="1" ref="D23" ca="1">_xll.VoseGamma(GShape,1/GShape)</f>
        <v>0.78980225988129726</v>
      </c>
      <c r="E23" s="34">
        <f t="shared" ca="1" si="0"/>
        <v>0</v>
      </c>
      <c r="F23" s="46" cm="1">
        <f t="array" aca="1" ref="F23" ca="1">_xll.VosePERT(Open_Lo,Open_ML,Open_Hi)</f>
        <v>3.7170615833221015</v>
      </c>
      <c r="G23" s="28"/>
      <c r="H23" s="28"/>
      <c r="I23" s="28"/>
      <c r="J23" s="28"/>
    </row>
    <row r="24" spans="2:10" x14ac:dyDescent="0.45">
      <c r="B24" s="44">
        <f t="shared" si="1"/>
        <v>3</v>
      </c>
      <c r="C24" s="45" cm="1">
        <f t="array" aca="1" ref="C24" ca="1">_xll.VoseBernoulli(PerfProb)</f>
        <v>1</v>
      </c>
      <c r="D24" s="32" cm="1">
        <f t="array" aca="1" ref="D24" ca="1">_xll.VoseGamma(GShape,1/GShape)</f>
        <v>0.59661244897888677</v>
      </c>
      <c r="E24" s="34">
        <f t="shared" ca="1" si="0"/>
        <v>0.23538009808016655</v>
      </c>
      <c r="F24" s="46" cm="1">
        <f t="array" aca="1" ref="F24" ca="1">_xll.VosePERT(Open_Lo,Open_ML,Open_Hi)</f>
        <v>5.7394338238820364</v>
      </c>
      <c r="G24" s="28"/>
      <c r="H24" s="28"/>
      <c r="I24" s="28"/>
      <c r="J24" s="28"/>
    </row>
    <row r="25" spans="2:10" x14ac:dyDescent="0.45">
      <c r="B25" s="44">
        <f t="shared" si="1"/>
        <v>4</v>
      </c>
      <c r="C25" s="45" cm="1">
        <f t="array" aca="1" ref="C25" ca="1">_xll.VoseBernoulli(PerfProb)</f>
        <v>1</v>
      </c>
      <c r="D25" s="32" cm="1">
        <f t="array" aca="1" ref="D25" ca="1">_xll.VoseGamma(GShape,1/GShape)</f>
        <v>0.51846374750063395</v>
      </c>
      <c r="E25" s="34">
        <f t="shared" ca="1" si="0"/>
        <v>0.20454827576356624</v>
      </c>
      <c r="F25" s="46" cm="1">
        <f t="array" aca="1" ref="F25" ca="1">_xll.VosePERT(Open_Lo,Open_ML,Open_Hi)</f>
        <v>2.1373759356197777</v>
      </c>
      <c r="G25" s="28"/>
      <c r="H25" s="28"/>
      <c r="I25" s="28"/>
      <c r="J25" s="28"/>
    </row>
    <row r="26" spans="2:10" x14ac:dyDescent="0.45">
      <c r="B26" s="44">
        <f t="shared" si="1"/>
        <v>5</v>
      </c>
      <c r="C26" s="45" cm="1">
        <f t="array" aca="1" ref="C26" ca="1">_xll.VoseBernoulli(PerfProb)</f>
        <v>1</v>
      </c>
      <c r="D26" s="32" cm="1">
        <f t="array" aca="1" ref="D26" ca="1">_xll.VoseGamma(GShape,1/GShape)</f>
        <v>1.1052814740104464</v>
      </c>
      <c r="E26" s="34">
        <f t="shared" ca="1" si="0"/>
        <v>0.43606408515953826</v>
      </c>
      <c r="F26" s="46" cm="1">
        <f t="array" aca="1" ref="F26" ca="1">_xll.VosePERT(Open_Lo,Open_ML,Open_Hi)</f>
        <v>2.6079328913733555</v>
      </c>
      <c r="G26" s="28"/>
      <c r="H26" s="28"/>
      <c r="I26" s="28"/>
      <c r="J26" s="28"/>
    </row>
    <row r="27" spans="2:10" x14ac:dyDescent="0.45">
      <c r="B27" s="44">
        <f t="shared" si="1"/>
        <v>6</v>
      </c>
      <c r="C27" s="45" cm="1">
        <f t="array" aca="1" ref="C27" ca="1">_xll.VoseBernoulli(PerfProb)</f>
        <v>1</v>
      </c>
      <c r="D27" s="32" cm="1">
        <f t="array" aca="1" ref="D27" ca="1">_xll.VoseGamma(GShape,1/GShape)</f>
        <v>0.42607496192912525</v>
      </c>
      <c r="E27" s="34">
        <f t="shared" ca="1" si="0"/>
        <v>0.16809834675764507</v>
      </c>
      <c r="F27" s="46" cm="1">
        <f t="array" aca="1" ref="F27" ca="1">_xll.VosePERT(Open_Lo,Open_ML,Open_Hi)</f>
        <v>1.3956720643040956</v>
      </c>
      <c r="G27" s="28"/>
      <c r="H27" s="28"/>
      <c r="I27" s="28"/>
      <c r="J27" s="28"/>
    </row>
    <row r="28" spans="2:10" x14ac:dyDescent="0.45">
      <c r="B28" s="44">
        <f t="shared" si="1"/>
        <v>7</v>
      </c>
      <c r="C28" s="45" cm="1">
        <f t="array" aca="1" ref="C28" ca="1">_xll.VoseBernoulli(PerfProb)</f>
        <v>0</v>
      </c>
      <c r="D28" s="32" cm="1">
        <f t="array" aca="1" ref="D28" ca="1">_xll.VoseGamma(GShape,1/GShape)</f>
        <v>0.71121339022741958</v>
      </c>
      <c r="E28" s="34">
        <f t="shared" ca="1" si="0"/>
        <v>0</v>
      </c>
      <c r="F28" s="46" cm="1">
        <f t="array" aca="1" ref="F28" ca="1">_xll.VosePERT(Open_Lo,Open_ML,Open_Hi)</f>
        <v>2.5595484077410013</v>
      </c>
      <c r="G28" s="28"/>
      <c r="H28" s="28"/>
      <c r="I28" s="28"/>
      <c r="J28" s="28"/>
    </row>
    <row r="29" spans="2:10" x14ac:dyDescent="0.45">
      <c r="B29" s="44">
        <f t="shared" si="1"/>
        <v>8</v>
      </c>
      <c r="C29" s="45" cm="1">
        <f t="array" aca="1" ref="C29" ca="1">_xll.VoseBernoulli(PerfProb)</f>
        <v>1</v>
      </c>
      <c r="D29" s="32" cm="1">
        <f t="array" aca="1" ref="D29" ca="1">_xll.VoseGamma(GShape,1/GShape)</f>
        <v>0.54501000170053093</v>
      </c>
      <c r="E29" s="34">
        <f t="shared" ca="1" si="0"/>
        <v>0.21502150663215966</v>
      </c>
      <c r="F29" s="46" cm="1">
        <f t="array" aca="1" ref="F29" ca="1">_xll.VosePERT(Open_Lo,Open_ML,Open_Hi)</f>
        <v>2.7162900191501547</v>
      </c>
      <c r="G29" s="28"/>
      <c r="H29" s="28"/>
      <c r="I29" s="28"/>
      <c r="J29" s="28"/>
    </row>
    <row r="30" spans="2:10" x14ac:dyDescent="0.45">
      <c r="B30" s="44">
        <f t="shared" si="1"/>
        <v>9</v>
      </c>
      <c r="C30" s="45" cm="1">
        <f t="array" aca="1" ref="C30" ca="1">_xll.VoseBernoulli(PerfProb)</f>
        <v>1</v>
      </c>
      <c r="D30" s="32" cm="1">
        <f t="array" aca="1" ref="D30" ca="1">_xll.VoseGamma(GShape,1/GShape)</f>
        <v>0.13687607413362671</v>
      </c>
      <c r="E30" s="34">
        <f t="shared" ca="1" si="0"/>
        <v>5.4001393718053889E-2</v>
      </c>
      <c r="F30" s="46" cm="1">
        <f t="array" aca="1" ref="F30" ca="1">_xll.VosePERT(Open_Lo,Open_ML,Open_Hi)</f>
        <v>4.1395114321022755</v>
      </c>
      <c r="G30" s="28"/>
      <c r="H30" s="28"/>
      <c r="I30" s="28"/>
      <c r="J30" s="28"/>
    </row>
    <row r="31" spans="2:10" x14ac:dyDescent="0.45">
      <c r="B31" s="44">
        <f t="shared" si="1"/>
        <v>10</v>
      </c>
      <c r="C31" s="45" cm="1">
        <f t="array" aca="1" ref="C31" ca="1">_xll.VoseBernoulli(PerfProb)</f>
        <v>1</v>
      </c>
      <c r="D31" s="32" cm="1">
        <f t="array" aca="1" ref="D31" ca="1">_xll.VoseGamma(GShape,1/GShape)</f>
        <v>2.1293445961427615</v>
      </c>
      <c r="E31" s="34">
        <f t="shared" ca="1" si="0"/>
        <v>0.8400852860921324</v>
      </c>
      <c r="F31" s="46" cm="1">
        <f t="array" aca="1" ref="F31" ca="1">_xll.VosePERT(Open_Lo,Open_ML,Open_Hi)</f>
        <v>5.2277144725839504</v>
      </c>
      <c r="G31" s="28"/>
      <c r="H31" s="28"/>
      <c r="I31" s="28"/>
      <c r="J31" s="28"/>
    </row>
    <row r="32" spans="2:10" x14ac:dyDescent="0.45">
      <c r="B32" s="44">
        <f t="shared" si="1"/>
        <v>11</v>
      </c>
      <c r="C32" s="45" cm="1">
        <f t="array" aca="1" ref="C32" ca="1">_xll.VoseBernoulli(PerfProb)</f>
        <v>1</v>
      </c>
      <c r="D32" s="32" cm="1">
        <f t="array" aca="1" ref="D32" ca="1">_xll.VoseGamma(GShape,1/GShape)</f>
        <v>0.2248587692376133</v>
      </c>
      <c r="E32" s="34">
        <f t="shared" ca="1" si="0"/>
        <v>8.8712998275381233E-2</v>
      </c>
      <c r="F32" s="46" cm="1">
        <f t="array" aca="1" ref="F32" ca="1">_xll.VosePERT(Open_Lo,Open_ML,Open_Hi)</f>
        <v>2.3419295587670517</v>
      </c>
      <c r="G32" s="28"/>
      <c r="H32" s="28"/>
      <c r="I32" s="28"/>
      <c r="J32" s="28"/>
    </row>
    <row r="33" spans="2:10" x14ac:dyDescent="0.45">
      <c r="B33" s="44">
        <f t="shared" si="1"/>
        <v>12</v>
      </c>
      <c r="C33" s="45" cm="1">
        <f t="array" aca="1" ref="C33" ca="1">_xll.VoseBernoulli(PerfProb)</f>
        <v>1</v>
      </c>
      <c r="D33" s="32" cm="1">
        <f t="array" aca="1" ref="D33" ca="1">_xll.VoseGamma(GShape,1/GShape)</f>
        <v>0.74535679029319102</v>
      </c>
      <c r="E33" s="34">
        <f t="shared" ca="1" si="0"/>
        <v>0.29406385117206646</v>
      </c>
      <c r="F33" s="46" cm="1">
        <f t="array" aca="1" ref="F33" ca="1">_xll.VosePERT(Open_Lo,Open_ML,Open_Hi)</f>
        <v>4.1445477629235148</v>
      </c>
      <c r="G33" s="28"/>
      <c r="H33" s="28"/>
      <c r="I33" s="28"/>
      <c r="J33" s="28"/>
    </row>
    <row r="34" spans="2:10" x14ac:dyDescent="0.45">
      <c r="B34" s="44">
        <f t="shared" si="1"/>
        <v>13</v>
      </c>
      <c r="C34" s="45" cm="1">
        <f t="array" aca="1" ref="C34" ca="1">_xll.VoseBernoulli(PerfProb)</f>
        <v>1</v>
      </c>
      <c r="D34" s="32" cm="1">
        <f t="array" aca="1" ref="D34" ca="1">_xll.VoseGamma(GShape,1/GShape)</f>
        <v>0.73286206077163629</v>
      </c>
      <c r="E34" s="34">
        <f t="shared" ca="1" si="0"/>
        <v>0.28913433509290604</v>
      </c>
      <c r="F34" s="46" cm="1">
        <f t="array" aca="1" ref="F34" ca="1">_xll.VosePERT(Open_Lo,Open_ML,Open_Hi)</f>
        <v>5.1156012673125568</v>
      </c>
      <c r="G34" s="28"/>
      <c r="H34" s="28"/>
      <c r="I34" s="28"/>
      <c r="J34" s="28"/>
    </row>
    <row r="35" spans="2:10" x14ac:dyDescent="0.45">
      <c r="B35" s="44">
        <f t="shared" si="1"/>
        <v>14</v>
      </c>
      <c r="C35" s="45" cm="1">
        <f t="array" aca="1" ref="C35" ca="1">_xll.VoseBernoulli(PerfProb)</f>
        <v>1</v>
      </c>
      <c r="D35" s="32" cm="1">
        <f t="array" aca="1" ref="D35" ca="1">_xll.VoseGamma(GShape,1/GShape)</f>
        <v>0.80913905881057879</v>
      </c>
      <c r="E35" s="34">
        <f t="shared" ca="1" si="0"/>
        <v>0.31922771867951355</v>
      </c>
      <c r="F35" s="46" cm="1">
        <f t="array" aca="1" ref="F35" ca="1">_xll.VosePERT(Open_Lo,Open_ML,Open_Hi)</f>
        <v>4.8945853661800403</v>
      </c>
      <c r="G35" s="28"/>
      <c r="H35" s="28"/>
      <c r="I35" s="28"/>
      <c r="J35" s="28"/>
    </row>
    <row r="36" spans="2:10" x14ac:dyDescent="0.45">
      <c r="B36" s="44">
        <f t="shared" si="1"/>
        <v>15</v>
      </c>
      <c r="C36" s="45" cm="1">
        <f t="array" aca="1" ref="C36" ca="1">_xll.VoseBernoulli(PerfProb)</f>
        <v>1</v>
      </c>
      <c r="D36" s="32" cm="1">
        <f t="array" aca="1" ref="D36" ca="1">_xll.VoseGamma(GShape,1/GShape)</f>
        <v>0.86713767504335493</v>
      </c>
      <c r="E36" s="34">
        <f t="shared" ca="1" si="0"/>
        <v>0.34210977553359018</v>
      </c>
      <c r="F36" s="46" cm="1">
        <f t="array" aca="1" ref="F36" ca="1">_xll.VosePERT(Open_Lo,Open_ML,Open_Hi)</f>
        <v>3.8817996387361138</v>
      </c>
      <c r="G36" s="28"/>
      <c r="H36" s="28"/>
      <c r="I36" s="28"/>
      <c r="J36" s="28"/>
    </row>
    <row r="37" spans="2:10" x14ac:dyDescent="0.45">
      <c r="B37" s="44">
        <f t="shared" si="1"/>
        <v>16</v>
      </c>
      <c r="C37" s="45" cm="1">
        <f t="array" aca="1" ref="C37" ca="1">_xll.VoseBernoulli(PerfProb)</f>
        <v>1</v>
      </c>
      <c r="D37" s="32" cm="1">
        <f t="array" aca="1" ref="D37" ca="1">_xll.VoseGamma(GShape,1/GShape)</f>
        <v>0.55042551259570638</v>
      </c>
      <c r="E37" s="34">
        <f t="shared" ca="1" si="0"/>
        <v>0.21715807533407375</v>
      </c>
      <c r="F37" s="46" cm="1">
        <f t="array" aca="1" ref="F37" ca="1">_xll.VosePERT(Open_Lo,Open_ML,Open_Hi)</f>
        <v>1.7535896742902852</v>
      </c>
      <c r="G37" s="28"/>
      <c r="H37" s="28"/>
      <c r="I37" s="28"/>
      <c r="J37" s="28"/>
    </row>
    <row r="38" spans="2:10" x14ac:dyDescent="0.45">
      <c r="B38" s="44">
        <f t="shared" si="1"/>
        <v>17</v>
      </c>
      <c r="C38" s="45" cm="1">
        <f t="array" aca="1" ref="C38" ca="1">_xll.VoseBernoulli(PerfProb)</f>
        <v>1</v>
      </c>
      <c r="D38" s="32" cm="1">
        <f t="array" aca="1" ref="D38" ca="1">_xll.VoseGamma(GShape,1/GShape)</f>
        <v>0.88916456310766379</v>
      </c>
      <c r="E38" s="34">
        <f t="shared" ca="1" si="0"/>
        <v>0.35079999157224573</v>
      </c>
      <c r="F38" s="46" cm="1">
        <f t="array" aca="1" ref="F38" ca="1">_xll.VosePERT(Open_Lo,Open_ML,Open_Hi)</f>
        <v>5.7751461994364082</v>
      </c>
      <c r="G38" s="28"/>
      <c r="H38" s="28"/>
      <c r="I38" s="28"/>
      <c r="J38" s="28"/>
    </row>
    <row r="39" spans="2:10" x14ac:dyDescent="0.45">
      <c r="B39" s="44">
        <f t="shared" si="1"/>
        <v>18</v>
      </c>
      <c r="C39" s="45" cm="1">
        <f t="array" aca="1" ref="C39" ca="1">_xll.VoseBernoulli(PerfProb)</f>
        <v>1</v>
      </c>
      <c r="D39" s="32" cm="1">
        <f t="array" aca="1" ref="D39" ca="1">_xll.VoseGamma(GShape,1/GShape)</f>
        <v>0.64420044035014412</v>
      </c>
      <c r="E39" s="34">
        <f t="shared" ca="1" si="0"/>
        <v>0.25415487573620749</v>
      </c>
      <c r="F39" s="46" cm="1">
        <f t="array" aca="1" ref="F39" ca="1">_xll.VosePERT(Open_Lo,Open_ML,Open_Hi)</f>
        <v>4.5885929367093636</v>
      </c>
      <c r="G39" s="28"/>
      <c r="H39" s="28"/>
      <c r="I39" s="28"/>
      <c r="J39" s="28"/>
    </row>
    <row r="40" spans="2:10" x14ac:dyDescent="0.45">
      <c r="B40" s="44">
        <f t="shared" si="1"/>
        <v>19</v>
      </c>
      <c r="C40" s="45" cm="1">
        <f t="array" aca="1" ref="C40" ca="1">_xll.VoseBernoulli(PerfProb)</f>
        <v>1</v>
      </c>
      <c r="D40" s="32" cm="1">
        <f t="array" aca="1" ref="D40" ca="1">_xll.VoseGamma(GShape,1/GShape)</f>
        <v>1.453199896849604</v>
      </c>
      <c r="E40" s="34">
        <f t="shared" ca="1" si="0"/>
        <v>0.57332751744617472</v>
      </c>
      <c r="F40" s="46" cm="1">
        <f t="array" aca="1" ref="F40" ca="1">_xll.VosePERT(Open_Lo,Open_ML,Open_Hi)</f>
        <v>5.526999755963371</v>
      </c>
      <c r="G40" s="28"/>
      <c r="H40" s="28"/>
      <c r="I40" s="28"/>
      <c r="J40" s="28"/>
    </row>
    <row r="41" spans="2:10" x14ac:dyDescent="0.45">
      <c r="B41" s="44">
        <f t="shared" si="1"/>
        <v>20</v>
      </c>
      <c r="C41" s="45" cm="1">
        <f t="array" aca="1" ref="C41" ca="1">_xll.VoseBernoulli(PerfProb)</f>
        <v>1</v>
      </c>
      <c r="D41" s="32" cm="1">
        <f t="array" aca="1" ref="D41" ca="1">_xll.VoseGamma(GShape,1/GShape)</f>
        <v>1.4115338906678061</v>
      </c>
      <c r="E41" s="34">
        <f t="shared" ca="1" si="0"/>
        <v>0.55688912659719747</v>
      </c>
      <c r="F41" s="46" cm="1">
        <f t="array" aca="1" ref="F41" ca="1">_xll.VosePERT(Open_Lo,Open_ML,Open_Hi)</f>
        <v>2.8112741873780713</v>
      </c>
      <c r="G41" s="28"/>
      <c r="H41" s="28"/>
      <c r="I41" s="28"/>
      <c r="J41" s="28"/>
    </row>
    <row r="42" spans="2:10" x14ac:dyDescent="0.45">
      <c r="B42" s="44">
        <f t="shared" si="1"/>
        <v>21</v>
      </c>
      <c r="C42" s="45" cm="1">
        <f t="array" aca="1" ref="C42" ca="1">_xll.VoseBernoulli(PerfProb)</f>
        <v>1</v>
      </c>
      <c r="D42" s="32" cm="1">
        <f t="array" aca="1" ref="D42" ca="1">_xll.VoseGamma(GShape,1/GShape)</f>
        <v>1.5184900392640661</v>
      </c>
      <c r="E42" s="34">
        <f t="shared" ca="1" si="0"/>
        <v>0.59908628287503352</v>
      </c>
      <c r="F42" s="46" cm="1">
        <f t="array" aca="1" ref="F42" ca="1">_xll.VosePERT(Open_Lo,Open_ML,Open_Hi)</f>
        <v>3.4630586695780874</v>
      </c>
      <c r="G42" s="28"/>
      <c r="H42" s="28"/>
      <c r="I42" s="28"/>
      <c r="J42" s="28"/>
    </row>
    <row r="43" spans="2:10" x14ac:dyDescent="0.45">
      <c r="B43" s="44">
        <f t="shared" si="1"/>
        <v>22</v>
      </c>
      <c r="C43" s="45" cm="1">
        <f t="array" aca="1" ref="C43" ca="1">_xll.VoseBernoulli(PerfProb)</f>
        <v>1</v>
      </c>
      <c r="D43" s="32" cm="1">
        <f t="array" aca="1" ref="D43" ca="1">_xll.VoseGamma(GShape,1/GShape)</f>
        <v>0.97396522837121657</v>
      </c>
      <c r="E43" s="34">
        <f t="shared" ca="1" si="0"/>
        <v>0.38425619742440487</v>
      </c>
      <c r="F43" s="46" cm="1">
        <f t="array" aca="1" ref="F43" ca="1">_xll.VosePERT(Open_Lo,Open_ML,Open_Hi)</f>
        <v>1.2922541348211993</v>
      </c>
      <c r="G43" s="28"/>
      <c r="H43" s="28"/>
      <c r="I43" s="28"/>
      <c r="J43" s="28"/>
    </row>
    <row r="44" spans="2:10" x14ac:dyDescent="0.45">
      <c r="B44" s="44">
        <f t="shared" si="1"/>
        <v>23</v>
      </c>
      <c r="C44" s="45" cm="1">
        <f t="array" aca="1" ref="C44" ca="1">_xll.VoseBernoulli(PerfProb)</f>
        <v>1</v>
      </c>
      <c r="D44" s="32" cm="1">
        <f t="array" aca="1" ref="D44" ca="1">_xll.VoseGamma(GShape,1/GShape)</f>
        <v>0.60314640623897009</v>
      </c>
      <c r="E44" s="34">
        <f t="shared" ca="1" si="0"/>
        <v>0.23795792478050157</v>
      </c>
      <c r="F44" s="46" cm="1">
        <f t="array" aca="1" ref="F44" ca="1">_xll.VosePERT(Open_Lo,Open_ML,Open_Hi)</f>
        <v>5.9071761929704873</v>
      </c>
      <c r="G44" s="28"/>
      <c r="H44" s="28"/>
      <c r="I44" s="28"/>
      <c r="J44" s="28"/>
    </row>
    <row r="45" spans="2:10" x14ac:dyDescent="0.45">
      <c r="B45" s="44">
        <f t="shared" si="1"/>
        <v>24</v>
      </c>
      <c r="C45" s="45" cm="1">
        <f t="array" aca="1" ref="C45" ca="1">_xll.VoseBernoulli(PerfProb)</f>
        <v>1</v>
      </c>
      <c r="D45" s="32" cm="1">
        <f t="array" aca="1" ref="D45" ca="1">_xll.VoseGamma(GShape,1/GShape)</f>
        <v>0.97986560213489282</v>
      </c>
      <c r="E45" s="34">
        <f t="shared" ca="1" si="0"/>
        <v>0.38658405792678086</v>
      </c>
      <c r="F45" s="46" cm="1">
        <f t="array" aca="1" ref="F45" ca="1">_xll.VosePERT(Open_Lo,Open_ML,Open_Hi)</f>
        <v>3.2805685014069823</v>
      </c>
      <c r="G45" s="28"/>
      <c r="H45" s="28"/>
      <c r="I45" s="28"/>
      <c r="J45" s="28"/>
    </row>
    <row r="46" spans="2:10" x14ac:dyDescent="0.45">
      <c r="B46" s="44">
        <f t="shared" si="1"/>
        <v>25</v>
      </c>
      <c r="C46" s="45" cm="1">
        <f t="array" aca="1" ref="C46" ca="1">_xll.VoseBernoulli(PerfProb)</f>
        <v>0</v>
      </c>
      <c r="D46" s="32" cm="1">
        <f t="array" aca="1" ref="D46" ca="1">_xll.VoseGamma(GShape,1/GShape)</f>
        <v>1.7101848381059477</v>
      </c>
      <c r="E46" s="34">
        <f t="shared" ca="1" si="0"/>
        <v>0</v>
      </c>
      <c r="F46" s="46" cm="1">
        <f t="array" aca="1" ref="F46" ca="1">_xll.VosePERT(Open_Lo,Open_ML,Open_Hi)</f>
        <v>4.097200381305667</v>
      </c>
      <c r="G46" s="28"/>
      <c r="H46" s="28"/>
      <c r="I46" s="28"/>
      <c r="J46" s="28"/>
    </row>
    <row r="47" spans="2:10" x14ac:dyDescent="0.45">
      <c r="B47" s="44">
        <f t="shared" si="1"/>
        <v>26</v>
      </c>
      <c r="C47" s="45" cm="1">
        <f t="array" aca="1" ref="C47" ca="1">_xll.VoseBernoulli(PerfProb)</f>
        <v>1</v>
      </c>
      <c r="D47" s="32" cm="1">
        <f t="array" aca="1" ref="D47" ca="1">_xll.VoseGamma(GShape,1/GShape)</f>
        <v>0.70426222886834378</v>
      </c>
      <c r="E47" s="34">
        <f t="shared" ca="1" si="0"/>
        <v>0.2778509110711731</v>
      </c>
      <c r="F47" s="46" cm="1">
        <f t="array" aca="1" ref="F47" ca="1">_xll.VosePERT(Open_Lo,Open_ML,Open_Hi)</f>
        <v>4.8994108906627352</v>
      </c>
      <c r="G47" s="28"/>
      <c r="H47" s="28"/>
      <c r="I47" s="28"/>
      <c r="J47" s="28"/>
    </row>
    <row r="48" spans="2:10" x14ac:dyDescent="0.45">
      <c r="B48" s="44">
        <f t="shared" si="1"/>
        <v>27</v>
      </c>
      <c r="C48" s="45" cm="1">
        <f t="array" aca="1" ref="C48" ca="1">_xll.VoseBernoulli(PerfProb)</f>
        <v>0</v>
      </c>
      <c r="D48" s="32" cm="1">
        <f t="array" aca="1" ref="D48" ca="1">_xll.VoseGamma(GShape,1/GShape)</f>
        <v>1.1570535133489397</v>
      </c>
      <c r="E48" s="34">
        <f t="shared" ca="1" si="0"/>
        <v>0</v>
      </c>
      <c r="F48" s="46" cm="1">
        <f t="array" aca="1" ref="F48" ca="1">_xll.VosePERT(Open_Lo,Open_ML,Open_Hi)</f>
        <v>5.5085393601324828</v>
      </c>
      <c r="G48" s="28"/>
      <c r="H48" s="28"/>
      <c r="I48" s="28"/>
      <c r="J48" s="28"/>
    </row>
    <row r="49" spans="2:10" x14ac:dyDescent="0.45">
      <c r="B49" s="44">
        <f t="shared" si="1"/>
        <v>28</v>
      </c>
      <c r="C49" s="45" cm="1">
        <f t="array" aca="1" ref="C49" ca="1">_xll.VoseBernoulli(PerfProb)</f>
        <v>1</v>
      </c>
      <c r="D49" s="32" cm="1">
        <f t="array" aca="1" ref="D49" ca="1">_xll.VoseGamma(GShape,1/GShape)</f>
        <v>0.79805393602805264</v>
      </c>
      <c r="E49" s="34">
        <f t="shared" ca="1" si="0"/>
        <v>0.31485433141237318</v>
      </c>
      <c r="F49" s="46" cm="1">
        <f t="array" aca="1" ref="F49" ca="1">_xll.VosePERT(Open_Lo,Open_ML,Open_Hi)</f>
        <v>2.8990168812460779</v>
      </c>
      <c r="G49" s="28"/>
      <c r="H49" s="28"/>
      <c r="I49" s="28"/>
      <c r="J49" s="28"/>
    </row>
    <row r="50" spans="2:10" x14ac:dyDescent="0.45">
      <c r="B50" s="44">
        <f t="shared" si="1"/>
        <v>29</v>
      </c>
      <c r="C50" s="45" cm="1">
        <f t="array" aca="1" ref="C50" ca="1">_xll.VoseBernoulli(PerfProb)</f>
        <v>1</v>
      </c>
      <c r="D50" s="32" cm="1">
        <f t="array" aca="1" ref="D50" ca="1">_xll.VoseGamma(GShape,1/GShape)</f>
        <v>0.71188672292557975</v>
      </c>
      <c r="E50" s="34">
        <f t="shared" ca="1" si="0"/>
        <v>0.28085898467418863</v>
      </c>
      <c r="F50" s="46" cm="1">
        <f t="array" aca="1" ref="F50" ca="1">_xll.VosePERT(Open_Lo,Open_ML,Open_Hi)</f>
        <v>5.551210184237652</v>
      </c>
      <c r="G50" s="28"/>
      <c r="H50" s="28"/>
      <c r="I50" s="28"/>
      <c r="J50" s="28"/>
    </row>
    <row r="51" spans="2:10" x14ac:dyDescent="0.45">
      <c r="B51" s="44">
        <f t="shared" si="1"/>
        <v>30</v>
      </c>
      <c r="C51" s="45" cm="1">
        <f t="array" aca="1" ref="C51" ca="1">_xll.VoseBernoulli(PerfProb)</f>
        <v>1</v>
      </c>
      <c r="D51" s="32" cm="1">
        <f t="array" aca="1" ref="D51" ca="1">_xll.VoseGamma(GShape,1/GShape)</f>
        <v>0.52988543879796302</v>
      </c>
      <c r="E51" s="34">
        <f t="shared" ca="1" si="0"/>
        <v>0.20905444861062636</v>
      </c>
      <c r="F51" s="46" cm="1">
        <f t="array" aca="1" ref="F51" ca="1">_xll.VosePERT(Open_Lo,Open_ML,Open_Hi)</f>
        <v>4.8991504833980715</v>
      </c>
      <c r="G51" s="28"/>
      <c r="H51" s="28"/>
      <c r="I51" s="28"/>
      <c r="J51" s="28"/>
    </row>
    <row r="52" spans="2:10" x14ac:dyDescent="0.45">
      <c r="B52" s="44">
        <f t="shared" si="1"/>
        <v>31</v>
      </c>
      <c r="C52" s="45" cm="1">
        <f t="array" aca="1" ref="C52" ca="1">_xll.VoseBernoulli(PerfProb)</f>
        <v>1</v>
      </c>
      <c r="D52" s="32" cm="1">
        <f t="array" aca="1" ref="D52" ca="1">_xll.VoseGamma(GShape,1/GShape)</f>
        <v>0.26615825441850077</v>
      </c>
      <c r="E52" s="34">
        <f t="shared" ca="1" si="0"/>
        <v>0.10500678646095377</v>
      </c>
      <c r="F52" s="46" cm="1">
        <f t="array" aca="1" ref="F52" ca="1">_xll.VosePERT(Open_Lo,Open_ML,Open_Hi)</f>
        <v>2.6706370097245742</v>
      </c>
      <c r="G52" s="28"/>
      <c r="H52" s="28"/>
      <c r="I52" s="28"/>
      <c r="J52" s="28"/>
    </row>
    <row r="53" spans="2:10" x14ac:dyDescent="0.45">
      <c r="B53" s="44">
        <f t="shared" si="1"/>
        <v>32</v>
      </c>
      <c r="C53" s="45" cm="1">
        <f t="array" aca="1" ref="C53" ca="1">_xll.VoseBernoulli(PerfProb)</f>
        <v>1</v>
      </c>
      <c r="D53" s="32" cm="1">
        <f t="array" aca="1" ref="D53" ca="1">_xll.VoseGamma(GShape,1/GShape)</f>
        <v>2.1425127674140088</v>
      </c>
      <c r="E53" s="34">
        <f t="shared" ca="1" si="0"/>
        <v>0.84528049355162727</v>
      </c>
      <c r="F53" s="46" cm="1">
        <f t="array" aca="1" ref="F53" ca="1">_xll.VosePERT(Open_Lo,Open_ML,Open_Hi)</f>
        <v>4.5644373799388909</v>
      </c>
      <c r="G53" s="28"/>
      <c r="H53" s="28"/>
      <c r="I53" s="28"/>
      <c r="J53" s="28"/>
    </row>
    <row r="54" spans="2:10" x14ac:dyDescent="0.45">
      <c r="B54" s="44">
        <f t="shared" si="1"/>
        <v>33</v>
      </c>
      <c r="C54" s="45" cm="1">
        <f t="array" aca="1" ref="C54" ca="1">_xll.VoseBernoulli(PerfProb)</f>
        <v>1</v>
      </c>
      <c r="D54" s="32" cm="1">
        <f t="array" aca="1" ref="D54" ca="1">_xll.VoseGamma(GShape,1/GShape)</f>
        <v>1.1403387337442268</v>
      </c>
      <c r="E54" s="34">
        <f t="shared" ref="E54:E85" ca="1" si="2">C54*D54*RateMean</f>
        <v>0.44989514290679472</v>
      </c>
      <c r="F54" s="46" cm="1">
        <f t="array" aca="1" ref="F54" ca="1">_xll.VosePERT(Open_Lo,Open_ML,Open_Hi)</f>
        <v>2.5774690615492331</v>
      </c>
      <c r="G54" s="28"/>
      <c r="H54" s="28"/>
      <c r="I54" s="28"/>
      <c r="J54" s="28"/>
    </row>
    <row r="55" spans="2:10" x14ac:dyDescent="0.45">
      <c r="B55" s="44">
        <f t="shared" ref="B55:B81" si="3">B54+1</f>
        <v>34</v>
      </c>
      <c r="C55" s="45" cm="1">
        <f t="array" aca="1" ref="C55" ca="1">_xll.VoseBernoulli(PerfProb)</f>
        <v>1</v>
      </c>
      <c r="D55" s="32" cm="1">
        <f t="array" aca="1" ref="D55" ca="1">_xll.VoseGamma(GShape,1/GShape)</f>
        <v>0.8053672476991609</v>
      </c>
      <c r="E55" s="34">
        <f t="shared" ca="1" si="2"/>
        <v>0.31773963496475882</v>
      </c>
      <c r="F55" s="46" cm="1">
        <f t="array" aca="1" ref="F55" ca="1">_xll.VosePERT(Open_Lo,Open_ML,Open_Hi)</f>
        <v>3.8612949716790634</v>
      </c>
      <c r="G55" s="28"/>
      <c r="H55" s="28"/>
      <c r="I55" s="28"/>
      <c r="J55" s="28"/>
    </row>
    <row r="56" spans="2:10" x14ac:dyDescent="0.45">
      <c r="B56" s="44">
        <f t="shared" si="3"/>
        <v>35</v>
      </c>
      <c r="C56" s="45" cm="1">
        <f t="array" aca="1" ref="C56" ca="1">_xll.VoseBernoulli(PerfProb)</f>
        <v>1</v>
      </c>
      <c r="D56" s="32" cm="1">
        <f t="array" aca="1" ref="D56" ca="1">_xll.VoseGamma(GShape,1/GShape)</f>
        <v>2.1101301878824525</v>
      </c>
      <c r="E56" s="34">
        <f t="shared" ca="1" si="2"/>
        <v>0.83250467105702119</v>
      </c>
      <c r="F56" s="46" cm="1">
        <f t="array" aca="1" ref="F56" ca="1">_xll.VosePERT(Open_Lo,Open_ML,Open_Hi)</f>
        <v>1.7465023521553085</v>
      </c>
      <c r="G56" s="28"/>
      <c r="H56" s="28"/>
      <c r="I56" s="28"/>
      <c r="J56" s="28"/>
    </row>
    <row r="57" spans="2:10" x14ac:dyDescent="0.45">
      <c r="B57" s="44">
        <f t="shared" si="3"/>
        <v>36</v>
      </c>
      <c r="C57" s="45" cm="1">
        <f t="array" aca="1" ref="C57" ca="1">_xll.VoseBernoulli(PerfProb)</f>
        <v>1</v>
      </c>
      <c r="D57" s="32" cm="1">
        <f t="array" aca="1" ref="D57" ca="1">_xll.VoseGamma(GShape,1/GShape)</f>
        <v>0.98681669163790064</v>
      </c>
      <c r="E57" s="34">
        <f t="shared" ca="1" si="2"/>
        <v>0.3893264548241005</v>
      </c>
      <c r="F57" s="46" cm="1">
        <f t="array" aca="1" ref="F57" ca="1">_xll.VosePERT(Open_Lo,Open_ML,Open_Hi)</f>
        <v>2.6076781255987096</v>
      </c>
      <c r="G57" s="28"/>
      <c r="H57" s="28"/>
      <c r="I57" s="28"/>
      <c r="J57" s="28"/>
    </row>
    <row r="58" spans="2:10" x14ac:dyDescent="0.45">
      <c r="B58" s="44">
        <f t="shared" si="3"/>
        <v>37</v>
      </c>
      <c r="C58" s="45" cm="1">
        <f t="array" aca="1" ref="C58" ca="1">_xll.VoseBernoulli(PerfProb)</f>
        <v>1</v>
      </c>
      <c r="D58" s="32" cm="1">
        <f t="array" aca="1" ref="D58" ca="1">_xll.VoseGamma(GShape,1/GShape)</f>
        <v>1.1463297932556997</v>
      </c>
      <c r="E58" s="34">
        <f t="shared" ca="1" si="2"/>
        <v>0.45225878144271225</v>
      </c>
      <c r="F58" s="46" cm="1">
        <f t="array" aca="1" ref="F58" ca="1">_xll.VosePERT(Open_Lo,Open_ML,Open_Hi)</f>
        <v>3.2930224937573271</v>
      </c>
      <c r="G58" s="28"/>
      <c r="H58" s="28"/>
      <c r="I58" s="28"/>
      <c r="J58" s="28"/>
    </row>
    <row r="59" spans="2:10" x14ac:dyDescent="0.45">
      <c r="B59" s="44">
        <f t="shared" si="3"/>
        <v>38</v>
      </c>
      <c r="C59" s="45" cm="1">
        <f t="array" aca="1" ref="C59" ca="1">_xll.VoseBernoulli(PerfProb)</f>
        <v>1</v>
      </c>
      <c r="D59" s="32" cm="1">
        <f t="array" aca="1" ref="D59" ca="1">_xll.VoseGamma(GShape,1/GShape)</f>
        <v>1.3193255804185029</v>
      </c>
      <c r="E59" s="34">
        <f t="shared" ca="1" si="2"/>
        <v>0.52051040009319272</v>
      </c>
      <c r="F59" s="46" cm="1">
        <f t="array" aca="1" ref="F59" ca="1">_xll.VosePERT(Open_Lo,Open_ML,Open_Hi)</f>
        <v>4.140716365224276</v>
      </c>
      <c r="G59" s="28"/>
      <c r="H59" s="28"/>
      <c r="I59" s="28"/>
      <c r="J59" s="28"/>
    </row>
    <row r="60" spans="2:10" x14ac:dyDescent="0.45">
      <c r="B60" s="44">
        <f t="shared" si="3"/>
        <v>39</v>
      </c>
      <c r="C60" s="45" cm="1">
        <f t="array" aca="1" ref="C60" ca="1">_xll.VoseBernoulli(PerfProb)</f>
        <v>1</v>
      </c>
      <c r="D60" s="32" cm="1">
        <f t="array" aca="1" ref="D60" ca="1">_xll.VoseGamma(GShape,1/GShape)</f>
        <v>0.98447760604219614</v>
      </c>
      <c r="E60" s="34">
        <f t="shared" ca="1" si="2"/>
        <v>0.38840362091763886</v>
      </c>
      <c r="F60" s="46" cm="1">
        <f t="array" aca="1" ref="F60" ca="1">_xll.VosePERT(Open_Lo,Open_ML,Open_Hi)</f>
        <v>3.5353992632452478</v>
      </c>
      <c r="G60" s="28"/>
      <c r="H60" s="28"/>
      <c r="I60" s="28"/>
      <c r="J60" s="28"/>
    </row>
    <row r="61" spans="2:10" x14ac:dyDescent="0.45">
      <c r="B61" s="44">
        <f t="shared" si="3"/>
        <v>40</v>
      </c>
      <c r="C61" s="45" cm="1">
        <f t="array" aca="1" ref="C61" ca="1">_xll.VoseBernoulli(PerfProb)</f>
        <v>1</v>
      </c>
      <c r="D61" s="32" cm="1">
        <f t="array" aca="1" ref="D61" ca="1">_xll.VoseGamma(GShape,1/GShape)</f>
        <v>0.53919713116590229</v>
      </c>
      <c r="E61" s="34">
        <f t="shared" ca="1" si="2"/>
        <v>0.21272816857173205</v>
      </c>
      <c r="F61" s="46" cm="1">
        <f t="array" aca="1" ref="F61" ca="1">_xll.VosePERT(Open_Lo,Open_ML,Open_Hi)</f>
        <v>5.2506166422875458</v>
      </c>
      <c r="G61" s="28"/>
      <c r="H61" s="28"/>
      <c r="I61" s="28"/>
      <c r="J61" s="28"/>
    </row>
    <row r="62" spans="2:10" x14ac:dyDescent="0.45">
      <c r="B62" s="44">
        <f t="shared" si="3"/>
        <v>41</v>
      </c>
      <c r="C62" s="45" cm="1">
        <f t="array" aca="1" ref="C62" ca="1">_xll.VoseBernoulli(PerfProb)</f>
        <v>1</v>
      </c>
      <c r="D62" s="32" cm="1">
        <f t="array" aca="1" ref="D62" ca="1">_xll.VoseGamma(GShape,1/GShape)</f>
        <v>1.278416020289098</v>
      </c>
      <c r="E62" s="34">
        <f t="shared" ca="1" si="2"/>
        <v>0.50437044811572973</v>
      </c>
      <c r="F62" s="46" cm="1">
        <f t="array" aca="1" ref="F62" ca="1">_xll.VosePERT(Open_Lo,Open_ML,Open_Hi)</f>
        <v>4.3155082706493069</v>
      </c>
      <c r="G62" s="28"/>
      <c r="H62" s="28"/>
      <c r="I62" s="28"/>
      <c r="J62" s="28"/>
    </row>
    <row r="63" spans="2:10" x14ac:dyDescent="0.45">
      <c r="B63" s="44">
        <f t="shared" si="3"/>
        <v>42</v>
      </c>
      <c r="C63" s="45" cm="1">
        <f t="array" aca="1" ref="C63" ca="1">_xll.VoseBernoulli(PerfProb)</f>
        <v>1</v>
      </c>
      <c r="D63" s="32" cm="1">
        <f t="array" aca="1" ref="D63" ca="1">_xll.VoseGamma(GShape,1/GShape)</f>
        <v>0.99821737341006667</v>
      </c>
      <c r="E63" s="34">
        <f t="shared" ca="1" si="2"/>
        <v>0.39382433883290063</v>
      </c>
      <c r="F63" s="46" cm="1">
        <f t="array" aca="1" ref="F63" ca="1">_xll.VosePERT(Open_Lo,Open_ML,Open_Hi)</f>
        <v>3.0463907842458218</v>
      </c>
      <c r="G63" s="28"/>
      <c r="H63" s="28"/>
      <c r="I63" s="28"/>
      <c r="J63" s="28"/>
    </row>
    <row r="64" spans="2:10" x14ac:dyDescent="0.45">
      <c r="B64" s="44">
        <f t="shared" si="3"/>
        <v>43</v>
      </c>
      <c r="C64" s="45" cm="1">
        <f t="array" aca="1" ref="C64" ca="1">_xll.VoseBernoulli(PerfProb)</f>
        <v>0</v>
      </c>
      <c r="D64" s="32" cm="1">
        <f t="array" aca="1" ref="D64" ca="1">_xll.VoseGamma(GShape,1/GShape)</f>
        <v>4.0912919876663478</v>
      </c>
      <c r="E64" s="34">
        <f t="shared" ca="1" si="2"/>
        <v>0</v>
      </c>
      <c r="F64" s="46" cm="1">
        <f t="array" aca="1" ref="F64" ca="1">_xll.VosePERT(Open_Lo,Open_ML,Open_Hi)</f>
        <v>1.6749674520622948</v>
      </c>
      <c r="G64" s="28"/>
      <c r="H64" s="28"/>
      <c r="I64" s="28"/>
      <c r="J64" s="28"/>
    </row>
    <row r="65" spans="2:10" x14ac:dyDescent="0.45">
      <c r="B65" s="44">
        <f t="shared" si="3"/>
        <v>44</v>
      </c>
      <c r="C65" s="45" cm="1">
        <f t="array" aca="1" ref="C65" ca="1">_xll.VoseBernoulli(PerfProb)</f>
        <v>0</v>
      </c>
      <c r="D65" s="32" cm="1">
        <f t="array" aca="1" ref="D65" ca="1">_xll.VoseGamma(GShape,1/GShape)</f>
        <v>1.0377052723482514</v>
      </c>
      <c r="E65" s="34">
        <f t="shared" ca="1" si="2"/>
        <v>0</v>
      </c>
      <c r="F65" s="46" cm="1">
        <f t="array" aca="1" ref="F65" ca="1">_xll.VosePERT(Open_Lo,Open_ML,Open_Hi)</f>
        <v>2.4091304792328492</v>
      </c>
      <c r="G65" s="28"/>
      <c r="H65" s="28"/>
      <c r="I65" s="28"/>
      <c r="J65" s="28"/>
    </row>
    <row r="66" spans="2:10" x14ac:dyDescent="0.45">
      <c r="B66" s="44">
        <f t="shared" si="3"/>
        <v>45</v>
      </c>
      <c r="C66" s="45" cm="1">
        <f t="array" aca="1" ref="C66" ca="1">_xll.VoseBernoulli(PerfProb)</f>
        <v>1</v>
      </c>
      <c r="D66" s="32" cm="1">
        <f t="array" aca="1" ref="D66" ca="1">_xll.VoseGamma(GShape,1/GShape)</f>
        <v>0.68518987950088983</v>
      </c>
      <c r="E66" s="34">
        <f t="shared" ca="1" si="2"/>
        <v>0.27032634219498897</v>
      </c>
      <c r="F66" s="46" cm="1">
        <f t="array" aca="1" ref="F66" ca="1">_xll.VosePERT(Open_Lo,Open_ML,Open_Hi)</f>
        <v>3.207624731465295</v>
      </c>
      <c r="G66" s="28"/>
      <c r="H66" s="28"/>
      <c r="I66" s="28"/>
      <c r="J66" s="28"/>
    </row>
    <row r="67" spans="2:10" x14ac:dyDescent="0.45">
      <c r="B67" s="44">
        <f t="shared" si="3"/>
        <v>46</v>
      </c>
      <c r="C67" s="45" cm="1">
        <f t="array" aca="1" ref="C67" ca="1">_xll.VoseBernoulli(PerfProb)</f>
        <v>1</v>
      </c>
      <c r="D67" s="32" cm="1">
        <f t="array" aca="1" ref="D67" ca="1">_xll.VoseGamma(GShape,1/GShape)</f>
        <v>1.5221834077201792</v>
      </c>
      <c r="E67" s="34">
        <f t="shared" ca="1" si="2"/>
        <v>0.60054341879456385</v>
      </c>
      <c r="F67" s="46" cm="1">
        <f t="array" aca="1" ref="F67" ca="1">_xll.VosePERT(Open_Lo,Open_ML,Open_Hi)</f>
        <v>1.9393285002805702</v>
      </c>
      <c r="G67" s="28"/>
      <c r="H67" s="28"/>
      <c r="I67" s="28"/>
      <c r="J67" s="28"/>
    </row>
    <row r="68" spans="2:10" x14ac:dyDescent="0.45">
      <c r="B68" s="44">
        <f t="shared" si="3"/>
        <v>47</v>
      </c>
      <c r="C68" s="45" cm="1">
        <f t="array" aca="1" ref="C68" ca="1">_xll.VoseBernoulli(PerfProb)</f>
        <v>1</v>
      </c>
      <c r="D68" s="32" cm="1">
        <f t="array" aca="1" ref="D68" ca="1">_xll.VoseGamma(GShape,1/GShape)</f>
        <v>0.35491687107356551</v>
      </c>
      <c r="E68" s="34">
        <f t="shared" ca="1" si="2"/>
        <v>0.14002451351221812</v>
      </c>
      <c r="F68" s="46" cm="1">
        <f t="array" aca="1" ref="F68" ca="1">_xll.VosePERT(Open_Lo,Open_ML,Open_Hi)</f>
        <v>2.9834801804353432</v>
      </c>
      <c r="G68" s="28"/>
      <c r="H68" s="28"/>
      <c r="I68" s="28"/>
      <c r="J68" s="28"/>
    </row>
    <row r="69" spans="2:10" x14ac:dyDescent="0.45">
      <c r="B69" s="44">
        <f t="shared" si="3"/>
        <v>48</v>
      </c>
      <c r="C69" s="45" cm="1">
        <f t="array" aca="1" ref="C69" ca="1">_xll.VoseBernoulli(PerfProb)</f>
        <v>1</v>
      </c>
      <c r="D69" s="32" cm="1">
        <f t="array" aca="1" ref="D69" ca="1">_xll.VoseGamma(GShape,1/GShape)</f>
        <v>1.4844792549130543</v>
      </c>
      <c r="E69" s="34">
        <f t="shared" ca="1" si="2"/>
        <v>0.5856680885848774</v>
      </c>
      <c r="F69" s="46" cm="1">
        <f t="array" aca="1" ref="F69" ca="1">_xll.VosePERT(Open_Lo,Open_ML,Open_Hi)</f>
        <v>5.4034760606096448</v>
      </c>
      <c r="G69" s="28"/>
      <c r="H69" s="28"/>
      <c r="I69" s="28"/>
      <c r="J69" s="28"/>
    </row>
    <row r="70" spans="2:10" x14ac:dyDescent="0.45">
      <c r="B70" s="44">
        <f t="shared" si="3"/>
        <v>49</v>
      </c>
      <c r="C70" s="45" cm="1">
        <f t="array" aca="1" ref="C70" ca="1">_xll.VoseBernoulli(PerfProb)</f>
        <v>1</v>
      </c>
      <c r="D70" s="32" cm="1">
        <f t="array" aca="1" ref="D70" ca="1">_xll.VoseGamma(GShape,1/GShape)</f>
        <v>1.0787868524453796</v>
      </c>
      <c r="E70" s="34">
        <f t="shared" ca="1" si="2"/>
        <v>0.42561122479221625</v>
      </c>
      <c r="F70" s="46" cm="1">
        <f t="array" aca="1" ref="F70" ca="1">_xll.VosePERT(Open_Lo,Open_ML,Open_Hi)</f>
        <v>4.9364046731521976</v>
      </c>
      <c r="G70" s="28"/>
      <c r="H70" s="28"/>
      <c r="I70" s="28"/>
      <c r="J70" s="28"/>
    </row>
    <row r="71" spans="2:10" x14ac:dyDescent="0.45">
      <c r="B71" s="44">
        <f t="shared" si="3"/>
        <v>50</v>
      </c>
      <c r="C71" s="45" cm="1">
        <f t="array" aca="1" ref="C71" ca="1">_xll.VoseBernoulli(PerfProb)</f>
        <v>1</v>
      </c>
      <c r="D71" s="32" cm="1">
        <f t="array" aca="1" ref="D71" ca="1">_xll.VoseGamma(GShape,1/GShape)</f>
        <v>0.2304945371234797</v>
      </c>
      <c r="E71" s="34">
        <f t="shared" ca="1" si="2"/>
        <v>9.0936464446767201E-2</v>
      </c>
      <c r="F71" s="46" cm="1">
        <f t="array" aca="1" ref="F71" ca="1">_xll.VosePERT(Open_Lo,Open_ML,Open_Hi)</f>
        <v>3.3752245546122994</v>
      </c>
      <c r="G71" s="28"/>
      <c r="H71" s="28"/>
      <c r="I71" s="28"/>
      <c r="J71" s="28"/>
    </row>
    <row r="72" spans="2:10" x14ac:dyDescent="0.45">
      <c r="B72" s="44">
        <f t="shared" si="3"/>
        <v>51</v>
      </c>
      <c r="C72" s="45" cm="1">
        <f t="array" aca="1" ref="C72" ca="1">_xll.VoseBernoulli(PerfProb)</f>
        <v>1</v>
      </c>
      <c r="D72" s="32" cm="1">
        <f t="array" aca="1" ref="D72" ca="1">_xll.VoseGamma(GShape,1/GShape)</f>
        <v>1.5024698010920163</v>
      </c>
      <c r="E72" s="34">
        <f t="shared" ca="1" si="2"/>
        <v>0.59276585620834465</v>
      </c>
      <c r="F72" s="46" cm="1">
        <f t="array" aca="1" ref="F72" ca="1">_xll.VosePERT(Open_Lo,Open_ML,Open_Hi)</f>
        <v>6.242140613514839</v>
      </c>
      <c r="G72" s="28"/>
      <c r="H72" s="28"/>
      <c r="I72" s="28"/>
      <c r="J72" s="28"/>
    </row>
    <row r="73" spans="2:10" x14ac:dyDescent="0.45">
      <c r="B73" s="44">
        <f t="shared" si="3"/>
        <v>52</v>
      </c>
      <c r="C73" s="45" cm="1">
        <f t="array" aca="1" ref="C73" ca="1">_xll.VoseBernoulli(PerfProb)</f>
        <v>1</v>
      </c>
      <c r="D73" s="32" cm="1">
        <f t="array" aca="1" ref="D73" ca="1">_xll.VoseGamma(GShape,1/GShape)</f>
        <v>0.33693261008733305</v>
      </c>
      <c r="E73" s="34">
        <f t="shared" ca="1" si="2"/>
        <v>0.13292922557096951</v>
      </c>
      <c r="F73" s="46" cm="1">
        <f t="array" aca="1" ref="F73" ca="1">_xll.VosePERT(Open_Lo,Open_ML,Open_Hi)</f>
        <v>3.5541919114408698</v>
      </c>
      <c r="G73" s="28"/>
      <c r="H73" s="28"/>
      <c r="I73" s="28"/>
      <c r="J73" s="28"/>
    </row>
    <row r="74" spans="2:10" x14ac:dyDescent="0.45">
      <c r="B74" s="44">
        <f t="shared" si="3"/>
        <v>53</v>
      </c>
      <c r="C74" s="45" cm="1">
        <f t="array" aca="1" ref="C74" ca="1">_xll.VoseBernoulli(PerfProb)</f>
        <v>1</v>
      </c>
      <c r="D74" s="32" cm="1">
        <f t="array" aca="1" ref="D74" ca="1">_xll.VoseGamma(GShape,1/GShape)</f>
        <v>0.29318408829171183</v>
      </c>
      <c r="E74" s="34">
        <f t="shared" ca="1" si="2"/>
        <v>0.11566922476351058</v>
      </c>
      <c r="F74" s="46" cm="1">
        <f t="array" aca="1" ref="F74" ca="1">_xll.VosePERT(Open_Lo,Open_ML,Open_Hi)</f>
        <v>3.3972383188937325</v>
      </c>
      <c r="G74" s="28"/>
      <c r="H74" s="28"/>
      <c r="I74" s="28"/>
      <c r="J74" s="28"/>
    </row>
    <row r="75" spans="2:10" x14ac:dyDescent="0.45">
      <c r="B75" s="44">
        <f t="shared" si="3"/>
        <v>54</v>
      </c>
      <c r="C75" s="45" cm="1">
        <f t="array" aca="1" ref="C75" ca="1">_xll.VoseBernoulli(PerfProb)</f>
        <v>0</v>
      </c>
      <c r="D75" s="32" cm="1">
        <f t="array" aca="1" ref="D75" ca="1">_xll.VoseGamma(GShape,1/GShape)</f>
        <v>1.9390576692088342</v>
      </c>
      <c r="E75" s="34">
        <f t="shared" ca="1" si="2"/>
        <v>0</v>
      </c>
      <c r="F75" s="46" cm="1">
        <f t="array" aca="1" ref="F75" ca="1">_xll.VosePERT(Open_Lo,Open_ML,Open_Hi)</f>
        <v>1.5401773512072063</v>
      </c>
      <c r="G75" s="28"/>
      <c r="H75" s="28"/>
      <c r="I75" s="28"/>
      <c r="J75" s="28"/>
    </row>
    <row r="76" spans="2:10" x14ac:dyDescent="0.45">
      <c r="B76" s="44">
        <f t="shared" si="3"/>
        <v>55</v>
      </c>
      <c r="C76" s="45" cm="1">
        <f t="array" aca="1" ref="C76" ca="1">_xll.VoseBernoulli(PerfProb)</f>
        <v>1</v>
      </c>
      <c r="D76" s="32" cm="1">
        <f t="array" aca="1" ref="D76" ca="1">_xll.VoseGamma(GShape,1/GShape)</f>
        <v>0.28014049762823251</v>
      </c>
      <c r="E76" s="34">
        <f t="shared" ca="1" si="2"/>
        <v>0.1105231677964761</v>
      </c>
      <c r="F76" s="46" cm="1">
        <f t="array" aca="1" ref="F76" ca="1">_xll.VosePERT(Open_Lo,Open_ML,Open_Hi)</f>
        <v>1.4807806983676308</v>
      </c>
      <c r="G76" s="28"/>
      <c r="H76" s="28"/>
      <c r="I76" s="28"/>
      <c r="J76" s="28"/>
    </row>
    <row r="77" spans="2:10" x14ac:dyDescent="0.45">
      <c r="B77" s="44">
        <f t="shared" si="3"/>
        <v>56</v>
      </c>
      <c r="C77" s="45" cm="1">
        <f t="array" aca="1" ref="C77" ca="1">_xll.VoseBernoulli(PerfProb)</f>
        <v>0</v>
      </c>
      <c r="D77" s="32" cm="1">
        <f t="array" aca="1" ref="D77" ca="1">_xll.VoseGamma(GShape,1/GShape)</f>
        <v>0.47142810640181215</v>
      </c>
      <c r="E77" s="34">
        <f t="shared" ca="1" si="2"/>
        <v>0</v>
      </c>
      <c r="F77" s="46" cm="1">
        <f t="array" aca="1" ref="F77" ca="1">_xll.VosePERT(Open_Lo,Open_ML,Open_Hi)</f>
        <v>3.9091756224688474</v>
      </c>
      <c r="G77" s="28"/>
      <c r="H77" s="28"/>
      <c r="I77" s="28"/>
      <c r="J77" s="28"/>
    </row>
    <row r="78" spans="2:10" x14ac:dyDescent="0.45">
      <c r="B78" s="44">
        <f t="shared" si="3"/>
        <v>57</v>
      </c>
      <c r="C78" s="45" cm="1">
        <f t="array" aca="1" ref="C78" ca="1">_xll.VoseBernoulli(PerfProb)</f>
        <v>1</v>
      </c>
      <c r="D78" s="32" cm="1">
        <f t="array" aca="1" ref="D78" ca="1">_xll.VoseGamma(GShape,1/GShape)</f>
        <v>0.97036197444867012</v>
      </c>
      <c r="E78" s="34">
        <f t="shared" ca="1" si="2"/>
        <v>0.38283461417861719</v>
      </c>
      <c r="F78" s="46" cm="1">
        <f t="array" aca="1" ref="F78" ca="1">_xll.VosePERT(Open_Lo,Open_ML,Open_Hi)</f>
        <v>1.9874550404034665</v>
      </c>
      <c r="G78" s="28"/>
      <c r="H78" s="28"/>
      <c r="I78" s="28"/>
      <c r="J78" s="28"/>
    </row>
    <row r="79" spans="2:10" x14ac:dyDescent="0.45">
      <c r="B79" s="44">
        <f t="shared" si="3"/>
        <v>58</v>
      </c>
      <c r="C79" s="45" cm="1">
        <f t="array" aca="1" ref="C79" ca="1">_xll.VoseBernoulli(PerfProb)</f>
        <v>1</v>
      </c>
      <c r="D79" s="32" cm="1">
        <f t="array" aca="1" ref="D79" ca="1">_xll.VoseGamma(GShape,1/GShape)</f>
        <v>0.47025173682480131</v>
      </c>
      <c r="E79" s="34">
        <f t="shared" ca="1" si="2"/>
        <v>0.18552730524754352</v>
      </c>
      <c r="F79" s="46" cm="1">
        <f t="array" aca="1" ref="F79" ca="1">_xll.VosePERT(Open_Lo,Open_ML,Open_Hi)</f>
        <v>4.4993003752905718</v>
      </c>
      <c r="G79" s="28"/>
      <c r="H79" s="28"/>
      <c r="I79" s="28"/>
      <c r="J79" s="28"/>
    </row>
    <row r="80" spans="2:10" x14ac:dyDescent="0.45">
      <c r="B80" s="44">
        <f t="shared" si="3"/>
        <v>59</v>
      </c>
      <c r="C80" s="45" cm="1">
        <f t="array" aca="1" ref="C80" ca="1">_xll.VoseBernoulli(PerfProb)</f>
        <v>1</v>
      </c>
      <c r="D80" s="32" cm="1">
        <f t="array" aca="1" ref="D80" ca="1">_xll.VoseGamma(GShape,1/GShape)</f>
        <v>0.75659470254140915</v>
      </c>
      <c r="E80" s="34">
        <f t="shared" ca="1" si="2"/>
        <v>0.29849751810564984</v>
      </c>
      <c r="F80" s="46" cm="1">
        <f t="array" aca="1" ref="F80" ca="1">_xll.VosePERT(Open_Lo,Open_ML,Open_Hi)</f>
        <v>3.6260263802593471</v>
      </c>
      <c r="G80" s="28"/>
      <c r="H80" s="28"/>
      <c r="I80" s="28"/>
      <c r="J80" s="28"/>
    </row>
    <row r="81" spans="2:10" x14ac:dyDescent="0.45">
      <c r="B81" s="44">
        <f t="shared" si="3"/>
        <v>60</v>
      </c>
      <c r="C81" s="45" cm="1">
        <f t="array" aca="1" ref="C81" ca="1">_xll.VoseBernoulli(PerfProb)</f>
        <v>0</v>
      </c>
      <c r="D81" s="32" cm="1">
        <f t="array" aca="1" ref="D81" ca="1">_xll.VoseGamma(GShape,1/GShape)</f>
        <v>2.9339455450021612</v>
      </c>
      <c r="E81" s="34">
        <f t="shared" ca="1" si="2"/>
        <v>0</v>
      </c>
      <c r="F81" s="46" cm="1">
        <f t="array" aca="1" ref="F81" ca="1">_xll.VosePERT(Open_Lo,Open_ML,Open_Hi)</f>
        <v>2.2486850293077487</v>
      </c>
      <c r="G81" s="28"/>
      <c r="H81" s="28"/>
      <c r="I81" s="28"/>
      <c r="J81" s="28"/>
    </row>
  </sheetData>
  <hyperlinks>
    <hyperlink ref="B4" location="'Inputs'!A1" display="◂  Inputs" xr:uid="{00000000-0004-0000-0200-000000000000}"/>
    <hyperlink ref="J4" location="'Enrolment'!A1" display="Next:  Enrolment  ▸" xr:uid="{00000000-0004-0000-0200-000001000000}"/>
  </hyperlinks>
  <printOptions horizontalCentered="1"/>
  <pageMargins left="0.4" right="0.4" top="0.5" bottom="0.6" header="0.25" footer="0.25"/>
  <pageSetup paperSize="9" scale="86" fitToHeight="0" orientation="portrait"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sheetPr>
  <dimension ref="A1:BA127"/>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6" customWidth="1"/>
    <col min="3" max="3" width="13" customWidth="1"/>
    <col min="4" max="4" width="10" customWidth="1"/>
    <col min="5" max="5" width="3" customWidth="1"/>
    <col min="6" max="53" width="6.59765625" customWidth="1"/>
  </cols>
  <sheetData>
    <row r="1" spans="1:53" ht="6" customHeight="1" x14ac:dyDescent="0.45"/>
    <row r="2" spans="1:53" ht="30" customHeight="1" x14ac:dyDescent="0.45">
      <c r="A2" s="1"/>
      <c r="B2" s="21"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3" t="s">
        <v>1</v>
      </c>
    </row>
    <row r="3" spans="1:53" ht="20" customHeight="1" x14ac:dyDescent="0.45">
      <c r="A3" s="1"/>
      <c r="B3" s="4" t="s">
        <v>167</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row>
    <row r="4" spans="1:53" ht="20" customHeight="1" x14ac:dyDescent="0.45">
      <c r="A4" s="5"/>
      <c r="B4" s="22" t="s">
        <v>168</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6" t="s">
        <v>169</v>
      </c>
    </row>
    <row r="5" spans="1:53" ht="8" customHeight="1" x14ac:dyDescent="0.45"/>
    <row r="6" spans="1:53" ht="16.05" customHeight="1" x14ac:dyDescent="0.45">
      <c r="B6" s="47" t="s">
        <v>170</v>
      </c>
      <c r="C6" s="48"/>
      <c r="D6" s="49" t="s">
        <v>171</v>
      </c>
      <c r="E6" s="50"/>
      <c r="F6" s="51">
        <v>1</v>
      </c>
      <c r="G6" s="51">
        <f t="shared" ref="G6:BA6" si="0">F6+1</f>
        <v>2</v>
      </c>
      <c r="H6" s="51">
        <f t="shared" si="0"/>
        <v>3</v>
      </c>
      <c r="I6" s="51">
        <f t="shared" si="0"/>
        <v>4</v>
      </c>
      <c r="J6" s="51">
        <f t="shared" si="0"/>
        <v>5</v>
      </c>
      <c r="K6" s="51">
        <f t="shared" si="0"/>
        <v>6</v>
      </c>
      <c r="L6" s="51">
        <f t="shared" si="0"/>
        <v>7</v>
      </c>
      <c r="M6" s="51">
        <f t="shared" si="0"/>
        <v>8</v>
      </c>
      <c r="N6" s="51">
        <f t="shared" si="0"/>
        <v>9</v>
      </c>
      <c r="O6" s="51">
        <f t="shared" si="0"/>
        <v>10</v>
      </c>
      <c r="P6" s="51">
        <f t="shared" si="0"/>
        <v>11</v>
      </c>
      <c r="Q6" s="51">
        <f t="shared" si="0"/>
        <v>12</v>
      </c>
      <c r="R6" s="51">
        <f t="shared" si="0"/>
        <v>13</v>
      </c>
      <c r="S6" s="51">
        <f t="shared" si="0"/>
        <v>14</v>
      </c>
      <c r="T6" s="51">
        <f t="shared" si="0"/>
        <v>15</v>
      </c>
      <c r="U6" s="51">
        <f t="shared" si="0"/>
        <v>16</v>
      </c>
      <c r="V6" s="51">
        <f t="shared" si="0"/>
        <v>17</v>
      </c>
      <c r="W6" s="51">
        <f t="shared" si="0"/>
        <v>18</v>
      </c>
      <c r="X6" s="51">
        <f t="shared" si="0"/>
        <v>19</v>
      </c>
      <c r="Y6" s="51">
        <f t="shared" si="0"/>
        <v>20</v>
      </c>
      <c r="Z6" s="51">
        <f t="shared" si="0"/>
        <v>21</v>
      </c>
      <c r="AA6" s="51">
        <f t="shared" si="0"/>
        <v>22</v>
      </c>
      <c r="AB6" s="51">
        <f t="shared" si="0"/>
        <v>23</v>
      </c>
      <c r="AC6" s="51">
        <f t="shared" si="0"/>
        <v>24</v>
      </c>
      <c r="AD6" s="51">
        <f t="shared" si="0"/>
        <v>25</v>
      </c>
      <c r="AE6" s="51">
        <f t="shared" si="0"/>
        <v>26</v>
      </c>
      <c r="AF6" s="51">
        <f t="shared" si="0"/>
        <v>27</v>
      </c>
      <c r="AG6" s="51">
        <f t="shared" si="0"/>
        <v>28</v>
      </c>
      <c r="AH6" s="51">
        <f t="shared" si="0"/>
        <v>29</v>
      </c>
      <c r="AI6" s="51">
        <f t="shared" si="0"/>
        <v>30</v>
      </c>
      <c r="AJ6" s="51">
        <f t="shared" si="0"/>
        <v>31</v>
      </c>
      <c r="AK6" s="51">
        <f t="shared" si="0"/>
        <v>32</v>
      </c>
      <c r="AL6" s="51">
        <f t="shared" si="0"/>
        <v>33</v>
      </c>
      <c r="AM6" s="51">
        <f t="shared" si="0"/>
        <v>34</v>
      </c>
      <c r="AN6" s="51">
        <f t="shared" si="0"/>
        <v>35</v>
      </c>
      <c r="AO6" s="51">
        <f t="shared" si="0"/>
        <v>36</v>
      </c>
      <c r="AP6" s="51">
        <f t="shared" si="0"/>
        <v>37</v>
      </c>
      <c r="AQ6" s="51">
        <f t="shared" si="0"/>
        <v>38</v>
      </c>
      <c r="AR6" s="51">
        <f t="shared" si="0"/>
        <v>39</v>
      </c>
      <c r="AS6" s="51">
        <f t="shared" si="0"/>
        <v>40</v>
      </c>
      <c r="AT6" s="51">
        <f t="shared" si="0"/>
        <v>41</v>
      </c>
      <c r="AU6" s="51">
        <f t="shared" si="0"/>
        <v>42</v>
      </c>
      <c r="AV6" s="51">
        <f t="shared" si="0"/>
        <v>43</v>
      </c>
      <c r="AW6" s="51">
        <f t="shared" si="0"/>
        <v>44</v>
      </c>
      <c r="AX6" s="51">
        <f t="shared" si="0"/>
        <v>45</v>
      </c>
      <c r="AY6" s="51">
        <f t="shared" si="0"/>
        <v>46</v>
      </c>
      <c r="AZ6" s="51">
        <f t="shared" si="0"/>
        <v>47</v>
      </c>
      <c r="BA6" s="51">
        <f t="shared" si="0"/>
        <v>48</v>
      </c>
    </row>
    <row r="7" spans="1:53" ht="16.05" customHeight="1" x14ac:dyDescent="0.4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row>
    <row r="8" spans="1:53" ht="6" customHeight="1" x14ac:dyDescent="0.45"/>
    <row r="9" spans="1:53" ht="22.05" customHeight="1" x14ac:dyDescent="0.5">
      <c r="B9" s="7" t="s">
        <v>172</v>
      </c>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ht="18" customHeight="1" x14ac:dyDescent="0.45">
      <c r="B10" s="36" t="s">
        <v>146</v>
      </c>
      <c r="C10" s="36" t="s">
        <v>102</v>
      </c>
      <c r="D10" s="37" t="s">
        <v>147</v>
      </c>
      <c r="E10" s="5"/>
      <c r="F10" s="36" t="s">
        <v>148</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row>
    <row r="11" spans="1:53" x14ac:dyDescent="0.45">
      <c r="B11" s="25" t="s">
        <v>173</v>
      </c>
      <c r="C11" s="26" t="s">
        <v>174</v>
      </c>
      <c r="D11" s="41">
        <f>MAX(F6:BA6)</f>
        <v>48</v>
      </c>
      <c r="E11" s="28"/>
      <c r="F11" s="26" t="s">
        <v>175</v>
      </c>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row>
    <row r="12" spans="1:53" x14ac:dyDescent="0.45">
      <c r="B12" s="25" t="s">
        <v>176</v>
      </c>
      <c r="C12" s="26" t="s">
        <v>111</v>
      </c>
      <c r="D12" s="43">
        <f>Open_ML+Target/(Sites_1*RateMean_ML)</f>
        <v>18</v>
      </c>
      <c r="E12" s="28"/>
      <c r="F12" s="26" t="s">
        <v>177</v>
      </c>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row>
    <row r="13" spans="1:53" x14ac:dyDescent="0.45">
      <c r="B13" s="25" t="s">
        <v>178</v>
      </c>
      <c r="C13" s="26" t="s">
        <v>111</v>
      </c>
      <c r="D13" s="43">
        <f>Open_ML+Target/(Sites_2*RateMean_ML)</f>
        <v>15</v>
      </c>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row>
    <row r="14" spans="1:53" x14ac:dyDescent="0.45">
      <c r="B14" s="25" t="s">
        <v>179</v>
      </c>
      <c r="C14" s="26" t="s">
        <v>111</v>
      </c>
      <c r="D14" s="43">
        <f>Open_ML+Target/(Sites_3*RateMean_ML)</f>
        <v>13</v>
      </c>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row>
    <row r="15" spans="1:53" ht="8" customHeight="1" x14ac:dyDescent="0.45"/>
    <row r="16" spans="1:53" ht="22.05" customHeight="1" x14ac:dyDescent="0.5">
      <c r="B16" s="7" t="s">
        <v>180</v>
      </c>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row>
    <row r="17" spans="2:53" ht="18" customHeight="1" x14ac:dyDescent="0.45">
      <c r="B17" s="13" t="s">
        <v>181</v>
      </c>
    </row>
    <row r="18" spans="2:53" x14ac:dyDescent="0.45">
      <c r="B18" s="52">
        <f>Sites!$B$22</f>
        <v>1</v>
      </c>
      <c r="C18" s="26" t="s">
        <v>107</v>
      </c>
      <c r="D18" s="28"/>
      <c r="E18" s="28"/>
      <c r="F18" s="34">
        <f ca="1">Sites!$E$22*MAX(0,MIN(1,F$6-Sites!$F$22))</f>
        <v>0</v>
      </c>
      <c r="G18" s="34">
        <f ca="1">Sites!$E$22*MAX(0,MIN(1,G$6-Sites!$F$22))</f>
        <v>0</v>
      </c>
      <c r="H18" s="34">
        <f ca="1">Sites!$E$22*MAX(0,MIN(1,H$6-Sites!$F$22))</f>
        <v>0</v>
      </c>
      <c r="I18" s="34">
        <f ca="1">Sites!$E$22*MAX(0,MIN(1,I$6-Sites!$F$22))</f>
        <v>0.10994510167741124</v>
      </c>
      <c r="J18" s="34">
        <f ca="1">Sites!$E$22*MAX(0,MIN(1,J$6-Sites!$F$22))</f>
        <v>0.21084584707054993</v>
      </c>
      <c r="K18" s="34">
        <f ca="1">Sites!$E$22*MAX(0,MIN(1,K$6-Sites!$F$22))</f>
        <v>0.21084584707054993</v>
      </c>
      <c r="L18" s="34">
        <f ca="1">Sites!$E$22*MAX(0,MIN(1,L$6-Sites!$F$22))</f>
        <v>0.21084584707054993</v>
      </c>
      <c r="M18" s="34">
        <f ca="1">Sites!$E$22*MAX(0,MIN(1,M$6-Sites!$F$22))</f>
        <v>0.21084584707054993</v>
      </c>
      <c r="N18" s="34">
        <f ca="1">Sites!$E$22*MAX(0,MIN(1,N$6-Sites!$F$22))</f>
        <v>0.21084584707054993</v>
      </c>
      <c r="O18" s="34">
        <f ca="1">Sites!$E$22*MAX(0,MIN(1,O$6-Sites!$F$22))</f>
        <v>0.21084584707054993</v>
      </c>
      <c r="P18" s="34">
        <f ca="1">Sites!$E$22*MAX(0,MIN(1,P$6-Sites!$F$22))</f>
        <v>0.21084584707054993</v>
      </c>
      <c r="Q18" s="34">
        <f ca="1">Sites!$E$22*MAX(0,MIN(1,Q$6-Sites!$F$22))</f>
        <v>0.21084584707054993</v>
      </c>
      <c r="R18" s="34">
        <f ca="1">Sites!$E$22*MAX(0,MIN(1,R$6-Sites!$F$22))</f>
        <v>0.21084584707054993</v>
      </c>
      <c r="S18" s="34">
        <f ca="1">Sites!$E$22*MAX(0,MIN(1,S$6-Sites!$F$22))</f>
        <v>0.21084584707054993</v>
      </c>
      <c r="T18" s="34">
        <f ca="1">Sites!$E$22*MAX(0,MIN(1,T$6-Sites!$F$22))</f>
        <v>0.21084584707054993</v>
      </c>
      <c r="U18" s="34">
        <f ca="1">Sites!$E$22*MAX(0,MIN(1,U$6-Sites!$F$22))</f>
        <v>0.21084584707054993</v>
      </c>
      <c r="V18" s="34">
        <f ca="1">Sites!$E$22*MAX(0,MIN(1,V$6-Sites!$F$22))</f>
        <v>0.21084584707054993</v>
      </c>
      <c r="W18" s="34">
        <f ca="1">Sites!$E$22*MAX(0,MIN(1,W$6-Sites!$F$22))</f>
        <v>0.21084584707054993</v>
      </c>
      <c r="X18" s="34">
        <f ca="1">Sites!$E$22*MAX(0,MIN(1,X$6-Sites!$F$22))</f>
        <v>0.21084584707054993</v>
      </c>
      <c r="Y18" s="34">
        <f ca="1">Sites!$E$22*MAX(0,MIN(1,Y$6-Sites!$F$22))</f>
        <v>0.21084584707054993</v>
      </c>
      <c r="Z18" s="34">
        <f ca="1">Sites!$E$22*MAX(0,MIN(1,Z$6-Sites!$F$22))</f>
        <v>0.21084584707054993</v>
      </c>
      <c r="AA18" s="34">
        <f ca="1">Sites!$E$22*MAX(0,MIN(1,AA$6-Sites!$F$22))</f>
        <v>0.21084584707054993</v>
      </c>
      <c r="AB18" s="34">
        <f ca="1">Sites!$E$22*MAX(0,MIN(1,AB$6-Sites!$F$22))</f>
        <v>0.21084584707054993</v>
      </c>
      <c r="AC18" s="34">
        <f ca="1">Sites!$E$22*MAX(0,MIN(1,AC$6-Sites!$F$22))</f>
        <v>0.21084584707054993</v>
      </c>
      <c r="AD18" s="34">
        <f ca="1">Sites!$E$22*MAX(0,MIN(1,AD$6-Sites!$F$22))</f>
        <v>0.21084584707054993</v>
      </c>
      <c r="AE18" s="34">
        <f ca="1">Sites!$E$22*MAX(0,MIN(1,AE$6-Sites!$F$22))</f>
        <v>0.21084584707054993</v>
      </c>
      <c r="AF18" s="34">
        <f ca="1">Sites!$E$22*MAX(0,MIN(1,AF$6-Sites!$F$22))</f>
        <v>0.21084584707054993</v>
      </c>
      <c r="AG18" s="34">
        <f ca="1">Sites!$E$22*MAX(0,MIN(1,AG$6-Sites!$F$22))</f>
        <v>0.21084584707054993</v>
      </c>
      <c r="AH18" s="34">
        <f ca="1">Sites!$E$22*MAX(0,MIN(1,AH$6-Sites!$F$22))</f>
        <v>0.21084584707054993</v>
      </c>
      <c r="AI18" s="34">
        <f ca="1">Sites!$E$22*MAX(0,MIN(1,AI$6-Sites!$F$22))</f>
        <v>0.21084584707054993</v>
      </c>
      <c r="AJ18" s="34">
        <f ca="1">Sites!$E$22*MAX(0,MIN(1,AJ$6-Sites!$F$22))</f>
        <v>0.21084584707054993</v>
      </c>
      <c r="AK18" s="34">
        <f ca="1">Sites!$E$22*MAX(0,MIN(1,AK$6-Sites!$F$22))</f>
        <v>0.21084584707054993</v>
      </c>
      <c r="AL18" s="34">
        <f ca="1">Sites!$E$22*MAX(0,MIN(1,AL$6-Sites!$F$22))</f>
        <v>0.21084584707054993</v>
      </c>
      <c r="AM18" s="34">
        <f ca="1">Sites!$E$22*MAX(0,MIN(1,AM$6-Sites!$F$22))</f>
        <v>0.21084584707054993</v>
      </c>
      <c r="AN18" s="34">
        <f ca="1">Sites!$E$22*MAX(0,MIN(1,AN$6-Sites!$F$22))</f>
        <v>0.21084584707054993</v>
      </c>
      <c r="AO18" s="34">
        <f ca="1">Sites!$E$22*MAX(0,MIN(1,AO$6-Sites!$F$22))</f>
        <v>0.21084584707054993</v>
      </c>
      <c r="AP18" s="34">
        <f ca="1">Sites!$E$22*MAX(0,MIN(1,AP$6-Sites!$F$22))</f>
        <v>0.21084584707054993</v>
      </c>
      <c r="AQ18" s="34">
        <f ca="1">Sites!$E$22*MAX(0,MIN(1,AQ$6-Sites!$F$22))</f>
        <v>0.21084584707054993</v>
      </c>
      <c r="AR18" s="34">
        <f ca="1">Sites!$E$22*MAX(0,MIN(1,AR$6-Sites!$F$22))</f>
        <v>0.21084584707054993</v>
      </c>
      <c r="AS18" s="34">
        <f ca="1">Sites!$E$22*MAX(0,MIN(1,AS$6-Sites!$F$22))</f>
        <v>0.21084584707054993</v>
      </c>
      <c r="AT18" s="34">
        <f ca="1">Sites!$E$22*MAX(0,MIN(1,AT$6-Sites!$F$22))</f>
        <v>0.21084584707054993</v>
      </c>
      <c r="AU18" s="34">
        <f ca="1">Sites!$E$22*MAX(0,MIN(1,AU$6-Sites!$F$22))</f>
        <v>0.21084584707054993</v>
      </c>
      <c r="AV18" s="34">
        <f ca="1">Sites!$E$22*MAX(0,MIN(1,AV$6-Sites!$F$22))</f>
        <v>0.21084584707054993</v>
      </c>
      <c r="AW18" s="34">
        <f ca="1">Sites!$E$22*MAX(0,MIN(1,AW$6-Sites!$F$22))</f>
        <v>0.21084584707054993</v>
      </c>
      <c r="AX18" s="34">
        <f ca="1">Sites!$E$22*MAX(0,MIN(1,AX$6-Sites!$F$22))</f>
        <v>0.21084584707054993</v>
      </c>
      <c r="AY18" s="34">
        <f ca="1">Sites!$E$22*MAX(0,MIN(1,AY$6-Sites!$F$22))</f>
        <v>0.21084584707054993</v>
      </c>
      <c r="AZ18" s="34">
        <f ca="1">Sites!$E$22*MAX(0,MIN(1,AZ$6-Sites!$F$22))</f>
        <v>0.21084584707054993</v>
      </c>
      <c r="BA18" s="34">
        <f ca="1">Sites!$E$22*MAX(0,MIN(1,BA$6-Sites!$F$22))</f>
        <v>0.21084584707054993</v>
      </c>
    </row>
    <row r="19" spans="2:53" x14ac:dyDescent="0.45">
      <c r="B19" s="52">
        <f>Sites!$B$23</f>
        <v>2</v>
      </c>
      <c r="C19" s="26" t="s">
        <v>107</v>
      </c>
      <c r="D19" s="28"/>
      <c r="E19" s="28"/>
      <c r="F19" s="34">
        <f ca="1">Sites!$E$23*MAX(0,MIN(1,F$6-Sites!$F$23))</f>
        <v>0</v>
      </c>
      <c r="G19" s="34">
        <f ca="1">Sites!$E$23*MAX(0,MIN(1,G$6-Sites!$F$23))</f>
        <v>0</v>
      </c>
      <c r="H19" s="34">
        <f ca="1">Sites!$E$23*MAX(0,MIN(1,H$6-Sites!$F$23))</f>
        <v>0</v>
      </c>
      <c r="I19" s="34">
        <f ca="1">Sites!$E$23*MAX(0,MIN(1,I$6-Sites!$F$23))</f>
        <v>0</v>
      </c>
      <c r="J19" s="34">
        <f ca="1">Sites!$E$23*MAX(0,MIN(1,J$6-Sites!$F$23))</f>
        <v>0</v>
      </c>
      <c r="K19" s="34">
        <f ca="1">Sites!$E$23*MAX(0,MIN(1,K$6-Sites!$F$23))</f>
        <v>0</v>
      </c>
      <c r="L19" s="34">
        <f ca="1">Sites!$E$23*MAX(0,MIN(1,L$6-Sites!$F$23))</f>
        <v>0</v>
      </c>
      <c r="M19" s="34">
        <f ca="1">Sites!$E$23*MAX(0,MIN(1,M$6-Sites!$F$23))</f>
        <v>0</v>
      </c>
      <c r="N19" s="34">
        <f ca="1">Sites!$E$23*MAX(0,MIN(1,N$6-Sites!$F$23))</f>
        <v>0</v>
      </c>
      <c r="O19" s="34">
        <f ca="1">Sites!$E$23*MAX(0,MIN(1,O$6-Sites!$F$23))</f>
        <v>0</v>
      </c>
      <c r="P19" s="34">
        <f ca="1">Sites!$E$23*MAX(0,MIN(1,P$6-Sites!$F$23))</f>
        <v>0</v>
      </c>
      <c r="Q19" s="34">
        <f ca="1">Sites!$E$23*MAX(0,MIN(1,Q$6-Sites!$F$23))</f>
        <v>0</v>
      </c>
      <c r="R19" s="34">
        <f ca="1">Sites!$E$23*MAX(0,MIN(1,R$6-Sites!$F$23))</f>
        <v>0</v>
      </c>
      <c r="S19" s="34">
        <f ca="1">Sites!$E$23*MAX(0,MIN(1,S$6-Sites!$F$23))</f>
        <v>0</v>
      </c>
      <c r="T19" s="34">
        <f ca="1">Sites!$E$23*MAX(0,MIN(1,T$6-Sites!$F$23))</f>
        <v>0</v>
      </c>
      <c r="U19" s="34">
        <f ca="1">Sites!$E$23*MAX(0,MIN(1,U$6-Sites!$F$23))</f>
        <v>0</v>
      </c>
      <c r="V19" s="34">
        <f ca="1">Sites!$E$23*MAX(0,MIN(1,V$6-Sites!$F$23))</f>
        <v>0</v>
      </c>
      <c r="W19" s="34">
        <f ca="1">Sites!$E$23*MAX(0,MIN(1,W$6-Sites!$F$23))</f>
        <v>0</v>
      </c>
      <c r="X19" s="34">
        <f ca="1">Sites!$E$23*MAX(0,MIN(1,X$6-Sites!$F$23))</f>
        <v>0</v>
      </c>
      <c r="Y19" s="34">
        <f ca="1">Sites!$E$23*MAX(0,MIN(1,Y$6-Sites!$F$23))</f>
        <v>0</v>
      </c>
      <c r="Z19" s="34">
        <f ca="1">Sites!$E$23*MAX(0,MIN(1,Z$6-Sites!$F$23))</f>
        <v>0</v>
      </c>
      <c r="AA19" s="34">
        <f ca="1">Sites!$E$23*MAX(0,MIN(1,AA$6-Sites!$F$23))</f>
        <v>0</v>
      </c>
      <c r="AB19" s="34">
        <f ca="1">Sites!$E$23*MAX(0,MIN(1,AB$6-Sites!$F$23))</f>
        <v>0</v>
      </c>
      <c r="AC19" s="34">
        <f ca="1">Sites!$E$23*MAX(0,MIN(1,AC$6-Sites!$F$23))</f>
        <v>0</v>
      </c>
      <c r="AD19" s="34">
        <f ca="1">Sites!$E$23*MAX(0,MIN(1,AD$6-Sites!$F$23))</f>
        <v>0</v>
      </c>
      <c r="AE19" s="34">
        <f ca="1">Sites!$E$23*MAX(0,MIN(1,AE$6-Sites!$F$23))</f>
        <v>0</v>
      </c>
      <c r="AF19" s="34">
        <f ca="1">Sites!$E$23*MAX(0,MIN(1,AF$6-Sites!$F$23))</f>
        <v>0</v>
      </c>
      <c r="AG19" s="34">
        <f ca="1">Sites!$E$23*MAX(0,MIN(1,AG$6-Sites!$F$23))</f>
        <v>0</v>
      </c>
      <c r="AH19" s="34">
        <f ca="1">Sites!$E$23*MAX(0,MIN(1,AH$6-Sites!$F$23))</f>
        <v>0</v>
      </c>
      <c r="AI19" s="34">
        <f ca="1">Sites!$E$23*MAX(0,MIN(1,AI$6-Sites!$F$23))</f>
        <v>0</v>
      </c>
      <c r="AJ19" s="34">
        <f ca="1">Sites!$E$23*MAX(0,MIN(1,AJ$6-Sites!$F$23))</f>
        <v>0</v>
      </c>
      <c r="AK19" s="34">
        <f ca="1">Sites!$E$23*MAX(0,MIN(1,AK$6-Sites!$F$23))</f>
        <v>0</v>
      </c>
      <c r="AL19" s="34">
        <f ca="1">Sites!$E$23*MAX(0,MIN(1,AL$6-Sites!$F$23))</f>
        <v>0</v>
      </c>
      <c r="AM19" s="34">
        <f ca="1">Sites!$E$23*MAX(0,MIN(1,AM$6-Sites!$F$23))</f>
        <v>0</v>
      </c>
      <c r="AN19" s="34">
        <f ca="1">Sites!$E$23*MAX(0,MIN(1,AN$6-Sites!$F$23))</f>
        <v>0</v>
      </c>
      <c r="AO19" s="34">
        <f ca="1">Sites!$E$23*MAX(0,MIN(1,AO$6-Sites!$F$23))</f>
        <v>0</v>
      </c>
      <c r="AP19" s="34">
        <f ca="1">Sites!$E$23*MAX(0,MIN(1,AP$6-Sites!$F$23))</f>
        <v>0</v>
      </c>
      <c r="AQ19" s="34">
        <f ca="1">Sites!$E$23*MAX(0,MIN(1,AQ$6-Sites!$F$23))</f>
        <v>0</v>
      </c>
      <c r="AR19" s="34">
        <f ca="1">Sites!$E$23*MAX(0,MIN(1,AR$6-Sites!$F$23))</f>
        <v>0</v>
      </c>
      <c r="AS19" s="34">
        <f ca="1">Sites!$E$23*MAX(0,MIN(1,AS$6-Sites!$F$23))</f>
        <v>0</v>
      </c>
      <c r="AT19" s="34">
        <f ca="1">Sites!$E$23*MAX(0,MIN(1,AT$6-Sites!$F$23))</f>
        <v>0</v>
      </c>
      <c r="AU19" s="34">
        <f ca="1">Sites!$E$23*MAX(0,MIN(1,AU$6-Sites!$F$23))</f>
        <v>0</v>
      </c>
      <c r="AV19" s="34">
        <f ca="1">Sites!$E$23*MAX(0,MIN(1,AV$6-Sites!$F$23))</f>
        <v>0</v>
      </c>
      <c r="AW19" s="34">
        <f ca="1">Sites!$E$23*MAX(0,MIN(1,AW$6-Sites!$F$23))</f>
        <v>0</v>
      </c>
      <c r="AX19" s="34">
        <f ca="1">Sites!$E$23*MAX(0,MIN(1,AX$6-Sites!$F$23))</f>
        <v>0</v>
      </c>
      <c r="AY19" s="34">
        <f ca="1">Sites!$E$23*MAX(0,MIN(1,AY$6-Sites!$F$23))</f>
        <v>0</v>
      </c>
      <c r="AZ19" s="34">
        <f ca="1">Sites!$E$23*MAX(0,MIN(1,AZ$6-Sites!$F$23))</f>
        <v>0</v>
      </c>
      <c r="BA19" s="34">
        <f ca="1">Sites!$E$23*MAX(0,MIN(1,BA$6-Sites!$F$23))</f>
        <v>0</v>
      </c>
    </row>
    <row r="20" spans="2:53" x14ac:dyDescent="0.45">
      <c r="B20" s="52">
        <f>Sites!$B$24</f>
        <v>3</v>
      </c>
      <c r="C20" s="26" t="s">
        <v>107</v>
      </c>
      <c r="D20" s="28"/>
      <c r="E20" s="28"/>
      <c r="F20" s="34">
        <f ca="1">Sites!$E$24*MAX(0,MIN(1,F$6-Sites!$F$24))</f>
        <v>0</v>
      </c>
      <c r="G20" s="34">
        <f ca="1">Sites!$E$24*MAX(0,MIN(1,G$6-Sites!$F$24))</f>
        <v>0</v>
      </c>
      <c r="H20" s="34">
        <f ca="1">Sites!$E$24*MAX(0,MIN(1,H$6-Sites!$F$24))</f>
        <v>0</v>
      </c>
      <c r="I20" s="34">
        <f ca="1">Sites!$E$24*MAX(0,MIN(1,I$6-Sites!$F$24))</f>
        <v>0</v>
      </c>
      <c r="J20" s="34">
        <f ca="1">Sites!$E$24*MAX(0,MIN(1,J$6-Sites!$F$24))</f>
        <v>0</v>
      </c>
      <c r="K20" s="34">
        <f ca="1">Sites!$E$24*MAX(0,MIN(1,K$6-Sites!$F$24))</f>
        <v>6.1332092091020231E-2</v>
      </c>
      <c r="L20" s="34">
        <f ca="1">Sites!$E$24*MAX(0,MIN(1,L$6-Sites!$F$24))</f>
        <v>0.23538009808016655</v>
      </c>
      <c r="M20" s="34">
        <f ca="1">Sites!$E$24*MAX(0,MIN(1,M$6-Sites!$F$24))</f>
        <v>0.23538009808016655</v>
      </c>
      <c r="N20" s="34">
        <f ca="1">Sites!$E$24*MAX(0,MIN(1,N$6-Sites!$F$24))</f>
        <v>0.23538009808016655</v>
      </c>
      <c r="O20" s="34">
        <f ca="1">Sites!$E$24*MAX(0,MIN(1,O$6-Sites!$F$24))</f>
        <v>0.23538009808016655</v>
      </c>
      <c r="P20" s="34">
        <f ca="1">Sites!$E$24*MAX(0,MIN(1,P$6-Sites!$F$24))</f>
        <v>0.23538009808016655</v>
      </c>
      <c r="Q20" s="34">
        <f ca="1">Sites!$E$24*MAX(0,MIN(1,Q$6-Sites!$F$24))</f>
        <v>0.23538009808016655</v>
      </c>
      <c r="R20" s="34">
        <f ca="1">Sites!$E$24*MAX(0,MIN(1,R$6-Sites!$F$24))</f>
        <v>0.23538009808016655</v>
      </c>
      <c r="S20" s="34">
        <f ca="1">Sites!$E$24*MAX(0,MIN(1,S$6-Sites!$F$24))</f>
        <v>0.23538009808016655</v>
      </c>
      <c r="T20" s="34">
        <f ca="1">Sites!$E$24*MAX(0,MIN(1,T$6-Sites!$F$24))</f>
        <v>0.23538009808016655</v>
      </c>
      <c r="U20" s="34">
        <f ca="1">Sites!$E$24*MAX(0,MIN(1,U$6-Sites!$F$24))</f>
        <v>0.23538009808016655</v>
      </c>
      <c r="V20" s="34">
        <f ca="1">Sites!$E$24*MAX(0,MIN(1,V$6-Sites!$F$24))</f>
        <v>0.23538009808016655</v>
      </c>
      <c r="W20" s="34">
        <f ca="1">Sites!$E$24*MAX(0,MIN(1,W$6-Sites!$F$24))</f>
        <v>0.23538009808016655</v>
      </c>
      <c r="X20" s="34">
        <f ca="1">Sites!$E$24*MAX(0,MIN(1,X$6-Sites!$F$24))</f>
        <v>0.23538009808016655</v>
      </c>
      <c r="Y20" s="34">
        <f ca="1">Sites!$E$24*MAX(0,MIN(1,Y$6-Sites!$F$24))</f>
        <v>0.23538009808016655</v>
      </c>
      <c r="Z20" s="34">
        <f ca="1">Sites!$E$24*MAX(0,MIN(1,Z$6-Sites!$F$24))</f>
        <v>0.23538009808016655</v>
      </c>
      <c r="AA20" s="34">
        <f ca="1">Sites!$E$24*MAX(0,MIN(1,AA$6-Sites!$F$24))</f>
        <v>0.23538009808016655</v>
      </c>
      <c r="AB20" s="34">
        <f ca="1">Sites!$E$24*MAX(0,MIN(1,AB$6-Sites!$F$24))</f>
        <v>0.23538009808016655</v>
      </c>
      <c r="AC20" s="34">
        <f ca="1">Sites!$E$24*MAX(0,MIN(1,AC$6-Sites!$F$24))</f>
        <v>0.23538009808016655</v>
      </c>
      <c r="AD20" s="34">
        <f ca="1">Sites!$E$24*MAX(0,MIN(1,AD$6-Sites!$F$24))</f>
        <v>0.23538009808016655</v>
      </c>
      <c r="AE20" s="34">
        <f ca="1">Sites!$E$24*MAX(0,MIN(1,AE$6-Sites!$F$24))</f>
        <v>0.23538009808016655</v>
      </c>
      <c r="AF20" s="34">
        <f ca="1">Sites!$E$24*MAX(0,MIN(1,AF$6-Sites!$F$24))</f>
        <v>0.23538009808016655</v>
      </c>
      <c r="AG20" s="34">
        <f ca="1">Sites!$E$24*MAX(0,MIN(1,AG$6-Sites!$F$24))</f>
        <v>0.23538009808016655</v>
      </c>
      <c r="AH20" s="34">
        <f ca="1">Sites!$E$24*MAX(0,MIN(1,AH$6-Sites!$F$24))</f>
        <v>0.23538009808016655</v>
      </c>
      <c r="AI20" s="34">
        <f ca="1">Sites!$E$24*MAX(0,MIN(1,AI$6-Sites!$F$24))</f>
        <v>0.23538009808016655</v>
      </c>
      <c r="AJ20" s="34">
        <f ca="1">Sites!$E$24*MAX(0,MIN(1,AJ$6-Sites!$F$24))</f>
        <v>0.23538009808016655</v>
      </c>
      <c r="AK20" s="34">
        <f ca="1">Sites!$E$24*MAX(0,MIN(1,AK$6-Sites!$F$24))</f>
        <v>0.23538009808016655</v>
      </c>
      <c r="AL20" s="34">
        <f ca="1">Sites!$E$24*MAX(0,MIN(1,AL$6-Sites!$F$24))</f>
        <v>0.23538009808016655</v>
      </c>
      <c r="AM20" s="34">
        <f ca="1">Sites!$E$24*MAX(0,MIN(1,AM$6-Sites!$F$24))</f>
        <v>0.23538009808016655</v>
      </c>
      <c r="AN20" s="34">
        <f ca="1">Sites!$E$24*MAX(0,MIN(1,AN$6-Sites!$F$24))</f>
        <v>0.23538009808016655</v>
      </c>
      <c r="AO20" s="34">
        <f ca="1">Sites!$E$24*MAX(0,MIN(1,AO$6-Sites!$F$24))</f>
        <v>0.23538009808016655</v>
      </c>
      <c r="AP20" s="34">
        <f ca="1">Sites!$E$24*MAX(0,MIN(1,AP$6-Sites!$F$24))</f>
        <v>0.23538009808016655</v>
      </c>
      <c r="AQ20" s="34">
        <f ca="1">Sites!$E$24*MAX(0,MIN(1,AQ$6-Sites!$F$24))</f>
        <v>0.23538009808016655</v>
      </c>
      <c r="AR20" s="34">
        <f ca="1">Sites!$E$24*MAX(0,MIN(1,AR$6-Sites!$F$24))</f>
        <v>0.23538009808016655</v>
      </c>
      <c r="AS20" s="34">
        <f ca="1">Sites!$E$24*MAX(0,MIN(1,AS$6-Sites!$F$24))</f>
        <v>0.23538009808016655</v>
      </c>
      <c r="AT20" s="34">
        <f ca="1">Sites!$E$24*MAX(0,MIN(1,AT$6-Sites!$F$24))</f>
        <v>0.23538009808016655</v>
      </c>
      <c r="AU20" s="34">
        <f ca="1">Sites!$E$24*MAX(0,MIN(1,AU$6-Sites!$F$24))</f>
        <v>0.23538009808016655</v>
      </c>
      <c r="AV20" s="34">
        <f ca="1">Sites!$E$24*MAX(0,MIN(1,AV$6-Sites!$F$24))</f>
        <v>0.23538009808016655</v>
      </c>
      <c r="AW20" s="34">
        <f ca="1">Sites!$E$24*MAX(0,MIN(1,AW$6-Sites!$F$24))</f>
        <v>0.23538009808016655</v>
      </c>
      <c r="AX20" s="34">
        <f ca="1">Sites!$E$24*MAX(0,MIN(1,AX$6-Sites!$F$24))</f>
        <v>0.23538009808016655</v>
      </c>
      <c r="AY20" s="34">
        <f ca="1">Sites!$E$24*MAX(0,MIN(1,AY$6-Sites!$F$24))</f>
        <v>0.23538009808016655</v>
      </c>
      <c r="AZ20" s="34">
        <f ca="1">Sites!$E$24*MAX(0,MIN(1,AZ$6-Sites!$F$24))</f>
        <v>0.23538009808016655</v>
      </c>
      <c r="BA20" s="34">
        <f ca="1">Sites!$E$24*MAX(0,MIN(1,BA$6-Sites!$F$24))</f>
        <v>0.23538009808016655</v>
      </c>
    </row>
    <row r="21" spans="2:53" x14ac:dyDescent="0.45">
      <c r="B21" s="52">
        <f>Sites!$B$25</f>
        <v>4</v>
      </c>
      <c r="C21" s="26" t="s">
        <v>107</v>
      </c>
      <c r="D21" s="28"/>
      <c r="E21" s="28"/>
      <c r="F21" s="34">
        <f ca="1">Sites!$E$25*MAX(0,MIN(1,F$6-Sites!$F$25))</f>
        <v>0</v>
      </c>
      <c r="G21" s="34">
        <f ca="1">Sites!$E$25*MAX(0,MIN(1,G$6-Sites!$F$25))</f>
        <v>0</v>
      </c>
      <c r="H21" s="34">
        <f ca="1">Sites!$E$25*MAX(0,MIN(1,H$6-Sites!$F$25))</f>
        <v>0.17644826500113403</v>
      </c>
      <c r="I21" s="34">
        <f ca="1">Sites!$E$25*MAX(0,MIN(1,I$6-Sites!$F$25))</f>
        <v>0.20454827576356624</v>
      </c>
      <c r="J21" s="34">
        <f ca="1">Sites!$E$25*MAX(0,MIN(1,J$6-Sites!$F$25))</f>
        <v>0.20454827576356624</v>
      </c>
      <c r="K21" s="34">
        <f ca="1">Sites!$E$25*MAX(0,MIN(1,K$6-Sites!$F$25))</f>
        <v>0.20454827576356624</v>
      </c>
      <c r="L21" s="34">
        <f ca="1">Sites!$E$25*MAX(0,MIN(1,L$6-Sites!$F$25))</f>
        <v>0.20454827576356624</v>
      </c>
      <c r="M21" s="34">
        <f ca="1">Sites!$E$25*MAX(0,MIN(1,M$6-Sites!$F$25))</f>
        <v>0.20454827576356624</v>
      </c>
      <c r="N21" s="34">
        <f ca="1">Sites!$E$25*MAX(0,MIN(1,N$6-Sites!$F$25))</f>
        <v>0.20454827576356624</v>
      </c>
      <c r="O21" s="34">
        <f ca="1">Sites!$E$25*MAX(0,MIN(1,O$6-Sites!$F$25))</f>
        <v>0.20454827576356624</v>
      </c>
      <c r="P21" s="34">
        <f ca="1">Sites!$E$25*MAX(0,MIN(1,P$6-Sites!$F$25))</f>
        <v>0.20454827576356624</v>
      </c>
      <c r="Q21" s="34">
        <f ca="1">Sites!$E$25*MAX(0,MIN(1,Q$6-Sites!$F$25))</f>
        <v>0.20454827576356624</v>
      </c>
      <c r="R21" s="34">
        <f ca="1">Sites!$E$25*MAX(0,MIN(1,R$6-Sites!$F$25))</f>
        <v>0.20454827576356624</v>
      </c>
      <c r="S21" s="34">
        <f ca="1">Sites!$E$25*MAX(0,MIN(1,S$6-Sites!$F$25))</f>
        <v>0.20454827576356624</v>
      </c>
      <c r="T21" s="34">
        <f ca="1">Sites!$E$25*MAX(0,MIN(1,T$6-Sites!$F$25))</f>
        <v>0.20454827576356624</v>
      </c>
      <c r="U21" s="34">
        <f ca="1">Sites!$E$25*MAX(0,MIN(1,U$6-Sites!$F$25))</f>
        <v>0.20454827576356624</v>
      </c>
      <c r="V21" s="34">
        <f ca="1">Sites!$E$25*MAX(0,MIN(1,V$6-Sites!$F$25))</f>
        <v>0.20454827576356624</v>
      </c>
      <c r="W21" s="34">
        <f ca="1">Sites!$E$25*MAX(0,MIN(1,W$6-Sites!$F$25))</f>
        <v>0.20454827576356624</v>
      </c>
      <c r="X21" s="34">
        <f ca="1">Sites!$E$25*MAX(0,MIN(1,X$6-Sites!$F$25))</f>
        <v>0.20454827576356624</v>
      </c>
      <c r="Y21" s="34">
        <f ca="1">Sites!$E$25*MAX(0,MIN(1,Y$6-Sites!$F$25))</f>
        <v>0.20454827576356624</v>
      </c>
      <c r="Z21" s="34">
        <f ca="1">Sites!$E$25*MAX(0,MIN(1,Z$6-Sites!$F$25))</f>
        <v>0.20454827576356624</v>
      </c>
      <c r="AA21" s="34">
        <f ca="1">Sites!$E$25*MAX(0,MIN(1,AA$6-Sites!$F$25))</f>
        <v>0.20454827576356624</v>
      </c>
      <c r="AB21" s="34">
        <f ca="1">Sites!$E$25*MAX(0,MIN(1,AB$6-Sites!$F$25))</f>
        <v>0.20454827576356624</v>
      </c>
      <c r="AC21" s="34">
        <f ca="1">Sites!$E$25*MAX(0,MIN(1,AC$6-Sites!$F$25))</f>
        <v>0.20454827576356624</v>
      </c>
      <c r="AD21" s="34">
        <f ca="1">Sites!$E$25*MAX(0,MIN(1,AD$6-Sites!$F$25))</f>
        <v>0.20454827576356624</v>
      </c>
      <c r="AE21" s="34">
        <f ca="1">Sites!$E$25*MAX(0,MIN(1,AE$6-Sites!$F$25))</f>
        <v>0.20454827576356624</v>
      </c>
      <c r="AF21" s="34">
        <f ca="1">Sites!$E$25*MAX(0,MIN(1,AF$6-Sites!$F$25))</f>
        <v>0.20454827576356624</v>
      </c>
      <c r="AG21" s="34">
        <f ca="1">Sites!$E$25*MAX(0,MIN(1,AG$6-Sites!$F$25))</f>
        <v>0.20454827576356624</v>
      </c>
      <c r="AH21" s="34">
        <f ca="1">Sites!$E$25*MAX(0,MIN(1,AH$6-Sites!$F$25))</f>
        <v>0.20454827576356624</v>
      </c>
      <c r="AI21" s="34">
        <f ca="1">Sites!$E$25*MAX(0,MIN(1,AI$6-Sites!$F$25))</f>
        <v>0.20454827576356624</v>
      </c>
      <c r="AJ21" s="34">
        <f ca="1">Sites!$E$25*MAX(0,MIN(1,AJ$6-Sites!$F$25))</f>
        <v>0.20454827576356624</v>
      </c>
      <c r="AK21" s="34">
        <f ca="1">Sites!$E$25*MAX(0,MIN(1,AK$6-Sites!$F$25))</f>
        <v>0.20454827576356624</v>
      </c>
      <c r="AL21" s="34">
        <f ca="1">Sites!$E$25*MAX(0,MIN(1,AL$6-Sites!$F$25))</f>
        <v>0.20454827576356624</v>
      </c>
      <c r="AM21" s="34">
        <f ca="1">Sites!$E$25*MAX(0,MIN(1,AM$6-Sites!$F$25))</f>
        <v>0.20454827576356624</v>
      </c>
      <c r="AN21" s="34">
        <f ca="1">Sites!$E$25*MAX(0,MIN(1,AN$6-Sites!$F$25))</f>
        <v>0.20454827576356624</v>
      </c>
      <c r="AO21" s="34">
        <f ca="1">Sites!$E$25*MAX(0,MIN(1,AO$6-Sites!$F$25))</f>
        <v>0.20454827576356624</v>
      </c>
      <c r="AP21" s="34">
        <f ca="1">Sites!$E$25*MAX(0,MIN(1,AP$6-Sites!$F$25))</f>
        <v>0.20454827576356624</v>
      </c>
      <c r="AQ21" s="34">
        <f ca="1">Sites!$E$25*MAX(0,MIN(1,AQ$6-Sites!$F$25))</f>
        <v>0.20454827576356624</v>
      </c>
      <c r="AR21" s="34">
        <f ca="1">Sites!$E$25*MAX(0,MIN(1,AR$6-Sites!$F$25))</f>
        <v>0.20454827576356624</v>
      </c>
      <c r="AS21" s="34">
        <f ca="1">Sites!$E$25*MAX(0,MIN(1,AS$6-Sites!$F$25))</f>
        <v>0.20454827576356624</v>
      </c>
      <c r="AT21" s="34">
        <f ca="1">Sites!$E$25*MAX(0,MIN(1,AT$6-Sites!$F$25))</f>
        <v>0.20454827576356624</v>
      </c>
      <c r="AU21" s="34">
        <f ca="1">Sites!$E$25*MAX(0,MIN(1,AU$6-Sites!$F$25))</f>
        <v>0.20454827576356624</v>
      </c>
      <c r="AV21" s="34">
        <f ca="1">Sites!$E$25*MAX(0,MIN(1,AV$6-Sites!$F$25))</f>
        <v>0.20454827576356624</v>
      </c>
      <c r="AW21" s="34">
        <f ca="1">Sites!$E$25*MAX(0,MIN(1,AW$6-Sites!$F$25))</f>
        <v>0.20454827576356624</v>
      </c>
      <c r="AX21" s="34">
        <f ca="1">Sites!$E$25*MAX(0,MIN(1,AX$6-Sites!$F$25))</f>
        <v>0.20454827576356624</v>
      </c>
      <c r="AY21" s="34">
        <f ca="1">Sites!$E$25*MAX(0,MIN(1,AY$6-Sites!$F$25))</f>
        <v>0.20454827576356624</v>
      </c>
      <c r="AZ21" s="34">
        <f ca="1">Sites!$E$25*MAX(0,MIN(1,AZ$6-Sites!$F$25))</f>
        <v>0.20454827576356624</v>
      </c>
      <c r="BA21" s="34">
        <f ca="1">Sites!$E$25*MAX(0,MIN(1,BA$6-Sites!$F$25))</f>
        <v>0.20454827576356624</v>
      </c>
    </row>
    <row r="22" spans="2:53" x14ac:dyDescent="0.45">
      <c r="B22" s="52">
        <f>Sites!$B$26</f>
        <v>5</v>
      </c>
      <c r="C22" s="26" t="s">
        <v>107</v>
      </c>
      <c r="D22" s="28"/>
      <c r="E22" s="28"/>
      <c r="F22" s="34">
        <f ca="1">Sites!$E$26*MAX(0,MIN(1,F$6-Sites!$F$26))</f>
        <v>0</v>
      </c>
      <c r="G22" s="34">
        <f ca="1">Sites!$E$26*MAX(0,MIN(1,G$6-Sites!$F$26))</f>
        <v>0</v>
      </c>
      <c r="H22" s="34">
        <f ca="1">Sites!$E$26*MAX(0,MIN(1,H$6-Sites!$F$26))</f>
        <v>0.17096638504442305</v>
      </c>
      <c r="I22" s="34">
        <f ca="1">Sites!$E$26*MAX(0,MIN(1,I$6-Sites!$F$26))</f>
        <v>0.43606408515953826</v>
      </c>
      <c r="J22" s="34">
        <f ca="1">Sites!$E$26*MAX(0,MIN(1,J$6-Sites!$F$26))</f>
        <v>0.43606408515953826</v>
      </c>
      <c r="K22" s="34">
        <f ca="1">Sites!$E$26*MAX(0,MIN(1,K$6-Sites!$F$26))</f>
        <v>0.43606408515953826</v>
      </c>
      <c r="L22" s="34">
        <f ca="1">Sites!$E$26*MAX(0,MIN(1,L$6-Sites!$F$26))</f>
        <v>0.43606408515953826</v>
      </c>
      <c r="M22" s="34">
        <f ca="1">Sites!$E$26*MAX(0,MIN(1,M$6-Sites!$F$26))</f>
        <v>0.43606408515953826</v>
      </c>
      <c r="N22" s="34">
        <f ca="1">Sites!$E$26*MAX(0,MIN(1,N$6-Sites!$F$26))</f>
        <v>0.43606408515953826</v>
      </c>
      <c r="O22" s="34">
        <f ca="1">Sites!$E$26*MAX(0,MIN(1,O$6-Sites!$F$26))</f>
        <v>0.43606408515953826</v>
      </c>
      <c r="P22" s="34">
        <f ca="1">Sites!$E$26*MAX(0,MIN(1,P$6-Sites!$F$26))</f>
        <v>0.43606408515953826</v>
      </c>
      <c r="Q22" s="34">
        <f ca="1">Sites!$E$26*MAX(0,MIN(1,Q$6-Sites!$F$26))</f>
        <v>0.43606408515953826</v>
      </c>
      <c r="R22" s="34">
        <f ca="1">Sites!$E$26*MAX(0,MIN(1,R$6-Sites!$F$26))</f>
        <v>0.43606408515953826</v>
      </c>
      <c r="S22" s="34">
        <f ca="1">Sites!$E$26*MAX(0,MIN(1,S$6-Sites!$F$26))</f>
        <v>0.43606408515953826</v>
      </c>
      <c r="T22" s="34">
        <f ca="1">Sites!$E$26*MAX(0,MIN(1,T$6-Sites!$F$26))</f>
        <v>0.43606408515953826</v>
      </c>
      <c r="U22" s="34">
        <f ca="1">Sites!$E$26*MAX(0,MIN(1,U$6-Sites!$F$26))</f>
        <v>0.43606408515953826</v>
      </c>
      <c r="V22" s="34">
        <f ca="1">Sites!$E$26*MAX(0,MIN(1,V$6-Sites!$F$26))</f>
        <v>0.43606408515953826</v>
      </c>
      <c r="W22" s="34">
        <f ca="1">Sites!$E$26*MAX(0,MIN(1,W$6-Sites!$F$26))</f>
        <v>0.43606408515953826</v>
      </c>
      <c r="X22" s="34">
        <f ca="1">Sites!$E$26*MAX(0,MIN(1,X$6-Sites!$F$26))</f>
        <v>0.43606408515953826</v>
      </c>
      <c r="Y22" s="34">
        <f ca="1">Sites!$E$26*MAX(0,MIN(1,Y$6-Sites!$F$26))</f>
        <v>0.43606408515953826</v>
      </c>
      <c r="Z22" s="34">
        <f ca="1">Sites!$E$26*MAX(0,MIN(1,Z$6-Sites!$F$26))</f>
        <v>0.43606408515953826</v>
      </c>
      <c r="AA22" s="34">
        <f ca="1">Sites!$E$26*MAX(0,MIN(1,AA$6-Sites!$F$26))</f>
        <v>0.43606408515953826</v>
      </c>
      <c r="AB22" s="34">
        <f ca="1">Sites!$E$26*MAX(0,MIN(1,AB$6-Sites!$F$26))</f>
        <v>0.43606408515953826</v>
      </c>
      <c r="AC22" s="34">
        <f ca="1">Sites!$E$26*MAX(0,MIN(1,AC$6-Sites!$F$26))</f>
        <v>0.43606408515953826</v>
      </c>
      <c r="AD22" s="34">
        <f ca="1">Sites!$E$26*MAX(0,MIN(1,AD$6-Sites!$F$26))</f>
        <v>0.43606408515953826</v>
      </c>
      <c r="AE22" s="34">
        <f ca="1">Sites!$E$26*MAX(0,MIN(1,AE$6-Sites!$F$26))</f>
        <v>0.43606408515953826</v>
      </c>
      <c r="AF22" s="34">
        <f ca="1">Sites!$E$26*MAX(0,MIN(1,AF$6-Sites!$F$26))</f>
        <v>0.43606408515953826</v>
      </c>
      <c r="AG22" s="34">
        <f ca="1">Sites!$E$26*MAX(0,MIN(1,AG$6-Sites!$F$26))</f>
        <v>0.43606408515953826</v>
      </c>
      <c r="AH22" s="34">
        <f ca="1">Sites!$E$26*MAX(0,MIN(1,AH$6-Sites!$F$26))</f>
        <v>0.43606408515953826</v>
      </c>
      <c r="AI22" s="34">
        <f ca="1">Sites!$E$26*MAX(0,MIN(1,AI$6-Sites!$F$26))</f>
        <v>0.43606408515953826</v>
      </c>
      <c r="AJ22" s="34">
        <f ca="1">Sites!$E$26*MAX(0,MIN(1,AJ$6-Sites!$F$26))</f>
        <v>0.43606408515953826</v>
      </c>
      <c r="AK22" s="34">
        <f ca="1">Sites!$E$26*MAX(0,MIN(1,AK$6-Sites!$F$26))</f>
        <v>0.43606408515953826</v>
      </c>
      <c r="AL22" s="34">
        <f ca="1">Sites!$E$26*MAX(0,MIN(1,AL$6-Sites!$F$26))</f>
        <v>0.43606408515953826</v>
      </c>
      <c r="AM22" s="34">
        <f ca="1">Sites!$E$26*MAX(0,MIN(1,AM$6-Sites!$F$26))</f>
        <v>0.43606408515953826</v>
      </c>
      <c r="AN22" s="34">
        <f ca="1">Sites!$E$26*MAX(0,MIN(1,AN$6-Sites!$F$26))</f>
        <v>0.43606408515953826</v>
      </c>
      <c r="AO22" s="34">
        <f ca="1">Sites!$E$26*MAX(0,MIN(1,AO$6-Sites!$F$26))</f>
        <v>0.43606408515953826</v>
      </c>
      <c r="AP22" s="34">
        <f ca="1">Sites!$E$26*MAX(0,MIN(1,AP$6-Sites!$F$26))</f>
        <v>0.43606408515953826</v>
      </c>
      <c r="AQ22" s="34">
        <f ca="1">Sites!$E$26*MAX(0,MIN(1,AQ$6-Sites!$F$26))</f>
        <v>0.43606408515953826</v>
      </c>
      <c r="AR22" s="34">
        <f ca="1">Sites!$E$26*MAX(0,MIN(1,AR$6-Sites!$F$26))</f>
        <v>0.43606408515953826</v>
      </c>
      <c r="AS22" s="34">
        <f ca="1">Sites!$E$26*MAX(0,MIN(1,AS$6-Sites!$F$26))</f>
        <v>0.43606408515953826</v>
      </c>
      <c r="AT22" s="34">
        <f ca="1">Sites!$E$26*MAX(0,MIN(1,AT$6-Sites!$F$26))</f>
        <v>0.43606408515953826</v>
      </c>
      <c r="AU22" s="34">
        <f ca="1">Sites!$E$26*MAX(0,MIN(1,AU$6-Sites!$F$26))</f>
        <v>0.43606408515953826</v>
      </c>
      <c r="AV22" s="34">
        <f ca="1">Sites!$E$26*MAX(0,MIN(1,AV$6-Sites!$F$26))</f>
        <v>0.43606408515953826</v>
      </c>
      <c r="AW22" s="34">
        <f ca="1">Sites!$E$26*MAX(0,MIN(1,AW$6-Sites!$F$26))</f>
        <v>0.43606408515953826</v>
      </c>
      <c r="AX22" s="34">
        <f ca="1">Sites!$E$26*MAX(0,MIN(1,AX$6-Sites!$F$26))</f>
        <v>0.43606408515953826</v>
      </c>
      <c r="AY22" s="34">
        <f ca="1">Sites!$E$26*MAX(0,MIN(1,AY$6-Sites!$F$26))</f>
        <v>0.43606408515953826</v>
      </c>
      <c r="AZ22" s="34">
        <f ca="1">Sites!$E$26*MAX(0,MIN(1,AZ$6-Sites!$F$26))</f>
        <v>0.43606408515953826</v>
      </c>
      <c r="BA22" s="34">
        <f ca="1">Sites!$E$26*MAX(0,MIN(1,BA$6-Sites!$F$26))</f>
        <v>0.43606408515953826</v>
      </c>
    </row>
    <row r="23" spans="2:53" x14ac:dyDescent="0.45">
      <c r="B23" s="52">
        <f>Sites!$B$27</f>
        <v>6</v>
      </c>
      <c r="C23" s="26" t="s">
        <v>107</v>
      </c>
      <c r="D23" s="28"/>
      <c r="E23" s="28"/>
      <c r="F23" s="34">
        <f ca="1">Sites!$E$27*MAX(0,MIN(1,F$6-Sites!$F$27))</f>
        <v>0</v>
      </c>
      <c r="G23" s="34">
        <f ca="1">Sites!$E$27*MAX(0,MIN(1,G$6-Sites!$F$27))</f>
        <v>0.10158652688994196</v>
      </c>
      <c r="H23" s="34">
        <f ca="1">Sites!$E$27*MAX(0,MIN(1,H$6-Sites!$F$27))</f>
        <v>0.16809834675764507</v>
      </c>
      <c r="I23" s="34">
        <f ca="1">Sites!$E$27*MAX(0,MIN(1,I$6-Sites!$F$27))</f>
        <v>0.16809834675764507</v>
      </c>
      <c r="J23" s="34">
        <f ca="1">Sites!$E$27*MAX(0,MIN(1,J$6-Sites!$F$27))</f>
        <v>0.16809834675764507</v>
      </c>
      <c r="K23" s="34">
        <f ca="1">Sites!$E$27*MAX(0,MIN(1,K$6-Sites!$F$27))</f>
        <v>0.16809834675764507</v>
      </c>
      <c r="L23" s="34">
        <f ca="1">Sites!$E$27*MAX(0,MIN(1,L$6-Sites!$F$27))</f>
        <v>0.16809834675764507</v>
      </c>
      <c r="M23" s="34">
        <f ca="1">Sites!$E$27*MAX(0,MIN(1,M$6-Sites!$F$27))</f>
        <v>0.16809834675764507</v>
      </c>
      <c r="N23" s="34">
        <f ca="1">Sites!$E$27*MAX(0,MIN(1,N$6-Sites!$F$27))</f>
        <v>0.16809834675764507</v>
      </c>
      <c r="O23" s="34">
        <f ca="1">Sites!$E$27*MAX(0,MIN(1,O$6-Sites!$F$27))</f>
        <v>0.16809834675764507</v>
      </c>
      <c r="P23" s="34">
        <f ca="1">Sites!$E$27*MAX(0,MIN(1,P$6-Sites!$F$27))</f>
        <v>0.16809834675764507</v>
      </c>
      <c r="Q23" s="34">
        <f ca="1">Sites!$E$27*MAX(0,MIN(1,Q$6-Sites!$F$27))</f>
        <v>0.16809834675764507</v>
      </c>
      <c r="R23" s="34">
        <f ca="1">Sites!$E$27*MAX(0,MIN(1,R$6-Sites!$F$27))</f>
        <v>0.16809834675764507</v>
      </c>
      <c r="S23" s="34">
        <f ca="1">Sites!$E$27*MAX(0,MIN(1,S$6-Sites!$F$27))</f>
        <v>0.16809834675764507</v>
      </c>
      <c r="T23" s="34">
        <f ca="1">Sites!$E$27*MAX(0,MIN(1,T$6-Sites!$F$27))</f>
        <v>0.16809834675764507</v>
      </c>
      <c r="U23" s="34">
        <f ca="1">Sites!$E$27*MAX(0,MIN(1,U$6-Sites!$F$27))</f>
        <v>0.16809834675764507</v>
      </c>
      <c r="V23" s="34">
        <f ca="1">Sites!$E$27*MAX(0,MIN(1,V$6-Sites!$F$27))</f>
        <v>0.16809834675764507</v>
      </c>
      <c r="W23" s="34">
        <f ca="1">Sites!$E$27*MAX(0,MIN(1,W$6-Sites!$F$27))</f>
        <v>0.16809834675764507</v>
      </c>
      <c r="X23" s="34">
        <f ca="1">Sites!$E$27*MAX(0,MIN(1,X$6-Sites!$F$27))</f>
        <v>0.16809834675764507</v>
      </c>
      <c r="Y23" s="34">
        <f ca="1">Sites!$E$27*MAX(0,MIN(1,Y$6-Sites!$F$27))</f>
        <v>0.16809834675764507</v>
      </c>
      <c r="Z23" s="34">
        <f ca="1">Sites!$E$27*MAX(0,MIN(1,Z$6-Sites!$F$27))</f>
        <v>0.16809834675764507</v>
      </c>
      <c r="AA23" s="34">
        <f ca="1">Sites!$E$27*MAX(0,MIN(1,AA$6-Sites!$F$27))</f>
        <v>0.16809834675764507</v>
      </c>
      <c r="AB23" s="34">
        <f ca="1">Sites!$E$27*MAX(0,MIN(1,AB$6-Sites!$F$27))</f>
        <v>0.16809834675764507</v>
      </c>
      <c r="AC23" s="34">
        <f ca="1">Sites!$E$27*MAX(0,MIN(1,AC$6-Sites!$F$27))</f>
        <v>0.16809834675764507</v>
      </c>
      <c r="AD23" s="34">
        <f ca="1">Sites!$E$27*MAX(0,MIN(1,AD$6-Sites!$F$27))</f>
        <v>0.16809834675764507</v>
      </c>
      <c r="AE23" s="34">
        <f ca="1">Sites!$E$27*MAX(0,MIN(1,AE$6-Sites!$F$27))</f>
        <v>0.16809834675764507</v>
      </c>
      <c r="AF23" s="34">
        <f ca="1">Sites!$E$27*MAX(0,MIN(1,AF$6-Sites!$F$27))</f>
        <v>0.16809834675764507</v>
      </c>
      <c r="AG23" s="34">
        <f ca="1">Sites!$E$27*MAX(0,MIN(1,AG$6-Sites!$F$27))</f>
        <v>0.16809834675764507</v>
      </c>
      <c r="AH23" s="34">
        <f ca="1">Sites!$E$27*MAX(0,MIN(1,AH$6-Sites!$F$27))</f>
        <v>0.16809834675764507</v>
      </c>
      <c r="AI23" s="34">
        <f ca="1">Sites!$E$27*MAX(0,MIN(1,AI$6-Sites!$F$27))</f>
        <v>0.16809834675764507</v>
      </c>
      <c r="AJ23" s="34">
        <f ca="1">Sites!$E$27*MAX(0,MIN(1,AJ$6-Sites!$F$27))</f>
        <v>0.16809834675764507</v>
      </c>
      <c r="AK23" s="34">
        <f ca="1">Sites!$E$27*MAX(0,MIN(1,AK$6-Sites!$F$27))</f>
        <v>0.16809834675764507</v>
      </c>
      <c r="AL23" s="34">
        <f ca="1">Sites!$E$27*MAX(0,MIN(1,AL$6-Sites!$F$27))</f>
        <v>0.16809834675764507</v>
      </c>
      <c r="AM23" s="34">
        <f ca="1">Sites!$E$27*MAX(0,MIN(1,AM$6-Sites!$F$27))</f>
        <v>0.16809834675764507</v>
      </c>
      <c r="AN23" s="34">
        <f ca="1">Sites!$E$27*MAX(0,MIN(1,AN$6-Sites!$F$27))</f>
        <v>0.16809834675764507</v>
      </c>
      <c r="AO23" s="34">
        <f ca="1">Sites!$E$27*MAX(0,MIN(1,AO$6-Sites!$F$27))</f>
        <v>0.16809834675764507</v>
      </c>
      <c r="AP23" s="34">
        <f ca="1">Sites!$E$27*MAX(0,MIN(1,AP$6-Sites!$F$27))</f>
        <v>0.16809834675764507</v>
      </c>
      <c r="AQ23" s="34">
        <f ca="1">Sites!$E$27*MAX(0,MIN(1,AQ$6-Sites!$F$27))</f>
        <v>0.16809834675764507</v>
      </c>
      <c r="AR23" s="34">
        <f ca="1">Sites!$E$27*MAX(0,MIN(1,AR$6-Sites!$F$27))</f>
        <v>0.16809834675764507</v>
      </c>
      <c r="AS23" s="34">
        <f ca="1">Sites!$E$27*MAX(0,MIN(1,AS$6-Sites!$F$27))</f>
        <v>0.16809834675764507</v>
      </c>
      <c r="AT23" s="34">
        <f ca="1">Sites!$E$27*MAX(0,MIN(1,AT$6-Sites!$F$27))</f>
        <v>0.16809834675764507</v>
      </c>
      <c r="AU23" s="34">
        <f ca="1">Sites!$E$27*MAX(0,MIN(1,AU$6-Sites!$F$27))</f>
        <v>0.16809834675764507</v>
      </c>
      <c r="AV23" s="34">
        <f ca="1">Sites!$E$27*MAX(0,MIN(1,AV$6-Sites!$F$27))</f>
        <v>0.16809834675764507</v>
      </c>
      <c r="AW23" s="34">
        <f ca="1">Sites!$E$27*MAX(0,MIN(1,AW$6-Sites!$F$27))</f>
        <v>0.16809834675764507</v>
      </c>
      <c r="AX23" s="34">
        <f ca="1">Sites!$E$27*MAX(0,MIN(1,AX$6-Sites!$F$27))</f>
        <v>0.16809834675764507</v>
      </c>
      <c r="AY23" s="34">
        <f ca="1">Sites!$E$27*MAX(0,MIN(1,AY$6-Sites!$F$27))</f>
        <v>0.16809834675764507</v>
      </c>
      <c r="AZ23" s="34">
        <f ca="1">Sites!$E$27*MAX(0,MIN(1,AZ$6-Sites!$F$27))</f>
        <v>0.16809834675764507</v>
      </c>
      <c r="BA23" s="34">
        <f ca="1">Sites!$E$27*MAX(0,MIN(1,BA$6-Sites!$F$27))</f>
        <v>0.16809834675764507</v>
      </c>
    </row>
    <row r="24" spans="2:53" x14ac:dyDescent="0.45">
      <c r="B24" s="52">
        <f>Sites!$B$28</f>
        <v>7</v>
      </c>
      <c r="C24" s="26" t="s">
        <v>107</v>
      </c>
      <c r="D24" s="28"/>
      <c r="E24" s="28"/>
      <c r="F24" s="34">
        <f ca="1">Sites!$E$28*MAX(0,MIN(1,F$6-Sites!$F$28))</f>
        <v>0</v>
      </c>
      <c r="G24" s="34">
        <f ca="1">Sites!$E$28*MAX(0,MIN(1,G$6-Sites!$F$28))</f>
        <v>0</v>
      </c>
      <c r="H24" s="34">
        <f ca="1">Sites!$E$28*MAX(0,MIN(1,H$6-Sites!$F$28))</f>
        <v>0</v>
      </c>
      <c r="I24" s="34">
        <f ca="1">Sites!$E$28*MAX(0,MIN(1,I$6-Sites!$F$28))</f>
        <v>0</v>
      </c>
      <c r="J24" s="34">
        <f ca="1">Sites!$E$28*MAX(0,MIN(1,J$6-Sites!$F$28))</f>
        <v>0</v>
      </c>
      <c r="K24" s="34">
        <f ca="1">Sites!$E$28*MAX(0,MIN(1,K$6-Sites!$F$28))</f>
        <v>0</v>
      </c>
      <c r="L24" s="34">
        <f ca="1">Sites!$E$28*MAX(0,MIN(1,L$6-Sites!$F$28))</f>
        <v>0</v>
      </c>
      <c r="M24" s="34">
        <f ca="1">Sites!$E$28*MAX(0,MIN(1,M$6-Sites!$F$28))</f>
        <v>0</v>
      </c>
      <c r="N24" s="34">
        <f ca="1">Sites!$E$28*MAX(0,MIN(1,N$6-Sites!$F$28))</f>
        <v>0</v>
      </c>
      <c r="O24" s="34">
        <f ca="1">Sites!$E$28*MAX(0,MIN(1,O$6-Sites!$F$28))</f>
        <v>0</v>
      </c>
      <c r="P24" s="34">
        <f ca="1">Sites!$E$28*MAX(0,MIN(1,P$6-Sites!$F$28))</f>
        <v>0</v>
      </c>
      <c r="Q24" s="34">
        <f ca="1">Sites!$E$28*MAX(0,MIN(1,Q$6-Sites!$F$28))</f>
        <v>0</v>
      </c>
      <c r="R24" s="34">
        <f ca="1">Sites!$E$28*MAX(0,MIN(1,R$6-Sites!$F$28))</f>
        <v>0</v>
      </c>
      <c r="S24" s="34">
        <f ca="1">Sites!$E$28*MAX(0,MIN(1,S$6-Sites!$F$28))</f>
        <v>0</v>
      </c>
      <c r="T24" s="34">
        <f ca="1">Sites!$E$28*MAX(0,MIN(1,T$6-Sites!$F$28))</f>
        <v>0</v>
      </c>
      <c r="U24" s="34">
        <f ca="1">Sites!$E$28*MAX(0,MIN(1,U$6-Sites!$F$28))</f>
        <v>0</v>
      </c>
      <c r="V24" s="34">
        <f ca="1">Sites!$E$28*MAX(0,MIN(1,V$6-Sites!$F$28))</f>
        <v>0</v>
      </c>
      <c r="W24" s="34">
        <f ca="1">Sites!$E$28*MAX(0,MIN(1,W$6-Sites!$F$28))</f>
        <v>0</v>
      </c>
      <c r="X24" s="34">
        <f ca="1">Sites!$E$28*MAX(0,MIN(1,X$6-Sites!$F$28))</f>
        <v>0</v>
      </c>
      <c r="Y24" s="34">
        <f ca="1">Sites!$E$28*MAX(0,MIN(1,Y$6-Sites!$F$28))</f>
        <v>0</v>
      </c>
      <c r="Z24" s="34">
        <f ca="1">Sites!$E$28*MAX(0,MIN(1,Z$6-Sites!$F$28))</f>
        <v>0</v>
      </c>
      <c r="AA24" s="34">
        <f ca="1">Sites!$E$28*MAX(0,MIN(1,AA$6-Sites!$F$28))</f>
        <v>0</v>
      </c>
      <c r="AB24" s="34">
        <f ca="1">Sites!$E$28*MAX(0,MIN(1,AB$6-Sites!$F$28))</f>
        <v>0</v>
      </c>
      <c r="AC24" s="34">
        <f ca="1">Sites!$E$28*MAX(0,MIN(1,AC$6-Sites!$F$28))</f>
        <v>0</v>
      </c>
      <c r="AD24" s="34">
        <f ca="1">Sites!$E$28*MAX(0,MIN(1,AD$6-Sites!$F$28))</f>
        <v>0</v>
      </c>
      <c r="AE24" s="34">
        <f ca="1">Sites!$E$28*MAX(0,MIN(1,AE$6-Sites!$F$28))</f>
        <v>0</v>
      </c>
      <c r="AF24" s="34">
        <f ca="1">Sites!$E$28*MAX(0,MIN(1,AF$6-Sites!$F$28))</f>
        <v>0</v>
      </c>
      <c r="AG24" s="34">
        <f ca="1">Sites!$E$28*MAX(0,MIN(1,AG$6-Sites!$F$28))</f>
        <v>0</v>
      </c>
      <c r="AH24" s="34">
        <f ca="1">Sites!$E$28*MAX(0,MIN(1,AH$6-Sites!$F$28))</f>
        <v>0</v>
      </c>
      <c r="AI24" s="34">
        <f ca="1">Sites!$E$28*MAX(0,MIN(1,AI$6-Sites!$F$28))</f>
        <v>0</v>
      </c>
      <c r="AJ24" s="34">
        <f ca="1">Sites!$E$28*MAX(0,MIN(1,AJ$6-Sites!$F$28))</f>
        <v>0</v>
      </c>
      <c r="AK24" s="34">
        <f ca="1">Sites!$E$28*MAX(0,MIN(1,AK$6-Sites!$F$28))</f>
        <v>0</v>
      </c>
      <c r="AL24" s="34">
        <f ca="1">Sites!$E$28*MAX(0,MIN(1,AL$6-Sites!$F$28))</f>
        <v>0</v>
      </c>
      <c r="AM24" s="34">
        <f ca="1">Sites!$E$28*MAX(0,MIN(1,AM$6-Sites!$F$28))</f>
        <v>0</v>
      </c>
      <c r="AN24" s="34">
        <f ca="1">Sites!$E$28*MAX(0,MIN(1,AN$6-Sites!$F$28))</f>
        <v>0</v>
      </c>
      <c r="AO24" s="34">
        <f ca="1">Sites!$E$28*MAX(0,MIN(1,AO$6-Sites!$F$28))</f>
        <v>0</v>
      </c>
      <c r="AP24" s="34">
        <f ca="1">Sites!$E$28*MAX(0,MIN(1,AP$6-Sites!$F$28))</f>
        <v>0</v>
      </c>
      <c r="AQ24" s="34">
        <f ca="1">Sites!$E$28*MAX(0,MIN(1,AQ$6-Sites!$F$28))</f>
        <v>0</v>
      </c>
      <c r="AR24" s="34">
        <f ca="1">Sites!$E$28*MAX(0,MIN(1,AR$6-Sites!$F$28))</f>
        <v>0</v>
      </c>
      <c r="AS24" s="34">
        <f ca="1">Sites!$E$28*MAX(0,MIN(1,AS$6-Sites!$F$28))</f>
        <v>0</v>
      </c>
      <c r="AT24" s="34">
        <f ca="1">Sites!$E$28*MAX(0,MIN(1,AT$6-Sites!$F$28))</f>
        <v>0</v>
      </c>
      <c r="AU24" s="34">
        <f ca="1">Sites!$E$28*MAX(0,MIN(1,AU$6-Sites!$F$28))</f>
        <v>0</v>
      </c>
      <c r="AV24" s="34">
        <f ca="1">Sites!$E$28*MAX(0,MIN(1,AV$6-Sites!$F$28))</f>
        <v>0</v>
      </c>
      <c r="AW24" s="34">
        <f ca="1">Sites!$E$28*MAX(0,MIN(1,AW$6-Sites!$F$28))</f>
        <v>0</v>
      </c>
      <c r="AX24" s="34">
        <f ca="1">Sites!$E$28*MAX(0,MIN(1,AX$6-Sites!$F$28))</f>
        <v>0</v>
      </c>
      <c r="AY24" s="34">
        <f ca="1">Sites!$E$28*MAX(0,MIN(1,AY$6-Sites!$F$28))</f>
        <v>0</v>
      </c>
      <c r="AZ24" s="34">
        <f ca="1">Sites!$E$28*MAX(0,MIN(1,AZ$6-Sites!$F$28))</f>
        <v>0</v>
      </c>
      <c r="BA24" s="34">
        <f ca="1">Sites!$E$28*MAX(0,MIN(1,BA$6-Sites!$F$28))</f>
        <v>0</v>
      </c>
    </row>
    <row r="25" spans="2:53" x14ac:dyDescent="0.45">
      <c r="B25" s="52">
        <f>Sites!$B$29</f>
        <v>8</v>
      </c>
      <c r="C25" s="26" t="s">
        <v>107</v>
      </c>
      <c r="D25" s="28"/>
      <c r="E25" s="28"/>
      <c r="F25" s="34">
        <f ca="1">Sites!$E$29*MAX(0,MIN(1,F$6-Sites!$F$29))</f>
        <v>0</v>
      </c>
      <c r="G25" s="34">
        <f ca="1">Sites!$E$29*MAX(0,MIN(1,G$6-Sites!$F$29))</f>
        <v>0</v>
      </c>
      <c r="H25" s="34">
        <f ca="1">Sites!$E$29*MAX(0,MIN(1,H$6-Sites!$F$29))</f>
        <v>6.1003747528914909E-2</v>
      </c>
      <c r="I25" s="34">
        <f ca="1">Sites!$E$29*MAX(0,MIN(1,I$6-Sites!$F$29))</f>
        <v>0.21502150663215966</v>
      </c>
      <c r="J25" s="34">
        <f ca="1">Sites!$E$29*MAX(0,MIN(1,J$6-Sites!$F$29))</f>
        <v>0.21502150663215966</v>
      </c>
      <c r="K25" s="34">
        <f ca="1">Sites!$E$29*MAX(0,MIN(1,K$6-Sites!$F$29))</f>
        <v>0.21502150663215966</v>
      </c>
      <c r="L25" s="34">
        <f ca="1">Sites!$E$29*MAX(0,MIN(1,L$6-Sites!$F$29))</f>
        <v>0.21502150663215966</v>
      </c>
      <c r="M25" s="34">
        <f ca="1">Sites!$E$29*MAX(0,MIN(1,M$6-Sites!$F$29))</f>
        <v>0.21502150663215966</v>
      </c>
      <c r="N25" s="34">
        <f ca="1">Sites!$E$29*MAX(0,MIN(1,N$6-Sites!$F$29))</f>
        <v>0.21502150663215966</v>
      </c>
      <c r="O25" s="34">
        <f ca="1">Sites!$E$29*MAX(0,MIN(1,O$6-Sites!$F$29))</f>
        <v>0.21502150663215966</v>
      </c>
      <c r="P25" s="34">
        <f ca="1">Sites!$E$29*MAX(0,MIN(1,P$6-Sites!$F$29))</f>
        <v>0.21502150663215966</v>
      </c>
      <c r="Q25" s="34">
        <f ca="1">Sites!$E$29*MAX(0,MIN(1,Q$6-Sites!$F$29))</f>
        <v>0.21502150663215966</v>
      </c>
      <c r="R25" s="34">
        <f ca="1">Sites!$E$29*MAX(0,MIN(1,R$6-Sites!$F$29))</f>
        <v>0.21502150663215966</v>
      </c>
      <c r="S25" s="34">
        <f ca="1">Sites!$E$29*MAX(0,MIN(1,S$6-Sites!$F$29))</f>
        <v>0.21502150663215966</v>
      </c>
      <c r="T25" s="34">
        <f ca="1">Sites!$E$29*MAX(0,MIN(1,T$6-Sites!$F$29))</f>
        <v>0.21502150663215966</v>
      </c>
      <c r="U25" s="34">
        <f ca="1">Sites!$E$29*MAX(0,MIN(1,U$6-Sites!$F$29))</f>
        <v>0.21502150663215966</v>
      </c>
      <c r="V25" s="34">
        <f ca="1">Sites!$E$29*MAX(0,MIN(1,V$6-Sites!$F$29))</f>
        <v>0.21502150663215966</v>
      </c>
      <c r="W25" s="34">
        <f ca="1">Sites!$E$29*MAX(0,MIN(1,W$6-Sites!$F$29))</f>
        <v>0.21502150663215966</v>
      </c>
      <c r="X25" s="34">
        <f ca="1">Sites!$E$29*MAX(0,MIN(1,X$6-Sites!$F$29))</f>
        <v>0.21502150663215966</v>
      </c>
      <c r="Y25" s="34">
        <f ca="1">Sites!$E$29*MAX(0,MIN(1,Y$6-Sites!$F$29))</f>
        <v>0.21502150663215966</v>
      </c>
      <c r="Z25" s="34">
        <f ca="1">Sites!$E$29*MAX(0,MIN(1,Z$6-Sites!$F$29))</f>
        <v>0.21502150663215966</v>
      </c>
      <c r="AA25" s="34">
        <f ca="1">Sites!$E$29*MAX(0,MIN(1,AA$6-Sites!$F$29))</f>
        <v>0.21502150663215966</v>
      </c>
      <c r="AB25" s="34">
        <f ca="1">Sites!$E$29*MAX(0,MIN(1,AB$6-Sites!$F$29))</f>
        <v>0.21502150663215966</v>
      </c>
      <c r="AC25" s="34">
        <f ca="1">Sites!$E$29*MAX(0,MIN(1,AC$6-Sites!$F$29))</f>
        <v>0.21502150663215966</v>
      </c>
      <c r="AD25" s="34">
        <f ca="1">Sites!$E$29*MAX(0,MIN(1,AD$6-Sites!$F$29))</f>
        <v>0.21502150663215966</v>
      </c>
      <c r="AE25" s="34">
        <f ca="1">Sites!$E$29*MAX(0,MIN(1,AE$6-Sites!$F$29))</f>
        <v>0.21502150663215966</v>
      </c>
      <c r="AF25" s="34">
        <f ca="1">Sites!$E$29*MAX(0,MIN(1,AF$6-Sites!$F$29))</f>
        <v>0.21502150663215966</v>
      </c>
      <c r="AG25" s="34">
        <f ca="1">Sites!$E$29*MAX(0,MIN(1,AG$6-Sites!$F$29))</f>
        <v>0.21502150663215966</v>
      </c>
      <c r="AH25" s="34">
        <f ca="1">Sites!$E$29*MAX(0,MIN(1,AH$6-Sites!$F$29))</f>
        <v>0.21502150663215966</v>
      </c>
      <c r="AI25" s="34">
        <f ca="1">Sites!$E$29*MAX(0,MIN(1,AI$6-Sites!$F$29))</f>
        <v>0.21502150663215966</v>
      </c>
      <c r="AJ25" s="34">
        <f ca="1">Sites!$E$29*MAX(0,MIN(1,AJ$6-Sites!$F$29))</f>
        <v>0.21502150663215966</v>
      </c>
      <c r="AK25" s="34">
        <f ca="1">Sites!$E$29*MAX(0,MIN(1,AK$6-Sites!$F$29))</f>
        <v>0.21502150663215966</v>
      </c>
      <c r="AL25" s="34">
        <f ca="1">Sites!$E$29*MAX(0,MIN(1,AL$6-Sites!$F$29))</f>
        <v>0.21502150663215966</v>
      </c>
      <c r="AM25" s="34">
        <f ca="1">Sites!$E$29*MAX(0,MIN(1,AM$6-Sites!$F$29))</f>
        <v>0.21502150663215966</v>
      </c>
      <c r="AN25" s="34">
        <f ca="1">Sites!$E$29*MAX(0,MIN(1,AN$6-Sites!$F$29))</f>
        <v>0.21502150663215966</v>
      </c>
      <c r="AO25" s="34">
        <f ca="1">Sites!$E$29*MAX(0,MIN(1,AO$6-Sites!$F$29))</f>
        <v>0.21502150663215966</v>
      </c>
      <c r="AP25" s="34">
        <f ca="1">Sites!$E$29*MAX(0,MIN(1,AP$6-Sites!$F$29))</f>
        <v>0.21502150663215966</v>
      </c>
      <c r="AQ25" s="34">
        <f ca="1">Sites!$E$29*MAX(0,MIN(1,AQ$6-Sites!$F$29))</f>
        <v>0.21502150663215966</v>
      </c>
      <c r="AR25" s="34">
        <f ca="1">Sites!$E$29*MAX(0,MIN(1,AR$6-Sites!$F$29))</f>
        <v>0.21502150663215966</v>
      </c>
      <c r="AS25" s="34">
        <f ca="1">Sites!$E$29*MAX(0,MIN(1,AS$6-Sites!$F$29))</f>
        <v>0.21502150663215966</v>
      </c>
      <c r="AT25" s="34">
        <f ca="1">Sites!$E$29*MAX(0,MIN(1,AT$6-Sites!$F$29))</f>
        <v>0.21502150663215966</v>
      </c>
      <c r="AU25" s="34">
        <f ca="1">Sites!$E$29*MAX(0,MIN(1,AU$6-Sites!$F$29))</f>
        <v>0.21502150663215966</v>
      </c>
      <c r="AV25" s="34">
        <f ca="1">Sites!$E$29*MAX(0,MIN(1,AV$6-Sites!$F$29))</f>
        <v>0.21502150663215966</v>
      </c>
      <c r="AW25" s="34">
        <f ca="1">Sites!$E$29*MAX(0,MIN(1,AW$6-Sites!$F$29))</f>
        <v>0.21502150663215966</v>
      </c>
      <c r="AX25" s="34">
        <f ca="1">Sites!$E$29*MAX(0,MIN(1,AX$6-Sites!$F$29))</f>
        <v>0.21502150663215966</v>
      </c>
      <c r="AY25" s="34">
        <f ca="1">Sites!$E$29*MAX(0,MIN(1,AY$6-Sites!$F$29))</f>
        <v>0.21502150663215966</v>
      </c>
      <c r="AZ25" s="34">
        <f ca="1">Sites!$E$29*MAX(0,MIN(1,AZ$6-Sites!$F$29))</f>
        <v>0.21502150663215966</v>
      </c>
      <c r="BA25" s="34">
        <f ca="1">Sites!$E$29*MAX(0,MIN(1,BA$6-Sites!$F$29))</f>
        <v>0.21502150663215966</v>
      </c>
    </row>
    <row r="26" spans="2:53" x14ac:dyDescent="0.45">
      <c r="B26" s="52">
        <f>Sites!$B$30</f>
        <v>9</v>
      </c>
      <c r="C26" s="26" t="s">
        <v>107</v>
      </c>
      <c r="D26" s="28"/>
      <c r="E26" s="28"/>
      <c r="F26" s="34">
        <f ca="1">Sites!$E$30*MAX(0,MIN(1,F$6-Sites!$F$30))</f>
        <v>0</v>
      </c>
      <c r="G26" s="34">
        <f ca="1">Sites!$E$30*MAX(0,MIN(1,G$6-Sites!$F$30))</f>
        <v>0</v>
      </c>
      <c r="H26" s="34">
        <f ca="1">Sites!$E$30*MAX(0,MIN(1,H$6-Sites!$F$30))</f>
        <v>0</v>
      </c>
      <c r="I26" s="34">
        <f ca="1">Sites!$E$30*MAX(0,MIN(1,I$6-Sites!$F$30))</f>
        <v>0</v>
      </c>
      <c r="J26" s="34">
        <f ca="1">Sites!$E$30*MAX(0,MIN(1,J$6-Sites!$F$30))</f>
        <v>4.6467581944929372E-2</v>
      </c>
      <c r="K26" s="34">
        <f ca="1">Sites!$E$30*MAX(0,MIN(1,K$6-Sites!$F$30))</f>
        <v>5.4001393718053889E-2</v>
      </c>
      <c r="L26" s="34">
        <f ca="1">Sites!$E$30*MAX(0,MIN(1,L$6-Sites!$F$30))</f>
        <v>5.4001393718053889E-2</v>
      </c>
      <c r="M26" s="34">
        <f ca="1">Sites!$E$30*MAX(0,MIN(1,M$6-Sites!$F$30))</f>
        <v>5.4001393718053889E-2</v>
      </c>
      <c r="N26" s="34">
        <f ca="1">Sites!$E$30*MAX(0,MIN(1,N$6-Sites!$F$30))</f>
        <v>5.4001393718053889E-2</v>
      </c>
      <c r="O26" s="34">
        <f ca="1">Sites!$E$30*MAX(0,MIN(1,O$6-Sites!$F$30))</f>
        <v>5.4001393718053889E-2</v>
      </c>
      <c r="P26" s="34">
        <f ca="1">Sites!$E$30*MAX(0,MIN(1,P$6-Sites!$F$30))</f>
        <v>5.4001393718053889E-2</v>
      </c>
      <c r="Q26" s="34">
        <f ca="1">Sites!$E$30*MAX(0,MIN(1,Q$6-Sites!$F$30))</f>
        <v>5.4001393718053889E-2</v>
      </c>
      <c r="R26" s="34">
        <f ca="1">Sites!$E$30*MAX(0,MIN(1,R$6-Sites!$F$30))</f>
        <v>5.4001393718053889E-2</v>
      </c>
      <c r="S26" s="34">
        <f ca="1">Sites!$E$30*MAX(0,MIN(1,S$6-Sites!$F$30))</f>
        <v>5.4001393718053889E-2</v>
      </c>
      <c r="T26" s="34">
        <f ca="1">Sites!$E$30*MAX(0,MIN(1,T$6-Sites!$F$30))</f>
        <v>5.4001393718053889E-2</v>
      </c>
      <c r="U26" s="34">
        <f ca="1">Sites!$E$30*MAX(0,MIN(1,U$6-Sites!$F$30))</f>
        <v>5.4001393718053889E-2</v>
      </c>
      <c r="V26" s="34">
        <f ca="1">Sites!$E$30*MAX(0,MIN(1,V$6-Sites!$F$30))</f>
        <v>5.4001393718053889E-2</v>
      </c>
      <c r="W26" s="34">
        <f ca="1">Sites!$E$30*MAX(0,MIN(1,W$6-Sites!$F$30))</f>
        <v>5.4001393718053889E-2</v>
      </c>
      <c r="X26" s="34">
        <f ca="1">Sites!$E$30*MAX(0,MIN(1,X$6-Sites!$F$30))</f>
        <v>5.4001393718053889E-2</v>
      </c>
      <c r="Y26" s="34">
        <f ca="1">Sites!$E$30*MAX(0,MIN(1,Y$6-Sites!$F$30))</f>
        <v>5.4001393718053889E-2</v>
      </c>
      <c r="Z26" s="34">
        <f ca="1">Sites!$E$30*MAX(0,MIN(1,Z$6-Sites!$F$30))</f>
        <v>5.4001393718053889E-2</v>
      </c>
      <c r="AA26" s="34">
        <f ca="1">Sites!$E$30*MAX(0,MIN(1,AA$6-Sites!$F$30))</f>
        <v>5.4001393718053889E-2</v>
      </c>
      <c r="AB26" s="34">
        <f ca="1">Sites!$E$30*MAX(0,MIN(1,AB$6-Sites!$F$30))</f>
        <v>5.4001393718053889E-2</v>
      </c>
      <c r="AC26" s="34">
        <f ca="1">Sites!$E$30*MAX(0,MIN(1,AC$6-Sites!$F$30))</f>
        <v>5.4001393718053889E-2</v>
      </c>
      <c r="AD26" s="34">
        <f ca="1">Sites!$E$30*MAX(0,MIN(1,AD$6-Sites!$F$30))</f>
        <v>5.4001393718053889E-2</v>
      </c>
      <c r="AE26" s="34">
        <f ca="1">Sites!$E$30*MAX(0,MIN(1,AE$6-Sites!$F$30))</f>
        <v>5.4001393718053889E-2</v>
      </c>
      <c r="AF26" s="34">
        <f ca="1">Sites!$E$30*MAX(0,MIN(1,AF$6-Sites!$F$30))</f>
        <v>5.4001393718053889E-2</v>
      </c>
      <c r="AG26" s="34">
        <f ca="1">Sites!$E$30*MAX(0,MIN(1,AG$6-Sites!$F$30))</f>
        <v>5.4001393718053889E-2</v>
      </c>
      <c r="AH26" s="34">
        <f ca="1">Sites!$E$30*MAX(0,MIN(1,AH$6-Sites!$F$30))</f>
        <v>5.4001393718053889E-2</v>
      </c>
      <c r="AI26" s="34">
        <f ca="1">Sites!$E$30*MAX(0,MIN(1,AI$6-Sites!$F$30))</f>
        <v>5.4001393718053889E-2</v>
      </c>
      <c r="AJ26" s="34">
        <f ca="1">Sites!$E$30*MAX(0,MIN(1,AJ$6-Sites!$F$30))</f>
        <v>5.4001393718053889E-2</v>
      </c>
      <c r="AK26" s="34">
        <f ca="1">Sites!$E$30*MAX(0,MIN(1,AK$6-Sites!$F$30))</f>
        <v>5.4001393718053889E-2</v>
      </c>
      <c r="AL26" s="34">
        <f ca="1">Sites!$E$30*MAX(0,MIN(1,AL$6-Sites!$F$30))</f>
        <v>5.4001393718053889E-2</v>
      </c>
      <c r="AM26" s="34">
        <f ca="1">Sites!$E$30*MAX(0,MIN(1,AM$6-Sites!$F$30))</f>
        <v>5.4001393718053889E-2</v>
      </c>
      <c r="AN26" s="34">
        <f ca="1">Sites!$E$30*MAX(0,MIN(1,AN$6-Sites!$F$30))</f>
        <v>5.4001393718053889E-2</v>
      </c>
      <c r="AO26" s="34">
        <f ca="1">Sites!$E$30*MAX(0,MIN(1,AO$6-Sites!$F$30))</f>
        <v>5.4001393718053889E-2</v>
      </c>
      <c r="AP26" s="34">
        <f ca="1">Sites!$E$30*MAX(0,MIN(1,AP$6-Sites!$F$30))</f>
        <v>5.4001393718053889E-2</v>
      </c>
      <c r="AQ26" s="34">
        <f ca="1">Sites!$E$30*MAX(0,MIN(1,AQ$6-Sites!$F$30))</f>
        <v>5.4001393718053889E-2</v>
      </c>
      <c r="AR26" s="34">
        <f ca="1">Sites!$E$30*MAX(0,MIN(1,AR$6-Sites!$F$30))</f>
        <v>5.4001393718053889E-2</v>
      </c>
      <c r="AS26" s="34">
        <f ca="1">Sites!$E$30*MAX(0,MIN(1,AS$6-Sites!$F$30))</f>
        <v>5.4001393718053889E-2</v>
      </c>
      <c r="AT26" s="34">
        <f ca="1">Sites!$E$30*MAX(0,MIN(1,AT$6-Sites!$F$30))</f>
        <v>5.4001393718053889E-2</v>
      </c>
      <c r="AU26" s="34">
        <f ca="1">Sites!$E$30*MAX(0,MIN(1,AU$6-Sites!$F$30))</f>
        <v>5.4001393718053889E-2</v>
      </c>
      <c r="AV26" s="34">
        <f ca="1">Sites!$E$30*MAX(0,MIN(1,AV$6-Sites!$F$30))</f>
        <v>5.4001393718053889E-2</v>
      </c>
      <c r="AW26" s="34">
        <f ca="1">Sites!$E$30*MAX(0,MIN(1,AW$6-Sites!$F$30))</f>
        <v>5.4001393718053889E-2</v>
      </c>
      <c r="AX26" s="34">
        <f ca="1">Sites!$E$30*MAX(0,MIN(1,AX$6-Sites!$F$30))</f>
        <v>5.4001393718053889E-2</v>
      </c>
      <c r="AY26" s="34">
        <f ca="1">Sites!$E$30*MAX(0,MIN(1,AY$6-Sites!$F$30))</f>
        <v>5.4001393718053889E-2</v>
      </c>
      <c r="AZ26" s="34">
        <f ca="1">Sites!$E$30*MAX(0,MIN(1,AZ$6-Sites!$F$30))</f>
        <v>5.4001393718053889E-2</v>
      </c>
      <c r="BA26" s="34">
        <f ca="1">Sites!$E$30*MAX(0,MIN(1,BA$6-Sites!$F$30))</f>
        <v>5.4001393718053889E-2</v>
      </c>
    </row>
    <row r="27" spans="2:53" x14ac:dyDescent="0.45">
      <c r="B27" s="52">
        <f>Sites!$B$31</f>
        <v>10</v>
      </c>
      <c r="C27" s="26" t="s">
        <v>107</v>
      </c>
      <c r="D27" s="28"/>
      <c r="E27" s="28"/>
      <c r="F27" s="34">
        <f ca="1">Sites!$E$31*MAX(0,MIN(1,F$6-Sites!$F$31))</f>
        <v>0</v>
      </c>
      <c r="G27" s="34">
        <f ca="1">Sites!$E$31*MAX(0,MIN(1,G$6-Sites!$F$31))</f>
        <v>0</v>
      </c>
      <c r="H27" s="34">
        <f ca="1">Sites!$E$31*MAX(0,MIN(1,H$6-Sites!$F$31))</f>
        <v>0</v>
      </c>
      <c r="I27" s="34">
        <f ca="1">Sites!$E$31*MAX(0,MIN(1,I$6-Sites!$F$31))</f>
        <v>0</v>
      </c>
      <c r="J27" s="34">
        <f ca="1">Sites!$E$31*MAX(0,MIN(1,J$6-Sites!$F$31))</f>
        <v>0</v>
      </c>
      <c r="K27" s="34">
        <f ca="1">Sites!$E$31*MAX(0,MIN(1,K$6-Sites!$F$31))</f>
        <v>0.6487857082441254</v>
      </c>
      <c r="L27" s="34">
        <f ca="1">Sites!$E$31*MAX(0,MIN(1,L$6-Sites!$F$31))</f>
        <v>0.8400852860921324</v>
      </c>
      <c r="M27" s="34">
        <f ca="1">Sites!$E$31*MAX(0,MIN(1,M$6-Sites!$F$31))</f>
        <v>0.8400852860921324</v>
      </c>
      <c r="N27" s="34">
        <f ca="1">Sites!$E$31*MAX(0,MIN(1,N$6-Sites!$F$31))</f>
        <v>0.8400852860921324</v>
      </c>
      <c r="O27" s="34">
        <f ca="1">Sites!$E$31*MAX(0,MIN(1,O$6-Sites!$F$31))</f>
        <v>0.8400852860921324</v>
      </c>
      <c r="P27" s="34">
        <f ca="1">Sites!$E$31*MAX(0,MIN(1,P$6-Sites!$F$31))</f>
        <v>0.8400852860921324</v>
      </c>
      <c r="Q27" s="34">
        <f ca="1">Sites!$E$31*MAX(0,MIN(1,Q$6-Sites!$F$31))</f>
        <v>0.8400852860921324</v>
      </c>
      <c r="R27" s="34">
        <f ca="1">Sites!$E$31*MAX(0,MIN(1,R$6-Sites!$F$31))</f>
        <v>0.8400852860921324</v>
      </c>
      <c r="S27" s="34">
        <f ca="1">Sites!$E$31*MAX(0,MIN(1,S$6-Sites!$F$31))</f>
        <v>0.8400852860921324</v>
      </c>
      <c r="T27" s="34">
        <f ca="1">Sites!$E$31*MAX(0,MIN(1,T$6-Sites!$F$31))</f>
        <v>0.8400852860921324</v>
      </c>
      <c r="U27" s="34">
        <f ca="1">Sites!$E$31*MAX(0,MIN(1,U$6-Sites!$F$31))</f>
        <v>0.8400852860921324</v>
      </c>
      <c r="V27" s="34">
        <f ca="1">Sites!$E$31*MAX(0,MIN(1,V$6-Sites!$F$31))</f>
        <v>0.8400852860921324</v>
      </c>
      <c r="W27" s="34">
        <f ca="1">Sites!$E$31*MAX(0,MIN(1,W$6-Sites!$F$31))</f>
        <v>0.8400852860921324</v>
      </c>
      <c r="X27" s="34">
        <f ca="1">Sites!$E$31*MAX(0,MIN(1,X$6-Sites!$F$31))</f>
        <v>0.8400852860921324</v>
      </c>
      <c r="Y27" s="34">
        <f ca="1">Sites!$E$31*MAX(0,MIN(1,Y$6-Sites!$F$31))</f>
        <v>0.8400852860921324</v>
      </c>
      <c r="Z27" s="34">
        <f ca="1">Sites!$E$31*MAX(0,MIN(1,Z$6-Sites!$F$31))</f>
        <v>0.8400852860921324</v>
      </c>
      <c r="AA27" s="34">
        <f ca="1">Sites!$E$31*MAX(0,MIN(1,AA$6-Sites!$F$31))</f>
        <v>0.8400852860921324</v>
      </c>
      <c r="AB27" s="34">
        <f ca="1">Sites!$E$31*MAX(0,MIN(1,AB$6-Sites!$F$31))</f>
        <v>0.8400852860921324</v>
      </c>
      <c r="AC27" s="34">
        <f ca="1">Sites!$E$31*MAX(0,MIN(1,AC$6-Sites!$F$31))</f>
        <v>0.8400852860921324</v>
      </c>
      <c r="AD27" s="34">
        <f ca="1">Sites!$E$31*MAX(0,MIN(1,AD$6-Sites!$F$31))</f>
        <v>0.8400852860921324</v>
      </c>
      <c r="AE27" s="34">
        <f ca="1">Sites!$E$31*MAX(0,MIN(1,AE$6-Sites!$F$31))</f>
        <v>0.8400852860921324</v>
      </c>
      <c r="AF27" s="34">
        <f ca="1">Sites!$E$31*MAX(0,MIN(1,AF$6-Sites!$F$31))</f>
        <v>0.8400852860921324</v>
      </c>
      <c r="AG27" s="34">
        <f ca="1">Sites!$E$31*MAX(0,MIN(1,AG$6-Sites!$F$31))</f>
        <v>0.8400852860921324</v>
      </c>
      <c r="AH27" s="34">
        <f ca="1">Sites!$E$31*MAX(0,MIN(1,AH$6-Sites!$F$31))</f>
        <v>0.8400852860921324</v>
      </c>
      <c r="AI27" s="34">
        <f ca="1">Sites!$E$31*MAX(0,MIN(1,AI$6-Sites!$F$31))</f>
        <v>0.8400852860921324</v>
      </c>
      <c r="AJ27" s="34">
        <f ca="1">Sites!$E$31*MAX(0,MIN(1,AJ$6-Sites!$F$31))</f>
        <v>0.8400852860921324</v>
      </c>
      <c r="AK27" s="34">
        <f ca="1">Sites!$E$31*MAX(0,MIN(1,AK$6-Sites!$F$31))</f>
        <v>0.8400852860921324</v>
      </c>
      <c r="AL27" s="34">
        <f ca="1">Sites!$E$31*MAX(0,MIN(1,AL$6-Sites!$F$31))</f>
        <v>0.8400852860921324</v>
      </c>
      <c r="AM27" s="34">
        <f ca="1">Sites!$E$31*MAX(0,MIN(1,AM$6-Sites!$F$31))</f>
        <v>0.8400852860921324</v>
      </c>
      <c r="AN27" s="34">
        <f ca="1">Sites!$E$31*MAX(0,MIN(1,AN$6-Sites!$F$31))</f>
        <v>0.8400852860921324</v>
      </c>
      <c r="AO27" s="34">
        <f ca="1">Sites!$E$31*MAX(0,MIN(1,AO$6-Sites!$F$31))</f>
        <v>0.8400852860921324</v>
      </c>
      <c r="AP27" s="34">
        <f ca="1">Sites!$E$31*MAX(0,MIN(1,AP$6-Sites!$F$31))</f>
        <v>0.8400852860921324</v>
      </c>
      <c r="AQ27" s="34">
        <f ca="1">Sites!$E$31*MAX(0,MIN(1,AQ$6-Sites!$F$31))</f>
        <v>0.8400852860921324</v>
      </c>
      <c r="AR27" s="34">
        <f ca="1">Sites!$E$31*MAX(0,MIN(1,AR$6-Sites!$F$31))</f>
        <v>0.8400852860921324</v>
      </c>
      <c r="AS27" s="34">
        <f ca="1">Sites!$E$31*MAX(0,MIN(1,AS$6-Sites!$F$31))</f>
        <v>0.8400852860921324</v>
      </c>
      <c r="AT27" s="34">
        <f ca="1">Sites!$E$31*MAX(0,MIN(1,AT$6-Sites!$F$31))</f>
        <v>0.8400852860921324</v>
      </c>
      <c r="AU27" s="34">
        <f ca="1">Sites!$E$31*MAX(0,MIN(1,AU$6-Sites!$F$31))</f>
        <v>0.8400852860921324</v>
      </c>
      <c r="AV27" s="34">
        <f ca="1">Sites!$E$31*MAX(0,MIN(1,AV$6-Sites!$F$31))</f>
        <v>0.8400852860921324</v>
      </c>
      <c r="AW27" s="34">
        <f ca="1">Sites!$E$31*MAX(0,MIN(1,AW$6-Sites!$F$31))</f>
        <v>0.8400852860921324</v>
      </c>
      <c r="AX27" s="34">
        <f ca="1">Sites!$E$31*MAX(0,MIN(1,AX$6-Sites!$F$31))</f>
        <v>0.8400852860921324</v>
      </c>
      <c r="AY27" s="34">
        <f ca="1">Sites!$E$31*MAX(0,MIN(1,AY$6-Sites!$F$31))</f>
        <v>0.8400852860921324</v>
      </c>
      <c r="AZ27" s="34">
        <f ca="1">Sites!$E$31*MAX(0,MIN(1,AZ$6-Sites!$F$31))</f>
        <v>0.8400852860921324</v>
      </c>
      <c r="BA27" s="34">
        <f ca="1">Sites!$E$31*MAX(0,MIN(1,BA$6-Sites!$F$31))</f>
        <v>0.8400852860921324</v>
      </c>
    </row>
    <row r="28" spans="2:53" x14ac:dyDescent="0.45">
      <c r="B28" s="52">
        <f>Sites!$B$32</f>
        <v>11</v>
      </c>
      <c r="C28" s="26" t="s">
        <v>107</v>
      </c>
      <c r="D28" s="28"/>
      <c r="E28" s="28"/>
      <c r="F28" s="34">
        <f ca="1">Sites!$E$32*MAX(0,MIN(1,F$6-Sites!$F$32))</f>
        <v>0</v>
      </c>
      <c r="G28" s="34">
        <f ca="1">Sites!$E$32*MAX(0,MIN(1,G$6-Sites!$F$32))</f>
        <v>0</v>
      </c>
      <c r="H28" s="34">
        <f ca="1">Sites!$E$32*MAX(0,MIN(1,H$6-Sites!$F$32))</f>
        <v>5.8379401918177913E-2</v>
      </c>
      <c r="I28" s="34">
        <f ca="1">Sites!$E$32*MAX(0,MIN(1,I$6-Sites!$F$32))</f>
        <v>8.8712998275381233E-2</v>
      </c>
      <c r="J28" s="34">
        <f ca="1">Sites!$E$32*MAX(0,MIN(1,J$6-Sites!$F$32))</f>
        <v>8.8712998275381233E-2</v>
      </c>
      <c r="K28" s="34">
        <f ca="1">Sites!$E$32*MAX(0,MIN(1,K$6-Sites!$F$32))</f>
        <v>8.8712998275381233E-2</v>
      </c>
      <c r="L28" s="34">
        <f ca="1">Sites!$E$32*MAX(0,MIN(1,L$6-Sites!$F$32))</f>
        <v>8.8712998275381233E-2</v>
      </c>
      <c r="M28" s="34">
        <f ca="1">Sites!$E$32*MAX(0,MIN(1,M$6-Sites!$F$32))</f>
        <v>8.8712998275381233E-2</v>
      </c>
      <c r="N28" s="34">
        <f ca="1">Sites!$E$32*MAX(0,MIN(1,N$6-Sites!$F$32))</f>
        <v>8.8712998275381233E-2</v>
      </c>
      <c r="O28" s="34">
        <f ca="1">Sites!$E$32*MAX(0,MIN(1,O$6-Sites!$F$32))</f>
        <v>8.8712998275381233E-2</v>
      </c>
      <c r="P28" s="34">
        <f ca="1">Sites!$E$32*MAX(0,MIN(1,P$6-Sites!$F$32))</f>
        <v>8.8712998275381233E-2</v>
      </c>
      <c r="Q28" s="34">
        <f ca="1">Sites!$E$32*MAX(0,MIN(1,Q$6-Sites!$F$32))</f>
        <v>8.8712998275381233E-2</v>
      </c>
      <c r="R28" s="34">
        <f ca="1">Sites!$E$32*MAX(0,MIN(1,R$6-Sites!$F$32))</f>
        <v>8.8712998275381233E-2</v>
      </c>
      <c r="S28" s="34">
        <f ca="1">Sites!$E$32*MAX(0,MIN(1,S$6-Sites!$F$32))</f>
        <v>8.8712998275381233E-2</v>
      </c>
      <c r="T28" s="34">
        <f ca="1">Sites!$E$32*MAX(0,MIN(1,T$6-Sites!$F$32))</f>
        <v>8.8712998275381233E-2</v>
      </c>
      <c r="U28" s="34">
        <f ca="1">Sites!$E$32*MAX(0,MIN(1,U$6-Sites!$F$32))</f>
        <v>8.8712998275381233E-2</v>
      </c>
      <c r="V28" s="34">
        <f ca="1">Sites!$E$32*MAX(0,MIN(1,V$6-Sites!$F$32))</f>
        <v>8.8712998275381233E-2</v>
      </c>
      <c r="W28" s="34">
        <f ca="1">Sites!$E$32*MAX(0,MIN(1,W$6-Sites!$F$32))</f>
        <v>8.8712998275381233E-2</v>
      </c>
      <c r="X28" s="34">
        <f ca="1">Sites!$E$32*MAX(0,MIN(1,X$6-Sites!$F$32))</f>
        <v>8.8712998275381233E-2</v>
      </c>
      <c r="Y28" s="34">
        <f ca="1">Sites!$E$32*MAX(0,MIN(1,Y$6-Sites!$F$32))</f>
        <v>8.8712998275381233E-2</v>
      </c>
      <c r="Z28" s="34">
        <f ca="1">Sites!$E$32*MAX(0,MIN(1,Z$6-Sites!$F$32))</f>
        <v>8.8712998275381233E-2</v>
      </c>
      <c r="AA28" s="34">
        <f ca="1">Sites!$E$32*MAX(0,MIN(1,AA$6-Sites!$F$32))</f>
        <v>8.8712998275381233E-2</v>
      </c>
      <c r="AB28" s="34">
        <f ca="1">Sites!$E$32*MAX(0,MIN(1,AB$6-Sites!$F$32))</f>
        <v>8.8712998275381233E-2</v>
      </c>
      <c r="AC28" s="34">
        <f ca="1">Sites!$E$32*MAX(0,MIN(1,AC$6-Sites!$F$32))</f>
        <v>8.8712998275381233E-2</v>
      </c>
      <c r="AD28" s="34">
        <f ca="1">Sites!$E$32*MAX(0,MIN(1,AD$6-Sites!$F$32))</f>
        <v>8.8712998275381233E-2</v>
      </c>
      <c r="AE28" s="34">
        <f ca="1">Sites!$E$32*MAX(0,MIN(1,AE$6-Sites!$F$32))</f>
        <v>8.8712998275381233E-2</v>
      </c>
      <c r="AF28" s="34">
        <f ca="1">Sites!$E$32*MAX(0,MIN(1,AF$6-Sites!$F$32))</f>
        <v>8.8712998275381233E-2</v>
      </c>
      <c r="AG28" s="34">
        <f ca="1">Sites!$E$32*MAX(0,MIN(1,AG$6-Sites!$F$32))</f>
        <v>8.8712998275381233E-2</v>
      </c>
      <c r="AH28" s="34">
        <f ca="1">Sites!$E$32*MAX(0,MIN(1,AH$6-Sites!$F$32))</f>
        <v>8.8712998275381233E-2</v>
      </c>
      <c r="AI28" s="34">
        <f ca="1">Sites!$E$32*MAX(0,MIN(1,AI$6-Sites!$F$32))</f>
        <v>8.8712998275381233E-2</v>
      </c>
      <c r="AJ28" s="34">
        <f ca="1">Sites!$E$32*MAX(0,MIN(1,AJ$6-Sites!$F$32))</f>
        <v>8.8712998275381233E-2</v>
      </c>
      <c r="AK28" s="34">
        <f ca="1">Sites!$E$32*MAX(0,MIN(1,AK$6-Sites!$F$32))</f>
        <v>8.8712998275381233E-2</v>
      </c>
      <c r="AL28" s="34">
        <f ca="1">Sites!$E$32*MAX(0,MIN(1,AL$6-Sites!$F$32))</f>
        <v>8.8712998275381233E-2</v>
      </c>
      <c r="AM28" s="34">
        <f ca="1">Sites!$E$32*MAX(0,MIN(1,AM$6-Sites!$F$32))</f>
        <v>8.8712998275381233E-2</v>
      </c>
      <c r="AN28" s="34">
        <f ca="1">Sites!$E$32*MAX(0,MIN(1,AN$6-Sites!$F$32))</f>
        <v>8.8712998275381233E-2</v>
      </c>
      <c r="AO28" s="34">
        <f ca="1">Sites!$E$32*MAX(0,MIN(1,AO$6-Sites!$F$32))</f>
        <v>8.8712998275381233E-2</v>
      </c>
      <c r="AP28" s="34">
        <f ca="1">Sites!$E$32*MAX(0,MIN(1,AP$6-Sites!$F$32))</f>
        <v>8.8712998275381233E-2</v>
      </c>
      <c r="AQ28" s="34">
        <f ca="1">Sites!$E$32*MAX(0,MIN(1,AQ$6-Sites!$F$32))</f>
        <v>8.8712998275381233E-2</v>
      </c>
      <c r="AR28" s="34">
        <f ca="1">Sites!$E$32*MAX(0,MIN(1,AR$6-Sites!$F$32))</f>
        <v>8.8712998275381233E-2</v>
      </c>
      <c r="AS28" s="34">
        <f ca="1">Sites!$E$32*MAX(0,MIN(1,AS$6-Sites!$F$32))</f>
        <v>8.8712998275381233E-2</v>
      </c>
      <c r="AT28" s="34">
        <f ca="1">Sites!$E$32*MAX(0,MIN(1,AT$6-Sites!$F$32))</f>
        <v>8.8712998275381233E-2</v>
      </c>
      <c r="AU28" s="34">
        <f ca="1">Sites!$E$32*MAX(0,MIN(1,AU$6-Sites!$F$32))</f>
        <v>8.8712998275381233E-2</v>
      </c>
      <c r="AV28" s="34">
        <f ca="1">Sites!$E$32*MAX(0,MIN(1,AV$6-Sites!$F$32))</f>
        <v>8.8712998275381233E-2</v>
      </c>
      <c r="AW28" s="34">
        <f ca="1">Sites!$E$32*MAX(0,MIN(1,AW$6-Sites!$F$32))</f>
        <v>8.8712998275381233E-2</v>
      </c>
      <c r="AX28" s="34">
        <f ca="1">Sites!$E$32*MAX(0,MIN(1,AX$6-Sites!$F$32))</f>
        <v>8.8712998275381233E-2</v>
      </c>
      <c r="AY28" s="34">
        <f ca="1">Sites!$E$32*MAX(0,MIN(1,AY$6-Sites!$F$32))</f>
        <v>8.8712998275381233E-2</v>
      </c>
      <c r="AZ28" s="34">
        <f ca="1">Sites!$E$32*MAX(0,MIN(1,AZ$6-Sites!$F$32))</f>
        <v>8.8712998275381233E-2</v>
      </c>
      <c r="BA28" s="34">
        <f ca="1">Sites!$E$32*MAX(0,MIN(1,BA$6-Sites!$F$32))</f>
        <v>8.8712998275381233E-2</v>
      </c>
    </row>
    <row r="29" spans="2:53" x14ac:dyDescent="0.45">
      <c r="B29" s="52">
        <f>Sites!$B$33</f>
        <v>12</v>
      </c>
      <c r="C29" s="26" t="s">
        <v>107</v>
      </c>
      <c r="D29" s="28"/>
      <c r="E29" s="28"/>
      <c r="F29" s="34">
        <f ca="1">Sites!$E$33*MAX(0,MIN(1,F$6-Sites!$F$33))</f>
        <v>0</v>
      </c>
      <c r="G29" s="34">
        <f ca="1">Sites!$E$33*MAX(0,MIN(1,G$6-Sites!$F$33))</f>
        <v>0</v>
      </c>
      <c r="H29" s="34">
        <f ca="1">Sites!$E$33*MAX(0,MIN(1,H$6-Sites!$F$33))</f>
        <v>0</v>
      </c>
      <c r="I29" s="34">
        <f ca="1">Sites!$E$33*MAX(0,MIN(1,I$6-Sites!$F$33))</f>
        <v>0</v>
      </c>
      <c r="J29" s="34">
        <f ca="1">Sites!$E$33*MAX(0,MIN(1,J$6-Sites!$F$33))</f>
        <v>0.25155757932847084</v>
      </c>
      <c r="K29" s="34">
        <f ca="1">Sites!$E$33*MAX(0,MIN(1,K$6-Sites!$F$33))</f>
        <v>0.29406385117206646</v>
      </c>
      <c r="L29" s="34">
        <f ca="1">Sites!$E$33*MAX(0,MIN(1,L$6-Sites!$F$33))</f>
        <v>0.29406385117206646</v>
      </c>
      <c r="M29" s="34">
        <f ca="1">Sites!$E$33*MAX(0,MIN(1,M$6-Sites!$F$33))</f>
        <v>0.29406385117206646</v>
      </c>
      <c r="N29" s="34">
        <f ca="1">Sites!$E$33*MAX(0,MIN(1,N$6-Sites!$F$33))</f>
        <v>0.29406385117206646</v>
      </c>
      <c r="O29" s="34">
        <f ca="1">Sites!$E$33*MAX(0,MIN(1,O$6-Sites!$F$33))</f>
        <v>0.29406385117206646</v>
      </c>
      <c r="P29" s="34">
        <f ca="1">Sites!$E$33*MAX(0,MIN(1,P$6-Sites!$F$33))</f>
        <v>0.29406385117206646</v>
      </c>
      <c r="Q29" s="34">
        <f ca="1">Sites!$E$33*MAX(0,MIN(1,Q$6-Sites!$F$33))</f>
        <v>0.29406385117206646</v>
      </c>
      <c r="R29" s="34">
        <f ca="1">Sites!$E$33*MAX(0,MIN(1,R$6-Sites!$F$33))</f>
        <v>0.29406385117206646</v>
      </c>
      <c r="S29" s="34">
        <f ca="1">Sites!$E$33*MAX(0,MIN(1,S$6-Sites!$F$33))</f>
        <v>0.29406385117206646</v>
      </c>
      <c r="T29" s="34">
        <f ca="1">Sites!$E$33*MAX(0,MIN(1,T$6-Sites!$F$33))</f>
        <v>0.29406385117206646</v>
      </c>
      <c r="U29" s="34">
        <f ca="1">Sites!$E$33*MAX(0,MIN(1,U$6-Sites!$F$33))</f>
        <v>0.29406385117206646</v>
      </c>
      <c r="V29" s="34">
        <f ca="1">Sites!$E$33*MAX(0,MIN(1,V$6-Sites!$F$33))</f>
        <v>0.29406385117206646</v>
      </c>
      <c r="W29" s="34">
        <f ca="1">Sites!$E$33*MAX(0,MIN(1,W$6-Sites!$F$33))</f>
        <v>0.29406385117206646</v>
      </c>
      <c r="X29" s="34">
        <f ca="1">Sites!$E$33*MAX(0,MIN(1,X$6-Sites!$F$33))</f>
        <v>0.29406385117206646</v>
      </c>
      <c r="Y29" s="34">
        <f ca="1">Sites!$E$33*MAX(0,MIN(1,Y$6-Sites!$F$33))</f>
        <v>0.29406385117206646</v>
      </c>
      <c r="Z29" s="34">
        <f ca="1">Sites!$E$33*MAX(0,MIN(1,Z$6-Sites!$F$33))</f>
        <v>0.29406385117206646</v>
      </c>
      <c r="AA29" s="34">
        <f ca="1">Sites!$E$33*MAX(0,MIN(1,AA$6-Sites!$F$33))</f>
        <v>0.29406385117206646</v>
      </c>
      <c r="AB29" s="34">
        <f ca="1">Sites!$E$33*MAX(0,MIN(1,AB$6-Sites!$F$33))</f>
        <v>0.29406385117206646</v>
      </c>
      <c r="AC29" s="34">
        <f ca="1">Sites!$E$33*MAX(0,MIN(1,AC$6-Sites!$F$33))</f>
        <v>0.29406385117206646</v>
      </c>
      <c r="AD29" s="34">
        <f ca="1">Sites!$E$33*MAX(0,MIN(1,AD$6-Sites!$F$33))</f>
        <v>0.29406385117206646</v>
      </c>
      <c r="AE29" s="34">
        <f ca="1">Sites!$E$33*MAX(0,MIN(1,AE$6-Sites!$F$33))</f>
        <v>0.29406385117206646</v>
      </c>
      <c r="AF29" s="34">
        <f ca="1">Sites!$E$33*MAX(0,MIN(1,AF$6-Sites!$F$33))</f>
        <v>0.29406385117206646</v>
      </c>
      <c r="AG29" s="34">
        <f ca="1">Sites!$E$33*MAX(0,MIN(1,AG$6-Sites!$F$33))</f>
        <v>0.29406385117206646</v>
      </c>
      <c r="AH29" s="34">
        <f ca="1">Sites!$E$33*MAX(0,MIN(1,AH$6-Sites!$F$33))</f>
        <v>0.29406385117206646</v>
      </c>
      <c r="AI29" s="34">
        <f ca="1">Sites!$E$33*MAX(0,MIN(1,AI$6-Sites!$F$33))</f>
        <v>0.29406385117206646</v>
      </c>
      <c r="AJ29" s="34">
        <f ca="1">Sites!$E$33*MAX(0,MIN(1,AJ$6-Sites!$F$33))</f>
        <v>0.29406385117206646</v>
      </c>
      <c r="AK29" s="34">
        <f ca="1">Sites!$E$33*MAX(0,MIN(1,AK$6-Sites!$F$33))</f>
        <v>0.29406385117206646</v>
      </c>
      <c r="AL29" s="34">
        <f ca="1">Sites!$E$33*MAX(0,MIN(1,AL$6-Sites!$F$33))</f>
        <v>0.29406385117206646</v>
      </c>
      <c r="AM29" s="34">
        <f ca="1">Sites!$E$33*MAX(0,MIN(1,AM$6-Sites!$F$33))</f>
        <v>0.29406385117206646</v>
      </c>
      <c r="AN29" s="34">
        <f ca="1">Sites!$E$33*MAX(0,MIN(1,AN$6-Sites!$F$33))</f>
        <v>0.29406385117206646</v>
      </c>
      <c r="AO29" s="34">
        <f ca="1">Sites!$E$33*MAX(0,MIN(1,AO$6-Sites!$F$33))</f>
        <v>0.29406385117206646</v>
      </c>
      <c r="AP29" s="34">
        <f ca="1">Sites!$E$33*MAX(0,MIN(1,AP$6-Sites!$F$33))</f>
        <v>0.29406385117206646</v>
      </c>
      <c r="AQ29" s="34">
        <f ca="1">Sites!$E$33*MAX(0,MIN(1,AQ$6-Sites!$F$33))</f>
        <v>0.29406385117206646</v>
      </c>
      <c r="AR29" s="34">
        <f ca="1">Sites!$E$33*MAX(0,MIN(1,AR$6-Sites!$F$33))</f>
        <v>0.29406385117206646</v>
      </c>
      <c r="AS29" s="34">
        <f ca="1">Sites!$E$33*MAX(0,MIN(1,AS$6-Sites!$F$33))</f>
        <v>0.29406385117206646</v>
      </c>
      <c r="AT29" s="34">
        <f ca="1">Sites!$E$33*MAX(0,MIN(1,AT$6-Sites!$F$33))</f>
        <v>0.29406385117206646</v>
      </c>
      <c r="AU29" s="34">
        <f ca="1">Sites!$E$33*MAX(0,MIN(1,AU$6-Sites!$F$33))</f>
        <v>0.29406385117206646</v>
      </c>
      <c r="AV29" s="34">
        <f ca="1">Sites!$E$33*MAX(0,MIN(1,AV$6-Sites!$F$33))</f>
        <v>0.29406385117206646</v>
      </c>
      <c r="AW29" s="34">
        <f ca="1">Sites!$E$33*MAX(0,MIN(1,AW$6-Sites!$F$33))</f>
        <v>0.29406385117206646</v>
      </c>
      <c r="AX29" s="34">
        <f ca="1">Sites!$E$33*MAX(0,MIN(1,AX$6-Sites!$F$33))</f>
        <v>0.29406385117206646</v>
      </c>
      <c r="AY29" s="34">
        <f ca="1">Sites!$E$33*MAX(0,MIN(1,AY$6-Sites!$F$33))</f>
        <v>0.29406385117206646</v>
      </c>
      <c r="AZ29" s="34">
        <f ca="1">Sites!$E$33*MAX(0,MIN(1,AZ$6-Sites!$F$33))</f>
        <v>0.29406385117206646</v>
      </c>
      <c r="BA29" s="34">
        <f ca="1">Sites!$E$33*MAX(0,MIN(1,BA$6-Sites!$F$33))</f>
        <v>0.29406385117206646</v>
      </c>
    </row>
    <row r="30" spans="2:53" x14ac:dyDescent="0.45">
      <c r="B30" s="52">
        <f>Sites!$B$34</f>
        <v>13</v>
      </c>
      <c r="C30" s="26" t="s">
        <v>107</v>
      </c>
      <c r="D30" s="28"/>
      <c r="E30" s="28"/>
      <c r="F30" s="34">
        <f ca="1">Sites!$E$34*MAX(0,MIN(1,F$6-Sites!$F$34))</f>
        <v>0</v>
      </c>
      <c r="G30" s="34">
        <f ca="1">Sites!$E$34*MAX(0,MIN(1,G$6-Sites!$F$34))</f>
        <v>0</v>
      </c>
      <c r="H30" s="34">
        <f ca="1">Sites!$E$34*MAX(0,MIN(1,H$6-Sites!$F$34))</f>
        <v>0</v>
      </c>
      <c r="I30" s="34">
        <f ca="1">Sites!$E$34*MAX(0,MIN(1,I$6-Sites!$F$34))</f>
        <v>0</v>
      </c>
      <c r="J30" s="34">
        <f ca="1">Sites!$E$34*MAX(0,MIN(1,J$6-Sites!$F$34))</f>
        <v>0</v>
      </c>
      <c r="K30" s="34">
        <f ca="1">Sites!$E$34*MAX(0,MIN(1,K$6-Sites!$F$34))</f>
        <v>0.25571003953259264</v>
      </c>
      <c r="L30" s="34">
        <f ca="1">Sites!$E$34*MAX(0,MIN(1,L$6-Sites!$F$34))</f>
        <v>0.28913433509290604</v>
      </c>
      <c r="M30" s="34">
        <f ca="1">Sites!$E$34*MAX(0,MIN(1,M$6-Sites!$F$34))</f>
        <v>0.28913433509290604</v>
      </c>
      <c r="N30" s="34">
        <f ca="1">Sites!$E$34*MAX(0,MIN(1,N$6-Sites!$F$34))</f>
        <v>0.28913433509290604</v>
      </c>
      <c r="O30" s="34">
        <f ca="1">Sites!$E$34*MAX(0,MIN(1,O$6-Sites!$F$34))</f>
        <v>0.28913433509290604</v>
      </c>
      <c r="P30" s="34">
        <f ca="1">Sites!$E$34*MAX(0,MIN(1,P$6-Sites!$F$34))</f>
        <v>0.28913433509290604</v>
      </c>
      <c r="Q30" s="34">
        <f ca="1">Sites!$E$34*MAX(0,MIN(1,Q$6-Sites!$F$34))</f>
        <v>0.28913433509290604</v>
      </c>
      <c r="R30" s="34">
        <f ca="1">Sites!$E$34*MAX(0,MIN(1,R$6-Sites!$F$34))</f>
        <v>0.28913433509290604</v>
      </c>
      <c r="S30" s="34">
        <f ca="1">Sites!$E$34*MAX(0,MIN(1,S$6-Sites!$F$34))</f>
        <v>0.28913433509290604</v>
      </c>
      <c r="T30" s="34">
        <f ca="1">Sites!$E$34*MAX(0,MIN(1,T$6-Sites!$F$34))</f>
        <v>0.28913433509290604</v>
      </c>
      <c r="U30" s="34">
        <f ca="1">Sites!$E$34*MAX(0,MIN(1,U$6-Sites!$F$34))</f>
        <v>0.28913433509290604</v>
      </c>
      <c r="V30" s="34">
        <f ca="1">Sites!$E$34*MAX(0,MIN(1,V$6-Sites!$F$34))</f>
        <v>0.28913433509290604</v>
      </c>
      <c r="W30" s="34">
        <f ca="1">Sites!$E$34*MAX(0,MIN(1,W$6-Sites!$F$34))</f>
        <v>0.28913433509290604</v>
      </c>
      <c r="X30" s="34">
        <f ca="1">Sites!$E$34*MAX(0,MIN(1,X$6-Sites!$F$34))</f>
        <v>0.28913433509290604</v>
      </c>
      <c r="Y30" s="34">
        <f ca="1">Sites!$E$34*MAX(0,MIN(1,Y$6-Sites!$F$34))</f>
        <v>0.28913433509290604</v>
      </c>
      <c r="Z30" s="34">
        <f ca="1">Sites!$E$34*MAX(0,MIN(1,Z$6-Sites!$F$34))</f>
        <v>0.28913433509290604</v>
      </c>
      <c r="AA30" s="34">
        <f ca="1">Sites!$E$34*MAX(0,MIN(1,AA$6-Sites!$F$34))</f>
        <v>0.28913433509290604</v>
      </c>
      <c r="AB30" s="34">
        <f ca="1">Sites!$E$34*MAX(0,MIN(1,AB$6-Sites!$F$34))</f>
        <v>0.28913433509290604</v>
      </c>
      <c r="AC30" s="34">
        <f ca="1">Sites!$E$34*MAX(0,MIN(1,AC$6-Sites!$F$34))</f>
        <v>0.28913433509290604</v>
      </c>
      <c r="AD30" s="34">
        <f ca="1">Sites!$E$34*MAX(0,MIN(1,AD$6-Sites!$F$34))</f>
        <v>0.28913433509290604</v>
      </c>
      <c r="AE30" s="34">
        <f ca="1">Sites!$E$34*MAX(0,MIN(1,AE$6-Sites!$F$34))</f>
        <v>0.28913433509290604</v>
      </c>
      <c r="AF30" s="34">
        <f ca="1">Sites!$E$34*MAX(0,MIN(1,AF$6-Sites!$F$34))</f>
        <v>0.28913433509290604</v>
      </c>
      <c r="AG30" s="34">
        <f ca="1">Sites!$E$34*MAX(0,MIN(1,AG$6-Sites!$F$34))</f>
        <v>0.28913433509290604</v>
      </c>
      <c r="AH30" s="34">
        <f ca="1">Sites!$E$34*MAX(0,MIN(1,AH$6-Sites!$F$34))</f>
        <v>0.28913433509290604</v>
      </c>
      <c r="AI30" s="34">
        <f ca="1">Sites!$E$34*MAX(0,MIN(1,AI$6-Sites!$F$34))</f>
        <v>0.28913433509290604</v>
      </c>
      <c r="AJ30" s="34">
        <f ca="1">Sites!$E$34*MAX(0,MIN(1,AJ$6-Sites!$F$34))</f>
        <v>0.28913433509290604</v>
      </c>
      <c r="AK30" s="34">
        <f ca="1">Sites!$E$34*MAX(0,MIN(1,AK$6-Sites!$F$34))</f>
        <v>0.28913433509290604</v>
      </c>
      <c r="AL30" s="34">
        <f ca="1">Sites!$E$34*MAX(0,MIN(1,AL$6-Sites!$F$34))</f>
        <v>0.28913433509290604</v>
      </c>
      <c r="AM30" s="34">
        <f ca="1">Sites!$E$34*MAX(0,MIN(1,AM$6-Sites!$F$34))</f>
        <v>0.28913433509290604</v>
      </c>
      <c r="AN30" s="34">
        <f ca="1">Sites!$E$34*MAX(0,MIN(1,AN$6-Sites!$F$34))</f>
        <v>0.28913433509290604</v>
      </c>
      <c r="AO30" s="34">
        <f ca="1">Sites!$E$34*MAX(0,MIN(1,AO$6-Sites!$F$34))</f>
        <v>0.28913433509290604</v>
      </c>
      <c r="AP30" s="34">
        <f ca="1">Sites!$E$34*MAX(0,MIN(1,AP$6-Sites!$F$34))</f>
        <v>0.28913433509290604</v>
      </c>
      <c r="AQ30" s="34">
        <f ca="1">Sites!$E$34*MAX(0,MIN(1,AQ$6-Sites!$F$34))</f>
        <v>0.28913433509290604</v>
      </c>
      <c r="AR30" s="34">
        <f ca="1">Sites!$E$34*MAX(0,MIN(1,AR$6-Sites!$F$34))</f>
        <v>0.28913433509290604</v>
      </c>
      <c r="AS30" s="34">
        <f ca="1">Sites!$E$34*MAX(0,MIN(1,AS$6-Sites!$F$34))</f>
        <v>0.28913433509290604</v>
      </c>
      <c r="AT30" s="34">
        <f ca="1">Sites!$E$34*MAX(0,MIN(1,AT$6-Sites!$F$34))</f>
        <v>0.28913433509290604</v>
      </c>
      <c r="AU30" s="34">
        <f ca="1">Sites!$E$34*MAX(0,MIN(1,AU$6-Sites!$F$34))</f>
        <v>0.28913433509290604</v>
      </c>
      <c r="AV30" s="34">
        <f ca="1">Sites!$E$34*MAX(0,MIN(1,AV$6-Sites!$F$34))</f>
        <v>0.28913433509290604</v>
      </c>
      <c r="AW30" s="34">
        <f ca="1">Sites!$E$34*MAX(0,MIN(1,AW$6-Sites!$F$34))</f>
        <v>0.28913433509290604</v>
      </c>
      <c r="AX30" s="34">
        <f ca="1">Sites!$E$34*MAX(0,MIN(1,AX$6-Sites!$F$34))</f>
        <v>0.28913433509290604</v>
      </c>
      <c r="AY30" s="34">
        <f ca="1">Sites!$E$34*MAX(0,MIN(1,AY$6-Sites!$F$34))</f>
        <v>0.28913433509290604</v>
      </c>
      <c r="AZ30" s="34">
        <f ca="1">Sites!$E$34*MAX(0,MIN(1,AZ$6-Sites!$F$34))</f>
        <v>0.28913433509290604</v>
      </c>
      <c r="BA30" s="34">
        <f ca="1">Sites!$E$34*MAX(0,MIN(1,BA$6-Sites!$F$34))</f>
        <v>0.28913433509290604</v>
      </c>
    </row>
    <row r="31" spans="2:53" x14ac:dyDescent="0.45">
      <c r="B31" s="52">
        <f>Sites!$B$35</f>
        <v>14</v>
      </c>
      <c r="C31" s="26" t="s">
        <v>107</v>
      </c>
      <c r="D31" s="28"/>
      <c r="E31" s="28"/>
      <c r="F31" s="34">
        <f ca="1">Sites!$E$35*MAX(0,MIN(1,F$6-Sites!$F$35))</f>
        <v>0</v>
      </c>
      <c r="G31" s="34">
        <f ca="1">Sites!$E$35*MAX(0,MIN(1,G$6-Sites!$F$35))</f>
        <v>0</v>
      </c>
      <c r="H31" s="34">
        <f ca="1">Sites!$E$35*MAX(0,MIN(1,H$6-Sites!$F$35))</f>
        <v>0</v>
      </c>
      <c r="I31" s="34">
        <f ca="1">Sites!$E$35*MAX(0,MIN(1,I$6-Sites!$F$35))</f>
        <v>0</v>
      </c>
      <c r="J31" s="34">
        <f ca="1">Sites!$E$35*MAX(0,MIN(1,J$6-Sites!$F$35))</f>
        <v>3.3651273069782044E-2</v>
      </c>
      <c r="K31" s="34">
        <f ca="1">Sites!$E$35*MAX(0,MIN(1,K$6-Sites!$F$35))</f>
        <v>0.31922771867951355</v>
      </c>
      <c r="L31" s="34">
        <f ca="1">Sites!$E$35*MAX(0,MIN(1,L$6-Sites!$F$35))</f>
        <v>0.31922771867951355</v>
      </c>
      <c r="M31" s="34">
        <f ca="1">Sites!$E$35*MAX(0,MIN(1,M$6-Sites!$F$35))</f>
        <v>0.31922771867951355</v>
      </c>
      <c r="N31" s="34">
        <f ca="1">Sites!$E$35*MAX(0,MIN(1,N$6-Sites!$F$35))</f>
        <v>0.31922771867951355</v>
      </c>
      <c r="O31" s="34">
        <f ca="1">Sites!$E$35*MAX(0,MIN(1,O$6-Sites!$F$35))</f>
        <v>0.31922771867951355</v>
      </c>
      <c r="P31" s="34">
        <f ca="1">Sites!$E$35*MAX(0,MIN(1,P$6-Sites!$F$35))</f>
        <v>0.31922771867951355</v>
      </c>
      <c r="Q31" s="34">
        <f ca="1">Sites!$E$35*MAX(0,MIN(1,Q$6-Sites!$F$35))</f>
        <v>0.31922771867951355</v>
      </c>
      <c r="R31" s="34">
        <f ca="1">Sites!$E$35*MAX(0,MIN(1,R$6-Sites!$F$35))</f>
        <v>0.31922771867951355</v>
      </c>
      <c r="S31" s="34">
        <f ca="1">Sites!$E$35*MAX(0,MIN(1,S$6-Sites!$F$35))</f>
        <v>0.31922771867951355</v>
      </c>
      <c r="T31" s="34">
        <f ca="1">Sites!$E$35*MAX(0,MIN(1,T$6-Sites!$F$35))</f>
        <v>0.31922771867951355</v>
      </c>
      <c r="U31" s="34">
        <f ca="1">Sites!$E$35*MAX(0,MIN(1,U$6-Sites!$F$35))</f>
        <v>0.31922771867951355</v>
      </c>
      <c r="V31" s="34">
        <f ca="1">Sites!$E$35*MAX(0,MIN(1,V$6-Sites!$F$35))</f>
        <v>0.31922771867951355</v>
      </c>
      <c r="W31" s="34">
        <f ca="1">Sites!$E$35*MAX(0,MIN(1,W$6-Sites!$F$35))</f>
        <v>0.31922771867951355</v>
      </c>
      <c r="X31" s="34">
        <f ca="1">Sites!$E$35*MAX(0,MIN(1,X$6-Sites!$F$35))</f>
        <v>0.31922771867951355</v>
      </c>
      <c r="Y31" s="34">
        <f ca="1">Sites!$E$35*MAX(0,MIN(1,Y$6-Sites!$F$35))</f>
        <v>0.31922771867951355</v>
      </c>
      <c r="Z31" s="34">
        <f ca="1">Sites!$E$35*MAX(0,MIN(1,Z$6-Sites!$F$35))</f>
        <v>0.31922771867951355</v>
      </c>
      <c r="AA31" s="34">
        <f ca="1">Sites!$E$35*MAX(0,MIN(1,AA$6-Sites!$F$35))</f>
        <v>0.31922771867951355</v>
      </c>
      <c r="AB31" s="34">
        <f ca="1">Sites!$E$35*MAX(0,MIN(1,AB$6-Sites!$F$35))</f>
        <v>0.31922771867951355</v>
      </c>
      <c r="AC31" s="34">
        <f ca="1">Sites!$E$35*MAX(0,MIN(1,AC$6-Sites!$F$35))</f>
        <v>0.31922771867951355</v>
      </c>
      <c r="AD31" s="34">
        <f ca="1">Sites!$E$35*MAX(0,MIN(1,AD$6-Sites!$F$35))</f>
        <v>0.31922771867951355</v>
      </c>
      <c r="AE31" s="34">
        <f ca="1">Sites!$E$35*MAX(0,MIN(1,AE$6-Sites!$F$35))</f>
        <v>0.31922771867951355</v>
      </c>
      <c r="AF31" s="34">
        <f ca="1">Sites!$E$35*MAX(0,MIN(1,AF$6-Sites!$F$35))</f>
        <v>0.31922771867951355</v>
      </c>
      <c r="AG31" s="34">
        <f ca="1">Sites!$E$35*MAX(0,MIN(1,AG$6-Sites!$F$35))</f>
        <v>0.31922771867951355</v>
      </c>
      <c r="AH31" s="34">
        <f ca="1">Sites!$E$35*MAX(0,MIN(1,AH$6-Sites!$F$35))</f>
        <v>0.31922771867951355</v>
      </c>
      <c r="AI31" s="34">
        <f ca="1">Sites!$E$35*MAX(0,MIN(1,AI$6-Sites!$F$35))</f>
        <v>0.31922771867951355</v>
      </c>
      <c r="AJ31" s="34">
        <f ca="1">Sites!$E$35*MAX(0,MIN(1,AJ$6-Sites!$F$35))</f>
        <v>0.31922771867951355</v>
      </c>
      <c r="AK31" s="34">
        <f ca="1">Sites!$E$35*MAX(0,MIN(1,AK$6-Sites!$F$35))</f>
        <v>0.31922771867951355</v>
      </c>
      <c r="AL31" s="34">
        <f ca="1">Sites!$E$35*MAX(0,MIN(1,AL$6-Sites!$F$35))</f>
        <v>0.31922771867951355</v>
      </c>
      <c r="AM31" s="34">
        <f ca="1">Sites!$E$35*MAX(0,MIN(1,AM$6-Sites!$F$35))</f>
        <v>0.31922771867951355</v>
      </c>
      <c r="AN31" s="34">
        <f ca="1">Sites!$E$35*MAX(0,MIN(1,AN$6-Sites!$F$35))</f>
        <v>0.31922771867951355</v>
      </c>
      <c r="AO31" s="34">
        <f ca="1">Sites!$E$35*MAX(0,MIN(1,AO$6-Sites!$F$35))</f>
        <v>0.31922771867951355</v>
      </c>
      <c r="AP31" s="34">
        <f ca="1">Sites!$E$35*MAX(0,MIN(1,AP$6-Sites!$F$35))</f>
        <v>0.31922771867951355</v>
      </c>
      <c r="AQ31" s="34">
        <f ca="1">Sites!$E$35*MAX(0,MIN(1,AQ$6-Sites!$F$35))</f>
        <v>0.31922771867951355</v>
      </c>
      <c r="AR31" s="34">
        <f ca="1">Sites!$E$35*MAX(0,MIN(1,AR$6-Sites!$F$35))</f>
        <v>0.31922771867951355</v>
      </c>
      <c r="AS31" s="34">
        <f ca="1">Sites!$E$35*MAX(0,MIN(1,AS$6-Sites!$F$35))</f>
        <v>0.31922771867951355</v>
      </c>
      <c r="AT31" s="34">
        <f ca="1">Sites!$E$35*MAX(0,MIN(1,AT$6-Sites!$F$35))</f>
        <v>0.31922771867951355</v>
      </c>
      <c r="AU31" s="34">
        <f ca="1">Sites!$E$35*MAX(0,MIN(1,AU$6-Sites!$F$35))</f>
        <v>0.31922771867951355</v>
      </c>
      <c r="AV31" s="34">
        <f ca="1">Sites!$E$35*MAX(0,MIN(1,AV$6-Sites!$F$35))</f>
        <v>0.31922771867951355</v>
      </c>
      <c r="AW31" s="34">
        <f ca="1">Sites!$E$35*MAX(0,MIN(1,AW$6-Sites!$F$35))</f>
        <v>0.31922771867951355</v>
      </c>
      <c r="AX31" s="34">
        <f ca="1">Sites!$E$35*MAX(0,MIN(1,AX$6-Sites!$F$35))</f>
        <v>0.31922771867951355</v>
      </c>
      <c r="AY31" s="34">
        <f ca="1">Sites!$E$35*MAX(0,MIN(1,AY$6-Sites!$F$35))</f>
        <v>0.31922771867951355</v>
      </c>
      <c r="AZ31" s="34">
        <f ca="1">Sites!$E$35*MAX(0,MIN(1,AZ$6-Sites!$F$35))</f>
        <v>0.31922771867951355</v>
      </c>
      <c r="BA31" s="34">
        <f ca="1">Sites!$E$35*MAX(0,MIN(1,BA$6-Sites!$F$35))</f>
        <v>0.31922771867951355</v>
      </c>
    </row>
    <row r="32" spans="2:53" x14ac:dyDescent="0.45">
      <c r="B32" s="52">
        <f>Sites!$B$36</f>
        <v>15</v>
      </c>
      <c r="C32" s="26" t="s">
        <v>107</v>
      </c>
      <c r="D32" s="28"/>
      <c r="E32" s="28"/>
      <c r="F32" s="34">
        <f ca="1">Sites!$E$36*MAX(0,MIN(1,F$6-Sites!$F$36))</f>
        <v>0</v>
      </c>
      <c r="G32" s="34">
        <f ca="1">Sites!$E$36*MAX(0,MIN(1,G$6-Sites!$F$36))</f>
        <v>0</v>
      </c>
      <c r="H32" s="34">
        <f ca="1">Sites!$E$36*MAX(0,MIN(1,H$6-Sites!$F$36))</f>
        <v>0</v>
      </c>
      <c r="I32" s="34">
        <f ca="1">Sites!$E$36*MAX(0,MIN(1,I$6-Sites!$F$36))</f>
        <v>4.0437499059977386E-2</v>
      </c>
      <c r="J32" s="34">
        <f ca="1">Sites!$E$36*MAX(0,MIN(1,J$6-Sites!$F$36))</f>
        <v>0.34210977553359018</v>
      </c>
      <c r="K32" s="34">
        <f ca="1">Sites!$E$36*MAX(0,MIN(1,K$6-Sites!$F$36))</f>
        <v>0.34210977553359018</v>
      </c>
      <c r="L32" s="34">
        <f ca="1">Sites!$E$36*MAX(0,MIN(1,L$6-Sites!$F$36))</f>
        <v>0.34210977553359018</v>
      </c>
      <c r="M32" s="34">
        <f ca="1">Sites!$E$36*MAX(0,MIN(1,M$6-Sites!$F$36))</f>
        <v>0.34210977553359018</v>
      </c>
      <c r="N32" s="34">
        <f ca="1">Sites!$E$36*MAX(0,MIN(1,N$6-Sites!$F$36))</f>
        <v>0.34210977553359018</v>
      </c>
      <c r="O32" s="34">
        <f ca="1">Sites!$E$36*MAX(0,MIN(1,O$6-Sites!$F$36))</f>
        <v>0.34210977553359018</v>
      </c>
      <c r="P32" s="34">
        <f ca="1">Sites!$E$36*MAX(0,MIN(1,P$6-Sites!$F$36))</f>
        <v>0.34210977553359018</v>
      </c>
      <c r="Q32" s="34">
        <f ca="1">Sites!$E$36*MAX(0,MIN(1,Q$6-Sites!$F$36))</f>
        <v>0.34210977553359018</v>
      </c>
      <c r="R32" s="34">
        <f ca="1">Sites!$E$36*MAX(0,MIN(1,R$6-Sites!$F$36))</f>
        <v>0.34210977553359018</v>
      </c>
      <c r="S32" s="34">
        <f ca="1">Sites!$E$36*MAX(0,MIN(1,S$6-Sites!$F$36))</f>
        <v>0.34210977553359018</v>
      </c>
      <c r="T32" s="34">
        <f ca="1">Sites!$E$36*MAX(0,MIN(1,T$6-Sites!$F$36))</f>
        <v>0.34210977553359018</v>
      </c>
      <c r="U32" s="34">
        <f ca="1">Sites!$E$36*MAX(0,MIN(1,U$6-Sites!$F$36))</f>
        <v>0.34210977553359018</v>
      </c>
      <c r="V32" s="34">
        <f ca="1">Sites!$E$36*MAX(0,MIN(1,V$6-Sites!$F$36))</f>
        <v>0.34210977553359018</v>
      </c>
      <c r="W32" s="34">
        <f ca="1">Sites!$E$36*MAX(0,MIN(1,W$6-Sites!$F$36))</f>
        <v>0.34210977553359018</v>
      </c>
      <c r="X32" s="34">
        <f ca="1">Sites!$E$36*MAX(0,MIN(1,X$6-Sites!$F$36))</f>
        <v>0.34210977553359018</v>
      </c>
      <c r="Y32" s="34">
        <f ca="1">Sites!$E$36*MAX(0,MIN(1,Y$6-Sites!$F$36))</f>
        <v>0.34210977553359018</v>
      </c>
      <c r="Z32" s="34">
        <f ca="1">Sites!$E$36*MAX(0,MIN(1,Z$6-Sites!$F$36))</f>
        <v>0.34210977553359018</v>
      </c>
      <c r="AA32" s="34">
        <f ca="1">Sites!$E$36*MAX(0,MIN(1,AA$6-Sites!$F$36))</f>
        <v>0.34210977553359018</v>
      </c>
      <c r="AB32" s="34">
        <f ca="1">Sites!$E$36*MAX(0,MIN(1,AB$6-Sites!$F$36))</f>
        <v>0.34210977553359018</v>
      </c>
      <c r="AC32" s="34">
        <f ca="1">Sites!$E$36*MAX(0,MIN(1,AC$6-Sites!$F$36))</f>
        <v>0.34210977553359018</v>
      </c>
      <c r="AD32" s="34">
        <f ca="1">Sites!$E$36*MAX(0,MIN(1,AD$6-Sites!$F$36))</f>
        <v>0.34210977553359018</v>
      </c>
      <c r="AE32" s="34">
        <f ca="1">Sites!$E$36*MAX(0,MIN(1,AE$6-Sites!$F$36))</f>
        <v>0.34210977553359018</v>
      </c>
      <c r="AF32" s="34">
        <f ca="1">Sites!$E$36*MAX(0,MIN(1,AF$6-Sites!$F$36))</f>
        <v>0.34210977553359018</v>
      </c>
      <c r="AG32" s="34">
        <f ca="1">Sites!$E$36*MAX(0,MIN(1,AG$6-Sites!$F$36))</f>
        <v>0.34210977553359018</v>
      </c>
      <c r="AH32" s="34">
        <f ca="1">Sites!$E$36*MAX(0,MIN(1,AH$6-Sites!$F$36))</f>
        <v>0.34210977553359018</v>
      </c>
      <c r="AI32" s="34">
        <f ca="1">Sites!$E$36*MAX(0,MIN(1,AI$6-Sites!$F$36))</f>
        <v>0.34210977553359018</v>
      </c>
      <c r="AJ32" s="34">
        <f ca="1">Sites!$E$36*MAX(0,MIN(1,AJ$6-Sites!$F$36))</f>
        <v>0.34210977553359018</v>
      </c>
      <c r="AK32" s="34">
        <f ca="1">Sites!$E$36*MAX(0,MIN(1,AK$6-Sites!$F$36))</f>
        <v>0.34210977553359018</v>
      </c>
      <c r="AL32" s="34">
        <f ca="1">Sites!$E$36*MAX(0,MIN(1,AL$6-Sites!$F$36))</f>
        <v>0.34210977553359018</v>
      </c>
      <c r="AM32" s="34">
        <f ca="1">Sites!$E$36*MAX(0,MIN(1,AM$6-Sites!$F$36))</f>
        <v>0.34210977553359018</v>
      </c>
      <c r="AN32" s="34">
        <f ca="1">Sites!$E$36*MAX(0,MIN(1,AN$6-Sites!$F$36))</f>
        <v>0.34210977553359018</v>
      </c>
      <c r="AO32" s="34">
        <f ca="1">Sites!$E$36*MAX(0,MIN(1,AO$6-Sites!$F$36))</f>
        <v>0.34210977553359018</v>
      </c>
      <c r="AP32" s="34">
        <f ca="1">Sites!$E$36*MAX(0,MIN(1,AP$6-Sites!$F$36))</f>
        <v>0.34210977553359018</v>
      </c>
      <c r="AQ32" s="34">
        <f ca="1">Sites!$E$36*MAX(0,MIN(1,AQ$6-Sites!$F$36))</f>
        <v>0.34210977553359018</v>
      </c>
      <c r="AR32" s="34">
        <f ca="1">Sites!$E$36*MAX(0,MIN(1,AR$6-Sites!$F$36))</f>
        <v>0.34210977553359018</v>
      </c>
      <c r="AS32" s="34">
        <f ca="1">Sites!$E$36*MAX(0,MIN(1,AS$6-Sites!$F$36))</f>
        <v>0.34210977553359018</v>
      </c>
      <c r="AT32" s="34">
        <f ca="1">Sites!$E$36*MAX(0,MIN(1,AT$6-Sites!$F$36))</f>
        <v>0.34210977553359018</v>
      </c>
      <c r="AU32" s="34">
        <f ca="1">Sites!$E$36*MAX(0,MIN(1,AU$6-Sites!$F$36))</f>
        <v>0.34210977553359018</v>
      </c>
      <c r="AV32" s="34">
        <f ca="1">Sites!$E$36*MAX(0,MIN(1,AV$6-Sites!$F$36))</f>
        <v>0.34210977553359018</v>
      </c>
      <c r="AW32" s="34">
        <f ca="1">Sites!$E$36*MAX(0,MIN(1,AW$6-Sites!$F$36))</f>
        <v>0.34210977553359018</v>
      </c>
      <c r="AX32" s="34">
        <f ca="1">Sites!$E$36*MAX(0,MIN(1,AX$6-Sites!$F$36))</f>
        <v>0.34210977553359018</v>
      </c>
      <c r="AY32" s="34">
        <f ca="1">Sites!$E$36*MAX(0,MIN(1,AY$6-Sites!$F$36))</f>
        <v>0.34210977553359018</v>
      </c>
      <c r="AZ32" s="34">
        <f ca="1">Sites!$E$36*MAX(0,MIN(1,AZ$6-Sites!$F$36))</f>
        <v>0.34210977553359018</v>
      </c>
      <c r="BA32" s="34">
        <f ca="1">Sites!$E$36*MAX(0,MIN(1,BA$6-Sites!$F$36))</f>
        <v>0.34210977553359018</v>
      </c>
    </row>
    <row r="33" spans="2:53" x14ac:dyDescent="0.45">
      <c r="B33" s="52">
        <f>Sites!$B$37</f>
        <v>16</v>
      </c>
      <c r="C33" s="26" t="s">
        <v>107</v>
      </c>
      <c r="D33" s="28"/>
      <c r="E33" s="28"/>
      <c r="F33" s="34">
        <f ca="1">Sites!$E$37*MAX(0,MIN(1,F$6-Sites!$F$37))</f>
        <v>0</v>
      </c>
      <c r="G33" s="34">
        <f ca="1">Sites!$E$37*MAX(0,MIN(1,G$6-Sites!$F$37))</f>
        <v>5.350999207356389E-2</v>
      </c>
      <c r="H33" s="34">
        <f ca="1">Sites!$E$37*MAX(0,MIN(1,H$6-Sites!$F$37))</f>
        <v>0.21715807533407375</v>
      </c>
      <c r="I33" s="34">
        <f ca="1">Sites!$E$37*MAX(0,MIN(1,I$6-Sites!$F$37))</f>
        <v>0.21715807533407375</v>
      </c>
      <c r="J33" s="34">
        <f ca="1">Sites!$E$37*MAX(0,MIN(1,J$6-Sites!$F$37))</f>
        <v>0.21715807533407375</v>
      </c>
      <c r="K33" s="34">
        <f ca="1">Sites!$E$37*MAX(0,MIN(1,K$6-Sites!$F$37))</f>
        <v>0.21715807533407375</v>
      </c>
      <c r="L33" s="34">
        <f ca="1">Sites!$E$37*MAX(0,MIN(1,L$6-Sites!$F$37))</f>
        <v>0.21715807533407375</v>
      </c>
      <c r="M33" s="34">
        <f ca="1">Sites!$E$37*MAX(0,MIN(1,M$6-Sites!$F$37))</f>
        <v>0.21715807533407375</v>
      </c>
      <c r="N33" s="34">
        <f ca="1">Sites!$E$37*MAX(0,MIN(1,N$6-Sites!$F$37))</f>
        <v>0.21715807533407375</v>
      </c>
      <c r="O33" s="34">
        <f ca="1">Sites!$E$37*MAX(0,MIN(1,O$6-Sites!$F$37))</f>
        <v>0.21715807533407375</v>
      </c>
      <c r="P33" s="34">
        <f ca="1">Sites!$E$37*MAX(0,MIN(1,P$6-Sites!$F$37))</f>
        <v>0.21715807533407375</v>
      </c>
      <c r="Q33" s="34">
        <f ca="1">Sites!$E$37*MAX(0,MIN(1,Q$6-Sites!$F$37))</f>
        <v>0.21715807533407375</v>
      </c>
      <c r="R33" s="34">
        <f ca="1">Sites!$E$37*MAX(0,MIN(1,R$6-Sites!$F$37))</f>
        <v>0.21715807533407375</v>
      </c>
      <c r="S33" s="34">
        <f ca="1">Sites!$E$37*MAX(0,MIN(1,S$6-Sites!$F$37))</f>
        <v>0.21715807533407375</v>
      </c>
      <c r="T33" s="34">
        <f ca="1">Sites!$E$37*MAX(0,MIN(1,T$6-Sites!$F$37))</f>
        <v>0.21715807533407375</v>
      </c>
      <c r="U33" s="34">
        <f ca="1">Sites!$E$37*MAX(0,MIN(1,U$6-Sites!$F$37))</f>
        <v>0.21715807533407375</v>
      </c>
      <c r="V33" s="34">
        <f ca="1">Sites!$E$37*MAX(0,MIN(1,V$6-Sites!$F$37))</f>
        <v>0.21715807533407375</v>
      </c>
      <c r="W33" s="34">
        <f ca="1">Sites!$E$37*MAX(0,MIN(1,W$6-Sites!$F$37))</f>
        <v>0.21715807533407375</v>
      </c>
      <c r="X33" s="34">
        <f ca="1">Sites!$E$37*MAX(0,MIN(1,X$6-Sites!$F$37))</f>
        <v>0.21715807533407375</v>
      </c>
      <c r="Y33" s="34">
        <f ca="1">Sites!$E$37*MAX(0,MIN(1,Y$6-Sites!$F$37))</f>
        <v>0.21715807533407375</v>
      </c>
      <c r="Z33" s="34">
        <f ca="1">Sites!$E$37*MAX(0,MIN(1,Z$6-Sites!$F$37))</f>
        <v>0.21715807533407375</v>
      </c>
      <c r="AA33" s="34">
        <f ca="1">Sites!$E$37*MAX(0,MIN(1,AA$6-Sites!$F$37))</f>
        <v>0.21715807533407375</v>
      </c>
      <c r="AB33" s="34">
        <f ca="1">Sites!$E$37*MAX(0,MIN(1,AB$6-Sites!$F$37))</f>
        <v>0.21715807533407375</v>
      </c>
      <c r="AC33" s="34">
        <f ca="1">Sites!$E$37*MAX(0,MIN(1,AC$6-Sites!$F$37))</f>
        <v>0.21715807533407375</v>
      </c>
      <c r="AD33" s="34">
        <f ca="1">Sites!$E$37*MAX(0,MIN(1,AD$6-Sites!$F$37))</f>
        <v>0.21715807533407375</v>
      </c>
      <c r="AE33" s="34">
        <f ca="1">Sites!$E$37*MAX(0,MIN(1,AE$6-Sites!$F$37))</f>
        <v>0.21715807533407375</v>
      </c>
      <c r="AF33" s="34">
        <f ca="1">Sites!$E$37*MAX(0,MIN(1,AF$6-Sites!$F$37))</f>
        <v>0.21715807533407375</v>
      </c>
      <c r="AG33" s="34">
        <f ca="1">Sites!$E$37*MAX(0,MIN(1,AG$6-Sites!$F$37))</f>
        <v>0.21715807533407375</v>
      </c>
      <c r="AH33" s="34">
        <f ca="1">Sites!$E$37*MAX(0,MIN(1,AH$6-Sites!$F$37))</f>
        <v>0.21715807533407375</v>
      </c>
      <c r="AI33" s="34">
        <f ca="1">Sites!$E$37*MAX(0,MIN(1,AI$6-Sites!$F$37))</f>
        <v>0.21715807533407375</v>
      </c>
      <c r="AJ33" s="34">
        <f ca="1">Sites!$E$37*MAX(0,MIN(1,AJ$6-Sites!$F$37))</f>
        <v>0.21715807533407375</v>
      </c>
      <c r="AK33" s="34">
        <f ca="1">Sites!$E$37*MAX(0,MIN(1,AK$6-Sites!$F$37))</f>
        <v>0.21715807533407375</v>
      </c>
      <c r="AL33" s="34">
        <f ca="1">Sites!$E$37*MAX(0,MIN(1,AL$6-Sites!$F$37))</f>
        <v>0.21715807533407375</v>
      </c>
      <c r="AM33" s="34">
        <f ca="1">Sites!$E$37*MAX(0,MIN(1,AM$6-Sites!$F$37))</f>
        <v>0.21715807533407375</v>
      </c>
      <c r="AN33" s="34">
        <f ca="1">Sites!$E$37*MAX(0,MIN(1,AN$6-Sites!$F$37))</f>
        <v>0.21715807533407375</v>
      </c>
      <c r="AO33" s="34">
        <f ca="1">Sites!$E$37*MAX(0,MIN(1,AO$6-Sites!$F$37))</f>
        <v>0.21715807533407375</v>
      </c>
      <c r="AP33" s="34">
        <f ca="1">Sites!$E$37*MAX(0,MIN(1,AP$6-Sites!$F$37))</f>
        <v>0.21715807533407375</v>
      </c>
      <c r="AQ33" s="34">
        <f ca="1">Sites!$E$37*MAX(0,MIN(1,AQ$6-Sites!$F$37))</f>
        <v>0.21715807533407375</v>
      </c>
      <c r="AR33" s="34">
        <f ca="1">Sites!$E$37*MAX(0,MIN(1,AR$6-Sites!$F$37))</f>
        <v>0.21715807533407375</v>
      </c>
      <c r="AS33" s="34">
        <f ca="1">Sites!$E$37*MAX(0,MIN(1,AS$6-Sites!$F$37))</f>
        <v>0.21715807533407375</v>
      </c>
      <c r="AT33" s="34">
        <f ca="1">Sites!$E$37*MAX(0,MIN(1,AT$6-Sites!$F$37))</f>
        <v>0.21715807533407375</v>
      </c>
      <c r="AU33" s="34">
        <f ca="1">Sites!$E$37*MAX(0,MIN(1,AU$6-Sites!$F$37))</f>
        <v>0.21715807533407375</v>
      </c>
      <c r="AV33" s="34">
        <f ca="1">Sites!$E$37*MAX(0,MIN(1,AV$6-Sites!$F$37))</f>
        <v>0.21715807533407375</v>
      </c>
      <c r="AW33" s="34">
        <f ca="1">Sites!$E$37*MAX(0,MIN(1,AW$6-Sites!$F$37))</f>
        <v>0.21715807533407375</v>
      </c>
      <c r="AX33" s="34">
        <f ca="1">Sites!$E$37*MAX(0,MIN(1,AX$6-Sites!$F$37))</f>
        <v>0.21715807533407375</v>
      </c>
      <c r="AY33" s="34">
        <f ca="1">Sites!$E$37*MAX(0,MIN(1,AY$6-Sites!$F$37))</f>
        <v>0.21715807533407375</v>
      </c>
      <c r="AZ33" s="34">
        <f ca="1">Sites!$E$37*MAX(0,MIN(1,AZ$6-Sites!$F$37))</f>
        <v>0.21715807533407375</v>
      </c>
      <c r="BA33" s="34">
        <f ca="1">Sites!$E$37*MAX(0,MIN(1,BA$6-Sites!$F$37))</f>
        <v>0.21715807533407375</v>
      </c>
    </row>
    <row r="34" spans="2:53" x14ac:dyDescent="0.45">
      <c r="B34" s="52">
        <f>Sites!$B$38</f>
        <v>17</v>
      </c>
      <c r="C34" s="26" t="s">
        <v>107</v>
      </c>
      <c r="D34" s="28"/>
      <c r="E34" s="28"/>
      <c r="F34" s="34">
        <f ca="1">Sites!$E$38*MAX(0,MIN(1,F$6-Sites!$F$38))</f>
        <v>0</v>
      </c>
      <c r="G34" s="34">
        <f ca="1">Sites!$E$38*MAX(0,MIN(1,G$6-Sites!$F$38))</f>
        <v>0</v>
      </c>
      <c r="H34" s="34">
        <f ca="1">Sites!$E$38*MAX(0,MIN(1,H$6-Sites!$F$38))</f>
        <v>0</v>
      </c>
      <c r="I34" s="34">
        <f ca="1">Sites!$E$38*MAX(0,MIN(1,I$6-Sites!$F$38))</f>
        <v>0</v>
      </c>
      <c r="J34" s="34">
        <f ca="1">Sites!$E$38*MAX(0,MIN(1,J$6-Sites!$F$38))</f>
        <v>0</v>
      </c>
      <c r="K34" s="34">
        <f ca="1">Sites!$E$38*MAX(0,MIN(1,K$6-Sites!$F$38))</f>
        <v>7.8878711342695432E-2</v>
      </c>
      <c r="L34" s="34">
        <f ca="1">Sites!$E$38*MAX(0,MIN(1,L$6-Sites!$F$38))</f>
        <v>0.35079999157224573</v>
      </c>
      <c r="M34" s="34">
        <f ca="1">Sites!$E$38*MAX(0,MIN(1,M$6-Sites!$F$38))</f>
        <v>0.35079999157224573</v>
      </c>
      <c r="N34" s="34">
        <f ca="1">Sites!$E$38*MAX(0,MIN(1,N$6-Sites!$F$38))</f>
        <v>0.35079999157224573</v>
      </c>
      <c r="O34" s="34">
        <f ca="1">Sites!$E$38*MAX(0,MIN(1,O$6-Sites!$F$38))</f>
        <v>0.35079999157224573</v>
      </c>
      <c r="P34" s="34">
        <f ca="1">Sites!$E$38*MAX(0,MIN(1,P$6-Sites!$F$38))</f>
        <v>0.35079999157224573</v>
      </c>
      <c r="Q34" s="34">
        <f ca="1">Sites!$E$38*MAX(0,MIN(1,Q$6-Sites!$F$38))</f>
        <v>0.35079999157224573</v>
      </c>
      <c r="R34" s="34">
        <f ca="1">Sites!$E$38*MAX(0,MIN(1,R$6-Sites!$F$38))</f>
        <v>0.35079999157224573</v>
      </c>
      <c r="S34" s="34">
        <f ca="1">Sites!$E$38*MAX(0,MIN(1,S$6-Sites!$F$38))</f>
        <v>0.35079999157224573</v>
      </c>
      <c r="T34" s="34">
        <f ca="1">Sites!$E$38*MAX(0,MIN(1,T$6-Sites!$F$38))</f>
        <v>0.35079999157224573</v>
      </c>
      <c r="U34" s="34">
        <f ca="1">Sites!$E$38*MAX(0,MIN(1,U$6-Sites!$F$38))</f>
        <v>0.35079999157224573</v>
      </c>
      <c r="V34" s="34">
        <f ca="1">Sites!$E$38*MAX(0,MIN(1,V$6-Sites!$F$38))</f>
        <v>0.35079999157224573</v>
      </c>
      <c r="W34" s="34">
        <f ca="1">Sites!$E$38*MAX(0,MIN(1,W$6-Sites!$F$38))</f>
        <v>0.35079999157224573</v>
      </c>
      <c r="X34" s="34">
        <f ca="1">Sites!$E$38*MAX(0,MIN(1,X$6-Sites!$F$38))</f>
        <v>0.35079999157224573</v>
      </c>
      <c r="Y34" s="34">
        <f ca="1">Sites!$E$38*MAX(0,MIN(1,Y$6-Sites!$F$38))</f>
        <v>0.35079999157224573</v>
      </c>
      <c r="Z34" s="34">
        <f ca="1">Sites!$E$38*MAX(0,MIN(1,Z$6-Sites!$F$38))</f>
        <v>0.35079999157224573</v>
      </c>
      <c r="AA34" s="34">
        <f ca="1">Sites!$E$38*MAX(0,MIN(1,AA$6-Sites!$F$38))</f>
        <v>0.35079999157224573</v>
      </c>
      <c r="AB34" s="34">
        <f ca="1">Sites!$E$38*MAX(0,MIN(1,AB$6-Sites!$F$38))</f>
        <v>0.35079999157224573</v>
      </c>
      <c r="AC34" s="34">
        <f ca="1">Sites!$E$38*MAX(0,MIN(1,AC$6-Sites!$F$38))</f>
        <v>0.35079999157224573</v>
      </c>
      <c r="AD34" s="34">
        <f ca="1">Sites!$E$38*MAX(0,MIN(1,AD$6-Sites!$F$38))</f>
        <v>0.35079999157224573</v>
      </c>
      <c r="AE34" s="34">
        <f ca="1">Sites!$E$38*MAX(0,MIN(1,AE$6-Sites!$F$38))</f>
        <v>0.35079999157224573</v>
      </c>
      <c r="AF34" s="34">
        <f ca="1">Sites!$E$38*MAX(0,MIN(1,AF$6-Sites!$F$38))</f>
        <v>0.35079999157224573</v>
      </c>
      <c r="AG34" s="34">
        <f ca="1">Sites!$E$38*MAX(0,MIN(1,AG$6-Sites!$F$38))</f>
        <v>0.35079999157224573</v>
      </c>
      <c r="AH34" s="34">
        <f ca="1">Sites!$E$38*MAX(0,MIN(1,AH$6-Sites!$F$38))</f>
        <v>0.35079999157224573</v>
      </c>
      <c r="AI34" s="34">
        <f ca="1">Sites!$E$38*MAX(0,MIN(1,AI$6-Sites!$F$38))</f>
        <v>0.35079999157224573</v>
      </c>
      <c r="AJ34" s="34">
        <f ca="1">Sites!$E$38*MAX(0,MIN(1,AJ$6-Sites!$F$38))</f>
        <v>0.35079999157224573</v>
      </c>
      <c r="AK34" s="34">
        <f ca="1">Sites!$E$38*MAX(0,MIN(1,AK$6-Sites!$F$38))</f>
        <v>0.35079999157224573</v>
      </c>
      <c r="AL34" s="34">
        <f ca="1">Sites!$E$38*MAX(0,MIN(1,AL$6-Sites!$F$38))</f>
        <v>0.35079999157224573</v>
      </c>
      <c r="AM34" s="34">
        <f ca="1">Sites!$E$38*MAX(0,MIN(1,AM$6-Sites!$F$38))</f>
        <v>0.35079999157224573</v>
      </c>
      <c r="AN34" s="34">
        <f ca="1">Sites!$E$38*MAX(0,MIN(1,AN$6-Sites!$F$38))</f>
        <v>0.35079999157224573</v>
      </c>
      <c r="AO34" s="34">
        <f ca="1">Sites!$E$38*MAX(0,MIN(1,AO$6-Sites!$F$38))</f>
        <v>0.35079999157224573</v>
      </c>
      <c r="AP34" s="34">
        <f ca="1">Sites!$E$38*MAX(0,MIN(1,AP$6-Sites!$F$38))</f>
        <v>0.35079999157224573</v>
      </c>
      <c r="AQ34" s="34">
        <f ca="1">Sites!$E$38*MAX(0,MIN(1,AQ$6-Sites!$F$38))</f>
        <v>0.35079999157224573</v>
      </c>
      <c r="AR34" s="34">
        <f ca="1">Sites!$E$38*MAX(0,MIN(1,AR$6-Sites!$F$38))</f>
        <v>0.35079999157224573</v>
      </c>
      <c r="AS34" s="34">
        <f ca="1">Sites!$E$38*MAX(0,MIN(1,AS$6-Sites!$F$38))</f>
        <v>0.35079999157224573</v>
      </c>
      <c r="AT34" s="34">
        <f ca="1">Sites!$E$38*MAX(0,MIN(1,AT$6-Sites!$F$38))</f>
        <v>0.35079999157224573</v>
      </c>
      <c r="AU34" s="34">
        <f ca="1">Sites!$E$38*MAX(0,MIN(1,AU$6-Sites!$F$38))</f>
        <v>0.35079999157224573</v>
      </c>
      <c r="AV34" s="34">
        <f ca="1">Sites!$E$38*MAX(0,MIN(1,AV$6-Sites!$F$38))</f>
        <v>0.35079999157224573</v>
      </c>
      <c r="AW34" s="34">
        <f ca="1">Sites!$E$38*MAX(0,MIN(1,AW$6-Sites!$F$38))</f>
        <v>0.35079999157224573</v>
      </c>
      <c r="AX34" s="34">
        <f ca="1">Sites!$E$38*MAX(0,MIN(1,AX$6-Sites!$F$38))</f>
        <v>0.35079999157224573</v>
      </c>
      <c r="AY34" s="34">
        <f ca="1">Sites!$E$38*MAX(0,MIN(1,AY$6-Sites!$F$38))</f>
        <v>0.35079999157224573</v>
      </c>
      <c r="AZ34" s="34">
        <f ca="1">Sites!$E$38*MAX(0,MIN(1,AZ$6-Sites!$F$38))</f>
        <v>0.35079999157224573</v>
      </c>
      <c r="BA34" s="34">
        <f ca="1">Sites!$E$38*MAX(0,MIN(1,BA$6-Sites!$F$38))</f>
        <v>0.35079999157224573</v>
      </c>
    </row>
    <row r="35" spans="2:53" x14ac:dyDescent="0.45">
      <c r="B35" s="52">
        <f>Sites!$B$39</f>
        <v>18</v>
      </c>
      <c r="C35" s="26" t="s">
        <v>107</v>
      </c>
      <c r="D35" s="28"/>
      <c r="E35" s="28"/>
      <c r="F35" s="34">
        <f ca="1">Sites!$E$39*MAX(0,MIN(1,F$6-Sites!$F$39))</f>
        <v>0</v>
      </c>
      <c r="G35" s="34">
        <f ca="1">Sites!$E$39*MAX(0,MIN(1,G$6-Sites!$F$39))</f>
        <v>0</v>
      </c>
      <c r="H35" s="34">
        <f ca="1">Sites!$E$39*MAX(0,MIN(1,H$6-Sites!$F$39))</f>
        <v>0</v>
      </c>
      <c r="I35" s="34">
        <f ca="1">Sites!$E$39*MAX(0,MIN(1,I$6-Sites!$F$39))</f>
        <v>0</v>
      </c>
      <c r="J35" s="34">
        <f ca="1">Sites!$E$39*MAX(0,MIN(1,J$6-Sites!$F$39))</f>
        <v>0.10456111104762973</v>
      </c>
      <c r="K35" s="34">
        <f ca="1">Sites!$E$39*MAX(0,MIN(1,K$6-Sites!$F$39))</f>
        <v>0.25415487573620749</v>
      </c>
      <c r="L35" s="34">
        <f ca="1">Sites!$E$39*MAX(0,MIN(1,L$6-Sites!$F$39))</f>
        <v>0.25415487573620749</v>
      </c>
      <c r="M35" s="34">
        <f ca="1">Sites!$E$39*MAX(0,MIN(1,M$6-Sites!$F$39))</f>
        <v>0.25415487573620749</v>
      </c>
      <c r="N35" s="34">
        <f ca="1">Sites!$E$39*MAX(0,MIN(1,N$6-Sites!$F$39))</f>
        <v>0.25415487573620749</v>
      </c>
      <c r="O35" s="34">
        <f ca="1">Sites!$E$39*MAX(0,MIN(1,O$6-Sites!$F$39))</f>
        <v>0.25415487573620749</v>
      </c>
      <c r="P35" s="34">
        <f ca="1">Sites!$E$39*MAX(0,MIN(1,P$6-Sites!$F$39))</f>
        <v>0.25415487573620749</v>
      </c>
      <c r="Q35" s="34">
        <f ca="1">Sites!$E$39*MAX(0,MIN(1,Q$6-Sites!$F$39))</f>
        <v>0.25415487573620749</v>
      </c>
      <c r="R35" s="34">
        <f ca="1">Sites!$E$39*MAX(0,MIN(1,R$6-Sites!$F$39))</f>
        <v>0.25415487573620749</v>
      </c>
      <c r="S35" s="34">
        <f ca="1">Sites!$E$39*MAX(0,MIN(1,S$6-Sites!$F$39))</f>
        <v>0.25415487573620749</v>
      </c>
      <c r="T35" s="34">
        <f ca="1">Sites!$E$39*MAX(0,MIN(1,T$6-Sites!$F$39))</f>
        <v>0.25415487573620749</v>
      </c>
      <c r="U35" s="34">
        <f ca="1">Sites!$E$39*MAX(0,MIN(1,U$6-Sites!$F$39))</f>
        <v>0.25415487573620749</v>
      </c>
      <c r="V35" s="34">
        <f ca="1">Sites!$E$39*MAX(0,MIN(1,V$6-Sites!$F$39))</f>
        <v>0.25415487573620749</v>
      </c>
      <c r="W35" s="34">
        <f ca="1">Sites!$E$39*MAX(0,MIN(1,W$6-Sites!$F$39))</f>
        <v>0.25415487573620749</v>
      </c>
      <c r="X35" s="34">
        <f ca="1">Sites!$E$39*MAX(0,MIN(1,X$6-Sites!$F$39))</f>
        <v>0.25415487573620749</v>
      </c>
      <c r="Y35" s="34">
        <f ca="1">Sites!$E$39*MAX(0,MIN(1,Y$6-Sites!$F$39))</f>
        <v>0.25415487573620749</v>
      </c>
      <c r="Z35" s="34">
        <f ca="1">Sites!$E$39*MAX(0,MIN(1,Z$6-Sites!$F$39))</f>
        <v>0.25415487573620749</v>
      </c>
      <c r="AA35" s="34">
        <f ca="1">Sites!$E$39*MAX(0,MIN(1,AA$6-Sites!$F$39))</f>
        <v>0.25415487573620749</v>
      </c>
      <c r="AB35" s="34">
        <f ca="1">Sites!$E$39*MAX(0,MIN(1,AB$6-Sites!$F$39))</f>
        <v>0.25415487573620749</v>
      </c>
      <c r="AC35" s="34">
        <f ca="1">Sites!$E$39*MAX(0,MIN(1,AC$6-Sites!$F$39))</f>
        <v>0.25415487573620749</v>
      </c>
      <c r="AD35" s="34">
        <f ca="1">Sites!$E$39*MAX(0,MIN(1,AD$6-Sites!$F$39))</f>
        <v>0.25415487573620749</v>
      </c>
      <c r="AE35" s="34">
        <f ca="1">Sites!$E$39*MAX(0,MIN(1,AE$6-Sites!$F$39))</f>
        <v>0.25415487573620749</v>
      </c>
      <c r="AF35" s="34">
        <f ca="1">Sites!$E$39*MAX(0,MIN(1,AF$6-Sites!$F$39))</f>
        <v>0.25415487573620749</v>
      </c>
      <c r="AG35" s="34">
        <f ca="1">Sites!$E$39*MAX(0,MIN(1,AG$6-Sites!$F$39))</f>
        <v>0.25415487573620749</v>
      </c>
      <c r="AH35" s="34">
        <f ca="1">Sites!$E$39*MAX(0,MIN(1,AH$6-Sites!$F$39))</f>
        <v>0.25415487573620749</v>
      </c>
      <c r="AI35" s="34">
        <f ca="1">Sites!$E$39*MAX(0,MIN(1,AI$6-Sites!$F$39))</f>
        <v>0.25415487573620749</v>
      </c>
      <c r="AJ35" s="34">
        <f ca="1">Sites!$E$39*MAX(0,MIN(1,AJ$6-Sites!$F$39))</f>
        <v>0.25415487573620749</v>
      </c>
      <c r="AK35" s="34">
        <f ca="1">Sites!$E$39*MAX(0,MIN(1,AK$6-Sites!$F$39))</f>
        <v>0.25415487573620749</v>
      </c>
      <c r="AL35" s="34">
        <f ca="1">Sites!$E$39*MAX(0,MIN(1,AL$6-Sites!$F$39))</f>
        <v>0.25415487573620749</v>
      </c>
      <c r="AM35" s="34">
        <f ca="1">Sites!$E$39*MAX(0,MIN(1,AM$6-Sites!$F$39))</f>
        <v>0.25415487573620749</v>
      </c>
      <c r="AN35" s="34">
        <f ca="1">Sites!$E$39*MAX(0,MIN(1,AN$6-Sites!$F$39))</f>
        <v>0.25415487573620749</v>
      </c>
      <c r="AO35" s="34">
        <f ca="1">Sites!$E$39*MAX(0,MIN(1,AO$6-Sites!$F$39))</f>
        <v>0.25415487573620749</v>
      </c>
      <c r="AP35" s="34">
        <f ca="1">Sites!$E$39*MAX(0,MIN(1,AP$6-Sites!$F$39))</f>
        <v>0.25415487573620749</v>
      </c>
      <c r="AQ35" s="34">
        <f ca="1">Sites!$E$39*MAX(0,MIN(1,AQ$6-Sites!$F$39))</f>
        <v>0.25415487573620749</v>
      </c>
      <c r="AR35" s="34">
        <f ca="1">Sites!$E$39*MAX(0,MIN(1,AR$6-Sites!$F$39))</f>
        <v>0.25415487573620749</v>
      </c>
      <c r="AS35" s="34">
        <f ca="1">Sites!$E$39*MAX(0,MIN(1,AS$6-Sites!$F$39))</f>
        <v>0.25415487573620749</v>
      </c>
      <c r="AT35" s="34">
        <f ca="1">Sites!$E$39*MAX(0,MIN(1,AT$6-Sites!$F$39))</f>
        <v>0.25415487573620749</v>
      </c>
      <c r="AU35" s="34">
        <f ca="1">Sites!$E$39*MAX(0,MIN(1,AU$6-Sites!$F$39))</f>
        <v>0.25415487573620749</v>
      </c>
      <c r="AV35" s="34">
        <f ca="1">Sites!$E$39*MAX(0,MIN(1,AV$6-Sites!$F$39))</f>
        <v>0.25415487573620749</v>
      </c>
      <c r="AW35" s="34">
        <f ca="1">Sites!$E$39*MAX(0,MIN(1,AW$6-Sites!$F$39))</f>
        <v>0.25415487573620749</v>
      </c>
      <c r="AX35" s="34">
        <f ca="1">Sites!$E$39*MAX(0,MIN(1,AX$6-Sites!$F$39))</f>
        <v>0.25415487573620749</v>
      </c>
      <c r="AY35" s="34">
        <f ca="1">Sites!$E$39*MAX(0,MIN(1,AY$6-Sites!$F$39))</f>
        <v>0.25415487573620749</v>
      </c>
      <c r="AZ35" s="34">
        <f ca="1">Sites!$E$39*MAX(0,MIN(1,AZ$6-Sites!$F$39))</f>
        <v>0.25415487573620749</v>
      </c>
      <c r="BA35" s="34">
        <f ca="1">Sites!$E$39*MAX(0,MIN(1,BA$6-Sites!$F$39))</f>
        <v>0.25415487573620749</v>
      </c>
    </row>
    <row r="36" spans="2:53" x14ac:dyDescent="0.45">
      <c r="B36" s="52">
        <f>Sites!$B$40</f>
        <v>19</v>
      </c>
      <c r="C36" s="26" t="s">
        <v>107</v>
      </c>
      <c r="D36" s="28"/>
      <c r="E36" s="28"/>
      <c r="F36" s="34">
        <f ca="1">Sites!$E$40*MAX(0,MIN(1,F$6-Sites!$F$40))</f>
        <v>0</v>
      </c>
      <c r="G36" s="34">
        <f ca="1">Sites!$E$40*MAX(0,MIN(1,G$6-Sites!$F$40))</f>
        <v>0</v>
      </c>
      <c r="H36" s="34">
        <f ca="1">Sites!$E$40*MAX(0,MIN(1,H$6-Sites!$F$40))</f>
        <v>0</v>
      </c>
      <c r="I36" s="34">
        <f ca="1">Sites!$E$40*MAX(0,MIN(1,I$6-Sites!$F$40))</f>
        <v>0</v>
      </c>
      <c r="J36" s="34">
        <f ca="1">Sites!$E$40*MAX(0,MIN(1,J$6-Sites!$F$40))</f>
        <v>0</v>
      </c>
      <c r="K36" s="34">
        <f ca="1">Sites!$E$40*MAX(0,MIN(1,K$6-Sites!$F$40))</f>
        <v>0.27118405566495529</v>
      </c>
      <c r="L36" s="34">
        <f ca="1">Sites!$E$40*MAX(0,MIN(1,L$6-Sites!$F$40))</f>
        <v>0.57332751744617472</v>
      </c>
      <c r="M36" s="34">
        <f ca="1">Sites!$E$40*MAX(0,MIN(1,M$6-Sites!$F$40))</f>
        <v>0.57332751744617472</v>
      </c>
      <c r="N36" s="34">
        <f ca="1">Sites!$E$40*MAX(0,MIN(1,N$6-Sites!$F$40))</f>
        <v>0.57332751744617472</v>
      </c>
      <c r="O36" s="34">
        <f ca="1">Sites!$E$40*MAX(0,MIN(1,O$6-Sites!$F$40))</f>
        <v>0.57332751744617472</v>
      </c>
      <c r="P36" s="34">
        <f ca="1">Sites!$E$40*MAX(0,MIN(1,P$6-Sites!$F$40))</f>
        <v>0.57332751744617472</v>
      </c>
      <c r="Q36" s="34">
        <f ca="1">Sites!$E$40*MAX(0,MIN(1,Q$6-Sites!$F$40))</f>
        <v>0.57332751744617472</v>
      </c>
      <c r="R36" s="34">
        <f ca="1">Sites!$E$40*MAX(0,MIN(1,R$6-Sites!$F$40))</f>
        <v>0.57332751744617472</v>
      </c>
      <c r="S36" s="34">
        <f ca="1">Sites!$E$40*MAX(0,MIN(1,S$6-Sites!$F$40))</f>
        <v>0.57332751744617472</v>
      </c>
      <c r="T36" s="34">
        <f ca="1">Sites!$E$40*MAX(0,MIN(1,T$6-Sites!$F$40))</f>
        <v>0.57332751744617472</v>
      </c>
      <c r="U36" s="34">
        <f ca="1">Sites!$E$40*MAX(0,MIN(1,U$6-Sites!$F$40))</f>
        <v>0.57332751744617472</v>
      </c>
      <c r="V36" s="34">
        <f ca="1">Sites!$E$40*MAX(0,MIN(1,V$6-Sites!$F$40))</f>
        <v>0.57332751744617472</v>
      </c>
      <c r="W36" s="34">
        <f ca="1">Sites!$E$40*MAX(0,MIN(1,W$6-Sites!$F$40))</f>
        <v>0.57332751744617472</v>
      </c>
      <c r="X36" s="34">
        <f ca="1">Sites!$E$40*MAX(0,MIN(1,X$6-Sites!$F$40))</f>
        <v>0.57332751744617472</v>
      </c>
      <c r="Y36" s="34">
        <f ca="1">Sites!$E$40*MAX(0,MIN(1,Y$6-Sites!$F$40))</f>
        <v>0.57332751744617472</v>
      </c>
      <c r="Z36" s="34">
        <f ca="1">Sites!$E$40*MAX(0,MIN(1,Z$6-Sites!$F$40))</f>
        <v>0.57332751744617472</v>
      </c>
      <c r="AA36" s="34">
        <f ca="1">Sites!$E$40*MAX(0,MIN(1,AA$6-Sites!$F$40))</f>
        <v>0.57332751744617472</v>
      </c>
      <c r="AB36" s="34">
        <f ca="1">Sites!$E$40*MAX(0,MIN(1,AB$6-Sites!$F$40))</f>
        <v>0.57332751744617472</v>
      </c>
      <c r="AC36" s="34">
        <f ca="1">Sites!$E$40*MAX(0,MIN(1,AC$6-Sites!$F$40))</f>
        <v>0.57332751744617472</v>
      </c>
      <c r="AD36" s="34">
        <f ca="1">Sites!$E$40*MAX(0,MIN(1,AD$6-Sites!$F$40))</f>
        <v>0.57332751744617472</v>
      </c>
      <c r="AE36" s="34">
        <f ca="1">Sites!$E$40*MAX(0,MIN(1,AE$6-Sites!$F$40))</f>
        <v>0.57332751744617472</v>
      </c>
      <c r="AF36" s="34">
        <f ca="1">Sites!$E$40*MAX(0,MIN(1,AF$6-Sites!$F$40))</f>
        <v>0.57332751744617472</v>
      </c>
      <c r="AG36" s="34">
        <f ca="1">Sites!$E$40*MAX(0,MIN(1,AG$6-Sites!$F$40))</f>
        <v>0.57332751744617472</v>
      </c>
      <c r="AH36" s="34">
        <f ca="1">Sites!$E$40*MAX(0,MIN(1,AH$6-Sites!$F$40))</f>
        <v>0.57332751744617472</v>
      </c>
      <c r="AI36" s="34">
        <f ca="1">Sites!$E$40*MAX(0,MIN(1,AI$6-Sites!$F$40))</f>
        <v>0.57332751744617472</v>
      </c>
      <c r="AJ36" s="34">
        <f ca="1">Sites!$E$40*MAX(0,MIN(1,AJ$6-Sites!$F$40))</f>
        <v>0.57332751744617472</v>
      </c>
      <c r="AK36" s="34">
        <f ca="1">Sites!$E$40*MAX(0,MIN(1,AK$6-Sites!$F$40))</f>
        <v>0.57332751744617472</v>
      </c>
      <c r="AL36" s="34">
        <f ca="1">Sites!$E$40*MAX(0,MIN(1,AL$6-Sites!$F$40))</f>
        <v>0.57332751744617472</v>
      </c>
      <c r="AM36" s="34">
        <f ca="1">Sites!$E$40*MAX(0,MIN(1,AM$6-Sites!$F$40))</f>
        <v>0.57332751744617472</v>
      </c>
      <c r="AN36" s="34">
        <f ca="1">Sites!$E$40*MAX(0,MIN(1,AN$6-Sites!$F$40))</f>
        <v>0.57332751744617472</v>
      </c>
      <c r="AO36" s="34">
        <f ca="1">Sites!$E$40*MAX(0,MIN(1,AO$6-Sites!$F$40))</f>
        <v>0.57332751744617472</v>
      </c>
      <c r="AP36" s="34">
        <f ca="1">Sites!$E$40*MAX(0,MIN(1,AP$6-Sites!$F$40))</f>
        <v>0.57332751744617472</v>
      </c>
      <c r="AQ36" s="34">
        <f ca="1">Sites!$E$40*MAX(0,MIN(1,AQ$6-Sites!$F$40))</f>
        <v>0.57332751744617472</v>
      </c>
      <c r="AR36" s="34">
        <f ca="1">Sites!$E$40*MAX(0,MIN(1,AR$6-Sites!$F$40))</f>
        <v>0.57332751744617472</v>
      </c>
      <c r="AS36" s="34">
        <f ca="1">Sites!$E$40*MAX(0,MIN(1,AS$6-Sites!$F$40))</f>
        <v>0.57332751744617472</v>
      </c>
      <c r="AT36" s="34">
        <f ca="1">Sites!$E$40*MAX(0,MIN(1,AT$6-Sites!$F$40))</f>
        <v>0.57332751744617472</v>
      </c>
      <c r="AU36" s="34">
        <f ca="1">Sites!$E$40*MAX(0,MIN(1,AU$6-Sites!$F$40))</f>
        <v>0.57332751744617472</v>
      </c>
      <c r="AV36" s="34">
        <f ca="1">Sites!$E$40*MAX(0,MIN(1,AV$6-Sites!$F$40))</f>
        <v>0.57332751744617472</v>
      </c>
      <c r="AW36" s="34">
        <f ca="1">Sites!$E$40*MAX(0,MIN(1,AW$6-Sites!$F$40))</f>
        <v>0.57332751744617472</v>
      </c>
      <c r="AX36" s="34">
        <f ca="1">Sites!$E$40*MAX(0,MIN(1,AX$6-Sites!$F$40))</f>
        <v>0.57332751744617472</v>
      </c>
      <c r="AY36" s="34">
        <f ca="1">Sites!$E$40*MAX(0,MIN(1,AY$6-Sites!$F$40))</f>
        <v>0.57332751744617472</v>
      </c>
      <c r="AZ36" s="34">
        <f ca="1">Sites!$E$40*MAX(0,MIN(1,AZ$6-Sites!$F$40))</f>
        <v>0.57332751744617472</v>
      </c>
      <c r="BA36" s="34">
        <f ca="1">Sites!$E$40*MAX(0,MIN(1,BA$6-Sites!$F$40))</f>
        <v>0.57332751744617472</v>
      </c>
    </row>
    <row r="37" spans="2:53" x14ac:dyDescent="0.45">
      <c r="B37" s="52">
        <f>Sites!$B$41</f>
        <v>20</v>
      </c>
      <c r="C37" s="26" t="s">
        <v>107</v>
      </c>
      <c r="D37" s="28"/>
      <c r="E37" s="28"/>
      <c r="F37" s="34">
        <f ca="1">Sites!$E$41*MAX(0,MIN(1,F$6-Sites!$F$41))</f>
        <v>0</v>
      </c>
      <c r="G37" s="34">
        <f ca="1">Sites!$E$41*MAX(0,MIN(1,G$6-Sites!$F$41))</f>
        <v>0</v>
      </c>
      <c r="H37" s="34">
        <f ca="1">Sites!$E$41*MAX(0,MIN(1,H$6-Sites!$F$41))</f>
        <v>0.1050993529573722</v>
      </c>
      <c r="I37" s="34">
        <f ca="1">Sites!$E$41*MAX(0,MIN(1,I$6-Sites!$F$41))</f>
        <v>0.55688912659719747</v>
      </c>
      <c r="J37" s="34">
        <f ca="1">Sites!$E$41*MAX(0,MIN(1,J$6-Sites!$F$41))</f>
        <v>0.55688912659719747</v>
      </c>
      <c r="K37" s="34">
        <f ca="1">Sites!$E$41*MAX(0,MIN(1,K$6-Sites!$F$41))</f>
        <v>0.55688912659719747</v>
      </c>
      <c r="L37" s="34">
        <f ca="1">Sites!$E$41*MAX(0,MIN(1,L$6-Sites!$F$41))</f>
        <v>0.55688912659719747</v>
      </c>
      <c r="M37" s="34">
        <f ca="1">Sites!$E$41*MAX(0,MIN(1,M$6-Sites!$F$41))</f>
        <v>0.55688912659719747</v>
      </c>
      <c r="N37" s="34">
        <f ca="1">Sites!$E$41*MAX(0,MIN(1,N$6-Sites!$F$41))</f>
        <v>0.55688912659719747</v>
      </c>
      <c r="O37" s="34">
        <f ca="1">Sites!$E$41*MAX(0,MIN(1,O$6-Sites!$F$41))</f>
        <v>0.55688912659719747</v>
      </c>
      <c r="P37" s="34">
        <f ca="1">Sites!$E$41*MAX(0,MIN(1,P$6-Sites!$F$41))</f>
        <v>0.55688912659719747</v>
      </c>
      <c r="Q37" s="34">
        <f ca="1">Sites!$E$41*MAX(0,MIN(1,Q$6-Sites!$F$41))</f>
        <v>0.55688912659719747</v>
      </c>
      <c r="R37" s="34">
        <f ca="1">Sites!$E$41*MAX(0,MIN(1,R$6-Sites!$F$41))</f>
        <v>0.55688912659719747</v>
      </c>
      <c r="S37" s="34">
        <f ca="1">Sites!$E$41*MAX(0,MIN(1,S$6-Sites!$F$41))</f>
        <v>0.55688912659719747</v>
      </c>
      <c r="T37" s="34">
        <f ca="1">Sites!$E$41*MAX(0,MIN(1,T$6-Sites!$F$41))</f>
        <v>0.55688912659719747</v>
      </c>
      <c r="U37" s="34">
        <f ca="1">Sites!$E$41*MAX(0,MIN(1,U$6-Sites!$F$41))</f>
        <v>0.55688912659719747</v>
      </c>
      <c r="V37" s="34">
        <f ca="1">Sites!$E$41*MAX(0,MIN(1,V$6-Sites!$F$41))</f>
        <v>0.55688912659719747</v>
      </c>
      <c r="W37" s="34">
        <f ca="1">Sites!$E$41*MAX(0,MIN(1,W$6-Sites!$F$41))</f>
        <v>0.55688912659719747</v>
      </c>
      <c r="X37" s="34">
        <f ca="1">Sites!$E$41*MAX(0,MIN(1,X$6-Sites!$F$41))</f>
        <v>0.55688912659719747</v>
      </c>
      <c r="Y37" s="34">
        <f ca="1">Sites!$E$41*MAX(0,MIN(1,Y$6-Sites!$F$41))</f>
        <v>0.55688912659719747</v>
      </c>
      <c r="Z37" s="34">
        <f ca="1">Sites!$E$41*MAX(0,MIN(1,Z$6-Sites!$F$41))</f>
        <v>0.55688912659719747</v>
      </c>
      <c r="AA37" s="34">
        <f ca="1">Sites!$E$41*MAX(0,MIN(1,AA$6-Sites!$F$41))</f>
        <v>0.55688912659719747</v>
      </c>
      <c r="AB37" s="34">
        <f ca="1">Sites!$E$41*MAX(0,MIN(1,AB$6-Sites!$F$41))</f>
        <v>0.55688912659719747</v>
      </c>
      <c r="AC37" s="34">
        <f ca="1">Sites!$E$41*MAX(0,MIN(1,AC$6-Sites!$F$41))</f>
        <v>0.55688912659719747</v>
      </c>
      <c r="AD37" s="34">
        <f ca="1">Sites!$E$41*MAX(0,MIN(1,AD$6-Sites!$F$41))</f>
        <v>0.55688912659719747</v>
      </c>
      <c r="AE37" s="34">
        <f ca="1">Sites!$E$41*MAX(0,MIN(1,AE$6-Sites!$F$41))</f>
        <v>0.55688912659719747</v>
      </c>
      <c r="AF37" s="34">
        <f ca="1">Sites!$E$41*MAX(0,MIN(1,AF$6-Sites!$F$41))</f>
        <v>0.55688912659719747</v>
      </c>
      <c r="AG37" s="34">
        <f ca="1">Sites!$E$41*MAX(0,MIN(1,AG$6-Sites!$F$41))</f>
        <v>0.55688912659719747</v>
      </c>
      <c r="AH37" s="34">
        <f ca="1">Sites!$E$41*MAX(0,MIN(1,AH$6-Sites!$F$41))</f>
        <v>0.55688912659719747</v>
      </c>
      <c r="AI37" s="34">
        <f ca="1">Sites!$E$41*MAX(0,MIN(1,AI$6-Sites!$F$41))</f>
        <v>0.55688912659719747</v>
      </c>
      <c r="AJ37" s="34">
        <f ca="1">Sites!$E$41*MAX(0,MIN(1,AJ$6-Sites!$F$41))</f>
        <v>0.55688912659719747</v>
      </c>
      <c r="AK37" s="34">
        <f ca="1">Sites!$E$41*MAX(0,MIN(1,AK$6-Sites!$F$41))</f>
        <v>0.55688912659719747</v>
      </c>
      <c r="AL37" s="34">
        <f ca="1">Sites!$E$41*MAX(0,MIN(1,AL$6-Sites!$F$41))</f>
        <v>0.55688912659719747</v>
      </c>
      <c r="AM37" s="34">
        <f ca="1">Sites!$E$41*MAX(0,MIN(1,AM$6-Sites!$F$41))</f>
        <v>0.55688912659719747</v>
      </c>
      <c r="AN37" s="34">
        <f ca="1">Sites!$E$41*MAX(0,MIN(1,AN$6-Sites!$F$41))</f>
        <v>0.55688912659719747</v>
      </c>
      <c r="AO37" s="34">
        <f ca="1">Sites!$E$41*MAX(0,MIN(1,AO$6-Sites!$F$41))</f>
        <v>0.55688912659719747</v>
      </c>
      <c r="AP37" s="34">
        <f ca="1">Sites!$E$41*MAX(0,MIN(1,AP$6-Sites!$F$41))</f>
        <v>0.55688912659719747</v>
      </c>
      <c r="AQ37" s="34">
        <f ca="1">Sites!$E$41*MAX(0,MIN(1,AQ$6-Sites!$F$41))</f>
        <v>0.55688912659719747</v>
      </c>
      <c r="AR37" s="34">
        <f ca="1">Sites!$E$41*MAX(0,MIN(1,AR$6-Sites!$F$41))</f>
        <v>0.55688912659719747</v>
      </c>
      <c r="AS37" s="34">
        <f ca="1">Sites!$E$41*MAX(0,MIN(1,AS$6-Sites!$F$41))</f>
        <v>0.55688912659719747</v>
      </c>
      <c r="AT37" s="34">
        <f ca="1">Sites!$E$41*MAX(0,MIN(1,AT$6-Sites!$F$41))</f>
        <v>0.55688912659719747</v>
      </c>
      <c r="AU37" s="34">
        <f ca="1">Sites!$E$41*MAX(0,MIN(1,AU$6-Sites!$F$41))</f>
        <v>0.55688912659719747</v>
      </c>
      <c r="AV37" s="34">
        <f ca="1">Sites!$E$41*MAX(0,MIN(1,AV$6-Sites!$F$41))</f>
        <v>0.55688912659719747</v>
      </c>
      <c r="AW37" s="34">
        <f ca="1">Sites!$E$41*MAX(0,MIN(1,AW$6-Sites!$F$41))</f>
        <v>0.55688912659719747</v>
      </c>
      <c r="AX37" s="34">
        <f ca="1">Sites!$E$41*MAX(0,MIN(1,AX$6-Sites!$F$41))</f>
        <v>0.55688912659719747</v>
      </c>
      <c r="AY37" s="34">
        <f ca="1">Sites!$E$41*MAX(0,MIN(1,AY$6-Sites!$F$41))</f>
        <v>0.55688912659719747</v>
      </c>
      <c r="AZ37" s="34">
        <f ca="1">Sites!$E$41*MAX(0,MIN(1,AZ$6-Sites!$F$41))</f>
        <v>0.55688912659719747</v>
      </c>
      <c r="BA37" s="34">
        <f ca="1">Sites!$E$41*MAX(0,MIN(1,BA$6-Sites!$F$41))</f>
        <v>0.55688912659719747</v>
      </c>
    </row>
    <row r="38" spans="2:53" x14ac:dyDescent="0.45">
      <c r="B38" s="52">
        <f>Sites!$B$42</f>
        <v>21</v>
      </c>
      <c r="C38" s="26" t="s">
        <v>107</v>
      </c>
      <c r="D38" s="28"/>
      <c r="E38" s="28"/>
      <c r="F38" s="34">
        <f ca="1">Sites!$E$42*MAX(0,MIN(1,F$6-Sites!$F$42))</f>
        <v>0</v>
      </c>
      <c r="G38" s="34">
        <f ca="1">Sites!$E$42*MAX(0,MIN(1,G$6-Sites!$F$42))</f>
        <v>0</v>
      </c>
      <c r="H38" s="34">
        <f ca="1">Sites!$E$42*MAX(0,MIN(1,H$6-Sites!$F$42))</f>
        <v>0</v>
      </c>
      <c r="I38" s="34">
        <f ca="1">Sites!$E$42*MAX(0,MIN(1,I$6-Sites!$F$42))</f>
        <v>0.32167418576443879</v>
      </c>
      <c r="J38" s="34">
        <f ca="1">Sites!$E$42*MAX(0,MIN(1,J$6-Sites!$F$42))</f>
        <v>0.59908628287503352</v>
      </c>
      <c r="K38" s="34">
        <f ca="1">Sites!$E$42*MAX(0,MIN(1,K$6-Sites!$F$42))</f>
        <v>0.59908628287503352</v>
      </c>
      <c r="L38" s="34">
        <f ca="1">Sites!$E$42*MAX(0,MIN(1,L$6-Sites!$F$42))</f>
        <v>0.59908628287503352</v>
      </c>
      <c r="M38" s="34">
        <f ca="1">Sites!$E$42*MAX(0,MIN(1,M$6-Sites!$F$42))</f>
        <v>0.59908628287503352</v>
      </c>
      <c r="N38" s="34">
        <f ca="1">Sites!$E$42*MAX(0,MIN(1,N$6-Sites!$F$42))</f>
        <v>0.59908628287503352</v>
      </c>
      <c r="O38" s="34">
        <f ca="1">Sites!$E$42*MAX(0,MIN(1,O$6-Sites!$F$42))</f>
        <v>0.59908628287503352</v>
      </c>
      <c r="P38" s="34">
        <f ca="1">Sites!$E$42*MAX(0,MIN(1,P$6-Sites!$F$42))</f>
        <v>0.59908628287503352</v>
      </c>
      <c r="Q38" s="34">
        <f ca="1">Sites!$E$42*MAX(0,MIN(1,Q$6-Sites!$F$42))</f>
        <v>0.59908628287503352</v>
      </c>
      <c r="R38" s="34">
        <f ca="1">Sites!$E$42*MAX(0,MIN(1,R$6-Sites!$F$42))</f>
        <v>0.59908628287503352</v>
      </c>
      <c r="S38" s="34">
        <f ca="1">Sites!$E$42*MAX(0,MIN(1,S$6-Sites!$F$42))</f>
        <v>0.59908628287503352</v>
      </c>
      <c r="T38" s="34">
        <f ca="1">Sites!$E$42*MAX(0,MIN(1,T$6-Sites!$F$42))</f>
        <v>0.59908628287503352</v>
      </c>
      <c r="U38" s="34">
        <f ca="1">Sites!$E$42*MAX(0,MIN(1,U$6-Sites!$F$42))</f>
        <v>0.59908628287503352</v>
      </c>
      <c r="V38" s="34">
        <f ca="1">Sites!$E$42*MAX(0,MIN(1,V$6-Sites!$F$42))</f>
        <v>0.59908628287503352</v>
      </c>
      <c r="W38" s="34">
        <f ca="1">Sites!$E$42*MAX(0,MIN(1,W$6-Sites!$F$42))</f>
        <v>0.59908628287503352</v>
      </c>
      <c r="X38" s="34">
        <f ca="1">Sites!$E$42*MAX(0,MIN(1,X$6-Sites!$F$42))</f>
        <v>0.59908628287503352</v>
      </c>
      <c r="Y38" s="34">
        <f ca="1">Sites!$E$42*MAX(0,MIN(1,Y$6-Sites!$F$42))</f>
        <v>0.59908628287503352</v>
      </c>
      <c r="Z38" s="34">
        <f ca="1">Sites!$E$42*MAX(0,MIN(1,Z$6-Sites!$F$42))</f>
        <v>0.59908628287503352</v>
      </c>
      <c r="AA38" s="34">
        <f ca="1">Sites!$E$42*MAX(0,MIN(1,AA$6-Sites!$F$42))</f>
        <v>0.59908628287503352</v>
      </c>
      <c r="AB38" s="34">
        <f ca="1">Sites!$E$42*MAX(0,MIN(1,AB$6-Sites!$F$42))</f>
        <v>0.59908628287503352</v>
      </c>
      <c r="AC38" s="34">
        <f ca="1">Sites!$E$42*MAX(0,MIN(1,AC$6-Sites!$F$42))</f>
        <v>0.59908628287503352</v>
      </c>
      <c r="AD38" s="34">
        <f ca="1">Sites!$E$42*MAX(0,MIN(1,AD$6-Sites!$F$42))</f>
        <v>0.59908628287503352</v>
      </c>
      <c r="AE38" s="34">
        <f ca="1">Sites!$E$42*MAX(0,MIN(1,AE$6-Sites!$F$42))</f>
        <v>0.59908628287503352</v>
      </c>
      <c r="AF38" s="34">
        <f ca="1">Sites!$E$42*MAX(0,MIN(1,AF$6-Sites!$F$42))</f>
        <v>0.59908628287503352</v>
      </c>
      <c r="AG38" s="34">
        <f ca="1">Sites!$E$42*MAX(0,MIN(1,AG$6-Sites!$F$42))</f>
        <v>0.59908628287503352</v>
      </c>
      <c r="AH38" s="34">
        <f ca="1">Sites!$E$42*MAX(0,MIN(1,AH$6-Sites!$F$42))</f>
        <v>0.59908628287503352</v>
      </c>
      <c r="AI38" s="34">
        <f ca="1">Sites!$E$42*MAX(0,MIN(1,AI$6-Sites!$F$42))</f>
        <v>0.59908628287503352</v>
      </c>
      <c r="AJ38" s="34">
        <f ca="1">Sites!$E$42*MAX(0,MIN(1,AJ$6-Sites!$F$42))</f>
        <v>0.59908628287503352</v>
      </c>
      <c r="AK38" s="34">
        <f ca="1">Sites!$E$42*MAX(0,MIN(1,AK$6-Sites!$F$42))</f>
        <v>0.59908628287503352</v>
      </c>
      <c r="AL38" s="34">
        <f ca="1">Sites!$E$42*MAX(0,MIN(1,AL$6-Sites!$F$42))</f>
        <v>0.59908628287503352</v>
      </c>
      <c r="AM38" s="34">
        <f ca="1">Sites!$E$42*MAX(0,MIN(1,AM$6-Sites!$F$42))</f>
        <v>0.59908628287503352</v>
      </c>
      <c r="AN38" s="34">
        <f ca="1">Sites!$E$42*MAX(0,MIN(1,AN$6-Sites!$F$42))</f>
        <v>0.59908628287503352</v>
      </c>
      <c r="AO38" s="34">
        <f ca="1">Sites!$E$42*MAX(0,MIN(1,AO$6-Sites!$F$42))</f>
        <v>0.59908628287503352</v>
      </c>
      <c r="AP38" s="34">
        <f ca="1">Sites!$E$42*MAX(0,MIN(1,AP$6-Sites!$F$42))</f>
        <v>0.59908628287503352</v>
      </c>
      <c r="AQ38" s="34">
        <f ca="1">Sites!$E$42*MAX(0,MIN(1,AQ$6-Sites!$F$42))</f>
        <v>0.59908628287503352</v>
      </c>
      <c r="AR38" s="34">
        <f ca="1">Sites!$E$42*MAX(0,MIN(1,AR$6-Sites!$F$42))</f>
        <v>0.59908628287503352</v>
      </c>
      <c r="AS38" s="34">
        <f ca="1">Sites!$E$42*MAX(0,MIN(1,AS$6-Sites!$F$42))</f>
        <v>0.59908628287503352</v>
      </c>
      <c r="AT38" s="34">
        <f ca="1">Sites!$E$42*MAX(0,MIN(1,AT$6-Sites!$F$42))</f>
        <v>0.59908628287503352</v>
      </c>
      <c r="AU38" s="34">
        <f ca="1">Sites!$E$42*MAX(0,MIN(1,AU$6-Sites!$F$42))</f>
        <v>0.59908628287503352</v>
      </c>
      <c r="AV38" s="34">
        <f ca="1">Sites!$E$42*MAX(0,MIN(1,AV$6-Sites!$F$42))</f>
        <v>0.59908628287503352</v>
      </c>
      <c r="AW38" s="34">
        <f ca="1">Sites!$E$42*MAX(0,MIN(1,AW$6-Sites!$F$42))</f>
        <v>0.59908628287503352</v>
      </c>
      <c r="AX38" s="34">
        <f ca="1">Sites!$E$42*MAX(0,MIN(1,AX$6-Sites!$F$42))</f>
        <v>0.59908628287503352</v>
      </c>
      <c r="AY38" s="34">
        <f ca="1">Sites!$E$42*MAX(0,MIN(1,AY$6-Sites!$F$42))</f>
        <v>0.59908628287503352</v>
      </c>
      <c r="AZ38" s="34">
        <f ca="1">Sites!$E$42*MAX(0,MIN(1,AZ$6-Sites!$F$42))</f>
        <v>0.59908628287503352</v>
      </c>
      <c r="BA38" s="34">
        <f ca="1">Sites!$E$42*MAX(0,MIN(1,BA$6-Sites!$F$42))</f>
        <v>0.59908628287503352</v>
      </c>
    </row>
    <row r="39" spans="2:53" x14ac:dyDescent="0.45">
      <c r="B39" s="52">
        <f>Sites!$B$43</f>
        <v>22</v>
      </c>
      <c r="C39" s="26" t="s">
        <v>107</v>
      </c>
      <c r="D39" s="28"/>
      <c r="E39" s="28"/>
      <c r="F39" s="34">
        <f ca="1">Sites!$E$43*MAX(0,MIN(1,F$6-Sites!$F$43))</f>
        <v>0</v>
      </c>
      <c r="G39" s="34">
        <f ca="1">Sites!$E$43*MAX(0,MIN(1,G$6-Sites!$F$43))</f>
        <v>0.27195573489645147</v>
      </c>
      <c r="H39" s="34">
        <f ca="1">Sites!$E$43*MAX(0,MIN(1,H$6-Sites!$F$43))</f>
        <v>0.38425619742440487</v>
      </c>
      <c r="I39" s="34">
        <f ca="1">Sites!$E$43*MAX(0,MIN(1,I$6-Sites!$F$43))</f>
        <v>0.38425619742440487</v>
      </c>
      <c r="J39" s="34">
        <f ca="1">Sites!$E$43*MAX(0,MIN(1,J$6-Sites!$F$43))</f>
        <v>0.38425619742440487</v>
      </c>
      <c r="K39" s="34">
        <f ca="1">Sites!$E$43*MAX(0,MIN(1,K$6-Sites!$F$43))</f>
        <v>0.38425619742440487</v>
      </c>
      <c r="L39" s="34">
        <f ca="1">Sites!$E$43*MAX(0,MIN(1,L$6-Sites!$F$43))</f>
        <v>0.38425619742440487</v>
      </c>
      <c r="M39" s="34">
        <f ca="1">Sites!$E$43*MAX(0,MIN(1,M$6-Sites!$F$43))</f>
        <v>0.38425619742440487</v>
      </c>
      <c r="N39" s="34">
        <f ca="1">Sites!$E$43*MAX(0,MIN(1,N$6-Sites!$F$43))</f>
        <v>0.38425619742440487</v>
      </c>
      <c r="O39" s="34">
        <f ca="1">Sites!$E$43*MAX(0,MIN(1,O$6-Sites!$F$43))</f>
        <v>0.38425619742440487</v>
      </c>
      <c r="P39" s="34">
        <f ca="1">Sites!$E$43*MAX(0,MIN(1,P$6-Sites!$F$43))</f>
        <v>0.38425619742440487</v>
      </c>
      <c r="Q39" s="34">
        <f ca="1">Sites!$E$43*MAX(0,MIN(1,Q$6-Sites!$F$43))</f>
        <v>0.38425619742440487</v>
      </c>
      <c r="R39" s="34">
        <f ca="1">Sites!$E$43*MAX(0,MIN(1,R$6-Sites!$F$43))</f>
        <v>0.38425619742440487</v>
      </c>
      <c r="S39" s="34">
        <f ca="1">Sites!$E$43*MAX(0,MIN(1,S$6-Sites!$F$43))</f>
        <v>0.38425619742440487</v>
      </c>
      <c r="T39" s="34">
        <f ca="1">Sites!$E$43*MAX(0,MIN(1,T$6-Sites!$F$43))</f>
        <v>0.38425619742440487</v>
      </c>
      <c r="U39" s="34">
        <f ca="1">Sites!$E$43*MAX(0,MIN(1,U$6-Sites!$F$43))</f>
        <v>0.38425619742440487</v>
      </c>
      <c r="V39" s="34">
        <f ca="1">Sites!$E$43*MAX(0,MIN(1,V$6-Sites!$F$43))</f>
        <v>0.38425619742440487</v>
      </c>
      <c r="W39" s="34">
        <f ca="1">Sites!$E$43*MAX(0,MIN(1,W$6-Sites!$F$43))</f>
        <v>0.38425619742440487</v>
      </c>
      <c r="X39" s="34">
        <f ca="1">Sites!$E$43*MAX(0,MIN(1,X$6-Sites!$F$43))</f>
        <v>0.38425619742440487</v>
      </c>
      <c r="Y39" s="34">
        <f ca="1">Sites!$E$43*MAX(0,MIN(1,Y$6-Sites!$F$43))</f>
        <v>0.38425619742440487</v>
      </c>
      <c r="Z39" s="34">
        <f ca="1">Sites!$E$43*MAX(0,MIN(1,Z$6-Sites!$F$43))</f>
        <v>0.38425619742440487</v>
      </c>
      <c r="AA39" s="34">
        <f ca="1">Sites!$E$43*MAX(0,MIN(1,AA$6-Sites!$F$43))</f>
        <v>0.38425619742440487</v>
      </c>
      <c r="AB39" s="34">
        <f ca="1">Sites!$E$43*MAX(0,MIN(1,AB$6-Sites!$F$43))</f>
        <v>0.38425619742440487</v>
      </c>
      <c r="AC39" s="34">
        <f ca="1">Sites!$E$43*MAX(0,MIN(1,AC$6-Sites!$F$43))</f>
        <v>0.38425619742440487</v>
      </c>
      <c r="AD39" s="34">
        <f ca="1">Sites!$E$43*MAX(0,MIN(1,AD$6-Sites!$F$43))</f>
        <v>0.38425619742440487</v>
      </c>
      <c r="AE39" s="34">
        <f ca="1">Sites!$E$43*MAX(0,MIN(1,AE$6-Sites!$F$43))</f>
        <v>0.38425619742440487</v>
      </c>
      <c r="AF39" s="34">
        <f ca="1">Sites!$E$43*MAX(0,MIN(1,AF$6-Sites!$F$43))</f>
        <v>0.38425619742440487</v>
      </c>
      <c r="AG39" s="34">
        <f ca="1">Sites!$E$43*MAX(0,MIN(1,AG$6-Sites!$F$43))</f>
        <v>0.38425619742440487</v>
      </c>
      <c r="AH39" s="34">
        <f ca="1">Sites!$E$43*MAX(0,MIN(1,AH$6-Sites!$F$43))</f>
        <v>0.38425619742440487</v>
      </c>
      <c r="AI39" s="34">
        <f ca="1">Sites!$E$43*MAX(0,MIN(1,AI$6-Sites!$F$43))</f>
        <v>0.38425619742440487</v>
      </c>
      <c r="AJ39" s="34">
        <f ca="1">Sites!$E$43*MAX(0,MIN(1,AJ$6-Sites!$F$43))</f>
        <v>0.38425619742440487</v>
      </c>
      <c r="AK39" s="34">
        <f ca="1">Sites!$E$43*MAX(0,MIN(1,AK$6-Sites!$F$43))</f>
        <v>0.38425619742440487</v>
      </c>
      <c r="AL39" s="34">
        <f ca="1">Sites!$E$43*MAX(0,MIN(1,AL$6-Sites!$F$43))</f>
        <v>0.38425619742440487</v>
      </c>
      <c r="AM39" s="34">
        <f ca="1">Sites!$E$43*MAX(0,MIN(1,AM$6-Sites!$F$43))</f>
        <v>0.38425619742440487</v>
      </c>
      <c r="AN39" s="34">
        <f ca="1">Sites!$E$43*MAX(0,MIN(1,AN$6-Sites!$F$43))</f>
        <v>0.38425619742440487</v>
      </c>
      <c r="AO39" s="34">
        <f ca="1">Sites!$E$43*MAX(0,MIN(1,AO$6-Sites!$F$43))</f>
        <v>0.38425619742440487</v>
      </c>
      <c r="AP39" s="34">
        <f ca="1">Sites!$E$43*MAX(0,MIN(1,AP$6-Sites!$F$43))</f>
        <v>0.38425619742440487</v>
      </c>
      <c r="AQ39" s="34">
        <f ca="1">Sites!$E$43*MAX(0,MIN(1,AQ$6-Sites!$F$43))</f>
        <v>0.38425619742440487</v>
      </c>
      <c r="AR39" s="34">
        <f ca="1">Sites!$E$43*MAX(0,MIN(1,AR$6-Sites!$F$43))</f>
        <v>0.38425619742440487</v>
      </c>
      <c r="AS39" s="34">
        <f ca="1">Sites!$E$43*MAX(0,MIN(1,AS$6-Sites!$F$43))</f>
        <v>0.38425619742440487</v>
      </c>
      <c r="AT39" s="34">
        <f ca="1">Sites!$E$43*MAX(0,MIN(1,AT$6-Sites!$F$43))</f>
        <v>0.38425619742440487</v>
      </c>
      <c r="AU39" s="34">
        <f ca="1">Sites!$E$43*MAX(0,MIN(1,AU$6-Sites!$F$43))</f>
        <v>0.38425619742440487</v>
      </c>
      <c r="AV39" s="34">
        <f ca="1">Sites!$E$43*MAX(0,MIN(1,AV$6-Sites!$F$43))</f>
        <v>0.38425619742440487</v>
      </c>
      <c r="AW39" s="34">
        <f ca="1">Sites!$E$43*MAX(0,MIN(1,AW$6-Sites!$F$43))</f>
        <v>0.38425619742440487</v>
      </c>
      <c r="AX39" s="34">
        <f ca="1">Sites!$E$43*MAX(0,MIN(1,AX$6-Sites!$F$43))</f>
        <v>0.38425619742440487</v>
      </c>
      <c r="AY39" s="34">
        <f ca="1">Sites!$E$43*MAX(0,MIN(1,AY$6-Sites!$F$43))</f>
        <v>0.38425619742440487</v>
      </c>
      <c r="AZ39" s="34">
        <f ca="1">Sites!$E$43*MAX(0,MIN(1,AZ$6-Sites!$F$43))</f>
        <v>0.38425619742440487</v>
      </c>
      <c r="BA39" s="34">
        <f ca="1">Sites!$E$43*MAX(0,MIN(1,BA$6-Sites!$F$43))</f>
        <v>0.38425619742440487</v>
      </c>
    </row>
    <row r="40" spans="2:53" x14ac:dyDescent="0.45">
      <c r="B40" s="52">
        <f>Sites!$B$44</f>
        <v>23</v>
      </c>
      <c r="C40" s="26" t="s">
        <v>107</v>
      </c>
      <c r="D40" s="28"/>
      <c r="E40" s="28"/>
      <c r="F40" s="34">
        <f ca="1">Sites!$E$44*MAX(0,MIN(1,F$6-Sites!$F$44))</f>
        <v>0</v>
      </c>
      <c r="G40" s="34">
        <f ca="1">Sites!$E$44*MAX(0,MIN(1,G$6-Sites!$F$44))</f>
        <v>0</v>
      </c>
      <c r="H40" s="34">
        <f ca="1">Sites!$E$44*MAX(0,MIN(1,H$6-Sites!$F$44))</f>
        <v>0</v>
      </c>
      <c r="I40" s="34">
        <f ca="1">Sites!$E$44*MAX(0,MIN(1,I$6-Sites!$F$44))</f>
        <v>0</v>
      </c>
      <c r="J40" s="34">
        <f ca="1">Sites!$E$44*MAX(0,MIN(1,J$6-Sites!$F$44))</f>
        <v>0</v>
      </c>
      <c r="K40" s="34">
        <f ca="1">Sites!$E$44*MAX(0,MIN(1,K$6-Sites!$F$44))</f>
        <v>2.2088160490968563E-2</v>
      </c>
      <c r="L40" s="34">
        <f ca="1">Sites!$E$44*MAX(0,MIN(1,L$6-Sites!$F$44))</f>
        <v>0.23795792478050157</v>
      </c>
      <c r="M40" s="34">
        <f ca="1">Sites!$E$44*MAX(0,MIN(1,M$6-Sites!$F$44))</f>
        <v>0.23795792478050157</v>
      </c>
      <c r="N40" s="34">
        <f ca="1">Sites!$E$44*MAX(0,MIN(1,N$6-Sites!$F$44))</f>
        <v>0.23795792478050157</v>
      </c>
      <c r="O40" s="34">
        <f ca="1">Sites!$E$44*MAX(0,MIN(1,O$6-Sites!$F$44))</f>
        <v>0.23795792478050157</v>
      </c>
      <c r="P40" s="34">
        <f ca="1">Sites!$E$44*MAX(0,MIN(1,P$6-Sites!$F$44))</f>
        <v>0.23795792478050157</v>
      </c>
      <c r="Q40" s="34">
        <f ca="1">Sites!$E$44*MAX(0,MIN(1,Q$6-Sites!$F$44))</f>
        <v>0.23795792478050157</v>
      </c>
      <c r="R40" s="34">
        <f ca="1">Sites!$E$44*MAX(0,MIN(1,R$6-Sites!$F$44))</f>
        <v>0.23795792478050157</v>
      </c>
      <c r="S40" s="34">
        <f ca="1">Sites!$E$44*MAX(0,MIN(1,S$6-Sites!$F$44))</f>
        <v>0.23795792478050157</v>
      </c>
      <c r="T40" s="34">
        <f ca="1">Sites!$E$44*MAX(0,MIN(1,T$6-Sites!$F$44))</f>
        <v>0.23795792478050157</v>
      </c>
      <c r="U40" s="34">
        <f ca="1">Sites!$E$44*MAX(0,MIN(1,U$6-Sites!$F$44))</f>
        <v>0.23795792478050157</v>
      </c>
      <c r="V40" s="34">
        <f ca="1">Sites!$E$44*MAX(0,MIN(1,V$6-Sites!$F$44))</f>
        <v>0.23795792478050157</v>
      </c>
      <c r="W40" s="34">
        <f ca="1">Sites!$E$44*MAX(0,MIN(1,W$6-Sites!$F$44))</f>
        <v>0.23795792478050157</v>
      </c>
      <c r="X40" s="34">
        <f ca="1">Sites!$E$44*MAX(0,MIN(1,X$6-Sites!$F$44))</f>
        <v>0.23795792478050157</v>
      </c>
      <c r="Y40" s="34">
        <f ca="1">Sites!$E$44*MAX(0,MIN(1,Y$6-Sites!$F$44))</f>
        <v>0.23795792478050157</v>
      </c>
      <c r="Z40" s="34">
        <f ca="1">Sites!$E$44*MAX(0,MIN(1,Z$6-Sites!$F$44))</f>
        <v>0.23795792478050157</v>
      </c>
      <c r="AA40" s="34">
        <f ca="1">Sites!$E$44*MAX(0,MIN(1,AA$6-Sites!$F$44))</f>
        <v>0.23795792478050157</v>
      </c>
      <c r="AB40" s="34">
        <f ca="1">Sites!$E$44*MAX(0,MIN(1,AB$6-Sites!$F$44))</f>
        <v>0.23795792478050157</v>
      </c>
      <c r="AC40" s="34">
        <f ca="1">Sites!$E$44*MAX(0,MIN(1,AC$6-Sites!$F$44))</f>
        <v>0.23795792478050157</v>
      </c>
      <c r="AD40" s="34">
        <f ca="1">Sites!$E$44*MAX(0,MIN(1,AD$6-Sites!$F$44))</f>
        <v>0.23795792478050157</v>
      </c>
      <c r="AE40" s="34">
        <f ca="1">Sites!$E$44*MAX(0,MIN(1,AE$6-Sites!$F$44))</f>
        <v>0.23795792478050157</v>
      </c>
      <c r="AF40" s="34">
        <f ca="1">Sites!$E$44*MAX(0,MIN(1,AF$6-Sites!$F$44))</f>
        <v>0.23795792478050157</v>
      </c>
      <c r="AG40" s="34">
        <f ca="1">Sites!$E$44*MAX(0,MIN(1,AG$6-Sites!$F$44))</f>
        <v>0.23795792478050157</v>
      </c>
      <c r="AH40" s="34">
        <f ca="1">Sites!$E$44*MAX(0,MIN(1,AH$6-Sites!$F$44))</f>
        <v>0.23795792478050157</v>
      </c>
      <c r="AI40" s="34">
        <f ca="1">Sites!$E$44*MAX(0,MIN(1,AI$6-Sites!$F$44))</f>
        <v>0.23795792478050157</v>
      </c>
      <c r="AJ40" s="34">
        <f ca="1">Sites!$E$44*MAX(0,MIN(1,AJ$6-Sites!$F$44))</f>
        <v>0.23795792478050157</v>
      </c>
      <c r="AK40" s="34">
        <f ca="1">Sites!$E$44*MAX(0,MIN(1,AK$6-Sites!$F$44))</f>
        <v>0.23795792478050157</v>
      </c>
      <c r="AL40" s="34">
        <f ca="1">Sites!$E$44*MAX(0,MIN(1,AL$6-Sites!$F$44))</f>
        <v>0.23795792478050157</v>
      </c>
      <c r="AM40" s="34">
        <f ca="1">Sites!$E$44*MAX(0,MIN(1,AM$6-Sites!$F$44))</f>
        <v>0.23795792478050157</v>
      </c>
      <c r="AN40" s="34">
        <f ca="1">Sites!$E$44*MAX(0,MIN(1,AN$6-Sites!$F$44))</f>
        <v>0.23795792478050157</v>
      </c>
      <c r="AO40" s="34">
        <f ca="1">Sites!$E$44*MAX(0,MIN(1,AO$6-Sites!$F$44))</f>
        <v>0.23795792478050157</v>
      </c>
      <c r="AP40" s="34">
        <f ca="1">Sites!$E$44*MAX(0,MIN(1,AP$6-Sites!$F$44))</f>
        <v>0.23795792478050157</v>
      </c>
      <c r="AQ40" s="34">
        <f ca="1">Sites!$E$44*MAX(0,MIN(1,AQ$6-Sites!$F$44))</f>
        <v>0.23795792478050157</v>
      </c>
      <c r="AR40" s="34">
        <f ca="1">Sites!$E$44*MAX(0,MIN(1,AR$6-Sites!$F$44))</f>
        <v>0.23795792478050157</v>
      </c>
      <c r="AS40" s="34">
        <f ca="1">Sites!$E$44*MAX(0,MIN(1,AS$6-Sites!$F$44))</f>
        <v>0.23795792478050157</v>
      </c>
      <c r="AT40" s="34">
        <f ca="1">Sites!$E$44*MAX(0,MIN(1,AT$6-Sites!$F$44))</f>
        <v>0.23795792478050157</v>
      </c>
      <c r="AU40" s="34">
        <f ca="1">Sites!$E$44*MAX(0,MIN(1,AU$6-Sites!$F$44))</f>
        <v>0.23795792478050157</v>
      </c>
      <c r="AV40" s="34">
        <f ca="1">Sites!$E$44*MAX(0,MIN(1,AV$6-Sites!$F$44))</f>
        <v>0.23795792478050157</v>
      </c>
      <c r="AW40" s="34">
        <f ca="1">Sites!$E$44*MAX(0,MIN(1,AW$6-Sites!$F$44))</f>
        <v>0.23795792478050157</v>
      </c>
      <c r="AX40" s="34">
        <f ca="1">Sites!$E$44*MAX(0,MIN(1,AX$6-Sites!$F$44))</f>
        <v>0.23795792478050157</v>
      </c>
      <c r="AY40" s="34">
        <f ca="1">Sites!$E$44*MAX(0,MIN(1,AY$6-Sites!$F$44))</f>
        <v>0.23795792478050157</v>
      </c>
      <c r="AZ40" s="34">
        <f ca="1">Sites!$E$44*MAX(0,MIN(1,AZ$6-Sites!$F$44))</f>
        <v>0.23795792478050157</v>
      </c>
      <c r="BA40" s="34">
        <f ca="1">Sites!$E$44*MAX(0,MIN(1,BA$6-Sites!$F$44))</f>
        <v>0.23795792478050157</v>
      </c>
    </row>
    <row r="41" spans="2:53" x14ac:dyDescent="0.45">
      <c r="B41" s="52">
        <f>Sites!$B$45</f>
        <v>24</v>
      </c>
      <c r="C41" s="26" t="s">
        <v>107</v>
      </c>
      <c r="D41" s="28"/>
      <c r="E41" s="28"/>
      <c r="F41" s="34">
        <f ca="1">Sites!$E$45*MAX(0,MIN(1,F$6-Sites!$F$45))</f>
        <v>0</v>
      </c>
      <c r="G41" s="34">
        <f ca="1">Sites!$E$45*MAX(0,MIN(1,G$6-Sites!$F$45))</f>
        <v>0</v>
      </c>
      <c r="H41" s="34">
        <f ca="1">Sites!$E$45*MAX(0,MIN(1,H$6-Sites!$F$45))</f>
        <v>0</v>
      </c>
      <c r="I41" s="34">
        <f ca="1">Sites!$E$45*MAX(0,MIN(1,I$6-Sites!$F$45))</f>
        <v>0.27812074812643389</v>
      </c>
      <c r="J41" s="34">
        <f ca="1">Sites!$E$45*MAX(0,MIN(1,J$6-Sites!$F$45))</f>
        <v>0.38658405792678086</v>
      </c>
      <c r="K41" s="34">
        <f ca="1">Sites!$E$45*MAX(0,MIN(1,K$6-Sites!$F$45))</f>
        <v>0.38658405792678086</v>
      </c>
      <c r="L41" s="34">
        <f ca="1">Sites!$E$45*MAX(0,MIN(1,L$6-Sites!$F$45))</f>
        <v>0.38658405792678086</v>
      </c>
      <c r="M41" s="34">
        <f ca="1">Sites!$E$45*MAX(0,MIN(1,M$6-Sites!$F$45))</f>
        <v>0.38658405792678086</v>
      </c>
      <c r="N41" s="34">
        <f ca="1">Sites!$E$45*MAX(0,MIN(1,N$6-Sites!$F$45))</f>
        <v>0.38658405792678086</v>
      </c>
      <c r="O41" s="34">
        <f ca="1">Sites!$E$45*MAX(0,MIN(1,O$6-Sites!$F$45))</f>
        <v>0.38658405792678086</v>
      </c>
      <c r="P41" s="34">
        <f ca="1">Sites!$E$45*MAX(0,MIN(1,P$6-Sites!$F$45))</f>
        <v>0.38658405792678086</v>
      </c>
      <c r="Q41" s="34">
        <f ca="1">Sites!$E$45*MAX(0,MIN(1,Q$6-Sites!$F$45))</f>
        <v>0.38658405792678086</v>
      </c>
      <c r="R41" s="34">
        <f ca="1">Sites!$E$45*MAX(0,MIN(1,R$6-Sites!$F$45))</f>
        <v>0.38658405792678086</v>
      </c>
      <c r="S41" s="34">
        <f ca="1">Sites!$E$45*MAX(0,MIN(1,S$6-Sites!$F$45))</f>
        <v>0.38658405792678086</v>
      </c>
      <c r="T41" s="34">
        <f ca="1">Sites!$E$45*MAX(0,MIN(1,T$6-Sites!$F$45))</f>
        <v>0.38658405792678086</v>
      </c>
      <c r="U41" s="34">
        <f ca="1">Sites!$E$45*MAX(0,MIN(1,U$6-Sites!$F$45))</f>
        <v>0.38658405792678086</v>
      </c>
      <c r="V41" s="34">
        <f ca="1">Sites!$E$45*MAX(0,MIN(1,V$6-Sites!$F$45))</f>
        <v>0.38658405792678086</v>
      </c>
      <c r="W41" s="34">
        <f ca="1">Sites!$E$45*MAX(0,MIN(1,W$6-Sites!$F$45))</f>
        <v>0.38658405792678086</v>
      </c>
      <c r="X41" s="34">
        <f ca="1">Sites!$E$45*MAX(0,MIN(1,X$6-Sites!$F$45))</f>
        <v>0.38658405792678086</v>
      </c>
      <c r="Y41" s="34">
        <f ca="1">Sites!$E$45*MAX(0,MIN(1,Y$6-Sites!$F$45))</f>
        <v>0.38658405792678086</v>
      </c>
      <c r="Z41" s="34">
        <f ca="1">Sites!$E$45*MAX(0,MIN(1,Z$6-Sites!$F$45))</f>
        <v>0.38658405792678086</v>
      </c>
      <c r="AA41" s="34">
        <f ca="1">Sites!$E$45*MAX(0,MIN(1,AA$6-Sites!$F$45))</f>
        <v>0.38658405792678086</v>
      </c>
      <c r="AB41" s="34">
        <f ca="1">Sites!$E$45*MAX(0,MIN(1,AB$6-Sites!$F$45))</f>
        <v>0.38658405792678086</v>
      </c>
      <c r="AC41" s="34">
        <f ca="1">Sites!$E$45*MAX(0,MIN(1,AC$6-Sites!$F$45))</f>
        <v>0.38658405792678086</v>
      </c>
      <c r="AD41" s="34">
        <f ca="1">Sites!$E$45*MAX(0,MIN(1,AD$6-Sites!$F$45))</f>
        <v>0.38658405792678086</v>
      </c>
      <c r="AE41" s="34">
        <f ca="1">Sites!$E$45*MAX(0,MIN(1,AE$6-Sites!$F$45))</f>
        <v>0.38658405792678086</v>
      </c>
      <c r="AF41" s="34">
        <f ca="1">Sites!$E$45*MAX(0,MIN(1,AF$6-Sites!$F$45))</f>
        <v>0.38658405792678086</v>
      </c>
      <c r="AG41" s="34">
        <f ca="1">Sites!$E$45*MAX(0,MIN(1,AG$6-Sites!$F$45))</f>
        <v>0.38658405792678086</v>
      </c>
      <c r="AH41" s="34">
        <f ca="1">Sites!$E$45*MAX(0,MIN(1,AH$6-Sites!$F$45))</f>
        <v>0.38658405792678086</v>
      </c>
      <c r="AI41" s="34">
        <f ca="1">Sites!$E$45*MAX(0,MIN(1,AI$6-Sites!$F$45))</f>
        <v>0.38658405792678086</v>
      </c>
      <c r="AJ41" s="34">
        <f ca="1">Sites!$E$45*MAX(0,MIN(1,AJ$6-Sites!$F$45))</f>
        <v>0.38658405792678086</v>
      </c>
      <c r="AK41" s="34">
        <f ca="1">Sites!$E$45*MAX(0,MIN(1,AK$6-Sites!$F$45))</f>
        <v>0.38658405792678086</v>
      </c>
      <c r="AL41" s="34">
        <f ca="1">Sites!$E$45*MAX(0,MIN(1,AL$6-Sites!$F$45))</f>
        <v>0.38658405792678086</v>
      </c>
      <c r="AM41" s="34">
        <f ca="1">Sites!$E$45*MAX(0,MIN(1,AM$6-Sites!$F$45))</f>
        <v>0.38658405792678086</v>
      </c>
      <c r="AN41" s="34">
        <f ca="1">Sites!$E$45*MAX(0,MIN(1,AN$6-Sites!$F$45))</f>
        <v>0.38658405792678086</v>
      </c>
      <c r="AO41" s="34">
        <f ca="1">Sites!$E$45*MAX(0,MIN(1,AO$6-Sites!$F$45))</f>
        <v>0.38658405792678086</v>
      </c>
      <c r="AP41" s="34">
        <f ca="1">Sites!$E$45*MAX(0,MIN(1,AP$6-Sites!$F$45))</f>
        <v>0.38658405792678086</v>
      </c>
      <c r="AQ41" s="34">
        <f ca="1">Sites!$E$45*MAX(0,MIN(1,AQ$6-Sites!$F$45))</f>
        <v>0.38658405792678086</v>
      </c>
      <c r="AR41" s="34">
        <f ca="1">Sites!$E$45*MAX(0,MIN(1,AR$6-Sites!$F$45))</f>
        <v>0.38658405792678086</v>
      </c>
      <c r="AS41" s="34">
        <f ca="1">Sites!$E$45*MAX(0,MIN(1,AS$6-Sites!$F$45))</f>
        <v>0.38658405792678086</v>
      </c>
      <c r="AT41" s="34">
        <f ca="1">Sites!$E$45*MAX(0,MIN(1,AT$6-Sites!$F$45))</f>
        <v>0.38658405792678086</v>
      </c>
      <c r="AU41" s="34">
        <f ca="1">Sites!$E$45*MAX(0,MIN(1,AU$6-Sites!$F$45))</f>
        <v>0.38658405792678086</v>
      </c>
      <c r="AV41" s="34">
        <f ca="1">Sites!$E$45*MAX(0,MIN(1,AV$6-Sites!$F$45))</f>
        <v>0.38658405792678086</v>
      </c>
      <c r="AW41" s="34">
        <f ca="1">Sites!$E$45*MAX(0,MIN(1,AW$6-Sites!$F$45))</f>
        <v>0.38658405792678086</v>
      </c>
      <c r="AX41" s="34">
        <f ca="1">Sites!$E$45*MAX(0,MIN(1,AX$6-Sites!$F$45))</f>
        <v>0.38658405792678086</v>
      </c>
      <c r="AY41" s="34">
        <f ca="1">Sites!$E$45*MAX(0,MIN(1,AY$6-Sites!$F$45))</f>
        <v>0.38658405792678086</v>
      </c>
      <c r="AZ41" s="34">
        <f ca="1">Sites!$E$45*MAX(0,MIN(1,AZ$6-Sites!$F$45))</f>
        <v>0.38658405792678086</v>
      </c>
      <c r="BA41" s="34">
        <f ca="1">Sites!$E$45*MAX(0,MIN(1,BA$6-Sites!$F$45))</f>
        <v>0.38658405792678086</v>
      </c>
    </row>
    <row r="42" spans="2:53" x14ac:dyDescent="0.45">
      <c r="B42" s="52">
        <f>Sites!$B$46</f>
        <v>25</v>
      </c>
      <c r="C42" s="26" t="s">
        <v>107</v>
      </c>
      <c r="D42" s="28"/>
      <c r="E42" s="28"/>
      <c r="F42" s="34">
        <f ca="1">Sites!$E$46*MAX(0,MIN(1,F$6-Sites!$F$46))</f>
        <v>0</v>
      </c>
      <c r="G42" s="34">
        <f ca="1">Sites!$E$46*MAX(0,MIN(1,G$6-Sites!$F$46))</f>
        <v>0</v>
      </c>
      <c r="H42" s="34">
        <f ca="1">Sites!$E$46*MAX(0,MIN(1,H$6-Sites!$F$46))</f>
        <v>0</v>
      </c>
      <c r="I42" s="34">
        <f ca="1">Sites!$E$46*MAX(0,MIN(1,I$6-Sites!$F$46))</f>
        <v>0</v>
      </c>
      <c r="J42" s="34">
        <f ca="1">Sites!$E$46*MAX(0,MIN(1,J$6-Sites!$F$46))</f>
        <v>0</v>
      </c>
      <c r="K42" s="34">
        <f ca="1">Sites!$E$46*MAX(0,MIN(1,K$6-Sites!$F$46))</f>
        <v>0</v>
      </c>
      <c r="L42" s="34">
        <f ca="1">Sites!$E$46*MAX(0,MIN(1,L$6-Sites!$F$46))</f>
        <v>0</v>
      </c>
      <c r="M42" s="34">
        <f ca="1">Sites!$E$46*MAX(0,MIN(1,M$6-Sites!$F$46))</f>
        <v>0</v>
      </c>
      <c r="N42" s="34">
        <f ca="1">Sites!$E$46*MAX(0,MIN(1,N$6-Sites!$F$46))</f>
        <v>0</v>
      </c>
      <c r="O42" s="34">
        <f ca="1">Sites!$E$46*MAX(0,MIN(1,O$6-Sites!$F$46))</f>
        <v>0</v>
      </c>
      <c r="P42" s="34">
        <f ca="1">Sites!$E$46*MAX(0,MIN(1,P$6-Sites!$F$46))</f>
        <v>0</v>
      </c>
      <c r="Q42" s="34">
        <f ca="1">Sites!$E$46*MAX(0,MIN(1,Q$6-Sites!$F$46))</f>
        <v>0</v>
      </c>
      <c r="R42" s="34">
        <f ca="1">Sites!$E$46*MAX(0,MIN(1,R$6-Sites!$F$46))</f>
        <v>0</v>
      </c>
      <c r="S42" s="34">
        <f ca="1">Sites!$E$46*MAX(0,MIN(1,S$6-Sites!$F$46))</f>
        <v>0</v>
      </c>
      <c r="T42" s="34">
        <f ca="1">Sites!$E$46*MAX(0,MIN(1,T$6-Sites!$F$46))</f>
        <v>0</v>
      </c>
      <c r="U42" s="34">
        <f ca="1">Sites!$E$46*MAX(0,MIN(1,U$6-Sites!$F$46))</f>
        <v>0</v>
      </c>
      <c r="V42" s="34">
        <f ca="1">Sites!$E$46*MAX(0,MIN(1,V$6-Sites!$F$46))</f>
        <v>0</v>
      </c>
      <c r="W42" s="34">
        <f ca="1">Sites!$E$46*MAX(0,MIN(1,W$6-Sites!$F$46))</f>
        <v>0</v>
      </c>
      <c r="X42" s="34">
        <f ca="1">Sites!$E$46*MAX(0,MIN(1,X$6-Sites!$F$46))</f>
        <v>0</v>
      </c>
      <c r="Y42" s="34">
        <f ca="1">Sites!$E$46*MAX(0,MIN(1,Y$6-Sites!$F$46))</f>
        <v>0</v>
      </c>
      <c r="Z42" s="34">
        <f ca="1">Sites!$E$46*MAX(0,MIN(1,Z$6-Sites!$F$46))</f>
        <v>0</v>
      </c>
      <c r="AA42" s="34">
        <f ca="1">Sites!$E$46*MAX(0,MIN(1,AA$6-Sites!$F$46))</f>
        <v>0</v>
      </c>
      <c r="AB42" s="34">
        <f ca="1">Sites!$E$46*MAX(0,MIN(1,AB$6-Sites!$F$46))</f>
        <v>0</v>
      </c>
      <c r="AC42" s="34">
        <f ca="1">Sites!$E$46*MAX(0,MIN(1,AC$6-Sites!$F$46))</f>
        <v>0</v>
      </c>
      <c r="AD42" s="34">
        <f ca="1">Sites!$E$46*MAX(0,MIN(1,AD$6-Sites!$F$46))</f>
        <v>0</v>
      </c>
      <c r="AE42" s="34">
        <f ca="1">Sites!$E$46*MAX(0,MIN(1,AE$6-Sites!$F$46))</f>
        <v>0</v>
      </c>
      <c r="AF42" s="34">
        <f ca="1">Sites!$E$46*MAX(0,MIN(1,AF$6-Sites!$F$46))</f>
        <v>0</v>
      </c>
      <c r="AG42" s="34">
        <f ca="1">Sites!$E$46*MAX(0,MIN(1,AG$6-Sites!$F$46))</f>
        <v>0</v>
      </c>
      <c r="AH42" s="34">
        <f ca="1">Sites!$E$46*MAX(0,MIN(1,AH$6-Sites!$F$46))</f>
        <v>0</v>
      </c>
      <c r="AI42" s="34">
        <f ca="1">Sites!$E$46*MAX(0,MIN(1,AI$6-Sites!$F$46))</f>
        <v>0</v>
      </c>
      <c r="AJ42" s="34">
        <f ca="1">Sites!$E$46*MAX(0,MIN(1,AJ$6-Sites!$F$46))</f>
        <v>0</v>
      </c>
      <c r="AK42" s="34">
        <f ca="1">Sites!$E$46*MAX(0,MIN(1,AK$6-Sites!$F$46))</f>
        <v>0</v>
      </c>
      <c r="AL42" s="34">
        <f ca="1">Sites!$E$46*MAX(0,MIN(1,AL$6-Sites!$F$46))</f>
        <v>0</v>
      </c>
      <c r="AM42" s="34">
        <f ca="1">Sites!$E$46*MAX(0,MIN(1,AM$6-Sites!$F$46))</f>
        <v>0</v>
      </c>
      <c r="AN42" s="34">
        <f ca="1">Sites!$E$46*MAX(0,MIN(1,AN$6-Sites!$F$46))</f>
        <v>0</v>
      </c>
      <c r="AO42" s="34">
        <f ca="1">Sites!$E$46*MAX(0,MIN(1,AO$6-Sites!$F$46))</f>
        <v>0</v>
      </c>
      <c r="AP42" s="34">
        <f ca="1">Sites!$E$46*MAX(0,MIN(1,AP$6-Sites!$F$46))</f>
        <v>0</v>
      </c>
      <c r="AQ42" s="34">
        <f ca="1">Sites!$E$46*MAX(0,MIN(1,AQ$6-Sites!$F$46))</f>
        <v>0</v>
      </c>
      <c r="AR42" s="34">
        <f ca="1">Sites!$E$46*MAX(0,MIN(1,AR$6-Sites!$F$46))</f>
        <v>0</v>
      </c>
      <c r="AS42" s="34">
        <f ca="1">Sites!$E$46*MAX(0,MIN(1,AS$6-Sites!$F$46))</f>
        <v>0</v>
      </c>
      <c r="AT42" s="34">
        <f ca="1">Sites!$E$46*MAX(0,MIN(1,AT$6-Sites!$F$46))</f>
        <v>0</v>
      </c>
      <c r="AU42" s="34">
        <f ca="1">Sites!$E$46*MAX(0,MIN(1,AU$6-Sites!$F$46))</f>
        <v>0</v>
      </c>
      <c r="AV42" s="34">
        <f ca="1">Sites!$E$46*MAX(0,MIN(1,AV$6-Sites!$F$46))</f>
        <v>0</v>
      </c>
      <c r="AW42" s="34">
        <f ca="1">Sites!$E$46*MAX(0,MIN(1,AW$6-Sites!$F$46))</f>
        <v>0</v>
      </c>
      <c r="AX42" s="34">
        <f ca="1">Sites!$E$46*MAX(0,MIN(1,AX$6-Sites!$F$46))</f>
        <v>0</v>
      </c>
      <c r="AY42" s="34">
        <f ca="1">Sites!$E$46*MAX(0,MIN(1,AY$6-Sites!$F$46))</f>
        <v>0</v>
      </c>
      <c r="AZ42" s="34">
        <f ca="1">Sites!$E$46*MAX(0,MIN(1,AZ$6-Sites!$F$46))</f>
        <v>0</v>
      </c>
      <c r="BA42" s="34">
        <f ca="1">Sites!$E$46*MAX(0,MIN(1,BA$6-Sites!$F$46))</f>
        <v>0</v>
      </c>
    </row>
    <row r="43" spans="2:53" x14ac:dyDescent="0.45">
      <c r="B43" s="52">
        <f>Sites!$B$47</f>
        <v>26</v>
      </c>
      <c r="C43" s="26" t="s">
        <v>107</v>
      </c>
      <c r="D43" s="28"/>
      <c r="E43" s="28"/>
      <c r="F43" s="34">
        <f ca="1">Sites!$E$47*MAX(0,MIN(1,F$6-Sites!$F$47))</f>
        <v>0</v>
      </c>
      <c r="G43" s="34">
        <f ca="1">Sites!$E$47*MAX(0,MIN(1,G$6-Sites!$F$47))</f>
        <v>0</v>
      </c>
      <c r="H43" s="34">
        <f ca="1">Sites!$E$47*MAX(0,MIN(1,H$6-Sites!$F$47))</f>
        <v>0</v>
      </c>
      <c r="I43" s="34">
        <f ca="1">Sites!$E$47*MAX(0,MIN(1,I$6-Sites!$F$47))</f>
        <v>0</v>
      </c>
      <c r="J43" s="34">
        <f ca="1">Sites!$E$47*MAX(0,MIN(1,J$6-Sites!$F$47))</f>
        <v>2.7948775673196879E-2</v>
      </c>
      <c r="K43" s="34">
        <f ca="1">Sites!$E$47*MAX(0,MIN(1,K$6-Sites!$F$47))</f>
        <v>0.2778509110711731</v>
      </c>
      <c r="L43" s="34">
        <f ca="1">Sites!$E$47*MAX(0,MIN(1,L$6-Sites!$F$47))</f>
        <v>0.2778509110711731</v>
      </c>
      <c r="M43" s="34">
        <f ca="1">Sites!$E$47*MAX(0,MIN(1,M$6-Sites!$F$47))</f>
        <v>0.2778509110711731</v>
      </c>
      <c r="N43" s="34">
        <f ca="1">Sites!$E$47*MAX(0,MIN(1,N$6-Sites!$F$47))</f>
        <v>0.2778509110711731</v>
      </c>
      <c r="O43" s="34">
        <f ca="1">Sites!$E$47*MAX(0,MIN(1,O$6-Sites!$F$47))</f>
        <v>0.2778509110711731</v>
      </c>
      <c r="P43" s="34">
        <f ca="1">Sites!$E$47*MAX(0,MIN(1,P$6-Sites!$F$47))</f>
        <v>0.2778509110711731</v>
      </c>
      <c r="Q43" s="34">
        <f ca="1">Sites!$E$47*MAX(0,MIN(1,Q$6-Sites!$F$47))</f>
        <v>0.2778509110711731</v>
      </c>
      <c r="R43" s="34">
        <f ca="1">Sites!$E$47*MAX(0,MIN(1,R$6-Sites!$F$47))</f>
        <v>0.2778509110711731</v>
      </c>
      <c r="S43" s="34">
        <f ca="1">Sites!$E$47*MAX(0,MIN(1,S$6-Sites!$F$47))</f>
        <v>0.2778509110711731</v>
      </c>
      <c r="T43" s="34">
        <f ca="1">Sites!$E$47*MAX(0,MIN(1,T$6-Sites!$F$47))</f>
        <v>0.2778509110711731</v>
      </c>
      <c r="U43" s="34">
        <f ca="1">Sites!$E$47*MAX(0,MIN(1,U$6-Sites!$F$47))</f>
        <v>0.2778509110711731</v>
      </c>
      <c r="V43" s="34">
        <f ca="1">Sites!$E$47*MAX(0,MIN(1,V$6-Sites!$F$47))</f>
        <v>0.2778509110711731</v>
      </c>
      <c r="W43" s="34">
        <f ca="1">Sites!$E$47*MAX(0,MIN(1,W$6-Sites!$F$47))</f>
        <v>0.2778509110711731</v>
      </c>
      <c r="X43" s="34">
        <f ca="1">Sites!$E$47*MAX(0,MIN(1,X$6-Sites!$F$47))</f>
        <v>0.2778509110711731</v>
      </c>
      <c r="Y43" s="34">
        <f ca="1">Sites!$E$47*MAX(0,MIN(1,Y$6-Sites!$F$47))</f>
        <v>0.2778509110711731</v>
      </c>
      <c r="Z43" s="34">
        <f ca="1">Sites!$E$47*MAX(0,MIN(1,Z$6-Sites!$F$47))</f>
        <v>0.2778509110711731</v>
      </c>
      <c r="AA43" s="34">
        <f ca="1">Sites!$E$47*MAX(0,MIN(1,AA$6-Sites!$F$47))</f>
        <v>0.2778509110711731</v>
      </c>
      <c r="AB43" s="34">
        <f ca="1">Sites!$E$47*MAX(0,MIN(1,AB$6-Sites!$F$47))</f>
        <v>0.2778509110711731</v>
      </c>
      <c r="AC43" s="34">
        <f ca="1">Sites!$E$47*MAX(0,MIN(1,AC$6-Sites!$F$47))</f>
        <v>0.2778509110711731</v>
      </c>
      <c r="AD43" s="34">
        <f ca="1">Sites!$E$47*MAX(0,MIN(1,AD$6-Sites!$F$47))</f>
        <v>0.2778509110711731</v>
      </c>
      <c r="AE43" s="34">
        <f ca="1">Sites!$E$47*MAX(0,MIN(1,AE$6-Sites!$F$47))</f>
        <v>0.2778509110711731</v>
      </c>
      <c r="AF43" s="34">
        <f ca="1">Sites!$E$47*MAX(0,MIN(1,AF$6-Sites!$F$47))</f>
        <v>0.2778509110711731</v>
      </c>
      <c r="AG43" s="34">
        <f ca="1">Sites!$E$47*MAX(0,MIN(1,AG$6-Sites!$F$47))</f>
        <v>0.2778509110711731</v>
      </c>
      <c r="AH43" s="34">
        <f ca="1">Sites!$E$47*MAX(0,MIN(1,AH$6-Sites!$F$47))</f>
        <v>0.2778509110711731</v>
      </c>
      <c r="AI43" s="34">
        <f ca="1">Sites!$E$47*MAX(0,MIN(1,AI$6-Sites!$F$47))</f>
        <v>0.2778509110711731</v>
      </c>
      <c r="AJ43" s="34">
        <f ca="1">Sites!$E$47*MAX(0,MIN(1,AJ$6-Sites!$F$47))</f>
        <v>0.2778509110711731</v>
      </c>
      <c r="AK43" s="34">
        <f ca="1">Sites!$E$47*MAX(0,MIN(1,AK$6-Sites!$F$47))</f>
        <v>0.2778509110711731</v>
      </c>
      <c r="AL43" s="34">
        <f ca="1">Sites!$E$47*MAX(0,MIN(1,AL$6-Sites!$F$47))</f>
        <v>0.2778509110711731</v>
      </c>
      <c r="AM43" s="34">
        <f ca="1">Sites!$E$47*MAX(0,MIN(1,AM$6-Sites!$F$47))</f>
        <v>0.2778509110711731</v>
      </c>
      <c r="AN43" s="34">
        <f ca="1">Sites!$E$47*MAX(0,MIN(1,AN$6-Sites!$F$47))</f>
        <v>0.2778509110711731</v>
      </c>
      <c r="AO43" s="34">
        <f ca="1">Sites!$E$47*MAX(0,MIN(1,AO$6-Sites!$F$47))</f>
        <v>0.2778509110711731</v>
      </c>
      <c r="AP43" s="34">
        <f ca="1">Sites!$E$47*MAX(0,MIN(1,AP$6-Sites!$F$47))</f>
        <v>0.2778509110711731</v>
      </c>
      <c r="AQ43" s="34">
        <f ca="1">Sites!$E$47*MAX(0,MIN(1,AQ$6-Sites!$F$47))</f>
        <v>0.2778509110711731</v>
      </c>
      <c r="AR43" s="34">
        <f ca="1">Sites!$E$47*MAX(0,MIN(1,AR$6-Sites!$F$47))</f>
        <v>0.2778509110711731</v>
      </c>
      <c r="AS43" s="34">
        <f ca="1">Sites!$E$47*MAX(0,MIN(1,AS$6-Sites!$F$47))</f>
        <v>0.2778509110711731</v>
      </c>
      <c r="AT43" s="34">
        <f ca="1">Sites!$E$47*MAX(0,MIN(1,AT$6-Sites!$F$47))</f>
        <v>0.2778509110711731</v>
      </c>
      <c r="AU43" s="34">
        <f ca="1">Sites!$E$47*MAX(0,MIN(1,AU$6-Sites!$F$47))</f>
        <v>0.2778509110711731</v>
      </c>
      <c r="AV43" s="34">
        <f ca="1">Sites!$E$47*MAX(0,MIN(1,AV$6-Sites!$F$47))</f>
        <v>0.2778509110711731</v>
      </c>
      <c r="AW43" s="34">
        <f ca="1">Sites!$E$47*MAX(0,MIN(1,AW$6-Sites!$F$47))</f>
        <v>0.2778509110711731</v>
      </c>
      <c r="AX43" s="34">
        <f ca="1">Sites!$E$47*MAX(0,MIN(1,AX$6-Sites!$F$47))</f>
        <v>0.2778509110711731</v>
      </c>
      <c r="AY43" s="34">
        <f ca="1">Sites!$E$47*MAX(0,MIN(1,AY$6-Sites!$F$47))</f>
        <v>0.2778509110711731</v>
      </c>
      <c r="AZ43" s="34">
        <f ca="1">Sites!$E$47*MAX(0,MIN(1,AZ$6-Sites!$F$47))</f>
        <v>0.2778509110711731</v>
      </c>
      <c r="BA43" s="34">
        <f ca="1">Sites!$E$47*MAX(0,MIN(1,BA$6-Sites!$F$47))</f>
        <v>0.2778509110711731</v>
      </c>
    </row>
    <row r="44" spans="2:53" x14ac:dyDescent="0.45">
      <c r="B44" s="52">
        <f>Sites!$B$48</f>
        <v>27</v>
      </c>
      <c r="C44" s="26" t="s">
        <v>107</v>
      </c>
      <c r="D44" s="28"/>
      <c r="E44" s="28"/>
      <c r="F44" s="34">
        <f ca="1">Sites!$E$48*MAX(0,MIN(1,F$6-Sites!$F$48))</f>
        <v>0</v>
      </c>
      <c r="G44" s="34">
        <f ca="1">Sites!$E$48*MAX(0,MIN(1,G$6-Sites!$F$48))</f>
        <v>0</v>
      </c>
      <c r="H44" s="34">
        <f ca="1">Sites!$E$48*MAX(0,MIN(1,H$6-Sites!$F$48))</f>
        <v>0</v>
      </c>
      <c r="I44" s="34">
        <f ca="1">Sites!$E$48*MAX(0,MIN(1,I$6-Sites!$F$48))</f>
        <v>0</v>
      </c>
      <c r="J44" s="34">
        <f ca="1">Sites!$E$48*MAX(0,MIN(1,J$6-Sites!$F$48))</f>
        <v>0</v>
      </c>
      <c r="K44" s="34">
        <f ca="1">Sites!$E$48*MAX(0,MIN(1,K$6-Sites!$F$48))</f>
        <v>0</v>
      </c>
      <c r="L44" s="34">
        <f ca="1">Sites!$E$48*MAX(0,MIN(1,L$6-Sites!$F$48))</f>
        <v>0</v>
      </c>
      <c r="M44" s="34">
        <f ca="1">Sites!$E$48*MAX(0,MIN(1,M$6-Sites!$F$48))</f>
        <v>0</v>
      </c>
      <c r="N44" s="34">
        <f ca="1">Sites!$E$48*MAX(0,MIN(1,N$6-Sites!$F$48))</f>
        <v>0</v>
      </c>
      <c r="O44" s="34">
        <f ca="1">Sites!$E$48*MAX(0,MIN(1,O$6-Sites!$F$48))</f>
        <v>0</v>
      </c>
      <c r="P44" s="34">
        <f ca="1">Sites!$E$48*MAX(0,MIN(1,P$6-Sites!$F$48))</f>
        <v>0</v>
      </c>
      <c r="Q44" s="34">
        <f ca="1">Sites!$E$48*MAX(0,MIN(1,Q$6-Sites!$F$48))</f>
        <v>0</v>
      </c>
      <c r="R44" s="34">
        <f ca="1">Sites!$E$48*MAX(0,MIN(1,R$6-Sites!$F$48))</f>
        <v>0</v>
      </c>
      <c r="S44" s="34">
        <f ca="1">Sites!$E$48*MAX(0,MIN(1,S$6-Sites!$F$48))</f>
        <v>0</v>
      </c>
      <c r="T44" s="34">
        <f ca="1">Sites!$E$48*MAX(0,MIN(1,T$6-Sites!$F$48))</f>
        <v>0</v>
      </c>
      <c r="U44" s="34">
        <f ca="1">Sites!$E$48*MAX(0,MIN(1,U$6-Sites!$F$48))</f>
        <v>0</v>
      </c>
      <c r="V44" s="34">
        <f ca="1">Sites!$E$48*MAX(0,MIN(1,V$6-Sites!$F$48))</f>
        <v>0</v>
      </c>
      <c r="W44" s="34">
        <f ca="1">Sites!$E$48*MAX(0,MIN(1,W$6-Sites!$F$48))</f>
        <v>0</v>
      </c>
      <c r="X44" s="34">
        <f ca="1">Sites!$E$48*MAX(0,MIN(1,X$6-Sites!$F$48))</f>
        <v>0</v>
      </c>
      <c r="Y44" s="34">
        <f ca="1">Sites!$E$48*MAX(0,MIN(1,Y$6-Sites!$F$48))</f>
        <v>0</v>
      </c>
      <c r="Z44" s="34">
        <f ca="1">Sites!$E$48*MAX(0,MIN(1,Z$6-Sites!$F$48))</f>
        <v>0</v>
      </c>
      <c r="AA44" s="34">
        <f ca="1">Sites!$E$48*MAX(0,MIN(1,AA$6-Sites!$F$48))</f>
        <v>0</v>
      </c>
      <c r="AB44" s="34">
        <f ca="1">Sites!$E$48*MAX(0,MIN(1,AB$6-Sites!$F$48))</f>
        <v>0</v>
      </c>
      <c r="AC44" s="34">
        <f ca="1">Sites!$E$48*MAX(0,MIN(1,AC$6-Sites!$F$48))</f>
        <v>0</v>
      </c>
      <c r="AD44" s="34">
        <f ca="1">Sites!$E$48*MAX(0,MIN(1,AD$6-Sites!$F$48))</f>
        <v>0</v>
      </c>
      <c r="AE44" s="34">
        <f ca="1">Sites!$E$48*MAX(0,MIN(1,AE$6-Sites!$F$48))</f>
        <v>0</v>
      </c>
      <c r="AF44" s="34">
        <f ca="1">Sites!$E$48*MAX(0,MIN(1,AF$6-Sites!$F$48))</f>
        <v>0</v>
      </c>
      <c r="AG44" s="34">
        <f ca="1">Sites!$E$48*MAX(0,MIN(1,AG$6-Sites!$F$48))</f>
        <v>0</v>
      </c>
      <c r="AH44" s="34">
        <f ca="1">Sites!$E$48*MAX(0,MIN(1,AH$6-Sites!$F$48))</f>
        <v>0</v>
      </c>
      <c r="AI44" s="34">
        <f ca="1">Sites!$E$48*MAX(0,MIN(1,AI$6-Sites!$F$48))</f>
        <v>0</v>
      </c>
      <c r="AJ44" s="34">
        <f ca="1">Sites!$E$48*MAX(0,MIN(1,AJ$6-Sites!$F$48))</f>
        <v>0</v>
      </c>
      <c r="AK44" s="34">
        <f ca="1">Sites!$E$48*MAX(0,MIN(1,AK$6-Sites!$F$48))</f>
        <v>0</v>
      </c>
      <c r="AL44" s="34">
        <f ca="1">Sites!$E$48*MAX(0,MIN(1,AL$6-Sites!$F$48))</f>
        <v>0</v>
      </c>
      <c r="AM44" s="34">
        <f ca="1">Sites!$E$48*MAX(0,MIN(1,AM$6-Sites!$F$48))</f>
        <v>0</v>
      </c>
      <c r="AN44" s="34">
        <f ca="1">Sites!$E$48*MAX(0,MIN(1,AN$6-Sites!$F$48))</f>
        <v>0</v>
      </c>
      <c r="AO44" s="34">
        <f ca="1">Sites!$E$48*MAX(0,MIN(1,AO$6-Sites!$F$48))</f>
        <v>0</v>
      </c>
      <c r="AP44" s="34">
        <f ca="1">Sites!$E$48*MAX(0,MIN(1,AP$6-Sites!$F$48))</f>
        <v>0</v>
      </c>
      <c r="AQ44" s="34">
        <f ca="1">Sites!$E$48*MAX(0,MIN(1,AQ$6-Sites!$F$48))</f>
        <v>0</v>
      </c>
      <c r="AR44" s="34">
        <f ca="1">Sites!$E$48*MAX(0,MIN(1,AR$6-Sites!$F$48))</f>
        <v>0</v>
      </c>
      <c r="AS44" s="34">
        <f ca="1">Sites!$E$48*MAX(0,MIN(1,AS$6-Sites!$F$48))</f>
        <v>0</v>
      </c>
      <c r="AT44" s="34">
        <f ca="1">Sites!$E$48*MAX(0,MIN(1,AT$6-Sites!$F$48))</f>
        <v>0</v>
      </c>
      <c r="AU44" s="34">
        <f ca="1">Sites!$E$48*MAX(0,MIN(1,AU$6-Sites!$F$48))</f>
        <v>0</v>
      </c>
      <c r="AV44" s="34">
        <f ca="1">Sites!$E$48*MAX(0,MIN(1,AV$6-Sites!$F$48))</f>
        <v>0</v>
      </c>
      <c r="AW44" s="34">
        <f ca="1">Sites!$E$48*MAX(0,MIN(1,AW$6-Sites!$F$48))</f>
        <v>0</v>
      </c>
      <c r="AX44" s="34">
        <f ca="1">Sites!$E$48*MAX(0,MIN(1,AX$6-Sites!$F$48))</f>
        <v>0</v>
      </c>
      <c r="AY44" s="34">
        <f ca="1">Sites!$E$48*MAX(0,MIN(1,AY$6-Sites!$F$48))</f>
        <v>0</v>
      </c>
      <c r="AZ44" s="34">
        <f ca="1">Sites!$E$48*MAX(0,MIN(1,AZ$6-Sites!$F$48))</f>
        <v>0</v>
      </c>
      <c r="BA44" s="34">
        <f ca="1">Sites!$E$48*MAX(0,MIN(1,BA$6-Sites!$F$48))</f>
        <v>0</v>
      </c>
    </row>
    <row r="45" spans="2:53" x14ac:dyDescent="0.45">
      <c r="B45" s="52">
        <f>Sites!$B$49</f>
        <v>28</v>
      </c>
      <c r="C45" s="26" t="s">
        <v>107</v>
      </c>
      <c r="D45" s="28"/>
      <c r="E45" s="28"/>
      <c r="F45" s="34">
        <f ca="1">Sites!$E$49*MAX(0,MIN(1,F$6-Sites!$F$49))</f>
        <v>0</v>
      </c>
      <c r="G45" s="34">
        <f ca="1">Sites!$E$49*MAX(0,MIN(1,G$6-Sites!$F$49))</f>
        <v>0</v>
      </c>
      <c r="H45" s="34">
        <f ca="1">Sites!$E$49*MAX(0,MIN(1,H$6-Sites!$F$49))</f>
        <v>3.1794972339202421E-2</v>
      </c>
      <c r="I45" s="34">
        <f ca="1">Sites!$E$49*MAX(0,MIN(1,I$6-Sites!$F$49))</f>
        <v>0.31485433141237318</v>
      </c>
      <c r="J45" s="34">
        <f ca="1">Sites!$E$49*MAX(0,MIN(1,J$6-Sites!$F$49))</f>
        <v>0.31485433141237318</v>
      </c>
      <c r="K45" s="34">
        <f ca="1">Sites!$E$49*MAX(0,MIN(1,K$6-Sites!$F$49))</f>
        <v>0.31485433141237318</v>
      </c>
      <c r="L45" s="34">
        <f ca="1">Sites!$E$49*MAX(0,MIN(1,L$6-Sites!$F$49))</f>
        <v>0.31485433141237318</v>
      </c>
      <c r="M45" s="34">
        <f ca="1">Sites!$E$49*MAX(0,MIN(1,M$6-Sites!$F$49))</f>
        <v>0.31485433141237318</v>
      </c>
      <c r="N45" s="34">
        <f ca="1">Sites!$E$49*MAX(0,MIN(1,N$6-Sites!$F$49))</f>
        <v>0.31485433141237318</v>
      </c>
      <c r="O45" s="34">
        <f ca="1">Sites!$E$49*MAX(0,MIN(1,O$6-Sites!$F$49))</f>
        <v>0.31485433141237318</v>
      </c>
      <c r="P45" s="34">
        <f ca="1">Sites!$E$49*MAX(0,MIN(1,P$6-Sites!$F$49))</f>
        <v>0.31485433141237318</v>
      </c>
      <c r="Q45" s="34">
        <f ca="1">Sites!$E$49*MAX(0,MIN(1,Q$6-Sites!$F$49))</f>
        <v>0.31485433141237318</v>
      </c>
      <c r="R45" s="34">
        <f ca="1">Sites!$E$49*MAX(0,MIN(1,R$6-Sites!$F$49))</f>
        <v>0.31485433141237318</v>
      </c>
      <c r="S45" s="34">
        <f ca="1">Sites!$E$49*MAX(0,MIN(1,S$6-Sites!$F$49))</f>
        <v>0.31485433141237318</v>
      </c>
      <c r="T45" s="34">
        <f ca="1">Sites!$E$49*MAX(0,MIN(1,T$6-Sites!$F$49))</f>
        <v>0.31485433141237318</v>
      </c>
      <c r="U45" s="34">
        <f ca="1">Sites!$E$49*MAX(0,MIN(1,U$6-Sites!$F$49))</f>
        <v>0.31485433141237318</v>
      </c>
      <c r="V45" s="34">
        <f ca="1">Sites!$E$49*MAX(0,MIN(1,V$6-Sites!$F$49))</f>
        <v>0.31485433141237318</v>
      </c>
      <c r="W45" s="34">
        <f ca="1">Sites!$E$49*MAX(0,MIN(1,W$6-Sites!$F$49))</f>
        <v>0.31485433141237318</v>
      </c>
      <c r="X45" s="34">
        <f ca="1">Sites!$E$49*MAX(0,MIN(1,X$6-Sites!$F$49))</f>
        <v>0.31485433141237318</v>
      </c>
      <c r="Y45" s="34">
        <f ca="1">Sites!$E$49*MAX(0,MIN(1,Y$6-Sites!$F$49))</f>
        <v>0.31485433141237318</v>
      </c>
      <c r="Z45" s="34">
        <f ca="1">Sites!$E$49*MAX(0,MIN(1,Z$6-Sites!$F$49))</f>
        <v>0.31485433141237318</v>
      </c>
      <c r="AA45" s="34">
        <f ca="1">Sites!$E$49*MAX(0,MIN(1,AA$6-Sites!$F$49))</f>
        <v>0.31485433141237318</v>
      </c>
      <c r="AB45" s="34">
        <f ca="1">Sites!$E$49*MAX(0,MIN(1,AB$6-Sites!$F$49))</f>
        <v>0.31485433141237318</v>
      </c>
      <c r="AC45" s="34">
        <f ca="1">Sites!$E$49*MAX(0,MIN(1,AC$6-Sites!$F$49))</f>
        <v>0.31485433141237318</v>
      </c>
      <c r="AD45" s="34">
        <f ca="1">Sites!$E$49*MAX(0,MIN(1,AD$6-Sites!$F$49))</f>
        <v>0.31485433141237318</v>
      </c>
      <c r="AE45" s="34">
        <f ca="1">Sites!$E$49*MAX(0,MIN(1,AE$6-Sites!$F$49))</f>
        <v>0.31485433141237318</v>
      </c>
      <c r="AF45" s="34">
        <f ca="1">Sites!$E$49*MAX(0,MIN(1,AF$6-Sites!$F$49))</f>
        <v>0.31485433141237318</v>
      </c>
      <c r="AG45" s="34">
        <f ca="1">Sites!$E$49*MAX(0,MIN(1,AG$6-Sites!$F$49))</f>
        <v>0.31485433141237318</v>
      </c>
      <c r="AH45" s="34">
        <f ca="1">Sites!$E$49*MAX(0,MIN(1,AH$6-Sites!$F$49))</f>
        <v>0.31485433141237318</v>
      </c>
      <c r="AI45" s="34">
        <f ca="1">Sites!$E$49*MAX(0,MIN(1,AI$6-Sites!$F$49))</f>
        <v>0.31485433141237318</v>
      </c>
      <c r="AJ45" s="34">
        <f ca="1">Sites!$E$49*MAX(0,MIN(1,AJ$6-Sites!$F$49))</f>
        <v>0.31485433141237318</v>
      </c>
      <c r="AK45" s="34">
        <f ca="1">Sites!$E$49*MAX(0,MIN(1,AK$6-Sites!$F$49))</f>
        <v>0.31485433141237318</v>
      </c>
      <c r="AL45" s="34">
        <f ca="1">Sites!$E$49*MAX(0,MIN(1,AL$6-Sites!$F$49))</f>
        <v>0.31485433141237318</v>
      </c>
      <c r="AM45" s="34">
        <f ca="1">Sites!$E$49*MAX(0,MIN(1,AM$6-Sites!$F$49))</f>
        <v>0.31485433141237318</v>
      </c>
      <c r="AN45" s="34">
        <f ca="1">Sites!$E$49*MAX(0,MIN(1,AN$6-Sites!$F$49))</f>
        <v>0.31485433141237318</v>
      </c>
      <c r="AO45" s="34">
        <f ca="1">Sites!$E$49*MAX(0,MIN(1,AO$6-Sites!$F$49))</f>
        <v>0.31485433141237318</v>
      </c>
      <c r="AP45" s="34">
        <f ca="1">Sites!$E$49*MAX(0,MIN(1,AP$6-Sites!$F$49))</f>
        <v>0.31485433141237318</v>
      </c>
      <c r="AQ45" s="34">
        <f ca="1">Sites!$E$49*MAX(0,MIN(1,AQ$6-Sites!$F$49))</f>
        <v>0.31485433141237318</v>
      </c>
      <c r="AR45" s="34">
        <f ca="1">Sites!$E$49*MAX(0,MIN(1,AR$6-Sites!$F$49))</f>
        <v>0.31485433141237318</v>
      </c>
      <c r="AS45" s="34">
        <f ca="1">Sites!$E$49*MAX(0,MIN(1,AS$6-Sites!$F$49))</f>
        <v>0.31485433141237318</v>
      </c>
      <c r="AT45" s="34">
        <f ca="1">Sites!$E$49*MAX(0,MIN(1,AT$6-Sites!$F$49))</f>
        <v>0.31485433141237318</v>
      </c>
      <c r="AU45" s="34">
        <f ca="1">Sites!$E$49*MAX(0,MIN(1,AU$6-Sites!$F$49))</f>
        <v>0.31485433141237318</v>
      </c>
      <c r="AV45" s="34">
        <f ca="1">Sites!$E$49*MAX(0,MIN(1,AV$6-Sites!$F$49))</f>
        <v>0.31485433141237318</v>
      </c>
      <c r="AW45" s="34">
        <f ca="1">Sites!$E$49*MAX(0,MIN(1,AW$6-Sites!$F$49))</f>
        <v>0.31485433141237318</v>
      </c>
      <c r="AX45" s="34">
        <f ca="1">Sites!$E$49*MAX(0,MIN(1,AX$6-Sites!$F$49))</f>
        <v>0.31485433141237318</v>
      </c>
      <c r="AY45" s="34">
        <f ca="1">Sites!$E$49*MAX(0,MIN(1,AY$6-Sites!$F$49))</f>
        <v>0.31485433141237318</v>
      </c>
      <c r="AZ45" s="34">
        <f ca="1">Sites!$E$49*MAX(0,MIN(1,AZ$6-Sites!$F$49))</f>
        <v>0.31485433141237318</v>
      </c>
      <c r="BA45" s="34">
        <f ca="1">Sites!$E$49*MAX(0,MIN(1,BA$6-Sites!$F$49))</f>
        <v>0.31485433141237318</v>
      </c>
    </row>
    <row r="46" spans="2:53" x14ac:dyDescent="0.45">
      <c r="B46" s="52">
        <f>Sites!$B$50</f>
        <v>29</v>
      </c>
      <c r="C46" s="26" t="s">
        <v>107</v>
      </c>
      <c r="D46" s="28"/>
      <c r="E46" s="28"/>
      <c r="F46" s="34">
        <f ca="1">Sites!$E$50*MAX(0,MIN(1,F$6-Sites!$F$50))</f>
        <v>0</v>
      </c>
      <c r="G46" s="34">
        <f ca="1">Sites!$E$50*MAX(0,MIN(1,G$6-Sites!$F$50))</f>
        <v>0</v>
      </c>
      <c r="H46" s="34">
        <f ca="1">Sites!$E$50*MAX(0,MIN(1,H$6-Sites!$F$50))</f>
        <v>0</v>
      </c>
      <c r="I46" s="34">
        <f ca="1">Sites!$E$50*MAX(0,MIN(1,I$6-Sites!$F$50))</f>
        <v>0</v>
      </c>
      <c r="J46" s="34">
        <f ca="1">Sites!$E$50*MAX(0,MIN(1,J$6-Sites!$F$50))</f>
        <v>0</v>
      </c>
      <c r="K46" s="34">
        <f ca="1">Sites!$E$50*MAX(0,MIN(1,K$6-Sites!$F$50))</f>
        <v>0.12604665198712922</v>
      </c>
      <c r="L46" s="34">
        <f ca="1">Sites!$E$50*MAX(0,MIN(1,L$6-Sites!$F$50))</f>
        <v>0.28085898467418863</v>
      </c>
      <c r="M46" s="34">
        <f ca="1">Sites!$E$50*MAX(0,MIN(1,M$6-Sites!$F$50))</f>
        <v>0.28085898467418863</v>
      </c>
      <c r="N46" s="34">
        <f ca="1">Sites!$E$50*MAX(0,MIN(1,N$6-Sites!$F$50))</f>
        <v>0.28085898467418863</v>
      </c>
      <c r="O46" s="34">
        <f ca="1">Sites!$E$50*MAX(0,MIN(1,O$6-Sites!$F$50))</f>
        <v>0.28085898467418863</v>
      </c>
      <c r="P46" s="34">
        <f ca="1">Sites!$E$50*MAX(0,MIN(1,P$6-Sites!$F$50))</f>
        <v>0.28085898467418863</v>
      </c>
      <c r="Q46" s="34">
        <f ca="1">Sites!$E$50*MAX(0,MIN(1,Q$6-Sites!$F$50))</f>
        <v>0.28085898467418863</v>
      </c>
      <c r="R46" s="34">
        <f ca="1">Sites!$E$50*MAX(0,MIN(1,R$6-Sites!$F$50))</f>
        <v>0.28085898467418863</v>
      </c>
      <c r="S46" s="34">
        <f ca="1">Sites!$E$50*MAX(0,MIN(1,S$6-Sites!$F$50))</f>
        <v>0.28085898467418863</v>
      </c>
      <c r="T46" s="34">
        <f ca="1">Sites!$E$50*MAX(0,MIN(1,T$6-Sites!$F$50))</f>
        <v>0.28085898467418863</v>
      </c>
      <c r="U46" s="34">
        <f ca="1">Sites!$E$50*MAX(0,MIN(1,U$6-Sites!$F$50))</f>
        <v>0.28085898467418863</v>
      </c>
      <c r="V46" s="34">
        <f ca="1">Sites!$E$50*MAX(0,MIN(1,V$6-Sites!$F$50))</f>
        <v>0.28085898467418863</v>
      </c>
      <c r="W46" s="34">
        <f ca="1">Sites!$E$50*MAX(0,MIN(1,W$6-Sites!$F$50))</f>
        <v>0.28085898467418863</v>
      </c>
      <c r="X46" s="34">
        <f ca="1">Sites!$E$50*MAX(0,MIN(1,X$6-Sites!$F$50))</f>
        <v>0.28085898467418863</v>
      </c>
      <c r="Y46" s="34">
        <f ca="1">Sites!$E$50*MAX(0,MIN(1,Y$6-Sites!$F$50))</f>
        <v>0.28085898467418863</v>
      </c>
      <c r="Z46" s="34">
        <f ca="1">Sites!$E$50*MAX(0,MIN(1,Z$6-Sites!$F$50))</f>
        <v>0.28085898467418863</v>
      </c>
      <c r="AA46" s="34">
        <f ca="1">Sites!$E$50*MAX(0,MIN(1,AA$6-Sites!$F$50))</f>
        <v>0.28085898467418863</v>
      </c>
      <c r="AB46" s="34">
        <f ca="1">Sites!$E$50*MAX(0,MIN(1,AB$6-Sites!$F$50))</f>
        <v>0.28085898467418863</v>
      </c>
      <c r="AC46" s="34">
        <f ca="1">Sites!$E$50*MAX(0,MIN(1,AC$6-Sites!$F$50))</f>
        <v>0.28085898467418863</v>
      </c>
      <c r="AD46" s="34">
        <f ca="1">Sites!$E$50*MAX(0,MIN(1,AD$6-Sites!$F$50))</f>
        <v>0.28085898467418863</v>
      </c>
      <c r="AE46" s="34">
        <f ca="1">Sites!$E$50*MAX(0,MIN(1,AE$6-Sites!$F$50))</f>
        <v>0.28085898467418863</v>
      </c>
      <c r="AF46" s="34">
        <f ca="1">Sites!$E$50*MAX(0,MIN(1,AF$6-Sites!$F$50))</f>
        <v>0.28085898467418863</v>
      </c>
      <c r="AG46" s="34">
        <f ca="1">Sites!$E$50*MAX(0,MIN(1,AG$6-Sites!$F$50))</f>
        <v>0.28085898467418863</v>
      </c>
      <c r="AH46" s="34">
        <f ca="1">Sites!$E$50*MAX(0,MIN(1,AH$6-Sites!$F$50))</f>
        <v>0.28085898467418863</v>
      </c>
      <c r="AI46" s="34">
        <f ca="1">Sites!$E$50*MAX(0,MIN(1,AI$6-Sites!$F$50))</f>
        <v>0.28085898467418863</v>
      </c>
      <c r="AJ46" s="34">
        <f ca="1">Sites!$E$50*MAX(0,MIN(1,AJ$6-Sites!$F$50))</f>
        <v>0.28085898467418863</v>
      </c>
      <c r="AK46" s="34">
        <f ca="1">Sites!$E$50*MAX(0,MIN(1,AK$6-Sites!$F$50))</f>
        <v>0.28085898467418863</v>
      </c>
      <c r="AL46" s="34">
        <f ca="1">Sites!$E$50*MAX(0,MIN(1,AL$6-Sites!$F$50))</f>
        <v>0.28085898467418863</v>
      </c>
      <c r="AM46" s="34">
        <f ca="1">Sites!$E$50*MAX(0,MIN(1,AM$6-Sites!$F$50))</f>
        <v>0.28085898467418863</v>
      </c>
      <c r="AN46" s="34">
        <f ca="1">Sites!$E$50*MAX(0,MIN(1,AN$6-Sites!$F$50))</f>
        <v>0.28085898467418863</v>
      </c>
      <c r="AO46" s="34">
        <f ca="1">Sites!$E$50*MAX(0,MIN(1,AO$6-Sites!$F$50))</f>
        <v>0.28085898467418863</v>
      </c>
      <c r="AP46" s="34">
        <f ca="1">Sites!$E$50*MAX(0,MIN(1,AP$6-Sites!$F$50))</f>
        <v>0.28085898467418863</v>
      </c>
      <c r="AQ46" s="34">
        <f ca="1">Sites!$E$50*MAX(0,MIN(1,AQ$6-Sites!$F$50))</f>
        <v>0.28085898467418863</v>
      </c>
      <c r="AR46" s="34">
        <f ca="1">Sites!$E$50*MAX(0,MIN(1,AR$6-Sites!$F$50))</f>
        <v>0.28085898467418863</v>
      </c>
      <c r="AS46" s="34">
        <f ca="1">Sites!$E$50*MAX(0,MIN(1,AS$6-Sites!$F$50))</f>
        <v>0.28085898467418863</v>
      </c>
      <c r="AT46" s="34">
        <f ca="1">Sites!$E$50*MAX(0,MIN(1,AT$6-Sites!$F$50))</f>
        <v>0.28085898467418863</v>
      </c>
      <c r="AU46" s="34">
        <f ca="1">Sites!$E$50*MAX(0,MIN(1,AU$6-Sites!$F$50))</f>
        <v>0.28085898467418863</v>
      </c>
      <c r="AV46" s="34">
        <f ca="1">Sites!$E$50*MAX(0,MIN(1,AV$6-Sites!$F$50))</f>
        <v>0.28085898467418863</v>
      </c>
      <c r="AW46" s="34">
        <f ca="1">Sites!$E$50*MAX(0,MIN(1,AW$6-Sites!$F$50))</f>
        <v>0.28085898467418863</v>
      </c>
      <c r="AX46" s="34">
        <f ca="1">Sites!$E$50*MAX(0,MIN(1,AX$6-Sites!$F$50))</f>
        <v>0.28085898467418863</v>
      </c>
      <c r="AY46" s="34">
        <f ca="1">Sites!$E$50*MAX(0,MIN(1,AY$6-Sites!$F$50))</f>
        <v>0.28085898467418863</v>
      </c>
      <c r="AZ46" s="34">
        <f ca="1">Sites!$E$50*MAX(0,MIN(1,AZ$6-Sites!$F$50))</f>
        <v>0.28085898467418863</v>
      </c>
      <c r="BA46" s="34">
        <f ca="1">Sites!$E$50*MAX(0,MIN(1,BA$6-Sites!$F$50))</f>
        <v>0.28085898467418863</v>
      </c>
    </row>
    <row r="47" spans="2:53" x14ac:dyDescent="0.45">
      <c r="B47" s="52">
        <f>Sites!$B$51</f>
        <v>30</v>
      </c>
      <c r="C47" s="26" t="s">
        <v>107</v>
      </c>
      <c r="D47" s="28"/>
      <c r="E47" s="28"/>
      <c r="F47" s="34">
        <f ca="1">Sites!$E$51*MAX(0,MIN(1,F$6-Sites!$F$51))</f>
        <v>0</v>
      </c>
      <c r="G47" s="34">
        <f ca="1">Sites!$E$51*MAX(0,MIN(1,G$6-Sites!$F$51))</f>
        <v>0</v>
      </c>
      <c r="H47" s="34">
        <f ca="1">Sites!$E$51*MAX(0,MIN(1,H$6-Sites!$F$51))</f>
        <v>0</v>
      </c>
      <c r="I47" s="34">
        <f ca="1">Sites!$E$51*MAX(0,MIN(1,I$6-Sites!$F$51))</f>
        <v>0</v>
      </c>
      <c r="J47" s="34">
        <f ca="1">Sites!$E$51*MAX(0,MIN(1,J$6-Sites!$F$51))</f>
        <v>2.1083040085864379E-2</v>
      </c>
      <c r="K47" s="34">
        <f ca="1">Sites!$E$51*MAX(0,MIN(1,K$6-Sites!$F$51))</f>
        <v>0.20905444861062636</v>
      </c>
      <c r="L47" s="34">
        <f ca="1">Sites!$E$51*MAX(0,MIN(1,L$6-Sites!$F$51))</f>
        <v>0.20905444861062636</v>
      </c>
      <c r="M47" s="34">
        <f ca="1">Sites!$E$51*MAX(0,MIN(1,M$6-Sites!$F$51))</f>
        <v>0.20905444861062636</v>
      </c>
      <c r="N47" s="34">
        <f ca="1">Sites!$E$51*MAX(0,MIN(1,N$6-Sites!$F$51))</f>
        <v>0.20905444861062636</v>
      </c>
      <c r="O47" s="34">
        <f ca="1">Sites!$E$51*MAX(0,MIN(1,O$6-Sites!$F$51))</f>
        <v>0.20905444861062636</v>
      </c>
      <c r="P47" s="34">
        <f ca="1">Sites!$E$51*MAX(0,MIN(1,P$6-Sites!$F$51))</f>
        <v>0.20905444861062636</v>
      </c>
      <c r="Q47" s="34">
        <f ca="1">Sites!$E$51*MAX(0,MIN(1,Q$6-Sites!$F$51))</f>
        <v>0.20905444861062636</v>
      </c>
      <c r="R47" s="34">
        <f ca="1">Sites!$E$51*MAX(0,MIN(1,R$6-Sites!$F$51))</f>
        <v>0.20905444861062636</v>
      </c>
      <c r="S47" s="34">
        <f ca="1">Sites!$E$51*MAX(0,MIN(1,S$6-Sites!$F$51))</f>
        <v>0.20905444861062636</v>
      </c>
      <c r="T47" s="34">
        <f ca="1">Sites!$E$51*MAX(0,MIN(1,T$6-Sites!$F$51))</f>
        <v>0.20905444861062636</v>
      </c>
      <c r="U47" s="34">
        <f ca="1">Sites!$E$51*MAX(0,MIN(1,U$6-Sites!$F$51))</f>
        <v>0.20905444861062636</v>
      </c>
      <c r="V47" s="34">
        <f ca="1">Sites!$E$51*MAX(0,MIN(1,V$6-Sites!$F$51))</f>
        <v>0.20905444861062636</v>
      </c>
      <c r="W47" s="34">
        <f ca="1">Sites!$E$51*MAX(0,MIN(1,W$6-Sites!$F$51))</f>
        <v>0.20905444861062636</v>
      </c>
      <c r="X47" s="34">
        <f ca="1">Sites!$E$51*MAX(0,MIN(1,X$6-Sites!$F$51))</f>
        <v>0.20905444861062636</v>
      </c>
      <c r="Y47" s="34">
        <f ca="1">Sites!$E$51*MAX(0,MIN(1,Y$6-Sites!$F$51))</f>
        <v>0.20905444861062636</v>
      </c>
      <c r="Z47" s="34">
        <f ca="1">Sites!$E$51*MAX(0,MIN(1,Z$6-Sites!$F$51))</f>
        <v>0.20905444861062636</v>
      </c>
      <c r="AA47" s="34">
        <f ca="1">Sites!$E$51*MAX(0,MIN(1,AA$6-Sites!$F$51))</f>
        <v>0.20905444861062636</v>
      </c>
      <c r="AB47" s="34">
        <f ca="1">Sites!$E$51*MAX(0,MIN(1,AB$6-Sites!$F$51))</f>
        <v>0.20905444861062636</v>
      </c>
      <c r="AC47" s="34">
        <f ca="1">Sites!$E$51*MAX(0,MIN(1,AC$6-Sites!$F$51))</f>
        <v>0.20905444861062636</v>
      </c>
      <c r="AD47" s="34">
        <f ca="1">Sites!$E$51*MAX(0,MIN(1,AD$6-Sites!$F$51))</f>
        <v>0.20905444861062636</v>
      </c>
      <c r="AE47" s="34">
        <f ca="1">Sites!$E$51*MAX(0,MIN(1,AE$6-Sites!$F$51))</f>
        <v>0.20905444861062636</v>
      </c>
      <c r="AF47" s="34">
        <f ca="1">Sites!$E$51*MAX(0,MIN(1,AF$6-Sites!$F$51))</f>
        <v>0.20905444861062636</v>
      </c>
      <c r="AG47" s="34">
        <f ca="1">Sites!$E$51*MAX(0,MIN(1,AG$6-Sites!$F$51))</f>
        <v>0.20905444861062636</v>
      </c>
      <c r="AH47" s="34">
        <f ca="1">Sites!$E$51*MAX(0,MIN(1,AH$6-Sites!$F$51))</f>
        <v>0.20905444861062636</v>
      </c>
      <c r="AI47" s="34">
        <f ca="1">Sites!$E$51*MAX(0,MIN(1,AI$6-Sites!$F$51))</f>
        <v>0.20905444861062636</v>
      </c>
      <c r="AJ47" s="34">
        <f ca="1">Sites!$E$51*MAX(0,MIN(1,AJ$6-Sites!$F$51))</f>
        <v>0.20905444861062636</v>
      </c>
      <c r="AK47" s="34">
        <f ca="1">Sites!$E$51*MAX(0,MIN(1,AK$6-Sites!$F$51))</f>
        <v>0.20905444861062636</v>
      </c>
      <c r="AL47" s="34">
        <f ca="1">Sites!$E$51*MAX(0,MIN(1,AL$6-Sites!$F$51))</f>
        <v>0.20905444861062636</v>
      </c>
      <c r="AM47" s="34">
        <f ca="1">Sites!$E$51*MAX(0,MIN(1,AM$6-Sites!$F$51))</f>
        <v>0.20905444861062636</v>
      </c>
      <c r="AN47" s="34">
        <f ca="1">Sites!$E$51*MAX(0,MIN(1,AN$6-Sites!$F$51))</f>
        <v>0.20905444861062636</v>
      </c>
      <c r="AO47" s="34">
        <f ca="1">Sites!$E$51*MAX(0,MIN(1,AO$6-Sites!$F$51))</f>
        <v>0.20905444861062636</v>
      </c>
      <c r="AP47" s="34">
        <f ca="1">Sites!$E$51*MAX(0,MIN(1,AP$6-Sites!$F$51))</f>
        <v>0.20905444861062636</v>
      </c>
      <c r="AQ47" s="34">
        <f ca="1">Sites!$E$51*MAX(0,MIN(1,AQ$6-Sites!$F$51))</f>
        <v>0.20905444861062636</v>
      </c>
      <c r="AR47" s="34">
        <f ca="1">Sites!$E$51*MAX(0,MIN(1,AR$6-Sites!$F$51))</f>
        <v>0.20905444861062636</v>
      </c>
      <c r="AS47" s="34">
        <f ca="1">Sites!$E$51*MAX(0,MIN(1,AS$6-Sites!$F$51))</f>
        <v>0.20905444861062636</v>
      </c>
      <c r="AT47" s="34">
        <f ca="1">Sites!$E$51*MAX(0,MIN(1,AT$6-Sites!$F$51))</f>
        <v>0.20905444861062636</v>
      </c>
      <c r="AU47" s="34">
        <f ca="1">Sites!$E$51*MAX(0,MIN(1,AU$6-Sites!$F$51))</f>
        <v>0.20905444861062636</v>
      </c>
      <c r="AV47" s="34">
        <f ca="1">Sites!$E$51*MAX(0,MIN(1,AV$6-Sites!$F$51))</f>
        <v>0.20905444861062636</v>
      </c>
      <c r="AW47" s="34">
        <f ca="1">Sites!$E$51*MAX(0,MIN(1,AW$6-Sites!$F$51))</f>
        <v>0.20905444861062636</v>
      </c>
      <c r="AX47" s="34">
        <f ca="1">Sites!$E$51*MAX(0,MIN(1,AX$6-Sites!$F$51))</f>
        <v>0.20905444861062636</v>
      </c>
      <c r="AY47" s="34">
        <f ca="1">Sites!$E$51*MAX(0,MIN(1,AY$6-Sites!$F$51))</f>
        <v>0.20905444861062636</v>
      </c>
      <c r="AZ47" s="34">
        <f ca="1">Sites!$E$51*MAX(0,MIN(1,AZ$6-Sites!$F$51))</f>
        <v>0.20905444861062636</v>
      </c>
      <c r="BA47" s="34">
        <f ca="1">Sites!$E$51*MAX(0,MIN(1,BA$6-Sites!$F$51))</f>
        <v>0.20905444861062636</v>
      </c>
    </row>
    <row r="48" spans="2:53" x14ac:dyDescent="0.45">
      <c r="B48" s="52">
        <f>Sites!$B$52</f>
        <v>31</v>
      </c>
      <c r="C48" s="26" t="s">
        <v>107</v>
      </c>
      <c r="D48" s="28"/>
      <c r="E48" s="28"/>
      <c r="F48" s="34">
        <f ca="1">Sites!$E$52*MAX(0,MIN(1,F$6-Sites!$F$52))</f>
        <v>0</v>
      </c>
      <c r="G48" s="34">
        <f ca="1">Sites!$E$52*MAX(0,MIN(1,G$6-Sites!$F$52))</f>
        <v>0</v>
      </c>
      <c r="H48" s="34">
        <f ca="1">Sites!$E$52*MAX(0,MIN(1,H$6-Sites!$F$52))</f>
        <v>3.4585349187992831E-2</v>
      </c>
      <c r="I48" s="34">
        <f ca="1">Sites!$E$52*MAX(0,MIN(1,I$6-Sites!$F$52))</f>
        <v>0.10500678646095377</v>
      </c>
      <c r="J48" s="34">
        <f ca="1">Sites!$E$52*MAX(0,MIN(1,J$6-Sites!$F$52))</f>
        <v>0.10500678646095377</v>
      </c>
      <c r="K48" s="34">
        <f ca="1">Sites!$E$52*MAX(0,MIN(1,K$6-Sites!$F$52))</f>
        <v>0.10500678646095377</v>
      </c>
      <c r="L48" s="34">
        <f ca="1">Sites!$E$52*MAX(0,MIN(1,L$6-Sites!$F$52))</f>
        <v>0.10500678646095377</v>
      </c>
      <c r="M48" s="34">
        <f ca="1">Sites!$E$52*MAX(0,MIN(1,M$6-Sites!$F$52))</f>
        <v>0.10500678646095377</v>
      </c>
      <c r="N48" s="34">
        <f ca="1">Sites!$E$52*MAX(0,MIN(1,N$6-Sites!$F$52))</f>
        <v>0.10500678646095377</v>
      </c>
      <c r="O48" s="34">
        <f ca="1">Sites!$E$52*MAX(0,MIN(1,O$6-Sites!$F$52))</f>
        <v>0.10500678646095377</v>
      </c>
      <c r="P48" s="34">
        <f ca="1">Sites!$E$52*MAX(0,MIN(1,P$6-Sites!$F$52))</f>
        <v>0.10500678646095377</v>
      </c>
      <c r="Q48" s="34">
        <f ca="1">Sites!$E$52*MAX(0,MIN(1,Q$6-Sites!$F$52))</f>
        <v>0.10500678646095377</v>
      </c>
      <c r="R48" s="34">
        <f ca="1">Sites!$E$52*MAX(0,MIN(1,R$6-Sites!$F$52))</f>
        <v>0.10500678646095377</v>
      </c>
      <c r="S48" s="34">
        <f ca="1">Sites!$E$52*MAX(0,MIN(1,S$6-Sites!$F$52))</f>
        <v>0.10500678646095377</v>
      </c>
      <c r="T48" s="34">
        <f ca="1">Sites!$E$52*MAX(0,MIN(1,T$6-Sites!$F$52))</f>
        <v>0.10500678646095377</v>
      </c>
      <c r="U48" s="34">
        <f ca="1">Sites!$E$52*MAX(0,MIN(1,U$6-Sites!$F$52))</f>
        <v>0.10500678646095377</v>
      </c>
      <c r="V48" s="34">
        <f ca="1">Sites!$E$52*MAX(0,MIN(1,V$6-Sites!$F$52))</f>
        <v>0.10500678646095377</v>
      </c>
      <c r="W48" s="34">
        <f ca="1">Sites!$E$52*MAX(0,MIN(1,W$6-Sites!$F$52))</f>
        <v>0.10500678646095377</v>
      </c>
      <c r="X48" s="34">
        <f ca="1">Sites!$E$52*MAX(0,MIN(1,X$6-Sites!$F$52))</f>
        <v>0.10500678646095377</v>
      </c>
      <c r="Y48" s="34">
        <f ca="1">Sites!$E$52*MAX(0,MIN(1,Y$6-Sites!$F$52))</f>
        <v>0.10500678646095377</v>
      </c>
      <c r="Z48" s="34">
        <f ca="1">Sites!$E$52*MAX(0,MIN(1,Z$6-Sites!$F$52))</f>
        <v>0.10500678646095377</v>
      </c>
      <c r="AA48" s="34">
        <f ca="1">Sites!$E$52*MAX(0,MIN(1,AA$6-Sites!$F$52))</f>
        <v>0.10500678646095377</v>
      </c>
      <c r="AB48" s="34">
        <f ca="1">Sites!$E$52*MAX(0,MIN(1,AB$6-Sites!$F$52))</f>
        <v>0.10500678646095377</v>
      </c>
      <c r="AC48" s="34">
        <f ca="1">Sites!$E$52*MAX(0,MIN(1,AC$6-Sites!$F$52))</f>
        <v>0.10500678646095377</v>
      </c>
      <c r="AD48" s="34">
        <f ca="1">Sites!$E$52*MAX(0,MIN(1,AD$6-Sites!$F$52))</f>
        <v>0.10500678646095377</v>
      </c>
      <c r="AE48" s="34">
        <f ca="1">Sites!$E$52*MAX(0,MIN(1,AE$6-Sites!$F$52))</f>
        <v>0.10500678646095377</v>
      </c>
      <c r="AF48" s="34">
        <f ca="1">Sites!$E$52*MAX(0,MIN(1,AF$6-Sites!$F$52))</f>
        <v>0.10500678646095377</v>
      </c>
      <c r="AG48" s="34">
        <f ca="1">Sites!$E$52*MAX(0,MIN(1,AG$6-Sites!$F$52))</f>
        <v>0.10500678646095377</v>
      </c>
      <c r="AH48" s="34">
        <f ca="1">Sites!$E$52*MAX(0,MIN(1,AH$6-Sites!$F$52))</f>
        <v>0.10500678646095377</v>
      </c>
      <c r="AI48" s="34">
        <f ca="1">Sites!$E$52*MAX(0,MIN(1,AI$6-Sites!$F$52))</f>
        <v>0.10500678646095377</v>
      </c>
      <c r="AJ48" s="34">
        <f ca="1">Sites!$E$52*MAX(0,MIN(1,AJ$6-Sites!$F$52))</f>
        <v>0.10500678646095377</v>
      </c>
      <c r="AK48" s="34">
        <f ca="1">Sites!$E$52*MAX(0,MIN(1,AK$6-Sites!$F$52))</f>
        <v>0.10500678646095377</v>
      </c>
      <c r="AL48" s="34">
        <f ca="1">Sites!$E$52*MAX(0,MIN(1,AL$6-Sites!$F$52))</f>
        <v>0.10500678646095377</v>
      </c>
      <c r="AM48" s="34">
        <f ca="1">Sites!$E$52*MAX(0,MIN(1,AM$6-Sites!$F$52))</f>
        <v>0.10500678646095377</v>
      </c>
      <c r="AN48" s="34">
        <f ca="1">Sites!$E$52*MAX(0,MIN(1,AN$6-Sites!$F$52))</f>
        <v>0.10500678646095377</v>
      </c>
      <c r="AO48" s="34">
        <f ca="1">Sites!$E$52*MAX(0,MIN(1,AO$6-Sites!$F$52))</f>
        <v>0.10500678646095377</v>
      </c>
      <c r="AP48" s="34">
        <f ca="1">Sites!$E$52*MAX(0,MIN(1,AP$6-Sites!$F$52))</f>
        <v>0.10500678646095377</v>
      </c>
      <c r="AQ48" s="34">
        <f ca="1">Sites!$E$52*MAX(0,MIN(1,AQ$6-Sites!$F$52))</f>
        <v>0.10500678646095377</v>
      </c>
      <c r="AR48" s="34">
        <f ca="1">Sites!$E$52*MAX(0,MIN(1,AR$6-Sites!$F$52))</f>
        <v>0.10500678646095377</v>
      </c>
      <c r="AS48" s="34">
        <f ca="1">Sites!$E$52*MAX(0,MIN(1,AS$6-Sites!$F$52))</f>
        <v>0.10500678646095377</v>
      </c>
      <c r="AT48" s="34">
        <f ca="1">Sites!$E$52*MAX(0,MIN(1,AT$6-Sites!$F$52))</f>
        <v>0.10500678646095377</v>
      </c>
      <c r="AU48" s="34">
        <f ca="1">Sites!$E$52*MAX(0,MIN(1,AU$6-Sites!$F$52))</f>
        <v>0.10500678646095377</v>
      </c>
      <c r="AV48" s="34">
        <f ca="1">Sites!$E$52*MAX(0,MIN(1,AV$6-Sites!$F$52))</f>
        <v>0.10500678646095377</v>
      </c>
      <c r="AW48" s="34">
        <f ca="1">Sites!$E$52*MAX(0,MIN(1,AW$6-Sites!$F$52))</f>
        <v>0.10500678646095377</v>
      </c>
      <c r="AX48" s="34">
        <f ca="1">Sites!$E$52*MAX(0,MIN(1,AX$6-Sites!$F$52))</f>
        <v>0.10500678646095377</v>
      </c>
      <c r="AY48" s="34">
        <f ca="1">Sites!$E$52*MAX(0,MIN(1,AY$6-Sites!$F$52))</f>
        <v>0.10500678646095377</v>
      </c>
      <c r="AZ48" s="34">
        <f ca="1">Sites!$E$52*MAX(0,MIN(1,AZ$6-Sites!$F$52))</f>
        <v>0.10500678646095377</v>
      </c>
      <c r="BA48" s="34">
        <f ca="1">Sites!$E$52*MAX(0,MIN(1,BA$6-Sites!$F$52))</f>
        <v>0.10500678646095377</v>
      </c>
    </row>
    <row r="49" spans="2:53" x14ac:dyDescent="0.45">
      <c r="B49" s="52">
        <f>Sites!$B$53</f>
        <v>32</v>
      </c>
      <c r="C49" s="26" t="s">
        <v>107</v>
      </c>
      <c r="D49" s="28"/>
      <c r="E49" s="28"/>
      <c r="F49" s="34">
        <f ca="1">Sites!$E$53*MAX(0,MIN(1,F$6-Sites!$F$53))</f>
        <v>0</v>
      </c>
      <c r="G49" s="34">
        <f ca="1">Sites!$E$53*MAX(0,MIN(1,G$6-Sites!$F$53))</f>
        <v>0</v>
      </c>
      <c r="H49" s="34">
        <f ca="1">Sites!$E$53*MAX(0,MIN(1,H$6-Sites!$F$53))</f>
        <v>0</v>
      </c>
      <c r="I49" s="34">
        <f ca="1">Sites!$E$53*MAX(0,MIN(1,I$6-Sites!$F$53))</f>
        <v>0</v>
      </c>
      <c r="J49" s="34">
        <f ca="1">Sites!$E$53*MAX(0,MIN(1,J$6-Sites!$F$53))</f>
        <v>0.36817258645789425</v>
      </c>
      <c r="K49" s="34">
        <f ca="1">Sites!$E$53*MAX(0,MIN(1,K$6-Sites!$F$53))</f>
        <v>0.84528049355162727</v>
      </c>
      <c r="L49" s="34">
        <f ca="1">Sites!$E$53*MAX(0,MIN(1,L$6-Sites!$F$53))</f>
        <v>0.84528049355162727</v>
      </c>
      <c r="M49" s="34">
        <f ca="1">Sites!$E$53*MAX(0,MIN(1,M$6-Sites!$F$53))</f>
        <v>0.84528049355162727</v>
      </c>
      <c r="N49" s="34">
        <f ca="1">Sites!$E$53*MAX(0,MIN(1,N$6-Sites!$F$53))</f>
        <v>0.84528049355162727</v>
      </c>
      <c r="O49" s="34">
        <f ca="1">Sites!$E$53*MAX(0,MIN(1,O$6-Sites!$F$53))</f>
        <v>0.84528049355162727</v>
      </c>
      <c r="P49" s="34">
        <f ca="1">Sites!$E$53*MAX(0,MIN(1,P$6-Sites!$F$53))</f>
        <v>0.84528049355162727</v>
      </c>
      <c r="Q49" s="34">
        <f ca="1">Sites!$E$53*MAX(0,MIN(1,Q$6-Sites!$F$53))</f>
        <v>0.84528049355162727</v>
      </c>
      <c r="R49" s="34">
        <f ca="1">Sites!$E$53*MAX(0,MIN(1,R$6-Sites!$F$53))</f>
        <v>0.84528049355162727</v>
      </c>
      <c r="S49" s="34">
        <f ca="1">Sites!$E$53*MAX(0,MIN(1,S$6-Sites!$F$53))</f>
        <v>0.84528049355162727</v>
      </c>
      <c r="T49" s="34">
        <f ca="1">Sites!$E$53*MAX(0,MIN(1,T$6-Sites!$F$53))</f>
        <v>0.84528049355162727</v>
      </c>
      <c r="U49" s="34">
        <f ca="1">Sites!$E$53*MAX(0,MIN(1,U$6-Sites!$F$53))</f>
        <v>0.84528049355162727</v>
      </c>
      <c r="V49" s="34">
        <f ca="1">Sites!$E$53*MAX(0,MIN(1,V$6-Sites!$F$53))</f>
        <v>0.84528049355162727</v>
      </c>
      <c r="W49" s="34">
        <f ca="1">Sites!$E$53*MAX(0,MIN(1,W$6-Sites!$F$53))</f>
        <v>0.84528049355162727</v>
      </c>
      <c r="X49" s="34">
        <f ca="1">Sites!$E$53*MAX(0,MIN(1,X$6-Sites!$F$53))</f>
        <v>0.84528049355162727</v>
      </c>
      <c r="Y49" s="34">
        <f ca="1">Sites!$E$53*MAX(0,MIN(1,Y$6-Sites!$F$53))</f>
        <v>0.84528049355162727</v>
      </c>
      <c r="Z49" s="34">
        <f ca="1">Sites!$E$53*MAX(0,MIN(1,Z$6-Sites!$F$53))</f>
        <v>0.84528049355162727</v>
      </c>
      <c r="AA49" s="34">
        <f ca="1">Sites!$E$53*MAX(0,MIN(1,AA$6-Sites!$F$53))</f>
        <v>0.84528049355162727</v>
      </c>
      <c r="AB49" s="34">
        <f ca="1">Sites!$E$53*MAX(0,MIN(1,AB$6-Sites!$F$53))</f>
        <v>0.84528049355162727</v>
      </c>
      <c r="AC49" s="34">
        <f ca="1">Sites!$E$53*MAX(0,MIN(1,AC$6-Sites!$F$53))</f>
        <v>0.84528049355162727</v>
      </c>
      <c r="AD49" s="34">
        <f ca="1">Sites!$E$53*MAX(0,MIN(1,AD$6-Sites!$F$53))</f>
        <v>0.84528049355162727</v>
      </c>
      <c r="AE49" s="34">
        <f ca="1">Sites!$E$53*MAX(0,MIN(1,AE$6-Sites!$F$53))</f>
        <v>0.84528049355162727</v>
      </c>
      <c r="AF49" s="34">
        <f ca="1">Sites!$E$53*MAX(0,MIN(1,AF$6-Sites!$F$53))</f>
        <v>0.84528049355162727</v>
      </c>
      <c r="AG49" s="34">
        <f ca="1">Sites!$E$53*MAX(0,MIN(1,AG$6-Sites!$F$53))</f>
        <v>0.84528049355162727</v>
      </c>
      <c r="AH49" s="34">
        <f ca="1">Sites!$E$53*MAX(0,MIN(1,AH$6-Sites!$F$53))</f>
        <v>0.84528049355162727</v>
      </c>
      <c r="AI49" s="34">
        <f ca="1">Sites!$E$53*MAX(0,MIN(1,AI$6-Sites!$F$53))</f>
        <v>0.84528049355162727</v>
      </c>
      <c r="AJ49" s="34">
        <f ca="1">Sites!$E$53*MAX(0,MIN(1,AJ$6-Sites!$F$53))</f>
        <v>0.84528049355162727</v>
      </c>
      <c r="AK49" s="34">
        <f ca="1">Sites!$E$53*MAX(0,MIN(1,AK$6-Sites!$F$53))</f>
        <v>0.84528049355162727</v>
      </c>
      <c r="AL49" s="34">
        <f ca="1">Sites!$E$53*MAX(0,MIN(1,AL$6-Sites!$F$53))</f>
        <v>0.84528049355162727</v>
      </c>
      <c r="AM49" s="34">
        <f ca="1">Sites!$E$53*MAX(0,MIN(1,AM$6-Sites!$F$53))</f>
        <v>0.84528049355162727</v>
      </c>
      <c r="AN49" s="34">
        <f ca="1">Sites!$E$53*MAX(0,MIN(1,AN$6-Sites!$F$53))</f>
        <v>0.84528049355162727</v>
      </c>
      <c r="AO49" s="34">
        <f ca="1">Sites!$E$53*MAX(0,MIN(1,AO$6-Sites!$F$53))</f>
        <v>0.84528049355162727</v>
      </c>
      <c r="AP49" s="34">
        <f ca="1">Sites!$E$53*MAX(0,MIN(1,AP$6-Sites!$F$53))</f>
        <v>0.84528049355162727</v>
      </c>
      <c r="AQ49" s="34">
        <f ca="1">Sites!$E$53*MAX(0,MIN(1,AQ$6-Sites!$F$53))</f>
        <v>0.84528049355162727</v>
      </c>
      <c r="AR49" s="34">
        <f ca="1">Sites!$E$53*MAX(0,MIN(1,AR$6-Sites!$F$53))</f>
        <v>0.84528049355162727</v>
      </c>
      <c r="AS49" s="34">
        <f ca="1">Sites!$E$53*MAX(0,MIN(1,AS$6-Sites!$F$53))</f>
        <v>0.84528049355162727</v>
      </c>
      <c r="AT49" s="34">
        <f ca="1">Sites!$E$53*MAX(0,MIN(1,AT$6-Sites!$F$53))</f>
        <v>0.84528049355162727</v>
      </c>
      <c r="AU49" s="34">
        <f ca="1">Sites!$E$53*MAX(0,MIN(1,AU$6-Sites!$F$53))</f>
        <v>0.84528049355162727</v>
      </c>
      <c r="AV49" s="34">
        <f ca="1">Sites!$E$53*MAX(0,MIN(1,AV$6-Sites!$F$53))</f>
        <v>0.84528049355162727</v>
      </c>
      <c r="AW49" s="34">
        <f ca="1">Sites!$E$53*MAX(0,MIN(1,AW$6-Sites!$F$53))</f>
        <v>0.84528049355162727</v>
      </c>
      <c r="AX49" s="34">
        <f ca="1">Sites!$E$53*MAX(0,MIN(1,AX$6-Sites!$F$53))</f>
        <v>0.84528049355162727</v>
      </c>
      <c r="AY49" s="34">
        <f ca="1">Sites!$E$53*MAX(0,MIN(1,AY$6-Sites!$F$53))</f>
        <v>0.84528049355162727</v>
      </c>
      <c r="AZ49" s="34">
        <f ca="1">Sites!$E$53*MAX(0,MIN(1,AZ$6-Sites!$F$53))</f>
        <v>0.84528049355162727</v>
      </c>
      <c r="BA49" s="34">
        <f ca="1">Sites!$E$53*MAX(0,MIN(1,BA$6-Sites!$F$53))</f>
        <v>0.84528049355162727</v>
      </c>
    </row>
    <row r="50" spans="2:53" x14ac:dyDescent="0.45">
      <c r="B50" s="52">
        <f>Sites!$B$54</f>
        <v>33</v>
      </c>
      <c r="C50" s="26" t="s">
        <v>107</v>
      </c>
      <c r="D50" s="28"/>
      <c r="E50" s="28"/>
      <c r="F50" s="34">
        <f ca="1">Sites!$E$54*MAX(0,MIN(1,F$6-Sites!$F$54))</f>
        <v>0</v>
      </c>
      <c r="G50" s="34">
        <f ca="1">Sites!$E$54*MAX(0,MIN(1,G$6-Sites!$F$54))</f>
        <v>0</v>
      </c>
      <c r="H50" s="34">
        <f ca="1">Sites!$E$54*MAX(0,MIN(1,H$6-Sites!$F$54))</f>
        <v>0.19009461693684987</v>
      </c>
      <c r="I50" s="34">
        <f ca="1">Sites!$E$54*MAX(0,MIN(1,I$6-Sites!$F$54))</f>
        <v>0.44989514290679472</v>
      </c>
      <c r="J50" s="34">
        <f ca="1">Sites!$E$54*MAX(0,MIN(1,J$6-Sites!$F$54))</f>
        <v>0.44989514290679472</v>
      </c>
      <c r="K50" s="34">
        <f ca="1">Sites!$E$54*MAX(0,MIN(1,K$6-Sites!$F$54))</f>
        <v>0.44989514290679472</v>
      </c>
      <c r="L50" s="34">
        <f ca="1">Sites!$E$54*MAX(0,MIN(1,L$6-Sites!$F$54))</f>
        <v>0.44989514290679472</v>
      </c>
      <c r="M50" s="34">
        <f ca="1">Sites!$E$54*MAX(0,MIN(1,M$6-Sites!$F$54))</f>
        <v>0.44989514290679472</v>
      </c>
      <c r="N50" s="34">
        <f ca="1">Sites!$E$54*MAX(0,MIN(1,N$6-Sites!$F$54))</f>
        <v>0.44989514290679472</v>
      </c>
      <c r="O50" s="34">
        <f ca="1">Sites!$E$54*MAX(0,MIN(1,O$6-Sites!$F$54))</f>
        <v>0.44989514290679472</v>
      </c>
      <c r="P50" s="34">
        <f ca="1">Sites!$E$54*MAX(0,MIN(1,P$6-Sites!$F$54))</f>
        <v>0.44989514290679472</v>
      </c>
      <c r="Q50" s="34">
        <f ca="1">Sites!$E$54*MAX(0,MIN(1,Q$6-Sites!$F$54))</f>
        <v>0.44989514290679472</v>
      </c>
      <c r="R50" s="34">
        <f ca="1">Sites!$E$54*MAX(0,MIN(1,R$6-Sites!$F$54))</f>
        <v>0.44989514290679472</v>
      </c>
      <c r="S50" s="34">
        <f ca="1">Sites!$E$54*MAX(0,MIN(1,S$6-Sites!$F$54))</f>
        <v>0.44989514290679472</v>
      </c>
      <c r="T50" s="34">
        <f ca="1">Sites!$E$54*MAX(0,MIN(1,T$6-Sites!$F$54))</f>
        <v>0.44989514290679472</v>
      </c>
      <c r="U50" s="34">
        <f ca="1">Sites!$E$54*MAX(0,MIN(1,U$6-Sites!$F$54))</f>
        <v>0.44989514290679472</v>
      </c>
      <c r="V50" s="34">
        <f ca="1">Sites!$E$54*MAX(0,MIN(1,V$6-Sites!$F$54))</f>
        <v>0.44989514290679472</v>
      </c>
      <c r="W50" s="34">
        <f ca="1">Sites!$E$54*MAX(0,MIN(1,W$6-Sites!$F$54))</f>
        <v>0.44989514290679472</v>
      </c>
      <c r="X50" s="34">
        <f ca="1">Sites!$E$54*MAX(0,MIN(1,X$6-Sites!$F$54))</f>
        <v>0.44989514290679472</v>
      </c>
      <c r="Y50" s="34">
        <f ca="1">Sites!$E$54*MAX(0,MIN(1,Y$6-Sites!$F$54))</f>
        <v>0.44989514290679472</v>
      </c>
      <c r="Z50" s="34">
        <f ca="1">Sites!$E$54*MAX(0,MIN(1,Z$6-Sites!$F$54))</f>
        <v>0.44989514290679472</v>
      </c>
      <c r="AA50" s="34">
        <f ca="1">Sites!$E$54*MAX(0,MIN(1,AA$6-Sites!$F$54))</f>
        <v>0.44989514290679472</v>
      </c>
      <c r="AB50" s="34">
        <f ca="1">Sites!$E$54*MAX(0,MIN(1,AB$6-Sites!$F$54))</f>
        <v>0.44989514290679472</v>
      </c>
      <c r="AC50" s="34">
        <f ca="1">Sites!$E$54*MAX(0,MIN(1,AC$6-Sites!$F$54))</f>
        <v>0.44989514290679472</v>
      </c>
      <c r="AD50" s="34">
        <f ca="1">Sites!$E$54*MAX(0,MIN(1,AD$6-Sites!$F$54))</f>
        <v>0.44989514290679472</v>
      </c>
      <c r="AE50" s="34">
        <f ca="1">Sites!$E$54*MAX(0,MIN(1,AE$6-Sites!$F$54))</f>
        <v>0.44989514290679472</v>
      </c>
      <c r="AF50" s="34">
        <f ca="1">Sites!$E$54*MAX(0,MIN(1,AF$6-Sites!$F$54))</f>
        <v>0.44989514290679472</v>
      </c>
      <c r="AG50" s="34">
        <f ca="1">Sites!$E$54*MAX(0,MIN(1,AG$6-Sites!$F$54))</f>
        <v>0.44989514290679472</v>
      </c>
      <c r="AH50" s="34">
        <f ca="1">Sites!$E$54*MAX(0,MIN(1,AH$6-Sites!$F$54))</f>
        <v>0.44989514290679472</v>
      </c>
      <c r="AI50" s="34">
        <f ca="1">Sites!$E$54*MAX(0,MIN(1,AI$6-Sites!$F$54))</f>
        <v>0.44989514290679472</v>
      </c>
      <c r="AJ50" s="34">
        <f ca="1">Sites!$E$54*MAX(0,MIN(1,AJ$6-Sites!$F$54))</f>
        <v>0.44989514290679472</v>
      </c>
      <c r="AK50" s="34">
        <f ca="1">Sites!$E$54*MAX(0,MIN(1,AK$6-Sites!$F$54))</f>
        <v>0.44989514290679472</v>
      </c>
      <c r="AL50" s="34">
        <f ca="1">Sites!$E$54*MAX(0,MIN(1,AL$6-Sites!$F$54))</f>
        <v>0.44989514290679472</v>
      </c>
      <c r="AM50" s="34">
        <f ca="1">Sites!$E$54*MAX(0,MIN(1,AM$6-Sites!$F$54))</f>
        <v>0.44989514290679472</v>
      </c>
      <c r="AN50" s="34">
        <f ca="1">Sites!$E$54*MAX(0,MIN(1,AN$6-Sites!$F$54))</f>
        <v>0.44989514290679472</v>
      </c>
      <c r="AO50" s="34">
        <f ca="1">Sites!$E$54*MAX(0,MIN(1,AO$6-Sites!$F$54))</f>
        <v>0.44989514290679472</v>
      </c>
      <c r="AP50" s="34">
        <f ca="1">Sites!$E$54*MAX(0,MIN(1,AP$6-Sites!$F$54))</f>
        <v>0.44989514290679472</v>
      </c>
      <c r="AQ50" s="34">
        <f ca="1">Sites!$E$54*MAX(0,MIN(1,AQ$6-Sites!$F$54))</f>
        <v>0.44989514290679472</v>
      </c>
      <c r="AR50" s="34">
        <f ca="1">Sites!$E$54*MAX(0,MIN(1,AR$6-Sites!$F$54))</f>
        <v>0.44989514290679472</v>
      </c>
      <c r="AS50" s="34">
        <f ca="1">Sites!$E$54*MAX(0,MIN(1,AS$6-Sites!$F$54))</f>
        <v>0.44989514290679472</v>
      </c>
      <c r="AT50" s="34">
        <f ca="1">Sites!$E$54*MAX(0,MIN(1,AT$6-Sites!$F$54))</f>
        <v>0.44989514290679472</v>
      </c>
      <c r="AU50" s="34">
        <f ca="1">Sites!$E$54*MAX(0,MIN(1,AU$6-Sites!$F$54))</f>
        <v>0.44989514290679472</v>
      </c>
      <c r="AV50" s="34">
        <f ca="1">Sites!$E$54*MAX(0,MIN(1,AV$6-Sites!$F$54))</f>
        <v>0.44989514290679472</v>
      </c>
      <c r="AW50" s="34">
        <f ca="1">Sites!$E$54*MAX(0,MIN(1,AW$6-Sites!$F$54))</f>
        <v>0.44989514290679472</v>
      </c>
      <c r="AX50" s="34">
        <f ca="1">Sites!$E$54*MAX(0,MIN(1,AX$6-Sites!$F$54))</f>
        <v>0.44989514290679472</v>
      </c>
      <c r="AY50" s="34">
        <f ca="1">Sites!$E$54*MAX(0,MIN(1,AY$6-Sites!$F$54))</f>
        <v>0.44989514290679472</v>
      </c>
      <c r="AZ50" s="34">
        <f ca="1">Sites!$E$54*MAX(0,MIN(1,AZ$6-Sites!$F$54))</f>
        <v>0.44989514290679472</v>
      </c>
      <c r="BA50" s="34">
        <f ca="1">Sites!$E$54*MAX(0,MIN(1,BA$6-Sites!$F$54))</f>
        <v>0.44989514290679472</v>
      </c>
    </row>
    <row r="51" spans="2:53" x14ac:dyDescent="0.45">
      <c r="B51" s="52">
        <f>Sites!$B$55</f>
        <v>34</v>
      </c>
      <c r="C51" s="26" t="s">
        <v>107</v>
      </c>
      <c r="D51" s="28"/>
      <c r="E51" s="28"/>
      <c r="F51" s="34">
        <f ca="1">Sites!$E$55*MAX(0,MIN(1,F$6-Sites!$F$55))</f>
        <v>0</v>
      </c>
      <c r="G51" s="34">
        <f ca="1">Sites!$E$55*MAX(0,MIN(1,G$6-Sites!$F$55))</f>
        <v>0</v>
      </c>
      <c r="H51" s="34">
        <f ca="1">Sites!$E$55*MAX(0,MIN(1,H$6-Sites!$F$55))</f>
        <v>0</v>
      </c>
      <c r="I51" s="34">
        <f ca="1">Sites!$E$55*MAX(0,MIN(1,I$6-Sites!$F$55))</f>
        <v>4.4072085066470916E-2</v>
      </c>
      <c r="J51" s="34">
        <f ca="1">Sites!$E$55*MAX(0,MIN(1,J$6-Sites!$F$55))</f>
        <v>0.31773963496475882</v>
      </c>
      <c r="K51" s="34">
        <f ca="1">Sites!$E$55*MAX(0,MIN(1,K$6-Sites!$F$55))</f>
        <v>0.31773963496475882</v>
      </c>
      <c r="L51" s="34">
        <f ca="1">Sites!$E$55*MAX(0,MIN(1,L$6-Sites!$F$55))</f>
        <v>0.31773963496475882</v>
      </c>
      <c r="M51" s="34">
        <f ca="1">Sites!$E$55*MAX(0,MIN(1,M$6-Sites!$F$55))</f>
        <v>0.31773963496475882</v>
      </c>
      <c r="N51" s="34">
        <f ca="1">Sites!$E$55*MAX(0,MIN(1,N$6-Sites!$F$55))</f>
        <v>0.31773963496475882</v>
      </c>
      <c r="O51" s="34">
        <f ca="1">Sites!$E$55*MAX(0,MIN(1,O$6-Sites!$F$55))</f>
        <v>0.31773963496475882</v>
      </c>
      <c r="P51" s="34">
        <f ca="1">Sites!$E$55*MAX(0,MIN(1,P$6-Sites!$F$55))</f>
        <v>0.31773963496475882</v>
      </c>
      <c r="Q51" s="34">
        <f ca="1">Sites!$E$55*MAX(0,MIN(1,Q$6-Sites!$F$55))</f>
        <v>0.31773963496475882</v>
      </c>
      <c r="R51" s="34">
        <f ca="1">Sites!$E$55*MAX(0,MIN(1,R$6-Sites!$F$55))</f>
        <v>0.31773963496475882</v>
      </c>
      <c r="S51" s="34">
        <f ca="1">Sites!$E$55*MAX(0,MIN(1,S$6-Sites!$F$55))</f>
        <v>0.31773963496475882</v>
      </c>
      <c r="T51" s="34">
        <f ca="1">Sites!$E$55*MAX(0,MIN(1,T$6-Sites!$F$55))</f>
        <v>0.31773963496475882</v>
      </c>
      <c r="U51" s="34">
        <f ca="1">Sites!$E$55*MAX(0,MIN(1,U$6-Sites!$F$55))</f>
        <v>0.31773963496475882</v>
      </c>
      <c r="V51" s="34">
        <f ca="1">Sites!$E$55*MAX(0,MIN(1,V$6-Sites!$F$55))</f>
        <v>0.31773963496475882</v>
      </c>
      <c r="W51" s="34">
        <f ca="1">Sites!$E$55*MAX(0,MIN(1,W$6-Sites!$F$55))</f>
        <v>0.31773963496475882</v>
      </c>
      <c r="X51" s="34">
        <f ca="1">Sites!$E$55*MAX(0,MIN(1,X$6-Sites!$F$55))</f>
        <v>0.31773963496475882</v>
      </c>
      <c r="Y51" s="34">
        <f ca="1">Sites!$E$55*MAX(0,MIN(1,Y$6-Sites!$F$55))</f>
        <v>0.31773963496475882</v>
      </c>
      <c r="Z51" s="34">
        <f ca="1">Sites!$E$55*MAX(0,MIN(1,Z$6-Sites!$F$55))</f>
        <v>0.31773963496475882</v>
      </c>
      <c r="AA51" s="34">
        <f ca="1">Sites!$E$55*MAX(0,MIN(1,AA$6-Sites!$F$55))</f>
        <v>0.31773963496475882</v>
      </c>
      <c r="AB51" s="34">
        <f ca="1">Sites!$E$55*MAX(0,MIN(1,AB$6-Sites!$F$55))</f>
        <v>0.31773963496475882</v>
      </c>
      <c r="AC51" s="34">
        <f ca="1">Sites!$E$55*MAX(0,MIN(1,AC$6-Sites!$F$55))</f>
        <v>0.31773963496475882</v>
      </c>
      <c r="AD51" s="34">
        <f ca="1">Sites!$E$55*MAX(0,MIN(1,AD$6-Sites!$F$55))</f>
        <v>0.31773963496475882</v>
      </c>
      <c r="AE51" s="34">
        <f ca="1">Sites!$E$55*MAX(0,MIN(1,AE$6-Sites!$F$55))</f>
        <v>0.31773963496475882</v>
      </c>
      <c r="AF51" s="34">
        <f ca="1">Sites!$E$55*MAX(0,MIN(1,AF$6-Sites!$F$55))</f>
        <v>0.31773963496475882</v>
      </c>
      <c r="AG51" s="34">
        <f ca="1">Sites!$E$55*MAX(0,MIN(1,AG$6-Sites!$F$55))</f>
        <v>0.31773963496475882</v>
      </c>
      <c r="AH51" s="34">
        <f ca="1">Sites!$E$55*MAX(0,MIN(1,AH$6-Sites!$F$55))</f>
        <v>0.31773963496475882</v>
      </c>
      <c r="AI51" s="34">
        <f ca="1">Sites!$E$55*MAX(0,MIN(1,AI$6-Sites!$F$55))</f>
        <v>0.31773963496475882</v>
      </c>
      <c r="AJ51" s="34">
        <f ca="1">Sites!$E$55*MAX(0,MIN(1,AJ$6-Sites!$F$55))</f>
        <v>0.31773963496475882</v>
      </c>
      <c r="AK51" s="34">
        <f ca="1">Sites!$E$55*MAX(0,MIN(1,AK$6-Sites!$F$55))</f>
        <v>0.31773963496475882</v>
      </c>
      <c r="AL51" s="34">
        <f ca="1">Sites!$E$55*MAX(0,MIN(1,AL$6-Sites!$F$55))</f>
        <v>0.31773963496475882</v>
      </c>
      <c r="AM51" s="34">
        <f ca="1">Sites!$E$55*MAX(0,MIN(1,AM$6-Sites!$F$55))</f>
        <v>0.31773963496475882</v>
      </c>
      <c r="AN51" s="34">
        <f ca="1">Sites!$E$55*MAX(0,MIN(1,AN$6-Sites!$F$55))</f>
        <v>0.31773963496475882</v>
      </c>
      <c r="AO51" s="34">
        <f ca="1">Sites!$E$55*MAX(0,MIN(1,AO$6-Sites!$F$55))</f>
        <v>0.31773963496475882</v>
      </c>
      <c r="AP51" s="34">
        <f ca="1">Sites!$E$55*MAX(0,MIN(1,AP$6-Sites!$F$55))</f>
        <v>0.31773963496475882</v>
      </c>
      <c r="AQ51" s="34">
        <f ca="1">Sites!$E$55*MAX(0,MIN(1,AQ$6-Sites!$F$55))</f>
        <v>0.31773963496475882</v>
      </c>
      <c r="AR51" s="34">
        <f ca="1">Sites!$E$55*MAX(0,MIN(1,AR$6-Sites!$F$55))</f>
        <v>0.31773963496475882</v>
      </c>
      <c r="AS51" s="34">
        <f ca="1">Sites!$E$55*MAX(0,MIN(1,AS$6-Sites!$F$55))</f>
        <v>0.31773963496475882</v>
      </c>
      <c r="AT51" s="34">
        <f ca="1">Sites!$E$55*MAX(0,MIN(1,AT$6-Sites!$F$55))</f>
        <v>0.31773963496475882</v>
      </c>
      <c r="AU51" s="34">
        <f ca="1">Sites!$E$55*MAX(0,MIN(1,AU$6-Sites!$F$55))</f>
        <v>0.31773963496475882</v>
      </c>
      <c r="AV51" s="34">
        <f ca="1">Sites!$E$55*MAX(0,MIN(1,AV$6-Sites!$F$55))</f>
        <v>0.31773963496475882</v>
      </c>
      <c r="AW51" s="34">
        <f ca="1">Sites!$E$55*MAX(0,MIN(1,AW$6-Sites!$F$55))</f>
        <v>0.31773963496475882</v>
      </c>
      <c r="AX51" s="34">
        <f ca="1">Sites!$E$55*MAX(0,MIN(1,AX$6-Sites!$F$55))</f>
        <v>0.31773963496475882</v>
      </c>
      <c r="AY51" s="34">
        <f ca="1">Sites!$E$55*MAX(0,MIN(1,AY$6-Sites!$F$55))</f>
        <v>0.31773963496475882</v>
      </c>
      <c r="AZ51" s="34">
        <f ca="1">Sites!$E$55*MAX(0,MIN(1,AZ$6-Sites!$F$55))</f>
        <v>0.31773963496475882</v>
      </c>
      <c r="BA51" s="34">
        <f ca="1">Sites!$E$55*MAX(0,MIN(1,BA$6-Sites!$F$55))</f>
        <v>0.31773963496475882</v>
      </c>
    </row>
    <row r="52" spans="2:53" x14ac:dyDescent="0.45">
      <c r="B52" s="52">
        <f>Sites!$B$56</f>
        <v>35</v>
      </c>
      <c r="C52" s="26" t="s">
        <v>107</v>
      </c>
      <c r="D52" s="28"/>
      <c r="E52" s="28"/>
      <c r="F52" s="34">
        <f ca="1">Sites!$E$56*MAX(0,MIN(1,F$6-Sites!$F$56))</f>
        <v>0</v>
      </c>
      <c r="G52" s="34">
        <f ca="1">Sites!$E$56*MAX(0,MIN(1,G$6-Sites!$F$56))</f>
        <v>0.21103797593267351</v>
      </c>
      <c r="H52" s="34">
        <f ca="1">Sites!$E$56*MAX(0,MIN(1,H$6-Sites!$F$56))</f>
        <v>0.83250467105702119</v>
      </c>
      <c r="I52" s="34">
        <f ca="1">Sites!$E$56*MAX(0,MIN(1,I$6-Sites!$F$56))</f>
        <v>0.83250467105702119</v>
      </c>
      <c r="J52" s="34">
        <f ca="1">Sites!$E$56*MAX(0,MIN(1,J$6-Sites!$F$56))</f>
        <v>0.83250467105702119</v>
      </c>
      <c r="K52" s="34">
        <f ca="1">Sites!$E$56*MAX(0,MIN(1,K$6-Sites!$F$56))</f>
        <v>0.83250467105702119</v>
      </c>
      <c r="L52" s="34">
        <f ca="1">Sites!$E$56*MAX(0,MIN(1,L$6-Sites!$F$56))</f>
        <v>0.83250467105702119</v>
      </c>
      <c r="M52" s="34">
        <f ca="1">Sites!$E$56*MAX(0,MIN(1,M$6-Sites!$F$56))</f>
        <v>0.83250467105702119</v>
      </c>
      <c r="N52" s="34">
        <f ca="1">Sites!$E$56*MAX(0,MIN(1,N$6-Sites!$F$56))</f>
        <v>0.83250467105702119</v>
      </c>
      <c r="O52" s="34">
        <f ca="1">Sites!$E$56*MAX(0,MIN(1,O$6-Sites!$F$56))</f>
        <v>0.83250467105702119</v>
      </c>
      <c r="P52" s="34">
        <f ca="1">Sites!$E$56*MAX(0,MIN(1,P$6-Sites!$F$56))</f>
        <v>0.83250467105702119</v>
      </c>
      <c r="Q52" s="34">
        <f ca="1">Sites!$E$56*MAX(0,MIN(1,Q$6-Sites!$F$56))</f>
        <v>0.83250467105702119</v>
      </c>
      <c r="R52" s="34">
        <f ca="1">Sites!$E$56*MAX(0,MIN(1,R$6-Sites!$F$56))</f>
        <v>0.83250467105702119</v>
      </c>
      <c r="S52" s="34">
        <f ca="1">Sites!$E$56*MAX(0,MIN(1,S$6-Sites!$F$56))</f>
        <v>0.83250467105702119</v>
      </c>
      <c r="T52" s="34">
        <f ca="1">Sites!$E$56*MAX(0,MIN(1,T$6-Sites!$F$56))</f>
        <v>0.83250467105702119</v>
      </c>
      <c r="U52" s="34">
        <f ca="1">Sites!$E$56*MAX(0,MIN(1,U$6-Sites!$F$56))</f>
        <v>0.83250467105702119</v>
      </c>
      <c r="V52" s="34">
        <f ca="1">Sites!$E$56*MAX(0,MIN(1,V$6-Sites!$F$56))</f>
        <v>0.83250467105702119</v>
      </c>
      <c r="W52" s="34">
        <f ca="1">Sites!$E$56*MAX(0,MIN(1,W$6-Sites!$F$56))</f>
        <v>0.83250467105702119</v>
      </c>
      <c r="X52" s="34">
        <f ca="1">Sites!$E$56*MAX(0,MIN(1,X$6-Sites!$F$56))</f>
        <v>0.83250467105702119</v>
      </c>
      <c r="Y52" s="34">
        <f ca="1">Sites!$E$56*MAX(0,MIN(1,Y$6-Sites!$F$56))</f>
        <v>0.83250467105702119</v>
      </c>
      <c r="Z52" s="34">
        <f ca="1">Sites!$E$56*MAX(0,MIN(1,Z$6-Sites!$F$56))</f>
        <v>0.83250467105702119</v>
      </c>
      <c r="AA52" s="34">
        <f ca="1">Sites!$E$56*MAX(0,MIN(1,AA$6-Sites!$F$56))</f>
        <v>0.83250467105702119</v>
      </c>
      <c r="AB52" s="34">
        <f ca="1">Sites!$E$56*MAX(0,MIN(1,AB$6-Sites!$F$56))</f>
        <v>0.83250467105702119</v>
      </c>
      <c r="AC52" s="34">
        <f ca="1">Sites!$E$56*MAX(0,MIN(1,AC$6-Sites!$F$56))</f>
        <v>0.83250467105702119</v>
      </c>
      <c r="AD52" s="34">
        <f ca="1">Sites!$E$56*MAX(0,MIN(1,AD$6-Sites!$F$56))</f>
        <v>0.83250467105702119</v>
      </c>
      <c r="AE52" s="34">
        <f ca="1">Sites!$E$56*MAX(0,MIN(1,AE$6-Sites!$F$56))</f>
        <v>0.83250467105702119</v>
      </c>
      <c r="AF52" s="34">
        <f ca="1">Sites!$E$56*MAX(0,MIN(1,AF$6-Sites!$F$56))</f>
        <v>0.83250467105702119</v>
      </c>
      <c r="AG52" s="34">
        <f ca="1">Sites!$E$56*MAX(0,MIN(1,AG$6-Sites!$F$56))</f>
        <v>0.83250467105702119</v>
      </c>
      <c r="AH52" s="34">
        <f ca="1">Sites!$E$56*MAX(0,MIN(1,AH$6-Sites!$F$56))</f>
        <v>0.83250467105702119</v>
      </c>
      <c r="AI52" s="34">
        <f ca="1">Sites!$E$56*MAX(0,MIN(1,AI$6-Sites!$F$56))</f>
        <v>0.83250467105702119</v>
      </c>
      <c r="AJ52" s="34">
        <f ca="1">Sites!$E$56*MAX(0,MIN(1,AJ$6-Sites!$F$56))</f>
        <v>0.83250467105702119</v>
      </c>
      <c r="AK52" s="34">
        <f ca="1">Sites!$E$56*MAX(0,MIN(1,AK$6-Sites!$F$56))</f>
        <v>0.83250467105702119</v>
      </c>
      <c r="AL52" s="34">
        <f ca="1">Sites!$E$56*MAX(0,MIN(1,AL$6-Sites!$F$56))</f>
        <v>0.83250467105702119</v>
      </c>
      <c r="AM52" s="34">
        <f ca="1">Sites!$E$56*MAX(0,MIN(1,AM$6-Sites!$F$56))</f>
        <v>0.83250467105702119</v>
      </c>
      <c r="AN52" s="34">
        <f ca="1">Sites!$E$56*MAX(0,MIN(1,AN$6-Sites!$F$56))</f>
        <v>0.83250467105702119</v>
      </c>
      <c r="AO52" s="34">
        <f ca="1">Sites!$E$56*MAX(0,MIN(1,AO$6-Sites!$F$56))</f>
        <v>0.83250467105702119</v>
      </c>
      <c r="AP52" s="34">
        <f ca="1">Sites!$E$56*MAX(0,MIN(1,AP$6-Sites!$F$56))</f>
        <v>0.83250467105702119</v>
      </c>
      <c r="AQ52" s="34">
        <f ca="1">Sites!$E$56*MAX(0,MIN(1,AQ$6-Sites!$F$56))</f>
        <v>0.83250467105702119</v>
      </c>
      <c r="AR52" s="34">
        <f ca="1">Sites!$E$56*MAX(0,MIN(1,AR$6-Sites!$F$56))</f>
        <v>0.83250467105702119</v>
      </c>
      <c r="AS52" s="34">
        <f ca="1">Sites!$E$56*MAX(0,MIN(1,AS$6-Sites!$F$56))</f>
        <v>0.83250467105702119</v>
      </c>
      <c r="AT52" s="34">
        <f ca="1">Sites!$E$56*MAX(0,MIN(1,AT$6-Sites!$F$56))</f>
        <v>0.83250467105702119</v>
      </c>
      <c r="AU52" s="34">
        <f ca="1">Sites!$E$56*MAX(0,MIN(1,AU$6-Sites!$F$56))</f>
        <v>0.83250467105702119</v>
      </c>
      <c r="AV52" s="34">
        <f ca="1">Sites!$E$56*MAX(0,MIN(1,AV$6-Sites!$F$56))</f>
        <v>0.83250467105702119</v>
      </c>
      <c r="AW52" s="34">
        <f ca="1">Sites!$E$56*MAX(0,MIN(1,AW$6-Sites!$F$56))</f>
        <v>0.83250467105702119</v>
      </c>
      <c r="AX52" s="34">
        <f ca="1">Sites!$E$56*MAX(0,MIN(1,AX$6-Sites!$F$56))</f>
        <v>0.83250467105702119</v>
      </c>
      <c r="AY52" s="34">
        <f ca="1">Sites!$E$56*MAX(0,MIN(1,AY$6-Sites!$F$56))</f>
        <v>0.83250467105702119</v>
      </c>
      <c r="AZ52" s="34">
        <f ca="1">Sites!$E$56*MAX(0,MIN(1,AZ$6-Sites!$F$56))</f>
        <v>0.83250467105702119</v>
      </c>
      <c r="BA52" s="34">
        <f ca="1">Sites!$E$56*MAX(0,MIN(1,BA$6-Sites!$F$56))</f>
        <v>0.83250467105702119</v>
      </c>
    </row>
    <row r="53" spans="2:53" x14ac:dyDescent="0.45">
      <c r="B53" s="52">
        <f>Sites!$B$57</f>
        <v>36</v>
      </c>
      <c r="C53" s="26" t="s">
        <v>107</v>
      </c>
      <c r="D53" s="28"/>
      <c r="E53" s="28"/>
      <c r="F53" s="34">
        <f ca="1">Sites!$E$57*MAX(0,MIN(1,F$6-Sites!$F$57))</f>
        <v>0</v>
      </c>
      <c r="G53" s="34">
        <f ca="1">Sites!$E$57*MAX(0,MIN(1,G$6-Sites!$F$57))</f>
        <v>0</v>
      </c>
      <c r="H53" s="34">
        <f ca="1">Sites!$E$57*MAX(0,MIN(1,H$6-Sites!$F$57))</f>
        <v>0.15274128451060043</v>
      </c>
      <c r="I53" s="34">
        <f ca="1">Sites!$E$57*MAX(0,MIN(1,I$6-Sites!$F$57))</f>
        <v>0.3893264548241005</v>
      </c>
      <c r="J53" s="34">
        <f ca="1">Sites!$E$57*MAX(0,MIN(1,J$6-Sites!$F$57))</f>
        <v>0.3893264548241005</v>
      </c>
      <c r="K53" s="34">
        <f ca="1">Sites!$E$57*MAX(0,MIN(1,K$6-Sites!$F$57))</f>
        <v>0.3893264548241005</v>
      </c>
      <c r="L53" s="34">
        <f ca="1">Sites!$E$57*MAX(0,MIN(1,L$6-Sites!$F$57))</f>
        <v>0.3893264548241005</v>
      </c>
      <c r="M53" s="34">
        <f ca="1">Sites!$E$57*MAX(0,MIN(1,M$6-Sites!$F$57))</f>
        <v>0.3893264548241005</v>
      </c>
      <c r="N53" s="34">
        <f ca="1">Sites!$E$57*MAX(0,MIN(1,N$6-Sites!$F$57))</f>
        <v>0.3893264548241005</v>
      </c>
      <c r="O53" s="34">
        <f ca="1">Sites!$E$57*MAX(0,MIN(1,O$6-Sites!$F$57))</f>
        <v>0.3893264548241005</v>
      </c>
      <c r="P53" s="34">
        <f ca="1">Sites!$E$57*MAX(0,MIN(1,P$6-Sites!$F$57))</f>
        <v>0.3893264548241005</v>
      </c>
      <c r="Q53" s="34">
        <f ca="1">Sites!$E$57*MAX(0,MIN(1,Q$6-Sites!$F$57))</f>
        <v>0.3893264548241005</v>
      </c>
      <c r="R53" s="34">
        <f ca="1">Sites!$E$57*MAX(0,MIN(1,R$6-Sites!$F$57))</f>
        <v>0.3893264548241005</v>
      </c>
      <c r="S53" s="34">
        <f ca="1">Sites!$E$57*MAX(0,MIN(1,S$6-Sites!$F$57))</f>
        <v>0.3893264548241005</v>
      </c>
      <c r="T53" s="34">
        <f ca="1">Sites!$E$57*MAX(0,MIN(1,T$6-Sites!$F$57))</f>
        <v>0.3893264548241005</v>
      </c>
      <c r="U53" s="34">
        <f ca="1">Sites!$E$57*MAX(0,MIN(1,U$6-Sites!$F$57))</f>
        <v>0.3893264548241005</v>
      </c>
      <c r="V53" s="34">
        <f ca="1">Sites!$E$57*MAX(0,MIN(1,V$6-Sites!$F$57))</f>
        <v>0.3893264548241005</v>
      </c>
      <c r="W53" s="34">
        <f ca="1">Sites!$E$57*MAX(0,MIN(1,W$6-Sites!$F$57))</f>
        <v>0.3893264548241005</v>
      </c>
      <c r="X53" s="34">
        <f ca="1">Sites!$E$57*MAX(0,MIN(1,X$6-Sites!$F$57))</f>
        <v>0.3893264548241005</v>
      </c>
      <c r="Y53" s="34">
        <f ca="1">Sites!$E$57*MAX(0,MIN(1,Y$6-Sites!$F$57))</f>
        <v>0.3893264548241005</v>
      </c>
      <c r="Z53" s="34">
        <f ca="1">Sites!$E$57*MAX(0,MIN(1,Z$6-Sites!$F$57))</f>
        <v>0.3893264548241005</v>
      </c>
      <c r="AA53" s="34">
        <f ca="1">Sites!$E$57*MAX(0,MIN(1,AA$6-Sites!$F$57))</f>
        <v>0.3893264548241005</v>
      </c>
      <c r="AB53" s="34">
        <f ca="1">Sites!$E$57*MAX(0,MIN(1,AB$6-Sites!$F$57))</f>
        <v>0.3893264548241005</v>
      </c>
      <c r="AC53" s="34">
        <f ca="1">Sites!$E$57*MAX(0,MIN(1,AC$6-Sites!$F$57))</f>
        <v>0.3893264548241005</v>
      </c>
      <c r="AD53" s="34">
        <f ca="1">Sites!$E$57*MAX(0,MIN(1,AD$6-Sites!$F$57))</f>
        <v>0.3893264548241005</v>
      </c>
      <c r="AE53" s="34">
        <f ca="1">Sites!$E$57*MAX(0,MIN(1,AE$6-Sites!$F$57))</f>
        <v>0.3893264548241005</v>
      </c>
      <c r="AF53" s="34">
        <f ca="1">Sites!$E$57*MAX(0,MIN(1,AF$6-Sites!$F$57))</f>
        <v>0.3893264548241005</v>
      </c>
      <c r="AG53" s="34">
        <f ca="1">Sites!$E$57*MAX(0,MIN(1,AG$6-Sites!$F$57))</f>
        <v>0.3893264548241005</v>
      </c>
      <c r="AH53" s="34">
        <f ca="1">Sites!$E$57*MAX(0,MIN(1,AH$6-Sites!$F$57))</f>
        <v>0.3893264548241005</v>
      </c>
      <c r="AI53" s="34">
        <f ca="1">Sites!$E$57*MAX(0,MIN(1,AI$6-Sites!$F$57))</f>
        <v>0.3893264548241005</v>
      </c>
      <c r="AJ53" s="34">
        <f ca="1">Sites!$E$57*MAX(0,MIN(1,AJ$6-Sites!$F$57))</f>
        <v>0.3893264548241005</v>
      </c>
      <c r="AK53" s="34">
        <f ca="1">Sites!$E$57*MAX(0,MIN(1,AK$6-Sites!$F$57))</f>
        <v>0.3893264548241005</v>
      </c>
      <c r="AL53" s="34">
        <f ca="1">Sites!$E$57*MAX(0,MIN(1,AL$6-Sites!$F$57))</f>
        <v>0.3893264548241005</v>
      </c>
      <c r="AM53" s="34">
        <f ca="1">Sites!$E$57*MAX(0,MIN(1,AM$6-Sites!$F$57))</f>
        <v>0.3893264548241005</v>
      </c>
      <c r="AN53" s="34">
        <f ca="1">Sites!$E$57*MAX(0,MIN(1,AN$6-Sites!$F$57))</f>
        <v>0.3893264548241005</v>
      </c>
      <c r="AO53" s="34">
        <f ca="1">Sites!$E$57*MAX(0,MIN(1,AO$6-Sites!$F$57))</f>
        <v>0.3893264548241005</v>
      </c>
      <c r="AP53" s="34">
        <f ca="1">Sites!$E$57*MAX(0,MIN(1,AP$6-Sites!$F$57))</f>
        <v>0.3893264548241005</v>
      </c>
      <c r="AQ53" s="34">
        <f ca="1">Sites!$E$57*MAX(0,MIN(1,AQ$6-Sites!$F$57))</f>
        <v>0.3893264548241005</v>
      </c>
      <c r="AR53" s="34">
        <f ca="1">Sites!$E$57*MAX(0,MIN(1,AR$6-Sites!$F$57))</f>
        <v>0.3893264548241005</v>
      </c>
      <c r="AS53" s="34">
        <f ca="1">Sites!$E$57*MAX(0,MIN(1,AS$6-Sites!$F$57))</f>
        <v>0.3893264548241005</v>
      </c>
      <c r="AT53" s="34">
        <f ca="1">Sites!$E$57*MAX(0,MIN(1,AT$6-Sites!$F$57))</f>
        <v>0.3893264548241005</v>
      </c>
      <c r="AU53" s="34">
        <f ca="1">Sites!$E$57*MAX(0,MIN(1,AU$6-Sites!$F$57))</f>
        <v>0.3893264548241005</v>
      </c>
      <c r="AV53" s="34">
        <f ca="1">Sites!$E$57*MAX(0,MIN(1,AV$6-Sites!$F$57))</f>
        <v>0.3893264548241005</v>
      </c>
      <c r="AW53" s="34">
        <f ca="1">Sites!$E$57*MAX(0,MIN(1,AW$6-Sites!$F$57))</f>
        <v>0.3893264548241005</v>
      </c>
      <c r="AX53" s="34">
        <f ca="1">Sites!$E$57*MAX(0,MIN(1,AX$6-Sites!$F$57))</f>
        <v>0.3893264548241005</v>
      </c>
      <c r="AY53" s="34">
        <f ca="1">Sites!$E$57*MAX(0,MIN(1,AY$6-Sites!$F$57))</f>
        <v>0.3893264548241005</v>
      </c>
      <c r="AZ53" s="34">
        <f ca="1">Sites!$E$57*MAX(0,MIN(1,AZ$6-Sites!$F$57))</f>
        <v>0.3893264548241005</v>
      </c>
      <c r="BA53" s="34">
        <f ca="1">Sites!$E$57*MAX(0,MIN(1,BA$6-Sites!$F$57))</f>
        <v>0.3893264548241005</v>
      </c>
    </row>
    <row r="54" spans="2:53" x14ac:dyDescent="0.45">
      <c r="B54" s="52">
        <f>Sites!$B$58</f>
        <v>37</v>
      </c>
      <c r="C54" s="26" t="s">
        <v>107</v>
      </c>
      <c r="D54" s="28"/>
      <c r="E54" s="28"/>
      <c r="F54" s="34">
        <f ca="1">Sites!$E$58*MAX(0,MIN(1,F$6-Sites!$F$58))</f>
        <v>0</v>
      </c>
      <c r="G54" s="34">
        <f ca="1">Sites!$E$58*MAX(0,MIN(1,G$6-Sites!$F$58))</f>
        <v>0</v>
      </c>
      <c r="H54" s="34">
        <f ca="1">Sites!$E$58*MAX(0,MIN(1,H$6-Sites!$F$58))</f>
        <v>0</v>
      </c>
      <c r="I54" s="34">
        <f ca="1">Sites!$E$58*MAX(0,MIN(1,I$6-Sites!$F$58))</f>
        <v>0.31973678548071871</v>
      </c>
      <c r="J54" s="34">
        <f ca="1">Sites!$E$58*MAX(0,MIN(1,J$6-Sites!$F$58))</f>
        <v>0.45225878144271225</v>
      </c>
      <c r="K54" s="34">
        <f ca="1">Sites!$E$58*MAX(0,MIN(1,K$6-Sites!$F$58))</f>
        <v>0.45225878144271225</v>
      </c>
      <c r="L54" s="34">
        <f ca="1">Sites!$E$58*MAX(0,MIN(1,L$6-Sites!$F$58))</f>
        <v>0.45225878144271225</v>
      </c>
      <c r="M54" s="34">
        <f ca="1">Sites!$E$58*MAX(0,MIN(1,M$6-Sites!$F$58))</f>
        <v>0.45225878144271225</v>
      </c>
      <c r="N54" s="34">
        <f ca="1">Sites!$E$58*MAX(0,MIN(1,N$6-Sites!$F$58))</f>
        <v>0.45225878144271225</v>
      </c>
      <c r="O54" s="34">
        <f ca="1">Sites!$E$58*MAX(0,MIN(1,O$6-Sites!$F$58))</f>
        <v>0.45225878144271225</v>
      </c>
      <c r="P54" s="34">
        <f ca="1">Sites!$E$58*MAX(0,MIN(1,P$6-Sites!$F$58))</f>
        <v>0.45225878144271225</v>
      </c>
      <c r="Q54" s="34">
        <f ca="1">Sites!$E$58*MAX(0,MIN(1,Q$6-Sites!$F$58))</f>
        <v>0.45225878144271225</v>
      </c>
      <c r="R54" s="34">
        <f ca="1">Sites!$E$58*MAX(0,MIN(1,R$6-Sites!$F$58))</f>
        <v>0.45225878144271225</v>
      </c>
      <c r="S54" s="34">
        <f ca="1">Sites!$E$58*MAX(0,MIN(1,S$6-Sites!$F$58))</f>
        <v>0.45225878144271225</v>
      </c>
      <c r="T54" s="34">
        <f ca="1">Sites!$E$58*MAX(0,MIN(1,T$6-Sites!$F$58))</f>
        <v>0.45225878144271225</v>
      </c>
      <c r="U54" s="34">
        <f ca="1">Sites!$E$58*MAX(0,MIN(1,U$6-Sites!$F$58))</f>
        <v>0.45225878144271225</v>
      </c>
      <c r="V54" s="34">
        <f ca="1">Sites!$E$58*MAX(0,MIN(1,V$6-Sites!$F$58))</f>
        <v>0.45225878144271225</v>
      </c>
      <c r="W54" s="34">
        <f ca="1">Sites!$E$58*MAX(0,MIN(1,W$6-Sites!$F$58))</f>
        <v>0.45225878144271225</v>
      </c>
      <c r="X54" s="34">
        <f ca="1">Sites!$E$58*MAX(0,MIN(1,X$6-Sites!$F$58))</f>
        <v>0.45225878144271225</v>
      </c>
      <c r="Y54" s="34">
        <f ca="1">Sites!$E$58*MAX(0,MIN(1,Y$6-Sites!$F$58))</f>
        <v>0.45225878144271225</v>
      </c>
      <c r="Z54" s="34">
        <f ca="1">Sites!$E$58*MAX(0,MIN(1,Z$6-Sites!$F$58))</f>
        <v>0.45225878144271225</v>
      </c>
      <c r="AA54" s="34">
        <f ca="1">Sites!$E$58*MAX(0,MIN(1,AA$6-Sites!$F$58))</f>
        <v>0.45225878144271225</v>
      </c>
      <c r="AB54" s="34">
        <f ca="1">Sites!$E$58*MAX(0,MIN(1,AB$6-Sites!$F$58))</f>
        <v>0.45225878144271225</v>
      </c>
      <c r="AC54" s="34">
        <f ca="1">Sites!$E$58*MAX(0,MIN(1,AC$6-Sites!$F$58))</f>
        <v>0.45225878144271225</v>
      </c>
      <c r="AD54" s="34">
        <f ca="1">Sites!$E$58*MAX(0,MIN(1,AD$6-Sites!$F$58))</f>
        <v>0.45225878144271225</v>
      </c>
      <c r="AE54" s="34">
        <f ca="1">Sites!$E$58*MAX(0,MIN(1,AE$6-Sites!$F$58))</f>
        <v>0.45225878144271225</v>
      </c>
      <c r="AF54" s="34">
        <f ca="1">Sites!$E$58*MAX(0,MIN(1,AF$6-Sites!$F$58))</f>
        <v>0.45225878144271225</v>
      </c>
      <c r="AG54" s="34">
        <f ca="1">Sites!$E$58*MAX(0,MIN(1,AG$6-Sites!$F$58))</f>
        <v>0.45225878144271225</v>
      </c>
      <c r="AH54" s="34">
        <f ca="1">Sites!$E$58*MAX(0,MIN(1,AH$6-Sites!$F$58))</f>
        <v>0.45225878144271225</v>
      </c>
      <c r="AI54" s="34">
        <f ca="1">Sites!$E$58*MAX(0,MIN(1,AI$6-Sites!$F$58))</f>
        <v>0.45225878144271225</v>
      </c>
      <c r="AJ54" s="34">
        <f ca="1">Sites!$E$58*MAX(0,MIN(1,AJ$6-Sites!$F$58))</f>
        <v>0.45225878144271225</v>
      </c>
      <c r="AK54" s="34">
        <f ca="1">Sites!$E$58*MAX(0,MIN(1,AK$6-Sites!$F$58))</f>
        <v>0.45225878144271225</v>
      </c>
      <c r="AL54" s="34">
        <f ca="1">Sites!$E$58*MAX(0,MIN(1,AL$6-Sites!$F$58))</f>
        <v>0.45225878144271225</v>
      </c>
      <c r="AM54" s="34">
        <f ca="1">Sites!$E$58*MAX(0,MIN(1,AM$6-Sites!$F$58))</f>
        <v>0.45225878144271225</v>
      </c>
      <c r="AN54" s="34">
        <f ca="1">Sites!$E$58*MAX(0,MIN(1,AN$6-Sites!$F$58))</f>
        <v>0.45225878144271225</v>
      </c>
      <c r="AO54" s="34">
        <f ca="1">Sites!$E$58*MAX(0,MIN(1,AO$6-Sites!$F$58))</f>
        <v>0.45225878144271225</v>
      </c>
      <c r="AP54" s="34">
        <f ca="1">Sites!$E$58*MAX(0,MIN(1,AP$6-Sites!$F$58))</f>
        <v>0.45225878144271225</v>
      </c>
      <c r="AQ54" s="34">
        <f ca="1">Sites!$E$58*MAX(0,MIN(1,AQ$6-Sites!$F$58))</f>
        <v>0.45225878144271225</v>
      </c>
      <c r="AR54" s="34">
        <f ca="1">Sites!$E$58*MAX(0,MIN(1,AR$6-Sites!$F$58))</f>
        <v>0.45225878144271225</v>
      </c>
      <c r="AS54" s="34">
        <f ca="1">Sites!$E$58*MAX(0,MIN(1,AS$6-Sites!$F$58))</f>
        <v>0.45225878144271225</v>
      </c>
      <c r="AT54" s="34">
        <f ca="1">Sites!$E$58*MAX(0,MIN(1,AT$6-Sites!$F$58))</f>
        <v>0.45225878144271225</v>
      </c>
      <c r="AU54" s="34">
        <f ca="1">Sites!$E$58*MAX(0,MIN(1,AU$6-Sites!$F$58))</f>
        <v>0.45225878144271225</v>
      </c>
      <c r="AV54" s="34">
        <f ca="1">Sites!$E$58*MAX(0,MIN(1,AV$6-Sites!$F$58))</f>
        <v>0.45225878144271225</v>
      </c>
      <c r="AW54" s="34">
        <f ca="1">Sites!$E$58*MAX(0,MIN(1,AW$6-Sites!$F$58))</f>
        <v>0.45225878144271225</v>
      </c>
      <c r="AX54" s="34">
        <f ca="1">Sites!$E$58*MAX(0,MIN(1,AX$6-Sites!$F$58))</f>
        <v>0.45225878144271225</v>
      </c>
      <c r="AY54" s="34">
        <f ca="1">Sites!$E$58*MAX(0,MIN(1,AY$6-Sites!$F$58))</f>
        <v>0.45225878144271225</v>
      </c>
      <c r="AZ54" s="34">
        <f ca="1">Sites!$E$58*MAX(0,MIN(1,AZ$6-Sites!$F$58))</f>
        <v>0.45225878144271225</v>
      </c>
      <c r="BA54" s="34">
        <f ca="1">Sites!$E$58*MAX(0,MIN(1,BA$6-Sites!$F$58))</f>
        <v>0.45225878144271225</v>
      </c>
    </row>
    <row r="55" spans="2:53" x14ac:dyDescent="0.45">
      <c r="B55" s="52">
        <f>Sites!$B$59</f>
        <v>38</v>
      </c>
      <c r="C55" s="26" t="s">
        <v>107</v>
      </c>
      <c r="D55" s="28"/>
      <c r="E55" s="28"/>
      <c r="F55" s="34">
        <f ca="1">Sites!$E$59*MAX(0,MIN(1,F$6-Sites!$F$59))</f>
        <v>0</v>
      </c>
      <c r="G55" s="34">
        <f ca="1">Sites!$E$59*MAX(0,MIN(1,G$6-Sites!$F$59))</f>
        <v>0</v>
      </c>
      <c r="H55" s="34">
        <f ca="1">Sites!$E$59*MAX(0,MIN(1,H$6-Sites!$F$59))</f>
        <v>0</v>
      </c>
      <c r="I55" s="34">
        <f ca="1">Sites!$E$59*MAX(0,MIN(1,I$6-Sites!$F$59))</f>
        <v>0</v>
      </c>
      <c r="J55" s="34">
        <f ca="1">Sites!$E$59*MAX(0,MIN(1,J$6-Sites!$F$59))</f>
        <v>0.44726606853064499</v>
      </c>
      <c r="K55" s="34">
        <f ca="1">Sites!$E$59*MAX(0,MIN(1,K$6-Sites!$F$59))</f>
        <v>0.52051040009319272</v>
      </c>
      <c r="L55" s="34">
        <f ca="1">Sites!$E$59*MAX(0,MIN(1,L$6-Sites!$F$59))</f>
        <v>0.52051040009319272</v>
      </c>
      <c r="M55" s="34">
        <f ca="1">Sites!$E$59*MAX(0,MIN(1,M$6-Sites!$F$59))</f>
        <v>0.52051040009319272</v>
      </c>
      <c r="N55" s="34">
        <f ca="1">Sites!$E$59*MAX(0,MIN(1,N$6-Sites!$F$59))</f>
        <v>0.52051040009319272</v>
      </c>
      <c r="O55" s="34">
        <f ca="1">Sites!$E$59*MAX(0,MIN(1,O$6-Sites!$F$59))</f>
        <v>0.52051040009319272</v>
      </c>
      <c r="P55" s="34">
        <f ca="1">Sites!$E$59*MAX(0,MIN(1,P$6-Sites!$F$59))</f>
        <v>0.52051040009319272</v>
      </c>
      <c r="Q55" s="34">
        <f ca="1">Sites!$E$59*MAX(0,MIN(1,Q$6-Sites!$F$59))</f>
        <v>0.52051040009319272</v>
      </c>
      <c r="R55" s="34">
        <f ca="1">Sites!$E$59*MAX(0,MIN(1,R$6-Sites!$F$59))</f>
        <v>0.52051040009319272</v>
      </c>
      <c r="S55" s="34">
        <f ca="1">Sites!$E$59*MAX(0,MIN(1,S$6-Sites!$F$59))</f>
        <v>0.52051040009319272</v>
      </c>
      <c r="T55" s="34">
        <f ca="1">Sites!$E$59*MAX(0,MIN(1,T$6-Sites!$F$59))</f>
        <v>0.52051040009319272</v>
      </c>
      <c r="U55" s="34">
        <f ca="1">Sites!$E$59*MAX(0,MIN(1,U$6-Sites!$F$59))</f>
        <v>0.52051040009319272</v>
      </c>
      <c r="V55" s="34">
        <f ca="1">Sites!$E$59*MAX(0,MIN(1,V$6-Sites!$F$59))</f>
        <v>0.52051040009319272</v>
      </c>
      <c r="W55" s="34">
        <f ca="1">Sites!$E$59*MAX(0,MIN(1,W$6-Sites!$F$59))</f>
        <v>0.52051040009319272</v>
      </c>
      <c r="X55" s="34">
        <f ca="1">Sites!$E$59*MAX(0,MIN(1,X$6-Sites!$F$59))</f>
        <v>0.52051040009319272</v>
      </c>
      <c r="Y55" s="34">
        <f ca="1">Sites!$E$59*MAX(0,MIN(1,Y$6-Sites!$F$59))</f>
        <v>0.52051040009319272</v>
      </c>
      <c r="Z55" s="34">
        <f ca="1">Sites!$E$59*MAX(0,MIN(1,Z$6-Sites!$F$59))</f>
        <v>0.52051040009319272</v>
      </c>
      <c r="AA55" s="34">
        <f ca="1">Sites!$E$59*MAX(0,MIN(1,AA$6-Sites!$F$59))</f>
        <v>0.52051040009319272</v>
      </c>
      <c r="AB55" s="34">
        <f ca="1">Sites!$E$59*MAX(0,MIN(1,AB$6-Sites!$F$59))</f>
        <v>0.52051040009319272</v>
      </c>
      <c r="AC55" s="34">
        <f ca="1">Sites!$E$59*MAX(0,MIN(1,AC$6-Sites!$F$59))</f>
        <v>0.52051040009319272</v>
      </c>
      <c r="AD55" s="34">
        <f ca="1">Sites!$E$59*MAX(0,MIN(1,AD$6-Sites!$F$59))</f>
        <v>0.52051040009319272</v>
      </c>
      <c r="AE55" s="34">
        <f ca="1">Sites!$E$59*MAX(0,MIN(1,AE$6-Sites!$F$59))</f>
        <v>0.52051040009319272</v>
      </c>
      <c r="AF55" s="34">
        <f ca="1">Sites!$E$59*MAX(0,MIN(1,AF$6-Sites!$F$59))</f>
        <v>0.52051040009319272</v>
      </c>
      <c r="AG55" s="34">
        <f ca="1">Sites!$E$59*MAX(0,MIN(1,AG$6-Sites!$F$59))</f>
        <v>0.52051040009319272</v>
      </c>
      <c r="AH55" s="34">
        <f ca="1">Sites!$E$59*MAX(0,MIN(1,AH$6-Sites!$F$59))</f>
        <v>0.52051040009319272</v>
      </c>
      <c r="AI55" s="34">
        <f ca="1">Sites!$E$59*MAX(0,MIN(1,AI$6-Sites!$F$59))</f>
        <v>0.52051040009319272</v>
      </c>
      <c r="AJ55" s="34">
        <f ca="1">Sites!$E$59*MAX(0,MIN(1,AJ$6-Sites!$F$59))</f>
        <v>0.52051040009319272</v>
      </c>
      <c r="AK55" s="34">
        <f ca="1">Sites!$E$59*MAX(0,MIN(1,AK$6-Sites!$F$59))</f>
        <v>0.52051040009319272</v>
      </c>
      <c r="AL55" s="34">
        <f ca="1">Sites!$E$59*MAX(0,MIN(1,AL$6-Sites!$F$59))</f>
        <v>0.52051040009319272</v>
      </c>
      <c r="AM55" s="34">
        <f ca="1">Sites!$E$59*MAX(0,MIN(1,AM$6-Sites!$F$59))</f>
        <v>0.52051040009319272</v>
      </c>
      <c r="AN55" s="34">
        <f ca="1">Sites!$E$59*MAX(0,MIN(1,AN$6-Sites!$F$59))</f>
        <v>0.52051040009319272</v>
      </c>
      <c r="AO55" s="34">
        <f ca="1">Sites!$E$59*MAX(0,MIN(1,AO$6-Sites!$F$59))</f>
        <v>0.52051040009319272</v>
      </c>
      <c r="AP55" s="34">
        <f ca="1">Sites!$E$59*MAX(0,MIN(1,AP$6-Sites!$F$59))</f>
        <v>0.52051040009319272</v>
      </c>
      <c r="AQ55" s="34">
        <f ca="1">Sites!$E$59*MAX(0,MIN(1,AQ$6-Sites!$F$59))</f>
        <v>0.52051040009319272</v>
      </c>
      <c r="AR55" s="34">
        <f ca="1">Sites!$E$59*MAX(0,MIN(1,AR$6-Sites!$F$59))</f>
        <v>0.52051040009319272</v>
      </c>
      <c r="AS55" s="34">
        <f ca="1">Sites!$E$59*MAX(0,MIN(1,AS$6-Sites!$F$59))</f>
        <v>0.52051040009319272</v>
      </c>
      <c r="AT55" s="34">
        <f ca="1">Sites!$E$59*MAX(0,MIN(1,AT$6-Sites!$F$59))</f>
        <v>0.52051040009319272</v>
      </c>
      <c r="AU55" s="34">
        <f ca="1">Sites!$E$59*MAX(0,MIN(1,AU$6-Sites!$F$59))</f>
        <v>0.52051040009319272</v>
      </c>
      <c r="AV55" s="34">
        <f ca="1">Sites!$E$59*MAX(0,MIN(1,AV$6-Sites!$F$59))</f>
        <v>0.52051040009319272</v>
      </c>
      <c r="AW55" s="34">
        <f ca="1">Sites!$E$59*MAX(0,MIN(1,AW$6-Sites!$F$59))</f>
        <v>0.52051040009319272</v>
      </c>
      <c r="AX55" s="34">
        <f ca="1">Sites!$E$59*MAX(0,MIN(1,AX$6-Sites!$F$59))</f>
        <v>0.52051040009319272</v>
      </c>
      <c r="AY55" s="34">
        <f ca="1">Sites!$E$59*MAX(0,MIN(1,AY$6-Sites!$F$59))</f>
        <v>0.52051040009319272</v>
      </c>
      <c r="AZ55" s="34">
        <f ca="1">Sites!$E$59*MAX(0,MIN(1,AZ$6-Sites!$F$59))</f>
        <v>0.52051040009319272</v>
      </c>
      <c r="BA55" s="34">
        <f ca="1">Sites!$E$59*MAX(0,MIN(1,BA$6-Sites!$F$59))</f>
        <v>0.52051040009319272</v>
      </c>
    </row>
    <row r="56" spans="2:53" x14ac:dyDescent="0.45">
      <c r="B56" s="52">
        <f>Sites!$B$60</f>
        <v>39</v>
      </c>
      <c r="C56" s="26" t="s">
        <v>107</v>
      </c>
      <c r="D56" s="28"/>
      <c r="E56" s="28"/>
      <c r="F56" s="34">
        <f ca="1">Sites!$E$60*MAX(0,MIN(1,F$6-Sites!$F$60))</f>
        <v>0</v>
      </c>
      <c r="G56" s="34">
        <f ca="1">Sites!$E$60*MAX(0,MIN(1,G$6-Sites!$F$60))</f>
        <v>0</v>
      </c>
      <c r="H56" s="34">
        <f ca="1">Sites!$E$60*MAX(0,MIN(1,H$6-Sites!$F$60))</f>
        <v>0</v>
      </c>
      <c r="I56" s="34">
        <f ca="1">Sites!$E$60*MAX(0,MIN(1,I$6-Sites!$F$60))</f>
        <v>0.18045260843654851</v>
      </c>
      <c r="J56" s="34">
        <f ca="1">Sites!$E$60*MAX(0,MIN(1,J$6-Sites!$F$60))</f>
        <v>0.38840362091763886</v>
      </c>
      <c r="K56" s="34">
        <f ca="1">Sites!$E$60*MAX(0,MIN(1,K$6-Sites!$F$60))</f>
        <v>0.38840362091763886</v>
      </c>
      <c r="L56" s="34">
        <f ca="1">Sites!$E$60*MAX(0,MIN(1,L$6-Sites!$F$60))</f>
        <v>0.38840362091763886</v>
      </c>
      <c r="M56" s="34">
        <f ca="1">Sites!$E$60*MAX(0,MIN(1,M$6-Sites!$F$60))</f>
        <v>0.38840362091763886</v>
      </c>
      <c r="N56" s="34">
        <f ca="1">Sites!$E$60*MAX(0,MIN(1,N$6-Sites!$F$60))</f>
        <v>0.38840362091763886</v>
      </c>
      <c r="O56" s="34">
        <f ca="1">Sites!$E$60*MAX(0,MIN(1,O$6-Sites!$F$60))</f>
        <v>0.38840362091763886</v>
      </c>
      <c r="P56" s="34">
        <f ca="1">Sites!$E$60*MAX(0,MIN(1,P$6-Sites!$F$60))</f>
        <v>0.38840362091763886</v>
      </c>
      <c r="Q56" s="34">
        <f ca="1">Sites!$E$60*MAX(0,MIN(1,Q$6-Sites!$F$60))</f>
        <v>0.38840362091763886</v>
      </c>
      <c r="R56" s="34">
        <f ca="1">Sites!$E$60*MAX(0,MIN(1,R$6-Sites!$F$60))</f>
        <v>0.38840362091763886</v>
      </c>
      <c r="S56" s="34">
        <f ca="1">Sites!$E$60*MAX(0,MIN(1,S$6-Sites!$F$60))</f>
        <v>0.38840362091763886</v>
      </c>
      <c r="T56" s="34">
        <f ca="1">Sites!$E$60*MAX(0,MIN(1,T$6-Sites!$F$60))</f>
        <v>0.38840362091763886</v>
      </c>
      <c r="U56" s="34">
        <f ca="1">Sites!$E$60*MAX(0,MIN(1,U$6-Sites!$F$60))</f>
        <v>0.38840362091763886</v>
      </c>
      <c r="V56" s="34">
        <f ca="1">Sites!$E$60*MAX(0,MIN(1,V$6-Sites!$F$60))</f>
        <v>0.38840362091763886</v>
      </c>
      <c r="W56" s="34">
        <f ca="1">Sites!$E$60*MAX(0,MIN(1,W$6-Sites!$F$60))</f>
        <v>0.38840362091763886</v>
      </c>
      <c r="X56" s="34">
        <f ca="1">Sites!$E$60*MAX(0,MIN(1,X$6-Sites!$F$60))</f>
        <v>0.38840362091763886</v>
      </c>
      <c r="Y56" s="34">
        <f ca="1">Sites!$E$60*MAX(0,MIN(1,Y$6-Sites!$F$60))</f>
        <v>0.38840362091763886</v>
      </c>
      <c r="Z56" s="34">
        <f ca="1">Sites!$E$60*MAX(0,MIN(1,Z$6-Sites!$F$60))</f>
        <v>0.38840362091763886</v>
      </c>
      <c r="AA56" s="34">
        <f ca="1">Sites!$E$60*MAX(0,MIN(1,AA$6-Sites!$F$60))</f>
        <v>0.38840362091763886</v>
      </c>
      <c r="AB56" s="34">
        <f ca="1">Sites!$E$60*MAX(0,MIN(1,AB$6-Sites!$F$60))</f>
        <v>0.38840362091763886</v>
      </c>
      <c r="AC56" s="34">
        <f ca="1">Sites!$E$60*MAX(0,MIN(1,AC$6-Sites!$F$60))</f>
        <v>0.38840362091763886</v>
      </c>
      <c r="AD56" s="34">
        <f ca="1">Sites!$E$60*MAX(0,MIN(1,AD$6-Sites!$F$60))</f>
        <v>0.38840362091763886</v>
      </c>
      <c r="AE56" s="34">
        <f ca="1">Sites!$E$60*MAX(0,MIN(1,AE$6-Sites!$F$60))</f>
        <v>0.38840362091763886</v>
      </c>
      <c r="AF56" s="34">
        <f ca="1">Sites!$E$60*MAX(0,MIN(1,AF$6-Sites!$F$60))</f>
        <v>0.38840362091763886</v>
      </c>
      <c r="AG56" s="34">
        <f ca="1">Sites!$E$60*MAX(0,MIN(1,AG$6-Sites!$F$60))</f>
        <v>0.38840362091763886</v>
      </c>
      <c r="AH56" s="34">
        <f ca="1">Sites!$E$60*MAX(0,MIN(1,AH$6-Sites!$F$60))</f>
        <v>0.38840362091763886</v>
      </c>
      <c r="AI56" s="34">
        <f ca="1">Sites!$E$60*MAX(0,MIN(1,AI$6-Sites!$F$60))</f>
        <v>0.38840362091763886</v>
      </c>
      <c r="AJ56" s="34">
        <f ca="1">Sites!$E$60*MAX(0,MIN(1,AJ$6-Sites!$F$60))</f>
        <v>0.38840362091763886</v>
      </c>
      <c r="AK56" s="34">
        <f ca="1">Sites!$E$60*MAX(0,MIN(1,AK$6-Sites!$F$60))</f>
        <v>0.38840362091763886</v>
      </c>
      <c r="AL56" s="34">
        <f ca="1">Sites!$E$60*MAX(0,MIN(1,AL$6-Sites!$F$60))</f>
        <v>0.38840362091763886</v>
      </c>
      <c r="AM56" s="34">
        <f ca="1">Sites!$E$60*MAX(0,MIN(1,AM$6-Sites!$F$60))</f>
        <v>0.38840362091763886</v>
      </c>
      <c r="AN56" s="34">
        <f ca="1">Sites!$E$60*MAX(0,MIN(1,AN$6-Sites!$F$60))</f>
        <v>0.38840362091763886</v>
      </c>
      <c r="AO56" s="34">
        <f ca="1">Sites!$E$60*MAX(0,MIN(1,AO$6-Sites!$F$60))</f>
        <v>0.38840362091763886</v>
      </c>
      <c r="AP56" s="34">
        <f ca="1">Sites!$E$60*MAX(0,MIN(1,AP$6-Sites!$F$60))</f>
        <v>0.38840362091763886</v>
      </c>
      <c r="AQ56" s="34">
        <f ca="1">Sites!$E$60*MAX(0,MIN(1,AQ$6-Sites!$F$60))</f>
        <v>0.38840362091763886</v>
      </c>
      <c r="AR56" s="34">
        <f ca="1">Sites!$E$60*MAX(0,MIN(1,AR$6-Sites!$F$60))</f>
        <v>0.38840362091763886</v>
      </c>
      <c r="AS56" s="34">
        <f ca="1">Sites!$E$60*MAX(0,MIN(1,AS$6-Sites!$F$60))</f>
        <v>0.38840362091763886</v>
      </c>
      <c r="AT56" s="34">
        <f ca="1">Sites!$E$60*MAX(0,MIN(1,AT$6-Sites!$F$60))</f>
        <v>0.38840362091763886</v>
      </c>
      <c r="AU56" s="34">
        <f ca="1">Sites!$E$60*MAX(0,MIN(1,AU$6-Sites!$F$60))</f>
        <v>0.38840362091763886</v>
      </c>
      <c r="AV56" s="34">
        <f ca="1">Sites!$E$60*MAX(0,MIN(1,AV$6-Sites!$F$60))</f>
        <v>0.38840362091763886</v>
      </c>
      <c r="AW56" s="34">
        <f ca="1">Sites!$E$60*MAX(0,MIN(1,AW$6-Sites!$F$60))</f>
        <v>0.38840362091763886</v>
      </c>
      <c r="AX56" s="34">
        <f ca="1">Sites!$E$60*MAX(0,MIN(1,AX$6-Sites!$F$60))</f>
        <v>0.38840362091763886</v>
      </c>
      <c r="AY56" s="34">
        <f ca="1">Sites!$E$60*MAX(0,MIN(1,AY$6-Sites!$F$60))</f>
        <v>0.38840362091763886</v>
      </c>
      <c r="AZ56" s="34">
        <f ca="1">Sites!$E$60*MAX(0,MIN(1,AZ$6-Sites!$F$60))</f>
        <v>0.38840362091763886</v>
      </c>
      <c r="BA56" s="34">
        <f ca="1">Sites!$E$60*MAX(0,MIN(1,BA$6-Sites!$F$60))</f>
        <v>0.38840362091763886</v>
      </c>
    </row>
    <row r="57" spans="2:53" x14ac:dyDescent="0.45">
      <c r="B57" s="52">
        <f>Sites!$B$61</f>
        <v>40</v>
      </c>
      <c r="C57" s="26" t="s">
        <v>107</v>
      </c>
      <c r="D57" s="28"/>
      <c r="E57" s="28"/>
      <c r="F57" s="34">
        <f ca="1">Sites!$E$61*MAX(0,MIN(1,F$6-Sites!$F$61))</f>
        <v>0</v>
      </c>
      <c r="G57" s="34">
        <f ca="1">Sites!$E$61*MAX(0,MIN(1,G$6-Sites!$F$61))</f>
        <v>0</v>
      </c>
      <c r="H57" s="34">
        <f ca="1">Sites!$E$61*MAX(0,MIN(1,H$6-Sites!$F$61))</f>
        <v>0</v>
      </c>
      <c r="I57" s="34">
        <f ca="1">Sites!$E$61*MAX(0,MIN(1,I$6-Sites!$F$61))</f>
        <v>0</v>
      </c>
      <c r="J57" s="34">
        <f ca="1">Sites!$E$61*MAX(0,MIN(1,J$6-Sites!$F$61))</f>
        <v>0</v>
      </c>
      <c r="K57" s="34">
        <f ca="1">Sites!$E$61*MAX(0,MIN(1,K$6-Sites!$F$61))</f>
        <v>0.15941494924430555</v>
      </c>
      <c r="L57" s="34">
        <f ca="1">Sites!$E$61*MAX(0,MIN(1,L$6-Sites!$F$61))</f>
        <v>0.21272816857173205</v>
      </c>
      <c r="M57" s="34">
        <f ca="1">Sites!$E$61*MAX(0,MIN(1,M$6-Sites!$F$61))</f>
        <v>0.21272816857173205</v>
      </c>
      <c r="N57" s="34">
        <f ca="1">Sites!$E$61*MAX(0,MIN(1,N$6-Sites!$F$61))</f>
        <v>0.21272816857173205</v>
      </c>
      <c r="O57" s="34">
        <f ca="1">Sites!$E$61*MAX(0,MIN(1,O$6-Sites!$F$61))</f>
        <v>0.21272816857173205</v>
      </c>
      <c r="P57" s="34">
        <f ca="1">Sites!$E$61*MAX(0,MIN(1,P$6-Sites!$F$61))</f>
        <v>0.21272816857173205</v>
      </c>
      <c r="Q57" s="34">
        <f ca="1">Sites!$E$61*MAX(0,MIN(1,Q$6-Sites!$F$61))</f>
        <v>0.21272816857173205</v>
      </c>
      <c r="R57" s="34">
        <f ca="1">Sites!$E$61*MAX(0,MIN(1,R$6-Sites!$F$61))</f>
        <v>0.21272816857173205</v>
      </c>
      <c r="S57" s="34">
        <f ca="1">Sites!$E$61*MAX(0,MIN(1,S$6-Sites!$F$61))</f>
        <v>0.21272816857173205</v>
      </c>
      <c r="T57" s="34">
        <f ca="1">Sites!$E$61*MAX(0,MIN(1,T$6-Sites!$F$61))</f>
        <v>0.21272816857173205</v>
      </c>
      <c r="U57" s="34">
        <f ca="1">Sites!$E$61*MAX(0,MIN(1,U$6-Sites!$F$61))</f>
        <v>0.21272816857173205</v>
      </c>
      <c r="V57" s="34">
        <f ca="1">Sites!$E$61*MAX(0,MIN(1,V$6-Sites!$F$61))</f>
        <v>0.21272816857173205</v>
      </c>
      <c r="W57" s="34">
        <f ca="1">Sites!$E$61*MAX(0,MIN(1,W$6-Sites!$F$61))</f>
        <v>0.21272816857173205</v>
      </c>
      <c r="X57" s="34">
        <f ca="1">Sites!$E$61*MAX(0,MIN(1,X$6-Sites!$F$61))</f>
        <v>0.21272816857173205</v>
      </c>
      <c r="Y57" s="34">
        <f ca="1">Sites!$E$61*MAX(0,MIN(1,Y$6-Sites!$F$61))</f>
        <v>0.21272816857173205</v>
      </c>
      <c r="Z57" s="34">
        <f ca="1">Sites!$E$61*MAX(0,MIN(1,Z$6-Sites!$F$61))</f>
        <v>0.21272816857173205</v>
      </c>
      <c r="AA57" s="34">
        <f ca="1">Sites!$E$61*MAX(0,MIN(1,AA$6-Sites!$F$61))</f>
        <v>0.21272816857173205</v>
      </c>
      <c r="AB57" s="34">
        <f ca="1">Sites!$E$61*MAX(0,MIN(1,AB$6-Sites!$F$61))</f>
        <v>0.21272816857173205</v>
      </c>
      <c r="AC57" s="34">
        <f ca="1">Sites!$E$61*MAX(0,MIN(1,AC$6-Sites!$F$61))</f>
        <v>0.21272816857173205</v>
      </c>
      <c r="AD57" s="34">
        <f ca="1">Sites!$E$61*MAX(0,MIN(1,AD$6-Sites!$F$61))</f>
        <v>0.21272816857173205</v>
      </c>
      <c r="AE57" s="34">
        <f ca="1">Sites!$E$61*MAX(0,MIN(1,AE$6-Sites!$F$61))</f>
        <v>0.21272816857173205</v>
      </c>
      <c r="AF57" s="34">
        <f ca="1">Sites!$E$61*MAX(0,MIN(1,AF$6-Sites!$F$61))</f>
        <v>0.21272816857173205</v>
      </c>
      <c r="AG57" s="34">
        <f ca="1">Sites!$E$61*MAX(0,MIN(1,AG$6-Sites!$F$61))</f>
        <v>0.21272816857173205</v>
      </c>
      <c r="AH57" s="34">
        <f ca="1">Sites!$E$61*MAX(0,MIN(1,AH$6-Sites!$F$61))</f>
        <v>0.21272816857173205</v>
      </c>
      <c r="AI57" s="34">
        <f ca="1">Sites!$E$61*MAX(0,MIN(1,AI$6-Sites!$F$61))</f>
        <v>0.21272816857173205</v>
      </c>
      <c r="AJ57" s="34">
        <f ca="1">Sites!$E$61*MAX(0,MIN(1,AJ$6-Sites!$F$61))</f>
        <v>0.21272816857173205</v>
      </c>
      <c r="AK57" s="34">
        <f ca="1">Sites!$E$61*MAX(0,MIN(1,AK$6-Sites!$F$61))</f>
        <v>0.21272816857173205</v>
      </c>
      <c r="AL57" s="34">
        <f ca="1">Sites!$E$61*MAX(0,MIN(1,AL$6-Sites!$F$61))</f>
        <v>0.21272816857173205</v>
      </c>
      <c r="AM57" s="34">
        <f ca="1">Sites!$E$61*MAX(0,MIN(1,AM$6-Sites!$F$61))</f>
        <v>0.21272816857173205</v>
      </c>
      <c r="AN57" s="34">
        <f ca="1">Sites!$E$61*MAX(0,MIN(1,AN$6-Sites!$F$61))</f>
        <v>0.21272816857173205</v>
      </c>
      <c r="AO57" s="34">
        <f ca="1">Sites!$E$61*MAX(0,MIN(1,AO$6-Sites!$F$61))</f>
        <v>0.21272816857173205</v>
      </c>
      <c r="AP57" s="34">
        <f ca="1">Sites!$E$61*MAX(0,MIN(1,AP$6-Sites!$F$61))</f>
        <v>0.21272816857173205</v>
      </c>
      <c r="AQ57" s="34">
        <f ca="1">Sites!$E$61*MAX(0,MIN(1,AQ$6-Sites!$F$61))</f>
        <v>0.21272816857173205</v>
      </c>
      <c r="AR57" s="34">
        <f ca="1">Sites!$E$61*MAX(0,MIN(1,AR$6-Sites!$F$61))</f>
        <v>0.21272816857173205</v>
      </c>
      <c r="AS57" s="34">
        <f ca="1">Sites!$E$61*MAX(0,MIN(1,AS$6-Sites!$F$61))</f>
        <v>0.21272816857173205</v>
      </c>
      <c r="AT57" s="34">
        <f ca="1">Sites!$E$61*MAX(0,MIN(1,AT$6-Sites!$F$61))</f>
        <v>0.21272816857173205</v>
      </c>
      <c r="AU57" s="34">
        <f ca="1">Sites!$E$61*MAX(0,MIN(1,AU$6-Sites!$F$61))</f>
        <v>0.21272816857173205</v>
      </c>
      <c r="AV57" s="34">
        <f ca="1">Sites!$E$61*MAX(0,MIN(1,AV$6-Sites!$F$61))</f>
        <v>0.21272816857173205</v>
      </c>
      <c r="AW57" s="34">
        <f ca="1">Sites!$E$61*MAX(0,MIN(1,AW$6-Sites!$F$61))</f>
        <v>0.21272816857173205</v>
      </c>
      <c r="AX57" s="34">
        <f ca="1">Sites!$E$61*MAX(0,MIN(1,AX$6-Sites!$F$61))</f>
        <v>0.21272816857173205</v>
      </c>
      <c r="AY57" s="34">
        <f ca="1">Sites!$E$61*MAX(0,MIN(1,AY$6-Sites!$F$61))</f>
        <v>0.21272816857173205</v>
      </c>
      <c r="AZ57" s="34">
        <f ca="1">Sites!$E$61*MAX(0,MIN(1,AZ$6-Sites!$F$61))</f>
        <v>0.21272816857173205</v>
      </c>
      <c r="BA57" s="34">
        <f ca="1">Sites!$E$61*MAX(0,MIN(1,BA$6-Sites!$F$61))</f>
        <v>0.21272816857173205</v>
      </c>
    </row>
    <row r="58" spans="2:53" x14ac:dyDescent="0.45">
      <c r="B58" s="52">
        <f>Sites!$B$62</f>
        <v>41</v>
      </c>
      <c r="C58" s="26" t="s">
        <v>107</v>
      </c>
      <c r="D58" s="28"/>
      <c r="E58" s="28"/>
      <c r="F58" s="34">
        <f ca="1">Sites!$E$62*MAX(0,MIN(1,F$6-Sites!$F$62))</f>
        <v>0</v>
      </c>
      <c r="G58" s="34">
        <f ca="1">Sites!$E$62*MAX(0,MIN(1,G$6-Sites!$F$62))</f>
        <v>0</v>
      </c>
      <c r="H58" s="34">
        <f ca="1">Sites!$E$62*MAX(0,MIN(1,H$6-Sites!$F$62))</f>
        <v>0</v>
      </c>
      <c r="I58" s="34">
        <f ca="1">Sites!$E$62*MAX(0,MIN(1,I$6-Sites!$F$62))</f>
        <v>0</v>
      </c>
      <c r="J58" s="34">
        <f ca="1">Sites!$E$62*MAX(0,MIN(1,J$6-Sites!$F$62))</f>
        <v>0.34523740026411986</v>
      </c>
      <c r="K58" s="34">
        <f ca="1">Sites!$E$62*MAX(0,MIN(1,K$6-Sites!$F$62))</f>
        <v>0.50437044811572973</v>
      </c>
      <c r="L58" s="34">
        <f ca="1">Sites!$E$62*MAX(0,MIN(1,L$6-Sites!$F$62))</f>
        <v>0.50437044811572973</v>
      </c>
      <c r="M58" s="34">
        <f ca="1">Sites!$E$62*MAX(0,MIN(1,M$6-Sites!$F$62))</f>
        <v>0.50437044811572973</v>
      </c>
      <c r="N58" s="34">
        <f ca="1">Sites!$E$62*MAX(0,MIN(1,N$6-Sites!$F$62))</f>
        <v>0.50437044811572973</v>
      </c>
      <c r="O58" s="34">
        <f ca="1">Sites!$E$62*MAX(0,MIN(1,O$6-Sites!$F$62))</f>
        <v>0.50437044811572973</v>
      </c>
      <c r="P58" s="34">
        <f ca="1">Sites!$E$62*MAX(0,MIN(1,P$6-Sites!$F$62))</f>
        <v>0.50437044811572973</v>
      </c>
      <c r="Q58" s="34">
        <f ca="1">Sites!$E$62*MAX(0,MIN(1,Q$6-Sites!$F$62))</f>
        <v>0.50437044811572973</v>
      </c>
      <c r="R58" s="34">
        <f ca="1">Sites!$E$62*MAX(0,MIN(1,R$6-Sites!$F$62))</f>
        <v>0.50437044811572973</v>
      </c>
      <c r="S58" s="34">
        <f ca="1">Sites!$E$62*MAX(0,MIN(1,S$6-Sites!$F$62))</f>
        <v>0.50437044811572973</v>
      </c>
      <c r="T58" s="34">
        <f ca="1">Sites!$E$62*MAX(0,MIN(1,T$6-Sites!$F$62))</f>
        <v>0.50437044811572973</v>
      </c>
      <c r="U58" s="34">
        <f ca="1">Sites!$E$62*MAX(0,MIN(1,U$6-Sites!$F$62))</f>
        <v>0.50437044811572973</v>
      </c>
      <c r="V58" s="34">
        <f ca="1">Sites!$E$62*MAX(0,MIN(1,V$6-Sites!$F$62))</f>
        <v>0.50437044811572973</v>
      </c>
      <c r="W58" s="34">
        <f ca="1">Sites!$E$62*MAX(0,MIN(1,W$6-Sites!$F$62))</f>
        <v>0.50437044811572973</v>
      </c>
      <c r="X58" s="34">
        <f ca="1">Sites!$E$62*MAX(0,MIN(1,X$6-Sites!$F$62))</f>
        <v>0.50437044811572973</v>
      </c>
      <c r="Y58" s="34">
        <f ca="1">Sites!$E$62*MAX(0,MIN(1,Y$6-Sites!$F$62))</f>
        <v>0.50437044811572973</v>
      </c>
      <c r="Z58" s="34">
        <f ca="1">Sites!$E$62*MAX(0,MIN(1,Z$6-Sites!$F$62))</f>
        <v>0.50437044811572973</v>
      </c>
      <c r="AA58" s="34">
        <f ca="1">Sites!$E$62*MAX(0,MIN(1,AA$6-Sites!$F$62))</f>
        <v>0.50437044811572973</v>
      </c>
      <c r="AB58" s="34">
        <f ca="1">Sites!$E$62*MAX(0,MIN(1,AB$6-Sites!$F$62))</f>
        <v>0.50437044811572973</v>
      </c>
      <c r="AC58" s="34">
        <f ca="1">Sites!$E$62*MAX(0,MIN(1,AC$6-Sites!$F$62))</f>
        <v>0.50437044811572973</v>
      </c>
      <c r="AD58" s="34">
        <f ca="1">Sites!$E$62*MAX(0,MIN(1,AD$6-Sites!$F$62))</f>
        <v>0.50437044811572973</v>
      </c>
      <c r="AE58" s="34">
        <f ca="1">Sites!$E$62*MAX(0,MIN(1,AE$6-Sites!$F$62))</f>
        <v>0.50437044811572973</v>
      </c>
      <c r="AF58" s="34">
        <f ca="1">Sites!$E$62*MAX(0,MIN(1,AF$6-Sites!$F$62))</f>
        <v>0.50437044811572973</v>
      </c>
      <c r="AG58" s="34">
        <f ca="1">Sites!$E$62*MAX(0,MIN(1,AG$6-Sites!$F$62))</f>
        <v>0.50437044811572973</v>
      </c>
      <c r="AH58" s="34">
        <f ca="1">Sites!$E$62*MAX(0,MIN(1,AH$6-Sites!$F$62))</f>
        <v>0.50437044811572973</v>
      </c>
      <c r="AI58" s="34">
        <f ca="1">Sites!$E$62*MAX(0,MIN(1,AI$6-Sites!$F$62))</f>
        <v>0.50437044811572973</v>
      </c>
      <c r="AJ58" s="34">
        <f ca="1">Sites!$E$62*MAX(0,MIN(1,AJ$6-Sites!$F$62))</f>
        <v>0.50437044811572973</v>
      </c>
      <c r="AK58" s="34">
        <f ca="1">Sites!$E$62*MAX(0,MIN(1,AK$6-Sites!$F$62))</f>
        <v>0.50437044811572973</v>
      </c>
      <c r="AL58" s="34">
        <f ca="1">Sites!$E$62*MAX(0,MIN(1,AL$6-Sites!$F$62))</f>
        <v>0.50437044811572973</v>
      </c>
      <c r="AM58" s="34">
        <f ca="1">Sites!$E$62*MAX(0,MIN(1,AM$6-Sites!$F$62))</f>
        <v>0.50437044811572973</v>
      </c>
      <c r="AN58" s="34">
        <f ca="1">Sites!$E$62*MAX(0,MIN(1,AN$6-Sites!$F$62))</f>
        <v>0.50437044811572973</v>
      </c>
      <c r="AO58" s="34">
        <f ca="1">Sites!$E$62*MAX(0,MIN(1,AO$6-Sites!$F$62))</f>
        <v>0.50437044811572973</v>
      </c>
      <c r="AP58" s="34">
        <f ca="1">Sites!$E$62*MAX(0,MIN(1,AP$6-Sites!$F$62))</f>
        <v>0.50437044811572973</v>
      </c>
      <c r="AQ58" s="34">
        <f ca="1">Sites!$E$62*MAX(0,MIN(1,AQ$6-Sites!$F$62))</f>
        <v>0.50437044811572973</v>
      </c>
      <c r="AR58" s="34">
        <f ca="1">Sites!$E$62*MAX(0,MIN(1,AR$6-Sites!$F$62))</f>
        <v>0.50437044811572973</v>
      </c>
      <c r="AS58" s="34">
        <f ca="1">Sites!$E$62*MAX(0,MIN(1,AS$6-Sites!$F$62))</f>
        <v>0.50437044811572973</v>
      </c>
      <c r="AT58" s="34">
        <f ca="1">Sites!$E$62*MAX(0,MIN(1,AT$6-Sites!$F$62))</f>
        <v>0.50437044811572973</v>
      </c>
      <c r="AU58" s="34">
        <f ca="1">Sites!$E$62*MAX(0,MIN(1,AU$6-Sites!$F$62))</f>
        <v>0.50437044811572973</v>
      </c>
      <c r="AV58" s="34">
        <f ca="1">Sites!$E$62*MAX(0,MIN(1,AV$6-Sites!$F$62))</f>
        <v>0.50437044811572973</v>
      </c>
      <c r="AW58" s="34">
        <f ca="1">Sites!$E$62*MAX(0,MIN(1,AW$6-Sites!$F$62))</f>
        <v>0.50437044811572973</v>
      </c>
      <c r="AX58" s="34">
        <f ca="1">Sites!$E$62*MAX(0,MIN(1,AX$6-Sites!$F$62))</f>
        <v>0.50437044811572973</v>
      </c>
      <c r="AY58" s="34">
        <f ca="1">Sites!$E$62*MAX(0,MIN(1,AY$6-Sites!$F$62))</f>
        <v>0.50437044811572973</v>
      </c>
      <c r="AZ58" s="34">
        <f ca="1">Sites!$E$62*MAX(0,MIN(1,AZ$6-Sites!$F$62))</f>
        <v>0.50437044811572973</v>
      </c>
      <c r="BA58" s="34">
        <f ca="1">Sites!$E$62*MAX(0,MIN(1,BA$6-Sites!$F$62))</f>
        <v>0.50437044811572973</v>
      </c>
    </row>
    <row r="59" spans="2:53" x14ac:dyDescent="0.45">
      <c r="B59" s="52">
        <f>Sites!$B$63</f>
        <v>42</v>
      </c>
      <c r="C59" s="26" t="s">
        <v>107</v>
      </c>
      <c r="D59" s="28"/>
      <c r="E59" s="28"/>
      <c r="F59" s="34">
        <f ca="1">Sites!$E$63*MAX(0,MIN(1,F$6-Sites!$F$63))</f>
        <v>0</v>
      </c>
      <c r="G59" s="34">
        <f ca="1">Sites!$E$63*MAX(0,MIN(1,G$6-Sites!$F$63))</f>
        <v>0</v>
      </c>
      <c r="H59" s="34">
        <f ca="1">Sites!$E$63*MAX(0,MIN(1,H$6-Sites!$F$63))</f>
        <v>0</v>
      </c>
      <c r="I59" s="34">
        <f ca="1">Sites!$E$63*MAX(0,MIN(1,I$6-Sites!$F$63))</f>
        <v>0.37555451889935015</v>
      </c>
      <c r="J59" s="34">
        <f ca="1">Sites!$E$63*MAX(0,MIN(1,J$6-Sites!$F$63))</f>
        <v>0.39382433883290063</v>
      </c>
      <c r="K59" s="34">
        <f ca="1">Sites!$E$63*MAX(0,MIN(1,K$6-Sites!$F$63))</f>
        <v>0.39382433883290063</v>
      </c>
      <c r="L59" s="34">
        <f ca="1">Sites!$E$63*MAX(0,MIN(1,L$6-Sites!$F$63))</f>
        <v>0.39382433883290063</v>
      </c>
      <c r="M59" s="34">
        <f ca="1">Sites!$E$63*MAX(0,MIN(1,M$6-Sites!$F$63))</f>
        <v>0.39382433883290063</v>
      </c>
      <c r="N59" s="34">
        <f ca="1">Sites!$E$63*MAX(0,MIN(1,N$6-Sites!$F$63))</f>
        <v>0.39382433883290063</v>
      </c>
      <c r="O59" s="34">
        <f ca="1">Sites!$E$63*MAX(0,MIN(1,O$6-Sites!$F$63))</f>
        <v>0.39382433883290063</v>
      </c>
      <c r="P59" s="34">
        <f ca="1">Sites!$E$63*MAX(0,MIN(1,P$6-Sites!$F$63))</f>
        <v>0.39382433883290063</v>
      </c>
      <c r="Q59" s="34">
        <f ca="1">Sites!$E$63*MAX(0,MIN(1,Q$6-Sites!$F$63))</f>
        <v>0.39382433883290063</v>
      </c>
      <c r="R59" s="34">
        <f ca="1">Sites!$E$63*MAX(0,MIN(1,R$6-Sites!$F$63))</f>
        <v>0.39382433883290063</v>
      </c>
      <c r="S59" s="34">
        <f ca="1">Sites!$E$63*MAX(0,MIN(1,S$6-Sites!$F$63))</f>
        <v>0.39382433883290063</v>
      </c>
      <c r="T59" s="34">
        <f ca="1">Sites!$E$63*MAX(0,MIN(1,T$6-Sites!$F$63))</f>
        <v>0.39382433883290063</v>
      </c>
      <c r="U59" s="34">
        <f ca="1">Sites!$E$63*MAX(0,MIN(1,U$6-Sites!$F$63))</f>
        <v>0.39382433883290063</v>
      </c>
      <c r="V59" s="34">
        <f ca="1">Sites!$E$63*MAX(0,MIN(1,V$6-Sites!$F$63))</f>
        <v>0.39382433883290063</v>
      </c>
      <c r="W59" s="34">
        <f ca="1">Sites!$E$63*MAX(0,MIN(1,W$6-Sites!$F$63))</f>
        <v>0.39382433883290063</v>
      </c>
      <c r="X59" s="34">
        <f ca="1">Sites!$E$63*MAX(0,MIN(1,X$6-Sites!$F$63))</f>
        <v>0.39382433883290063</v>
      </c>
      <c r="Y59" s="34">
        <f ca="1">Sites!$E$63*MAX(0,MIN(1,Y$6-Sites!$F$63))</f>
        <v>0.39382433883290063</v>
      </c>
      <c r="Z59" s="34">
        <f ca="1">Sites!$E$63*MAX(0,MIN(1,Z$6-Sites!$F$63))</f>
        <v>0.39382433883290063</v>
      </c>
      <c r="AA59" s="34">
        <f ca="1">Sites!$E$63*MAX(0,MIN(1,AA$6-Sites!$F$63))</f>
        <v>0.39382433883290063</v>
      </c>
      <c r="AB59" s="34">
        <f ca="1">Sites!$E$63*MAX(0,MIN(1,AB$6-Sites!$F$63))</f>
        <v>0.39382433883290063</v>
      </c>
      <c r="AC59" s="34">
        <f ca="1">Sites!$E$63*MAX(0,MIN(1,AC$6-Sites!$F$63))</f>
        <v>0.39382433883290063</v>
      </c>
      <c r="AD59" s="34">
        <f ca="1">Sites!$E$63*MAX(0,MIN(1,AD$6-Sites!$F$63))</f>
        <v>0.39382433883290063</v>
      </c>
      <c r="AE59" s="34">
        <f ca="1">Sites!$E$63*MAX(0,MIN(1,AE$6-Sites!$F$63))</f>
        <v>0.39382433883290063</v>
      </c>
      <c r="AF59" s="34">
        <f ca="1">Sites!$E$63*MAX(0,MIN(1,AF$6-Sites!$F$63))</f>
        <v>0.39382433883290063</v>
      </c>
      <c r="AG59" s="34">
        <f ca="1">Sites!$E$63*MAX(0,MIN(1,AG$6-Sites!$F$63))</f>
        <v>0.39382433883290063</v>
      </c>
      <c r="AH59" s="34">
        <f ca="1">Sites!$E$63*MAX(0,MIN(1,AH$6-Sites!$F$63))</f>
        <v>0.39382433883290063</v>
      </c>
      <c r="AI59" s="34">
        <f ca="1">Sites!$E$63*MAX(0,MIN(1,AI$6-Sites!$F$63))</f>
        <v>0.39382433883290063</v>
      </c>
      <c r="AJ59" s="34">
        <f ca="1">Sites!$E$63*MAX(0,MIN(1,AJ$6-Sites!$F$63))</f>
        <v>0.39382433883290063</v>
      </c>
      <c r="AK59" s="34">
        <f ca="1">Sites!$E$63*MAX(0,MIN(1,AK$6-Sites!$F$63))</f>
        <v>0.39382433883290063</v>
      </c>
      <c r="AL59" s="34">
        <f ca="1">Sites!$E$63*MAX(0,MIN(1,AL$6-Sites!$F$63))</f>
        <v>0.39382433883290063</v>
      </c>
      <c r="AM59" s="34">
        <f ca="1">Sites!$E$63*MAX(0,MIN(1,AM$6-Sites!$F$63))</f>
        <v>0.39382433883290063</v>
      </c>
      <c r="AN59" s="34">
        <f ca="1">Sites!$E$63*MAX(0,MIN(1,AN$6-Sites!$F$63))</f>
        <v>0.39382433883290063</v>
      </c>
      <c r="AO59" s="34">
        <f ca="1">Sites!$E$63*MAX(0,MIN(1,AO$6-Sites!$F$63))</f>
        <v>0.39382433883290063</v>
      </c>
      <c r="AP59" s="34">
        <f ca="1">Sites!$E$63*MAX(0,MIN(1,AP$6-Sites!$F$63))</f>
        <v>0.39382433883290063</v>
      </c>
      <c r="AQ59" s="34">
        <f ca="1">Sites!$E$63*MAX(0,MIN(1,AQ$6-Sites!$F$63))</f>
        <v>0.39382433883290063</v>
      </c>
      <c r="AR59" s="34">
        <f ca="1">Sites!$E$63*MAX(0,MIN(1,AR$6-Sites!$F$63))</f>
        <v>0.39382433883290063</v>
      </c>
      <c r="AS59" s="34">
        <f ca="1">Sites!$E$63*MAX(0,MIN(1,AS$6-Sites!$F$63))</f>
        <v>0.39382433883290063</v>
      </c>
      <c r="AT59" s="34">
        <f ca="1">Sites!$E$63*MAX(0,MIN(1,AT$6-Sites!$F$63))</f>
        <v>0.39382433883290063</v>
      </c>
      <c r="AU59" s="34">
        <f ca="1">Sites!$E$63*MAX(0,MIN(1,AU$6-Sites!$F$63))</f>
        <v>0.39382433883290063</v>
      </c>
      <c r="AV59" s="34">
        <f ca="1">Sites!$E$63*MAX(0,MIN(1,AV$6-Sites!$F$63))</f>
        <v>0.39382433883290063</v>
      </c>
      <c r="AW59" s="34">
        <f ca="1">Sites!$E$63*MAX(0,MIN(1,AW$6-Sites!$F$63))</f>
        <v>0.39382433883290063</v>
      </c>
      <c r="AX59" s="34">
        <f ca="1">Sites!$E$63*MAX(0,MIN(1,AX$6-Sites!$F$63))</f>
        <v>0.39382433883290063</v>
      </c>
      <c r="AY59" s="34">
        <f ca="1">Sites!$E$63*MAX(0,MIN(1,AY$6-Sites!$F$63))</f>
        <v>0.39382433883290063</v>
      </c>
      <c r="AZ59" s="34">
        <f ca="1">Sites!$E$63*MAX(0,MIN(1,AZ$6-Sites!$F$63))</f>
        <v>0.39382433883290063</v>
      </c>
      <c r="BA59" s="34">
        <f ca="1">Sites!$E$63*MAX(0,MIN(1,BA$6-Sites!$F$63))</f>
        <v>0.39382433883290063</v>
      </c>
    </row>
    <row r="60" spans="2:53" x14ac:dyDescent="0.45">
      <c r="B60" s="52">
        <f>Sites!$B$64</f>
        <v>43</v>
      </c>
      <c r="C60" s="26" t="s">
        <v>107</v>
      </c>
      <c r="D60" s="28"/>
      <c r="E60" s="28"/>
      <c r="F60" s="34">
        <f ca="1">Sites!$E$64*MAX(0,MIN(1,F$6-Sites!$F$64))</f>
        <v>0</v>
      </c>
      <c r="G60" s="34">
        <f ca="1">Sites!$E$64*MAX(0,MIN(1,G$6-Sites!$F$64))</f>
        <v>0</v>
      </c>
      <c r="H60" s="34">
        <f ca="1">Sites!$E$64*MAX(0,MIN(1,H$6-Sites!$F$64))</f>
        <v>0</v>
      </c>
      <c r="I60" s="34">
        <f ca="1">Sites!$E$64*MAX(0,MIN(1,I$6-Sites!$F$64))</f>
        <v>0</v>
      </c>
      <c r="J60" s="34">
        <f ca="1">Sites!$E$64*MAX(0,MIN(1,J$6-Sites!$F$64))</f>
        <v>0</v>
      </c>
      <c r="K60" s="34">
        <f ca="1">Sites!$E$64*MAX(0,MIN(1,K$6-Sites!$F$64))</f>
        <v>0</v>
      </c>
      <c r="L60" s="34">
        <f ca="1">Sites!$E$64*MAX(0,MIN(1,L$6-Sites!$F$64))</f>
        <v>0</v>
      </c>
      <c r="M60" s="34">
        <f ca="1">Sites!$E$64*MAX(0,MIN(1,M$6-Sites!$F$64))</f>
        <v>0</v>
      </c>
      <c r="N60" s="34">
        <f ca="1">Sites!$E$64*MAX(0,MIN(1,N$6-Sites!$F$64))</f>
        <v>0</v>
      </c>
      <c r="O60" s="34">
        <f ca="1">Sites!$E$64*MAX(0,MIN(1,O$6-Sites!$F$64))</f>
        <v>0</v>
      </c>
      <c r="P60" s="34">
        <f ca="1">Sites!$E$64*MAX(0,MIN(1,P$6-Sites!$F$64))</f>
        <v>0</v>
      </c>
      <c r="Q60" s="34">
        <f ca="1">Sites!$E$64*MAX(0,MIN(1,Q$6-Sites!$F$64))</f>
        <v>0</v>
      </c>
      <c r="R60" s="34">
        <f ca="1">Sites!$E$64*MAX(0,MIN(1,R$6-Sites!$F$64))</f>
        <v>0</v>
      </c>
      <c r="S60" s="34">
        <f ca="1">Sites!$E$64*MAX(0,MIN(1,S$6-Sites!$F$64))</f>
        <v>0</v>
      </c>
      <c r="T60" s="34">
        <f ca="1">Sites!$E$64*MAX(0,MIN(1,T$6-Sites!$F$64))</f>
        <v>0</v>
      </c>
      <c r="U60" s="34">
        <f ca="1">Sites!$E$64*MAX(0,MIN(1,U$6-Sites!$F$64))</f>
        <v>0</v>
      </c>
      <c r="V60" s="34">
        <f ca="1">Sites!$E$64*MAX(0,MIN(1,V$6-Sites!$F$64))</f>
        <v>0</v>
      </c>
      <c r="W60" s="34">
        <f ca="1">Sites!$E$64*MAX(0,MIN(1,W$6-Sites!$F$64))</f>
        <v>0</v>
      </c>
      <c r="X60" s="34">
        <f ca="1">Sites!$E$64*MAX(0,MIN(1,X$6-Sites!$F$64))</f>
        <v>0</v>
      </c>
      <c r="Y60" s="34">
        <f ca="1">Sites!$E$64*MAX(0,MIN(1,Y$6-Sites!$F$64))</f>
        <v>0</v>
      </c>
      <c r="Z60" s="34">
        <f ca="1">Sites!$E$64*MAX(0,MIN(1,Z$6-Sites!$F$64))</f>
        <v>0</v>
      </c>
      <c r="AA60" s="34">
        <f ca="1">Sites!$E$64*MAX(0,MIN(1,AA$6-Sites!$F$64))</f>
        <v>0</v>
      </c>
      <c r="AB60" s="34">
        <f ca="1">Sites!$E$64*MAX(0,MIN(1,AB$6-Sites!$F$64))</f>
        <v>0</v>
      </c>
      <c r="AC60" s="34">
        <f ca="1">Sites!$E$64*MAX(0,MIN(1,AC$6-Sites!$F$64))</f>
        <v>0</v>
      </c>
      <c r="AD60" s="34">
        <f ca="1">Sites!$E$64*MAX(0,MIN(1,AD$6-Sites!$F$64))</f>
        <v>0</v>
      </c>
      <c r="AE60" s="34">
        <f ca="1">Sites!$E$64*MAX(0,MIN(1,AE$6-Sites!$F$64))</f>
        <v>0</v>
      </c>
      <c r="AF60" s="34">
        <f ca="1">Sites!$E$64*MAX(0,MIN(1,AF$6-Sites!$F$64))</f>
        <v>0</v>
      </c>
      <c r="AG60" s="34">
        <f ca="1">Sites!$E$64*MAX(0,MIN(1,AG$6-Sites!$F$64))</f>
        <v>0</v>
      </c>
      <c r="AH60" s="34">
        <f ca="1">Sites!$E$64*MAX(0,MIN(1,AH$6-Sites!$F$64))</f>
        <v>0</v>
      </c>
      <c r="AI60" s="34">
        <f ca="1">Sites!$E$64*MAX(0,MIN(1,AI$6-Sites!$F$64))</f>
        <v>0</v>
      </c>
      <c r="AJ60" s="34">
        <f ca="1">Sites!$E$64*MAX(0,MIN(1,AJ$6-Sites!$F$64))</f>
        <v>0</v>
      </c>
      <c r="AK60" s="34">
        <f ca="1">Sites!$E$64*MAX(0,MIN(1,AK$6-Sites!$F$64))</f>
        <v>0</v>
      </c>
      <c r="AL60" s="34">
        <f ca="1">Sites!$E$64*MAX(0,MIN(1,AL$6-Sites!$F$64))</f>
        <v>0</v>
      </c>
      <c r="AM60" s="34">
        <f ca="1">Sites!$E$64*MAX(0,MIN(1,AM$6-Sites!$F$64))</f>
        <v>0</v>
      </c>
      <c r="AN60" s="34">
        <f ca="1">Sites!$E$64*MAX(0,MIN(1,AN$6-Sites!$F$64))</f>
        <v>0</v>
      </c>
      <c r="AO60" s="34">
        <f ca="1">Sites!$E$64*MAX(0,MIN(1,AO$6-Sites!$F$64))</f>
        <v>0</v>
      </c>
      <c r="AP60" s="34">
        <f ca="1">Sites!$E$64*MAX(0,MIN(1,AP$6-Sites!$F$64))</f>
        <v>0</v>
      </c>
      <c r="AQ60" s="34">
        <f ca="1">Sites!$E$64*MAX(0,MIN(1,AQ$6-Sites!$F$64))</f>
        <v>0</v>
      </c>
      <c r="AR60" s="34">
        <f ca="1">Sites!$E$64*MAX(0,MIN(1,AR$6-Sites!$F$64))</f>
        <v>0</v>
      </c>
      <c r="AS60" s="34">
        <f ca="1">Sites!$E$64*MAX(0,MIN(1,AS$6-Sites!$F$64))</f>
        <v>0</v>
      </c>
      <c r="AT60" s="34">
        <f ca="1">Sites!$E$64*MAX(0,MIN(1,AT$6-Sites!$F$64))</f>
        <v>0</v>
      </c>
      <c r="AU60" s="34">
        <f ca="1">Sites!$E$64*MAX(0,MIN(1,AU$6-Sites!$F$64))</f>
        <v>0</v>
      </c>
      <c r="AV60" s="34">
        <f ca="1">Sites!$E$64*MAX(0,MIN(1,AV$6-Sites!$F$64))</f>
        <v>0</v>
      </c>
      <c r="AW60" s="34">
        <f ca="1">Sites!$E$64*MAX(0,MIN(1,AW$6-Sites!$F$64))</f>
        <v>0</v>
      </c>
      <c r="AX60" s="34">
        <f ca="1">Sites!$E$64*MAX(0,MIN(1,AX$6-Sites!$F$64))</f>
        <v>0</v>
      </c>
      <c r="AY60" s="34">
        <f ca="1">Sites!$E$64*MAX(0,MIN(1,AY$6-Sites!$F$64))</f>
        <v>0</v>
      </c>
      <c r="AZ60" s="34">
        <f ca="1">Sites!$E$64*MAX(0,MIN(1,AZ$6-Sites!$F$64))</f>
        <v>0</v>
      </c>
      <c r="BA60" s="34">
        <f ca="1">Sites!$E$64*MAX(0,MIN(1,BA$6-Sites!$F$64))</f>
        <v>0</v>
      </c>
    </row>
    <row r="61" spans="2:53" x14ac:dyDescent="0.45">
      <c r="B61" s="52">
        <f>Sites!$B$65</f>
        <v>44</v>
      </c>
      <c r="C61" s="26" t="s">
        <v>107</v>
      </c>
      <c r="D61" s="28"/>
      <c r="E61" s="28"/>
      <c r="F61" s="34">
        <f ca="1">Sites!$E$65*MAX(0,MIN(1,F$6-Sites!$F$65))</f>
        <v>0</v>
      </c>
      <c r="G61" s="34">
        <f ca="1">Sites!$E$65*MAX(0,MIN(1,G$6-Sites!$F$65))</f>
        <v>0</v>
      </c>
      <c r="H61" s="34">
        <f ca="1">Sites!$E$65*MAX(0,MIN(1,H$6-Sites!$F$65))</f>
        <v>0</v>
      </c>
      <c r="I61" s="34">
        <f ca="1">Sites!$E$65*MAX(0,MIN(1,I$6-Sites!$F$65))</f>
        <v>0</v>
      </c>
      <c r="J61" s="34">
        <f ca="1">Sites!$E$65*MAX(0,MIN(1,J$6-Sites!$F$65))</f>
        <v>0</v>
      </c>
      <c r="K61" s="34">
        <f ca="1">Sites!$E$65*MAX(0,MIN(1,K$6-Sites!$F$65))</f>
        <v>0</v>
      </c>
      <c r="L61" s="34">
        <f ca="1">Sites!$E$65*MAX(0,MIN(1,L$6-Sites!$F$65))</f>
        <v>0</v>
      </c>
      <c r="M61" s="34">
        <f ca="1">Sites!$E$65*MAX(0,MIN(1,M$6-Sites!$F$65))</f>
        <v>0</v>
      </c>
      <c r="N61" s="34">
        <f ca="1">Sites!$E$65*MAX(0,MIN(1,N$6-Sites!$F$65))</f>
        <v>0</v>
      </c>
      <c r="O61" s="34">
        <f ca="1">Sites!$E$65*MAX(0,MIN(1,O$6-Sites!$F$65))</f>
        <v>0</v>
      </c>
      <c r="P61" s="34">
        <f ca="1">Sites!$E$65*MAX(0,MIN(1,P$6-Sites!$F$65))</f>
        <v>0</v>
      </c>
      <c r="Q61" s="34">
        <f ca="1">Sites!$E$65*MAX(0,MIN(1,Q$6-Sites!$F$65))</f>
        <v>0</v>
      </c>
      <c r="R61" s="34">
        <f ca="1">Sites!$E$65*MAX(0,MIN(1,R$6-Sites!$F$65))</f>
        <v>0</v>
      </c>
      <c r="S61" s="34">
        <f ca="1">Sites!$E$65*MAX(0,MIN(1,S$6-Sites!$F$65))</f>
        <v>0</v>
      </c>
      <c r="T61" s="34">
        <f ca="1">Sites!$E$65*MAX(0,MIN(1,T$6-Sites!$F$65))</f>
        <v>0</v>
      </c>
      <c r="U61" s="34">
        <f ca="1">Sites!$E$65*MAX(0,MIN(1,U$6-Sites!$F$65))</f>
        <v>0</v>
      </c>
      <c r="V61" s="34">
        <f ca="1">Sites!$E$65*MAX(0,MIN(1,V$6-Sites!$F$65))</f>
        <v>0</v>
      </c>
      <c r="W61" s="34">
        <f ca="1">Sites!$E$65*MAX(0,MIN(1,W$6-Sites!$F$65))</f>
        <v>0</v>
      </c>
      <c r="X61" s="34">
        <f ca="1">Sites!$E$65*MAX(0,MIN(1,X$6-Sites!$F$65))</f>
        <v>0</v>
      </c>
      <c r="Y61" s="34">
        <f ca="1">Sites!$E$65*MAX(0,MIN(1,Y$6-Sites!$F$65))</f>
        <v>0</v>
      </c>
      <c r="Z61" s="34">
        <f ca="1">Sites!$E$65*MAX(0,MIN(1,Z$6-Sites!$F$65))</f>
        <v>0</v>
      </c>
      <c r="AA61" s="34">
        <f ca="1">Sites!$E$65*MAX(0,MIN(1,AA$6-Sites!$F$65))</f>
        <v>0</v>
      </c>
      <c r="AB61" s="34">
        <f ca="1">Sites!$E$65*MAX(0,MIN(1,AB$6-Sites!$F$65))</f>
        <v>0</v>
      </c>
      <c r="AC61" s="34">
        <f ca="1">Sites!$E$65*MAX(0,MIN(1,AC$6-Sites!$F$65))</f>
        <v>0</v>
      </c>
      <c r="AD61" s="34">
        <f ca="1">Sites!$E$65*MAX(0,MIN(1,AD$6-Sites!$F$65))</f>
        <v>0</v>
      </c>
      <c r="AE61" s="34">
        <f ca="1">Sites!$E$65*MAX(0,MIN(1,AE$6-Sites!$F$65))</f>
        <v>0</v>
      </c>
      <c r="AF61" s="34">
        <f ca="1">Sites!$E$65*MAX(0,MIN(1,AF$6-Sites!$F$65))</f>
        <v>0</v>
      </c>
      <c r="AG61" s="34">
        <f ca="1">Sites!$E$65*MAX(0,MIN(1,AG$6-Sites!$F$65))</f>
        <v>0</v>
      </c>
      <c r="AH61" s="34">
        <f ca="1">Sites!$E$65*MAX(0,MIN(1,AH$6-Sites!$F$65))</f>
        <v>0</v>
      </c>
      <c r="AI61" s="34">
        <f ca="1">Sites!$E$65*MAX(0,MIN(1,AI$6-Sites!$F$65))</f>
        <v>0</v>
      </c>
      <c r="AJ61" s="34">
        <f ca="1">Sites!$E$65*MAX(0,MIN(1,AJ$6-Sites!$F$65))</f>
        <v>0</v>
      </c>
      <c r="AK61" s="34">
        <f ca="1">Sites!$E$65*MAX(0,MIN(1,AK$6-Sites!$F$65))</f>
        <v>0</v>
      </c>
      <c r="AL61" s="34">
        <f ca="1">Sites!$E$65*MAX(0,MIN(1,AL$6-Sites!$F$65))</f>
        <v>0</v>
      </c>
      <c r="AM61" s="34">
        <f ca="1">Sites!$E$65*MAX(0,MIN(1,AM$6-Sites!$F$65))</f>
        <v>0</v>
      </c>
      <c r="AN61" s="34">
        <f ca="1">Sites!$E$65*MAX(0,MIN(1,AN$6-Sites!$F$65))</f>
        <v>0</v>
      </c>
      <c r="AO61" s="34">
        <f ca="1">Sites!$E$65*MAX(0,MIN(1,AO$6-Sites!$F$65))</f>
        <v>0</v>
      </c>
      <c r="AP61" s="34">
        <f ca="1">Sites!$E$65*MAX(0,MIN(1,AP$6-Sites!$F$65))</f>
        <v>0</v>
      </c>
      <c r="AQ61" s="34">
        <f ca="1">Sites!$E$65*MAX(0,MIN(1,AQ$6-Sites!$F$65))</f>
        <v>0</v>
      </c>
      <c r="AR61" s="34">
        <f ca="1">Sites!$E$65*MAX(0,MIN(1,AR$6-Sites!$F$65))</f>
        <v>0</v>
      </c>
      <c r="AS61" s="34">
        <f ca="1">Sites!$E$65*MAX(0,MIN(1,AS$6-Sites!$F$65))</f>
        <v>0</v>
      </c>
      <c r="AT61" s="34">
        <f ca="1">Sites!$E$65*MAX(0,MIN(1,AT$6-Sites!$F$65))</f>
        <v>0</v>
      </c>
      <c r="AU61" s="34">
        <f ca="1">Sites!$E$65*MAX(0,MIN(1,AU$6-Sites!$F$65))</f>
        <v>0</v>
      </c>
      <c r="AV61" s="34">
        <f ca="1">Sites!$E$65*MAX(0,MIN(1,AV$6-Sites!$F$65))</f>
        <v>0</v>
      </c>
      <c r="AW61" s="34">
        <f ca="1">Sites!$E$65*MAX(0,MIN(1,AW$6-Sites!$F$65))</f>
        <v>0</v>
      </c>
      <c r="AX61" s="34">
        <f ca="1">Sites!$E$65*MAX(0,MIN(1,AX$6-Sites!$F$65))</f>
        <v>0</v>
      </c>
      <c r="AY61" s="34">
        <f ca="1">Sites!$E$65*MAX(0,MIN(1,AY$6-Sites!$F$65))</f>
        <v>0</v>
      </c>
      <c r="AZ61" s="34">
        <f ca="1">Sites!$E$65*MAX(0,MIN(1,AZ$6-Sites!$F$65))</f>
        <v>0</v>
      </c>
      <c r="BA61" s="34">
        <f ca="1">Sites!$E$65*MAX(0,MIN(1,BA$6-Sites!$F$65))</f>
        <v>0</v>
      </c>
    </row>
    <row r="62" spans="2:53" x14ac:dyDescent="0.45">
      <c r="B62" s="52">
        <f>Sites!$B$66</f>
        <v>45</v>
      </c>
      <c r="C62" s="26" t="s">
        <v>107</v>
      </c>
      <c r="D62" s="28"/>
      <c r="E62" s="28"/>
      <c r="F62" s="34">
        <f ca="1">Sites!$E$66*MAX(0,MIN(1,F$6-Sites!$F$66))</f>
        <v>0</v>
      </c>
      <c r="G62" s="34">
        <f ca="1">Sites!$E$66*MAX(0,MIN(1,G$6-Sites!$F$66))</f>
        <v>0</v>
      </c>
      <c r="H62" s="34">
        <f ca="1">Sites!$E$66*MAX(0,MIN(1,H$6-Sites!$F$66))</f>
        <v>0</v>
      </c>
      <c r="I62" s="34">
        <f ca="1">Sites!$E$66*MAX(0,MIN(1,I$6-Sites!$F$66))</f>
        <v>0.21419990798875893</v>
      </c>
      <c r="J62" s="34">
        <f ca="1">Sites!$E$66*MAX(0,MIN(1,J$6-Sites!$F$66))</f>
        <v>0.27032634219498897</v>
      </c>
      <c r="K62" s="34">
        <f ca="1">Sites!$E$66*MAX(0,MIN(1,K$6-Sites!$F$66))</f>
        <v>0.27032634219498897</v>
      </c>
      <c r="L62" s="34">
        <f ca="1">Sites!$E$66*MAX(0,MIN(1,L$6-Sites!$F$66))</f>
        <v>0.27032634219498897</v>
      </c>
      <c r="M62" s="34">
        <f ca="1">Sites!$E$66*MAX(0,MIN(1,M$6-Sites!$F$66))</f>
        <v>0.27032634219498897</v>
      </c>
      <c r="N62" s="34">
        <f ca="1">Sites!$E$66*MAX(0,MIN(1,N$6-Sites!$F$66))</f>
        <v>0.27032634219498897</v>
      </c>
      <c r="O62" s="34">
        <f ca="1">Sites!$E$66*MAX(0,MIN(1,O$6-Sites!$F$66))</f>
        <v>0.27032634219498897</v>
      </c>
      <c r="P62" s="34">
        <f ca="1">Sites!$E$66*MAX(0,MIN(1,P$6-Sites!$F$66))</f>
        <v>0.27032634219498897</v>
      </c>
      <c r="Q62" s="34">
        <f ca="1">Sites!$E$66*MAX(0,MIN(1,Q$6-Sites!$F$66))</f>
        <v>0.27032634219498897</v>
      </c>
      <c r="R62" s="34">
        <f ca="1">Sites!$E$66*MAX(0,MIN(1,R$6-Sites!$F$66))</f>
        <v>0.27032634219498897</v>
      </c>
      <c r="S62" s="34">
        <f ca="1">Sites!$E$66*MAX(0,MIN(1,S$6-Sites!$F$66))</f>
        <v>0.27032634219498897</v>
      </c>
      <c r="T62" s="34">
        <f ca="1">Sites!$E$66*MAX(0,MIN(1,T$6-Sites!$F$66))</f>
        <v>0.27032634219498897</v>
      </c>
      <c r="U62" s="34">
        <f ca="1">Sites!$E$66*MAX(0,MIN(1,U$6-Sites!$F$66))</f>
        <v>0.27032634219498897</v>
      </c>
      <c r="V62" s="34">
        <f ca="1">Sites!$E$66*MAX(0,MIN(1,V$6-Sites!$F$66))</f>
        <v>0.27032634219498897</v>
      </c>
      <c r="W62" s="34">
        <f ca="1">Sites!$E$66*MAX(0,MIN(1,W$6-Sites!$F$66))</f>
        <v>0.27032634219498897</v>
      </c>
      <c r="X62" s="34">
        <f ca="1">Sites!$E$66*MAX(0,MIN(1,X$6-Sites!$F$66))</f>
        <v>0.27032634219498897</v>
      </c>
      <c r="Y62" s="34">
        <f ca="1">Sites!$E$66*MAX(0,MIN(1,Y$6-Sites!$F$66))</f>
        <v>0.27032634219498897</v>
      </c>
      <c r="Z62" s="34">
        <f ca="1">Sites!$E$66*MAX(0,MIN(1,Z$6-Sites!$F$66))</f>
        <v>0.27032634219498897</v>
      </c>
      <c r="AA62" s="34">
        <f ca="1">Sites!$E$66*MAX(0,MIN(1,AA$6-Sites!$F$66))</f>
        <v>0.27032634219498897</v>
      </c>
      <c r="AB62" s="34">
        <f ca="1">Sites!$E$66*MAX(0,MIN(1,AB$6-Sites!$F$66))</f>
        <v>0.27032634219498897</v>
      </c>
      <c r="AC62" s="34">
        <f ca="1">Sites!$E$66*MAX(0,MIN(1,AC$6-Sites!$F$66))</f>
        <v>0.27032634219498897</v>
      </c>
      <c r="AD62" s="34">
        <f ca="1">Sites!$E$66*MAX(0,MIN(1,AD$6-Sites!$F$66))</f>
        <v>0.27032634219498897</v>
      </c>
      <c r="AE62" s="34">
        <f ca="1">Sites!$E$66*MAX(0,MIN(1,AE$6-Sites!$F$66))</f>
        <v>0.27032634219498897</v>
      </c>
      <c r="AF62" s="34">
        <f ca="1">Sites!$E$66*MAX(0,MIN(1,AF$6-Sites!$F$66))</f>
        <v>0.27032634219498897</v>
      </c>
      <c r="AG62" s="34">
        <f ca="1">Sites!$E$66*MAX(0,MIN(1,AG$6-Sites!$F$66))</f>
        <v>0.27032634219498897</v>
      </c>
      <c r="AH62" s="34">
        <f ca="1">Sites!$E$66*MAX(0,MIN(1,AH$6-Sites!$F$66))</f>
        <v>0.27032634219498897</v>
      </c>
      <c r="AI62" s="34">
        <f ca="1">Sites!$E$66*MAX(0,MIN(1,AI$6-Sites!$F$66))</f>
        <v>0.27032634219498897</v>
      </c>
      <c r="AJ62" s="34">
        <f ca="1">Sites!$E$66*MAX(0,MIN(1,AJ$6-Sites!$F$66))</f>
        <v>0.27032634219498897</v>
      </c>
      <c r="AK62" s="34">
        <f ca="1">Sites!$E$66*MAX(0,MIN(1,AK$6-Sites!$F$66))</f>
        <v>0.27032634219498897</v>
      </c>
      <c r="AL62" s="34">
        <f ca="1">Sites!$E$66*MAX(0,MIN(1,AL$6-Sites!$F$66))</f>
        <v>0.27032634219498897</v>
      </c>
      <c r="AM62" s="34">
        <f ca="1">Sites!$E$66*MAX(0,MIN(1,AM$6-Sites!$F$66))</f>
        <v>0.27032634219498897</v>
      </c>
      <c r="AN62" s="34">
        <f ca="1">Sites!$E$66*MAX(0,MIN(1,AN$6-Sites!$F$66))</f>
        <v>0.27032634219498897</v>
      </c>
      <c r="AO62" s="34">
        <f ca="1">Sites!$E$66*MAX(0,MIN(1,AO$6-Sites!$F$66))</f>
        <v>0.27032634219498897</v>
      </c>
      <c r="AP62" s="34">
        <f ca="1">Sites!$E$66*MAX(0,MIN(1,AP$6-Sites!$F$66))</f>
        <v>0.27032634219498897</v>
      </c>
      <c r="AQ62" s="34">
        <f ca="1">Sites!$E$66*MAX(0,MIN(1,AQ$6-Sites!$F$66))</f>
        <v>0.27032634219498897</v>
      </c>
      <c r="AR62" s="34">
        <f ca="1">Sites!$E$66*MAX(0,MIN(1,AR$6-Sites!$F$66))</f>
        <v>0.27032634219498897</v>
      </c>
      <c r="AS62" s="34">
        <f ca="1">Sites!$E$66*MAX(0,MIN(1,AS$6-Sites!$F$66))</f>
        <v>0.27032634219498897</v>
      </c>
      <c r="AT62" s="34">
        <f ca="1">Sites!$E$66*MAX(0,MIN(1,AT$6-Sites!$F$66))</f>
        <v>0.27032634219498897</v>
      </c>
      <c r="AU62" s="34">
        <f ca="1">Sites!$E$66*MAX(0,MIN(1,AU$6-Sites!$F$66))</f>
        <v>0.27032634219498897</v>
      </c>
      <c r="AV62" s="34">
        <f ca="1">Sites!$E$66*MAX(0,MIN(1,AV$6-Sites!$F$66))</f>
        <v>0.27032634219498897</v>
      </c>
      <c r="AW62" s="34">
        <f ca="1">Sites!$E$66*MAX(0,MIN(1,AW$6-Sites!$F$66))</f>
        <v>0.27032634219498897</v>
      </c>
      <c r="AX62" s="34">
        <f ca="1">Sites!$E$66*MAX(0,MIN(1,AX$6-Sites!$F$66))</f>
        <v>0.27032634219498897</v>
      </c>
      <c r="AY62" s="34">
        <f ca="1">Sites!$E$66*MAX(0,MIN(1,AY$6-Sites!$F$66))</f>
        <v>0.27032634219498897</v>
      </c>
      <c r="AZ62" s="34">
        <f ca="1">Sites!$E$66*MAX(0,MIN(1,AZ$6-Sites!$F$66))</f>
        <v>0.27032634219498897</v>
      </c>
      <c r="BA62" s="34">
        <f ca="1">Sites!$E$66*MAX(0,MIN(1,BA$6-Sites!$F$66))</f>
        <v>0.27032634219498897</v>
      </c>
    </row>
    <row r="63" spans="2:53" x14ac:dyDescent="0.45">
      <c r="B63" s="52">
        <f>Sites!$B$67</f>
        <v>46</v>
      </c>
      <c r="C63" s="26" t="s">
        <v>107</v>
      </c>
      <c r="D63" s="28"/>
      <c r="E63" s="28"/>
      <c r="F63" s="34">
        <f ca="1">Sites!$E$67*MAX(0,MIN(1,F$6-Sites!$F$67))</f>
        <v>0</v>
      </c>
      <c r="G63" s="34">
        <f ca="1">Sites!$E$67*MAX(0,MIN(1,G$6-Sites!$F$67))</f>
        <v>3.6435869864899766E-2</v>
      </c>
      <c r="H63" s="34">
        <f ca="1">Sites!$E$67*MAX(0,MIN(1,H$6-Sites!$F$67))</f>
        <v>0.60054341879456385</v>
      </c>
      <c r="I63" s="34">
        <f ca="1">Sites!$E$67*MAX(0,MIN(1,I$6-Sites!$F$67))</f>
        <v>0.60054341879456385</v>
      </c>
      <c r="J63" s="34">
        <f ca="1">Sites!$E$67*MAX(0,MIN(1,J$6-Sites!$F$67))</f>
        <v>0.60054341879456385</v>
      </c>
      <c r="K63" s="34">
        <f ca="1">Sites!$E$67*MAX(0,MIN(1,K$6-Sites!$F$67))</f>
        <v>0.60054341879456385</v>
      </c>
      <c r="L63" s="34">
        <f ca="1">Sites!$E$67*MAX(0,MIN(1,L$6-Sites!$F$67))</f>
        <v>0.60054341879456385</v>
      </c>
      <c r="M63" s="34">
        <f ca="1">Sites!$E$67*MAX(0,MIN(1,M$6-Sites!$F$67))</f>
        <v>0.60054341879456385</v>
      </c>
      <c r="N63" s="34">
        <f ca="1">Sites!$E$67*MAX(0,MIN(1,N$6-Sites!$F$67))</f>
        <v>0.60054341879456385</v>
      </c>
      <c r="O63" s="34">
        <f ca="1">Sites!$E$67*MAX(0,MIN(1,O$6-Sites!$F$67))</f>
        <v>0.60054341879456385</v>
      </c>
      <c r="P63" s="34">
        <f ca="1">Sites!$E$67*MAX(0,MIN(1,P$6-Sites!$F$67))</f>
        <v>0.60054341879456385</v>
      </c>
      <c r="Q63" s="34">
        <f ca="1">Sites!$E$67*MAX(0,MIN(1,Q$6-Sites!$F$67))</f>
        <v>0.60054341879456385</v>
      </c>
      <c r="R63" s="34">
        <f ca="1">Sites!$E$67*MAX(0,MIN(1,R$6-Sites!$F$67))</f>
        <v>0.60054341879456385</v>
      </c>
      <c r="S63" s="34">
        <f ca="1">Sites!$E$67*MAX(0,MIN(1,S$6-Sites!$F$67))</f>
        <v>0.60054341879456385</v>
      </c>
      <c r="T63" s="34">
        <f ca="1">Sites!$E$67*MAX(0,MIN(1,T$6-Sites!$F$67))</f>
        <v>0.60054341879456385</v>
      </c>
      <c r="U63" s="34">
        <f ca="1">Sites!$E$67*MAX(0,MIN(1,U$6-Sites!$F$67))</f>
        <v>0.60054341879456385</v>
      </c>
      <c r="V63" s="34">
        <f ca="1">Sites!$E$67*MAX(0,MIN(1,V$6-Sites!$F$67))</f>
        <v>0.60054341879456385</v>
      </c>
      <c r="W63" s="34">
        <f ca="1">Sites!$E$67*MAX(0,MIN(1,W$6-Sites!$F$67))</f>
        <v>0.60054341879456385</v>
      </c>
      <c r="X63" s="34">
        <f ca="1">Sites!$E$67*MAX(0,MIN(1,X$6-Sites!$F$67))</f>
        <v>0.60054341879456385</v>
      </c>
      <c r="Y63" s="34">
        <f ca="1">Sites!$E$67*MAX(0,MIN(1,Y$6-Sites!$F$67))</f>
        <v>0.60054341879456385</v>
      </c>
      <c r="Z63" s="34">
        <f ca="1">Sites!$E$67*MAX(0,MIN(1,Z$6-Sites!$F$67))</f>
        <v>0.60054341879456385</v>
      </c>
      <c r="AA63" s="34">
        <f ca="1">Sites!$E$67*MAX(0,MIN(1,AA$6-Sites!$F$67))</f>
        <v>0.60054341879456385</v>
      </c>
      <c r="AB63" s="34">
        <f ca="1">Sites!$E$67*MAX(0,MIN(1,AB$6-Sites!$F$67))</f>
        <v>0.60054341879456385</v>
      </c>
      <c r="AC63" s="34">
        <f ca="1">Sites!$E$67*MAX(0,MIN(1,AC$6-Sites!$F$67))</f>
        <v>0.60054341879456385</v>
      </c>
      <c r="AD63" s="34">
        <f ca="1">Sites!$E$67*MAX(0,MIN(1,AD$6-Sites!$F$67))</f>
        <v>0.60054341879456385</v>
      </c>
      <c r="AE63" s="34">
        <f ca="1">Sites!$E$67*MAX(0,MIN(1,AE$6-Sites!$F$67))</f>
        <v>0.60054341879456385</v>
      </c>
      <c r="AF63" s="34">
        <f ca="1">Sites!$E$67*MAX(0,MIN(1,AF$6-Sites!$F$67))</f>
        <v>0.60054341879456385</v>
      </c>
      <c r="AG63" s="34">
        <f ca="1">Sites!$E$67*MAX(0,MIN(1,AG$6-Sites!$F$67))</f>
        <v>0.60054341879456385</v>
      </c>
      <c r="AH63" s="34">
        <f ca="1">Sites!$E$67*MAX(0,MIN(1,AH$6-Sites!$F$67))</f>
        <v>0.60054341879456385</v>
      </c>
      <c r="AI63" s="34">
        <f ca="1">Sites!$E$67*MAX(0,MIN(1,AI$6-Sites!$F$67))</f>
        <v>0.60054341879456385</v>
      </c>
      <c r="AJ63" s="34">
        <f ca="1">Sites!$E$67*MAX(0,MIN(1,AJ$6-Sites!$F$67))</f>
        <v>0.60054341879456385</v>
      </c>
      <c r="AK63" s="34">
        <f ca="1">Sites!$E$67*MAX(0,MIN(1,AK$6-Sites!$F$67))</f>
        <v>0.60054341879456385</v>
      </c>
      <c r="AL63" s="34">
        <f ca="1">Sites!$E$67*MAX(0,MIN(1,AL$6-Sites!$F$67))</f>
        <v>0.60054341879456385</v>
      </c>
      <c r="AM63" s="34">
        <f ca="1">Sites!$E$67*MAX(0,MIN(1,AM$6-Sites!$F$67))</f>
        <v>0.60054341879456385</v>
      </c>
      <c r="AN63" s="34">
        <f ca="1">Sites!$E$67*MAX(0,MIN(1,AN$6-Sites!$F$67))</f>
        <v>0.60054341879456385</v>
      </c>
      <c r="AO63" s="34">
        <f ca="1">Sites!$E$67*MAX(0,MIN(1,AO$6-Sites!$F$67))</f>
        <v>0.60054341879456385</v>
      </c>
      <c r="AP63" s="34">
        <f ca="1">Sites!$E$67*MAX(0,MIN(1,AP$6-Sites!$F$67))</f>
        <v>0.60054341879456385</v>
      </c>
      <c r="AQ63" s="34">
        <f ca="1">Sites!$E$67*MAX(0,MIN(1,AQ$6-Sites!$F$67))</f>
        <v>0.60054341879456385</v>
      </c>
      <c r="AR63" s="34">
        <f ca="1">Sites!$E$67*MAX(0,MIN(1,AR$6-Sites!$F$67))</f>
        <v>0.60054341879456385</v>
      </c>
      <c r="AS63" s="34">
        <f ca="1">Sites!$E$67*MAX(0,MIN(1,AS$6-Sites!$F$67))</f>
        <v>0.60054341879456385</v>
      </c>
      <c r="AT63" s="34">
        <f ca="1">Sites!$E$67*MAX(0,MIN(1,AT$6-Sites!$F$67))</f>
        <v>0.60054341879456385</v>
      </c>
      <c r="AU63" s="34">
        <f ca="1">Sites!$E$67*MAX(0,MIN(1,AU$6-Sites!$F$67))</f>
        <v>0.60054341879456385</v>
      </c>
      <c r="AV63" s="34">
        <f ca="1">Sites!$E$67*MAX(0,MIN(1,AV$6-Sites!$F$67))</f>
        <v>0.60054341879456385</v>
      </c>
      <c r="AW63" s="34">
        <f ca="1">Sites!$E$67*MAX(0,MIN(1,AW$6-Sites!$F$67))</f>
        <v>0.60054341879456385</v>
      </c>
      <c r="AX63" s="34">
        <f ca="1">Sites!$E$67*MAX(0,MIN(1,AX$6-Sites!$F$67))</f>
        <v>0.60054341879456385</v>
      </c>
      <c r="AY63" s="34">
        <f ca="1">Sites!$E$67*MAX(0,MIN(1,AY$6-Sites!$F$67))</f>
        <v>0.60054341879456385</v>
      </c>
      <c r="AZ63" s="34">
        <f ca="1">Sites!$E$67*MAX(0,MIN(1,AZ$6-Sites!$F$67))</f>
        <v>0.60054341879456385</v>
      </c>
      <c r="BA63" s="34">
        <f ca="1">Sites!$E$67*MAX(0,MIN(1,BA$6-Sites!$F$67))</f>
        <v>0.60054341879456385</v>
      </c>
    </row>
    <row r="64" spans="2:53" x14ac:dyDescent="0.45">
      <c r="B64" s="52">
        <f>Sites!$B$68</f>
        <v>47</v>
      </c>
      <c r="C64" s="26" t="s">
        <v>107</v>
      </c>
      <c r="D64" s="28"/>
      <c r="E64" s="28"/>
      <c r="F64" s="34">
        <f ca="1">Sites!$E$68*MAX(0,MIN(1,F$6-Sites!$F$68))</f>
        <v>0</v>
      </c>
      <c r="G64" s="34">
        <f ca="1">Sites!$E$68*MAX(0,MIN(1,G$6-Sites!$F$68))</f>
        <v>0</v>
      </c>
      <c r="H64" s="34">
        <f ca="1">Sites!$E$68*MAX(0,MIN(1,H$6-Sites!$F$68))</f>
        <v>2.3131796978506855E-3</v>
      </c>
      <c r="I64" s="34">
        <f ca="1">Sites!$E$68*MAX(0,MIN(1,I$6-Sites!$F$68))</f>
        <v>0.14002451351221812</v>
      </c>
      <c r="J64" s="34">
        <f ca="1">Sites!$E$68*MAX(0,MIN(1,J$6-Sites!$F$68))</f>
        <v>0.14002451351221812</v>
      </c>
      <c r="K64" s="34">
        <f ca="1">Sites!$E$68*MAX(0,MIN(1,K$6-Sites!$F$68))</f>
        <v>0.14002451351221812</v>
      </c>
      <c r="L64" s="34">
        <f ca="1">Sites!$E$68*MAX(0,MIN(1,L$6-Sites!$F$68))</f>
        <v>0.14002451351221812</v>
      </c>
      <c r="M64" s="34">
        <f ca="1">Sites!$E$68*MAX(0,MIN(1,M$6-Sites!$F$68))</f>
        <v>0.14002451351221812</v>
      </c>
      <c r="N64" s="34">
        <f ca="1">Sites!$E$68*MAX(0,MIN(1,N$6-Sites!$F$68))</f>
        <v>0.14002451351221812</v>
      </c>
      <c r="O64" s="34">
        <f ca="1">Sites!$E$68*MAX(0,MIN(1,O$6-Sites!$F$68))</f>
        <v>0.14002451351221812</v>
      </c>
      <c r="P64" s="34">
        <f ca="1">Sites!$E$68*MAX(0,MIN(1,P$6-Sites!$F$68))</f>
        <v>0.14002451351221812</v>
      </c>
      <c r="Q64" s="34">
        <f ca="1">Sites!$E$68*MAX(0,MIN(1,Q$6-Sites!$F$68))</f>
        <v>0.14002451351221812</v>
      </c>
      <c r="R64" s="34">
        <f ca="1">Sites!$E$68*MAX(0,MIN(1,R$6-Sites!$F$68))</f>
        <v>0.14002451351221812</v>
      </c>
      <c r="S64" s="34">
        <f ca="1">Sites!$E$68*MAX(0,MIN(1,S$6-Sites!$F$68))</f>
        <v>0.14002451351221812</v>
      </c>
      <c r="T64" s="34">
        <f ca="1">Sites!$E$68*MAX(0,MIN(1,T$6-Sites!$F$68))</f>
        <v>0.14002451351221812</v>
      </c>
      <c r="U64" s="34">
        <f ca="1">Sites!$E$68*MAX(0,MIN(1,U$6-Sites!$F$68))</f>
        <v>0.14002451351221812</v>
      </c>
      <c r="V64" s="34">
        <f ca="1">Sites!$E$68*MAX(0,MIN(1,V$6-Sites!$F$68))</f>
        <v>0.14002451351221812</v>
      </c>
      <c r="W64" s="34">
        <f ca="1">Sites!$E$68*MAX(0,MIN(1,W$6-Sites!$F$68))</f>
        <v>0.14002451351221812</v>
      </c>
      <c r="X64" s="34">
        <f ca="1">Sites!$E$68*MAX(0,MIN(1,X$6-Sites!$F$68))</f>
        <v>0.14002451351221812</v>
      </c>
      <c r="Y64" s="34">
        <f ca="1">Sites!$E$68*MAX(0,MIN(1,Y$6-Sites!$F$68))</f>
        <v>0.14002451351221812</v>
      </c>
      <c r="Z64" s="34">
        <f ca="1">Sites!$E$68*MAX(0,MIN(1,Z$6-Sites!$F$68))</f>
        <v>0.14002451351221812</v>
      </c>
      <c r="AA64" s="34">
        <f ca="1">Sites!$E$68*MAX(0,MIN(1,AA$6-Sites!$F$68))</f>
        <v>0.14002451351221812</v>
      </c>
      <c r="AB64" s="34">
        <f ca="1">Sites!$E$68*MAX(0,MIN(1,AB$6-Sites!$F$68))</f>
        <v>0.14002451351221812</v>
      </c>
      <c r="AC64" s="34">
        <f ca="1">Sites!$E$68*MAX(0,MIN(1,AC$6-Sites!$F$68))</f>
        <v>0.14002451351221812</v>
      </c>
      <c r="AD64" s="34">
        <f ca="1">Sites!$E$68*MAX(0,MIN(1,AD$6-Sites!$F$68))</f>
        <v>0.14002451351221812</v>
      </c>
      <c r="AE64" s="34">
        <f ca="1">Sites!$E$68*MAX(0,MIN(1,AE$6-Sites!$F$68))</f>
        <v>0.14002451351221812</v>
      </c>
      <c r="AF64" s="34">
        <f ca="1">Sites!$E$68*MAX(0,MIN(1,AF$6-Sites!$F$68))</f>
        <v>0.14002451351221812</v>
      </c>
      <c r="AG64" s="34">
        <f ca="1">Sites!$E$68*MAX(0,MIN(1,AG$6-Sites!$F$68))</f>
        <v>0.14002451351221812</v>
      </c>
      <c r="AH64" s="34">
        <f ca="1">Sites!$E$68*MAX(0,MIN(1,AH$6-Sites!$F$68))</f>
        <v>0.14002451351221812</v>
      </c>
      <c r="AI64" s="34">
        <f ca="1">Sites!$E$68*MAX(0,MIN(1,AI$6-Sites!$F$68))</f>
        <v>0.14002451351221812</v>
      </c>
      <c r="AJ64" s="34">
        <f ca="1">Sites!$E$68*MAX(0,MIN(1,AJ$6-Sites!$F$68))</f>
        <v>0.14002451351221812</v>
      </c>
      <c r="AK64" s="34">
        <f ca="1">Sites!$E$68*MAX(0,MIN(1,AK$6-Sites!$F$68))</f>
        <v>0.14002451351221812</v>
      </c>
      <c r="AL64" s="34">
        <f ca="1">Sites!$E$68*MAX(0,MIN(1,AL$6-Sites!$F$68))</f>
        <v>0.14002451351221812</v>
      </c>
      <c r="AM64" s="34">
        <f ca="1">Sites!$E$68*MAX(0,MIN(1,AM$6-Sites!$F$68))</f>
        <v>0.14002451351221812</v>
      </c>
      <c r="AN64" s="34">
        <f ca="1">Sites!$E$68*MAX(0,MIN(1,AN$6-Sites!$F$68))</f>
        <v>0.14002451351221812</v>
      </c>
      <c r="AO64" s="34">
        <f ca="1">Sites!$E$68*MAX(0,MIN(1,AO$6-Sites!$F$68))</f>
        <v>0.14002451351221812</v>
      </c>
      <c r="AP64" s="34">
        <f ca="1">Sites!$E$68*MAX(0,MIN(1,AP$6-Sites!$F$68))</f>
        <v>0.14002451351221812</v>
      </c>
      <c r="AQ64" s="34">
        <f ca="1">Sites!$E$68*MAX(0,MIN(1,AQ$6-Sites!$F$68))</f>
        <v>0.14002451351221812</v>
      </c>
      <c r="AR64" s="34">
        <f ca="1">Sites!$E$68*MAX(0,MIN(1,AR$6-Sites!$F$68))</f>
        <v>0.14002451351221812</v>
      </c>
      <c r="AS64" s="34">
        <f ca="1">Sites!$E$68*MAX(0,MIN(1,AS$6-Sites!$F$68))</f>
        <v>0.14002451351221812</v>
      </c>
      <c r="AT64" s="34">
        <f ca="1">Sites!$E$68*MAX(0,MIN(1,AT$6-Sites!$F$68))</f>
        <v>0.14002451351221812</v>
      </c>
      <c r="AU64" s="34">
        <f ca="1">Sites!$E$68*MAX(0,MIN(1,AU$6-Sites!$F$68))</f>
        <v>0.14002451351221812</v>
      </c>
      <c r="AV64" s="34">
        <f ca="1">Sites!$E$68*MAX(0,MIN(1,AV$6-Sites!$F$68))</f>
        <v>0.14002451351221812</v>
      </c>
      <c r="AW64" s="34">
        <f ca="1">Sites!$E$68*MAX(0,MIN(1,AW$6-Sites!$F$68))</f>
        <v>0.14002451351221812</v>
      </c>
      <c r="AX64" s="34">
        <f ca="1">Sites!$E$68*MAX(0,MIN(1,AX$6-Sites!$F$68))</f>
        <v>0.14002451351221812</v>
      </c>
      <c r="AY64" s="34">
        <f ca="1">Sites!$E$68*MAX(0,MIN(1,AY$6-Sites!$F$68))</f>
        <v>0.14002451351221812</v>
      </c>
      <c r="AZ64" s="34">
        <f ca="1">Sites!$E$68*MAX(0,MIN(1,AZ$6-Sites!$F$68))</f>
        <v>0.14002451351221812</v>
      </c>
      <c r="BA64" s="34">
        <f ca="1">Sites!$E$68*MAX(0,MIN(1,BA$6-Sites!$F$68))</f>
        <v>0.14002451351221812</v>
      </c>
    </row>
    <row r="65" spans="2:53" x14ac:dyDescent="0.45">
      <c r="B65" s="52">
        <f>Sites!$B$69</f>
        <v>48</v>
      </c>
      <c r="C65" s="26" t="s">
        <v>107</v>
      </c>
      <c r="D65" s="28"/>
      <c r="E65" s="28"/>
      <c r="F65" s="34">
        <f ca="1">Sites!$E$69*MAX(0,MIN(1,F$6-Sites!$F$69))</f>
        <v>0</v>
      </c>
      <c r="G65" s="34">
        <f ca="1">Sites!$E$69*MAX(0,MIN(1,G$6-Sites!$F$69))</f>
        <v>0</v>
      </c>
      <c r="H65" s="34">
        <f ca="1">Sites!$E$69*MAX(0,MIN(1,H$6-Sites!$F$69))</f>
        <v>0</v>
      </c>
      <c r="I65" s="34">
        <f ca="1">Sites!$E$69*MAX(0,MIN(1,I$6-Sites!$F$69))</f>
        <v>0</v>
      </c>
      <c r="J65" s="34">
        <f ca="1">Sites!$E$69*MAX(0,MIN(1,J$6-Sites!$F$69))</f>
        <v>0</v>
      </c>
      <c r="K65" s="34">
        <f ca="1">Sites!$E$69*MAX(0,MIN(1,K$6-Sites!$F$69))</f>
        <v>0.34936503537787056</v>
      </c>
      <c r="L65" s="34">
        <f ca="1">Sites!$E$69*MAX(0,MIN(1,L$6-Sites!$F$69))</f>
        <v>0.5856680885848774</v>
      </c>
      <c r="M65" s="34">
        <f ca="1">Sites!$E$69*MAX(0,MIN(1,M$6-Sites!$F$69))</f>
        <v>0.5856680885848774</v>
      </c>
      <c r="N65" s="34">
        <f ca="1">Sites!$E$69*MAX(0,MIN(1,N$6-Sites!$F$69))</f>
        <v>0.5856680885848774</v>
      </c>
      <c r="O65" s="34">
        <f ca="1">Sites!$E$69*MAX(0,MIN(1,O$6-Sites!$F$69))</f>
        <v>0.5856680885848774</v>
      </c>
      <c r="P65" s="34">
        <f ca="1">Sites!$E$69*MAX(0,MIN(1,P$6-Sites!$F$69))</f>
        <v>0.5856680885848774</v>
      </c>
      <c r="Q65" s="34">
        <f ca="1">Sites!$E$69*MAX(0,MIN(1,Q$6-Sites!$F$69))</f>
        <v>0.5856680885848774</v>
      </c>
      <c r="R65" s="34">
        <f ca="1">Sites!$E$69*MAX(0,MIN(1,R$6-Sites!$F$69))</f>
        <v>0.5856680885848774</v>
      </c>
      <c r="S65" s="34">
        <f ca="1">Sites!$E$69*MAX(0,MIN(1,S$6-Sites!$F$69))</f>
        <v>0.5856680885848774</v>
      </c>
      <c r="T65" s="34">
        <f ca="1">Sites!$E$69*MAX(0,MIN(1,T$6-Sites!$F$69))</f>
        <v>0.5856680885848774</v>
      </c>
      <c r="U65" s="34">
        <f ca="1">Sites!$E$69*MAX(0,MIN(1,U$6-Sites!$F$69))</f>
        <v>0.5856680885848774</v>
      </c>
      <c r="V65" s="34">
        <f ca="1">Sites!$E$69*MAX(0,MIN(1,V$6-Sites!$F$69))</f>
        <v>0.5856680885848774</v>
      </c>
      <c r="W65" s="34">
        <f ca="1">Sites!$E$69*MAX(0,MIN(1,W$6-Sites!$F$69))</f>
        <v>0.5856680885848774</v>
      </c>
      <c r="X65" s="34">
        <f ca="1">Sites!$E$69*MAX(0,MIN(1,X$6-Sites!$F$69))</f>
        <v>0.5856680885848774</v>
      </c>
      <c r="Y65" s="34">
        <f ca="1">Sites!$E$69*MAX(0,MIN(1,Y$6-Sites!$F$69))</f>
        <v>0.5856680885848774</v>
      </c>
      <c r="Z65" s="34">
        <f ca="1">Sites!$E$69*MAX(0,MIN(1,Z$6-Sites!$F$69))</f>
        <v>0.5856680885848774</v>
      </c>
      <c r="AA65" s="34">
        <f ca="1">Sites!$E$69*MAX(0,MIN(1,AA$6-Sites!$F$69))</f>
        <v>0.5856680885848774</v>
      </c>
      <c r="AB65" s="34">
        <f ca="1">Sites!$E$69*MAX(0,MIN(1,AB$6-Sites!$F$69))</f>
        <v>0.5856680885848774</v>
      </c>
      <c r="AC65" s="34">
        <f ca="1">Sites!$E$69*MAX(0,MIN(1,AC$6-Sites!$F$69))</f>
        <v>0.5856680885848774</v>
      </c>
      <c r="AD65" s="34">
        <f ca="1">Sites!$E$69*MAX(0,MIN(1,AD$6-Sites!$F$69))</f>
        <v>0.5856680885848774</v>
      </c>
      <c r="AE65" s="34">
        <f ca="1">Sites!$E$69*MAX(0,MIN(1,AE$6-Sites!$F$69))</f>
        <v>0.5856680885848774</v>
      </c>
      <c r="AF65" s="34">
        <f ca="1">Sites!$E$69*MAX(0,MIN(1,AF$6-Sites!$F$69))</f>
        <v>0.5856680885848774</v>
      </c>
      <c r="AG65" s="34">
        <f ca="1">Sites!$E$69*MAX(0,MIN(1,AG$6-Sites!$F$69))</f>
        <v>0.5856680885848774</v>
      </c>
      <c r="AH65" s="34">
        <f ca="1">Sites!$E$69*MAX(0,MIN(1,AH$6-Sites!$F$69))</f>
        <v>0.5856680885848774</v>
      </c>
      <c r="AI65" s="34">
        <f ca="1">Sites!$E$69*MAX(0,MIN(1,AI$6-Sites!$F$69))</f>
        <v>0.5856680885848774</v>
      </c>
      <c r="AJ65" s="34">
        <f ca="1">Sites!$E$69*MAX(0,MIN(1,AJ$6-Sites!$F$69))</f>
        <v>0.5856680885848774</v>
      </c>
      <c r="AK65" s="34">
        <f ca="1">Sites!$E$69*MAX(0,MIN(1,AK$6-Sites!$F$69))</f>
        <v>0.5856680885848774</v>
      </c>
      <c r="AL65" s="34">
        <f ca="1">Sites!$E$69*MAX(0,MIN(1,AL$6-Sites!$F$69))</f>
        <v>0.5856680885848774</v>
      </c>
      <c r="AM65" s="34">
        <f ca="1">Sites!$E$69*MAX(0,MIN(1,AM$6-Sites!$F$69))</f>
        <v>0.5856680885848774</v>
      </c>
      <c r="AN65" s="34">
        <f ca="1">Sites!$E$69*MAX(0,MIN(1,AN$6-Sites!$F$69))</f>
        <v>0.5856680885848774</v>
      </c>
      <c r="AO65" s="34">
        <f ca="1">Sites!$E$69*MAX(0,MIN(1,AO$6-Sites!$F$69))</f>
        <v>0.5856680885848774</v>
      </c>
      <c r="AP65" s="34">
        <f ca="1">Sites!$E$69*MAX(0,MIN(1,AP$6-Sites!$F$69))</f>
        <v>0.5856680885848774</v>
      </c>
      <c r="AQ65" s="34">
        <f ca="1">Sites!$E$69*MAX(0,MIN(1,AQ$6-Sites!$F$69))</f>
        <v>0.5856680885848774</v>
      </c>
      <c r="AR65" s="34">
        <f ca="1">Sites!$E$69*MAX(0,MIN(1,AR$6-Sites!$F$69))</f>
        <v>0.5856680885848774</v>
      </c>
      <c r="AS65" s="34">
        <f ca="1">Sites!$E$69*MAX(0,MIN(1,AS$6-Sites!$F$69))</f>
        <v>0.5856680885848774</v>
      </c>
      <c r="AT65" s="34">
        <f ca="1">Sites!$E$69*MAX(0,MIN(1,AT$6-Sites!$F$69))</f>
        <v>0.5856680885848774</v>
      </c>
      <c r="AU65" s="34">
        <f ca="1">Sites!$E$69*MAX(0,MIN(1,AU$6-Sites!$F$69))</f>
        <v>0.5856680885848774</v>
      </c>
      <c r="AV65" s="34">
        <f ca="1">Sites!$E$69*MAX(0,MIN(1,AV$6-Sites!$F$69))</f>
        <v>0.5856680885848774</v>
      </c>
      <c r="AW65" s="34">
        <f ca="1">Sites!$E$69*MAX(0,MIN(1,AW$6-Sites!$F$69))</f>
        <v>0.5856680885848774</v>
      </c>
      <c r="AX65" s="34">
        <f ca="1">Sites!$E$69*MAX(0,MIN(1,AX$6-Sites!$F$69))</f>
        <v>0.5856680885848774</v>
      </c>
      <c r="AY65" s="34">
        <f ca="1">Sites!$E$69*MAX(0,MIN(1,AY$6-Sites!$F$69))</f>
        <v>0.5856680885848774</v>
      </c>
      <c r="AZ65" s="34">
        <f ca="1">Sites!$E$69*MAX(0,MIN(1,AZ$6-Sites!$F$69))</f>
        <v>0.5856680885848774</v>
      </c>
      <c r="BA65" s="34">
        <f ca="1">Sites!$E$69*MAX(0,MIN(1,BA$6-Sites!$F$69))</f>
        <v>0.5856680885848774</v>
      </c>
    </row>
    <row r="66" spans="2:53" x14ac:dyDescent="0.45">
      <c r="B66" s="52">
        <f>Sites!$B$70</f>
        <v>49</v>
      </c>
      <c r="C66" s="26" t="s">
        <v>107</v>
      </c>
      <c r="D66" s="28"/>
      <c r="E66" s="28"/>
      <c r="F66" s="34">
        <f ca="1">Sites!$E$70*MAX(0,MIN(1,F$6-Sites!$F$70))</f>
        <v>0</v>
      </c>
      <c r="G66" s="34">
        <f ca="1">Sites!$E$70*MAX(0,MIN(1,G$6-Sites!$F$70))</f>
        <v>0</v>
      </c>
      <c r="H66" s="34">
        <f ca="1">Sites!$E$70*MAX(0,MIN(1,H$6-Sites!$F$70))</f>
        <v>0</v>
      </c>
      <c r="I66" s="34">
        <f ca="1">Sites!$E$70*MAX(0,MIN(1,I$6-Sites!$F$70))</f>
        <v>0</v>
      </c>
      <c r="J66" s="34">
        <f ca="1">Sites!$E$70*MAX(0,MIN(1,J$6-Sites!$F$70))</f>
        <v>2.7066884950754513E-2</v>
      </c>
      <c r="K66" s="34">
        <f ca="1">Sites!$E$70*MAX(0,MIN(1,K$6-Sites!$F$70))</f>
        <v>0.42561122479221625</v>
      </c>
      <c r="L66" s="34">
        <f ca="1">Sites!$E$70*MAX(0,MIN(1,L$6-Sites!$F$70))</f>
        <v>0.42561122479221625</v>
      </c>
      <c r="M66" s="34">
        <f ca="1">Sites!$E$70*MAX(0,MIN(1,M$6-Sites!$F$70))</f>
        <v>0.42561122479221625</v>
      </c>
      <c r="N66" s="34">
        <f ca="1">Sites!$E$70*MAX(0,MIN(1,N$6-Sites!$F$70))</f>
        <v>0.42561122479221625</v>
      </c>
      <c r="O66" s="34">
        <f ca="1">Sites!$E$70*MAX(0,MIN(1,O$6-Sites!$F$70))</f>
        <v>0.42561122479221625</v>
      </c>
      <c r="P66" s="34">
        <f ca="1">Sites!$E$70*MAX(0,MIN(1,P$6-Sites!$F$70))</f>
        <v>0.42561122479221625</v>
      </c>
      <c r="Q66" s="34">
        <f ca="1">Sites!$E$70*MAX(0,MIN(1,Q$6-Sites!$F$70))</f>
        <v>0.42561122479221625</v>
      </c>
      <c r="R66" s="34">
        <f ca="1">Sites!$E$70*MAX(0,MIN(1,R$6-Sites!$F$70))</f>
        <v>0.42561122479221625</v>
      </c>
      <c r="S66" s="34">
        <f ca="1">Sites!$E$70*MAX(0,MIN(1,S$6-Sites!$F$70))</f>
        <v>0.42561122479221625</v>
      </c>
      <c r="T66" s="34">
        <f ca="1">Sites!$E$70*MAX(0,MIN(1,T$6-Sites!$F$70))</f>
        <v>0.42561122479221625</v>
      </c>
      <c r="U66" s="34">
        <f ca="1">Sites!$E$70*MAX(0,MIN(1,U$6-Sites!$F$70))</f>
        <v>0.42561122479221625</v>
      </c>
      <c r="V66" s="34">
        <f ca="1">Sites!$E$70*MAX(0,MIN(1,V$6-Sites!$F$70))</f>
        <v>0.42561122479221625</v>
      </c>
      <c r="W66" s="34">
        <f ca="1">Sites!$E$70*MAX(0,MIN(1,W$6-Sites!$F$70))</f>
        <v>0.42561122479221625</v>
      </c>
      <c r="X66" s="34">
        <f ca="1">Sites!$E$70*MAX(0,MIN(1,X$6-Sites!$F$70))</f>
        <v>0.42561122479221625</v>
      </c>
      <c r="Y66" s="34">
        <f ca="1">Sites!$E$70*MAX(0,MIN(1,Y$6-Sites!$F$70))</f>
        <v>0.42561122479221625</v>
      </c>
      <c r="Z66" s="34">
        <f ca="1">Sites!$E$70*MAX(0,MIN(1,Z$6-Sites!$F$70))</f>
        <v>0.42561122479221625</v>
      </c>
      <c r="AA66" s="34">
        <f ca="1">Sites!$E$70*MAX(0,MIN(1,AA$6-Sites!$F$70))</f>
        <v>0.42561122479221625</v>
      </c>
      <c r="AB66" s="34">
        <f ca="1">Sites!$E$70*MAX(0,MIN(1,AB$6-Sites!$F$70))</f>
        <v>0.42561122479221625</v>
      </c>
      <c r="AC66" s="34">
        <f ca="1">Sites!$E$70*MAX(0,MIN(1,AC$6-Sites!$F$70))</f>
        <v>0.42561122479221625</v>
      </c>
      <c r="AD66" s="34">
        <f ca="1">Sites!$E$70*MAX(0,MIN(1,AD$6-Sites!$F$70))</f>
        <v>0.42561122479221625</v>
      </c>
      <c r="AE66" s="34">
        <f ca="1">Sites!$E$70*MAX(0,MIN(1,AE$6-Sites!$F$70))</f>
        <v>0.42561122479221625</v>
      </c>
      <c r="AF66" s="34">
        <f ca="1">Sites!$E$70*MAX(0,MIN(1,AF$6-Sites!$F$70))</f>
        <v>0.42561122479221625</v>
      </c>
      <c r="AG66" s="34">
        <f ca="1">Sites!$E$70*MAX(0,MIN(1,AG$6-Sites!$F$70))</f>
        <v>0.42561122479221625</v>
      </c>
      <c r="AH66" s="34">
        <f ca="1">Sites!$E$70*MAX(0,MIN(1,AH$6-Sites!$F$70))</f>
        <v>0.42561122479221625</v>
      </c>
      <c r="AI66" s="34">
        <f ca="1">Sites!$E$70*MAX(0,MIN(1,AI$6-Sites!$F$70))</f>
        <v>0.42561122479221625</v>
      </c>
      <c r="AJ66" s="34">
        <f ca="1">Sites!$E$70*MAX(0,MIN(1,AJ$6-Sites!$F$70))</f>
        <v>0.42561122479221625</v>
      </c>
      <c r="AK66" s="34">
        <f ca="1">Sites!$E$70*MAX(0,MIN(1,AK$6-Sites!$F$70))</f>
        <v>0.42561122479221625</v>
      </c>
      <c r="AL66" s="34">
        <f ca="1">Sites!$E$70*MAX(0,MIN(1,AL$6-Sites!$F$70))</f>
        <v>0.42561122479221625</v>
      </c>
      <c r="AM66" s="34">
        <f ca="1">Sites!$E$70*MAX(0,MIN(1,AM$6-Sites!$F$70))</f>
        <v>0.42561122479221625</v>
      </c>
      <c r="AN66" s="34">
        <f ca="1">Sites!$E$70*MAX(0,MIN(1,AN$6-Sites!$F$70))</f>
        <v>0.42561122479221625</v>
      </c>
      <c r="AO66" s="34">
        <f ca="1">Sites!$E$70*MAX(0,MIN(1,AO$6-Sites!$F$70))</f>
        <v>0.42561122479221625</v>
      </c>
      <c r="AP66" s="34">
        <f ca="1">Sites!$E$70*MAX(0,MIN(1,AP$6-Sites!$F$70))</f>
        <v>0.42561122479221625</v>
      </c>
      <c r="AQ66" s="34">
        <f ca="1">Sites!$E$70*MAX(0,MIN(1,AQ$6-Sites!$F$70))</f>
        <v>0.42561122479221625</v>
      </c>
      <c r="AR66" s="34">
        <f ca="1">Sites!$E$70*MAX(0,MIN(1,AR$6-Sites!$F$70))</f>
        <v>0.42561122479221625</v>
      </c>
      <c r="AS66" s="34">
        <f ca="1">Sites!$E$70*MAX(0,MIN(1,AS$6-Sites!$F$70))</f>
        <v>0.42561122479221625</v>
      </c>
      <c r="AT66" s="34">
        <f ca="1">Sites!$E$70*MAX(0,MIN(1,AT$6-Sites!$F$70))</f>
        <v>0.42561122479221625</v>
      </c>
      <c r="AU66" s="34">
        <f ca="1">Sites!$E$70*MAX(0,MIN(1,AU$6-Sites!$F$70))</f>
        <v>0.42561122479221625</v>
      </c>
      <c r="AV66" s="34">
        <f ca="1">Sites!$E$70*MAX(0,MIN(1,AV$6-Sites!$F$70))</f>
        <v>0.42561122479221625</v>
      </c>
      <c r="AW66" s="34">
        <f ca="1">Sites!$E$70*MAX(0,MIN(1,AW$6-Sites!$F$70))</f>
        <v>0.42561122479221625</v>
      </c>
      <c r="AX66" s="34">
        <f ca="1">Sites!$E$70*MAX(0,MIN(1,AX$6-Sites!$F$70))</f>
        <v>0.42561122479221625</v>
      </c>
      <c r="AY66" s="34">
        <f ca="1">Sites!$E$70*MAX(0,MIN(1,AY$6-Sites!$F$70))</f>
        <v>0.42561122479221625</v>
      </c>
      <c r="AZ66" s="34">
        <f ca="1">Sites!$E$70*MAX(0,MIN(1,AZ$6-Sites!$F$70))</f>
        <v>0.42561122479221625</v>
      </c>
      <c r="BA66" s="34">
        <f ca="1">Sites!$E$70*MAX(0,MIN(1,BA$6-Sites!$F$70))</f>
        <v>0.42561122479221625</v>
      </c>
    </row>
    <row r="67" spans="2:53" x14ac:dyDescent="0.45">
      <c r="B67" s="52">
        <f>Sites!$B$71</f>
        <v>50</v>
      </c>
      <c r="C67" s="26" t="s">
        <v>107</v>
      </c>
      <c r="D67" s="28"/>
      <c r="E67" s="28"/>
      <c r="F67" s="34">
        <f ca="1">Sites!$E$71*MAX(0,MIN(1,F$6-Sites!$F$71))</f>
        <v>0</v>
      </c>
      <c r="G67" s="34">
        <f ca="1">Sites!$E$71*MAX(0,MIN(1,G$6-Sites!$F$71))</f>
        <v>0</v>
      </c>
      <c r="H67" s="34">
        <f ca="1">Sites!$E$71*MAX(0,MIN(1,H$6-Sites!$F$71))</f>
        <v>0</v>
      </c>
      <c r="I67" s="34">
        <f ca="1">Sites!$E$71*MAX(0,MIN(1,I$6-Sites!$F$71))</f>
        <v>5.6814870076711779E-2</v>
      </c>
      <c r="J67" s="34">
        <f ca="1">Sites!$E$71*MAX(0,MIN(1,J$6-Sites!$F$71))</f>
        <v>9.0936464446767201E-2</v>
      </c>
      <c r="K67" s="34">
        <f ca="1">Sites!$E$71*MAX(0,MIN(1,K$6-Sites!$F$71))</f>
        <v>9.0936464446767201E-2</v>
      </c>
      <c r="L67" s="34">
        <f ca="1">Sites!$E$71*MAX(0,MIN(1,L$6-Sites!$F$71))</f>
        <v>9.0936464446767201E-2</v>
      </c>
      <c r="M67" s="34">
        <f ca="1">Sites!$E$71*MAX(0,MIN(1,M$6-Sites!$F$71))</f>
        <v>9.0936464446767201E-2</v>
      </c>
      <c r="N67" s="34">
        <f ca="1">Sites!$E$71*MAX(0,MIN(1,N$6-Sites!$F$71))</f>
        <v>9.0936464446767201E-2</v>
      </c>
      <c r="O67" s="34">
        <f ca="1">Sites!$E$71*MAX(0,MIN(1,O$6-Sites!$F$71))</f>
        <v>9.0936464446767201E-2</v>
      </c>
      <c r="P67" s="34">
        <f ca="1">Sites!$E$71*MAX(0,MIN(1,P$6-Sites!$F$71))</f>
        <v>9.0936464446767201E-2</v>
      </c>
      <c r="Q67" s="34">
        <f ca="1">Sites!$E$71*MAX(0,MIN(1,Q$6-Sites!$F$71))</f>
        <v>9.0936464446767201E-2</v>
      </c>
      <c r="R67" s="34">
        <f ca="1">Sites!$E$71*MAX(0,MIN(1,R$6-Sites!$F$71))</f>
        <v>9.0936464446767201E-2</v>
      </c>
      <c r="S67" s="34">
        <f ca="1">Sites!$E$71*MAX(0,MIN(1,S$6-Sites!$F$71))</f>
        <v>9.0936464446767201E-2</v>
      </c>
      <c r="T67" s="34">
        <f ca="1">Sites!$E$71*MAX(0,MIN(1,T$6-Sites!$F$71))</f>
        <v>9.0936464446767201E-2</v>
      </c>
      <c r="U67" s="34">
        <f ca="1">Sites!$E$71*MAX(0,MIN(1,U$6-Sites!$F$71))</f>
        <v>9.0936464446767201E-2</v>
      </c>
      <c r="V67" s="34">
        <f ca="1">Sites!$E$71*MAX(0,MIN(1,V$6-Sites!$F$71))</f>
        <v>9.0936464446767201E-2</v>
      </c>
      <c r="W67" s="34">
        <f ca="1">Sites!$E$71*MAX(0,MIN(1,W$6-Sites!$F$71))</f>
        <v>9.0936464446767201E-2</v>
      </c>
      <c r="X67" s="34">
        <f ca="1">Sites!$E$71*MAX(0,MIN(1,X$6-Sites!$F$71))</f>
        <v>9.0936464446767201E-2</v>
      </c>
      <c r="Y67" s="34">
        <f ca="1">Sites!$E$71*MAX(0,MIN(1,Y$6-Sites!$F$71))</f>
        <v>9.0936464446767201E-2</v>
      </c>
      <c r="Z67" s="34">
        <f ca="1">Sites!$E$71*MAX(0,MIN(1,Z$6-Sites!$F$71))</f>
        <v>9.0936464446767201E-2</v>
      </c>
      <c r="AA67" s="34">
        <f ca="1">Sites!$E$71*MAX(0,MIN(1,AA$6-Sites!$F$71))</f>
        <v>9.0936464446767201E-2</v>
      </c>
      <c r="AB67" s="34">
        <f ca="1">Sites!$E$71*MAX(0,MIN(1,AB$6-Sites!$F$71))</f>
        <v>9.0936464446767201E-2</v>
      </c>
      <c r="AC67" s="34">
        <f ca="1">Sites!$E$71*MAX(0,MIN(1,AC$6-Sites!$F$71))</f>
        <v>9.0936464446767201E-2</v>
      </c>
      <c r="AD67" s="34">
        <f ca="1">Sites!$E$71*MAX(0,MIN(1,AD$6-Sites!$F$71))</f>
        <v>9.0936464446767201E-2</v>
      </c>
      <c r="AE67" s="34">
        <f ca="1">Sites!$E$71*MAX(0,MIN(1,AE$6-Sites!$F$71))</f>
        <v>9.0936464446767201E-2</v>
      </c>
      <c r="AF67" s="34">
        <f ca="1">Sites!$E$71*MAX(0,MIN(1,AF$6-Sites!$F$71))</f>
        <v>9.0936464446767201E-2</v>
      </c>
      <c r="AG67" s="34">
        <f ca="1">Sites!$E$71*MAX(0,MIN(1,AG$6-Sites!$F$71))</f>
        <v>9.0936464446767201E-2</v>
      </c>
      <c r="AH67" s="34">
        <f ca="1">Sites!$E$71*MAX(0,MIN(1,AH$6-Sites!$F$71))</f>
        <v>9.0936464446767201E-2</v>
      </c>
      <c r="AI67" s="34">
        <f ca="1">Sites!$E$71*MAX(0,MIN(1,AI$6-Sites!$F$71))</f>
        <v>9.0936464446767201E-2</v>
      </c>
      <c r="AJ67" s="34">
        <f ca="1">Sites!$E$71*MAX(0,MIN(1,AJ$6-Sites!$F$71))</f>
        <v>9.0936464446767201E-2</v>
      </c>
      <c r="AK67" s="34">
        <f ca="1">Sites!$E$71*MAX(0,MIN(1,AK$6-Sites!$F$71))</f>
        <v>9.0936464446767201E-2</v>
      </c>
      <c r="AL67" s="34">
        <f ca="1">Sites!$E$71*MAX(0,MIN(1,AL$6-Sites!$F$71))</f>
        <v>9.0936464446767201E-2</v>
      </c>
      <c r="AM67" s="34">
        <f ca="1">Sites!$E$71*MAX(0,MIN(1,AM$6-Sites!$F$71))</f>
        <v>9.0936464446767201E-2</v>
      </c>
      <c r="AN67" s="34">
        <f ca="1">Sites!$E$71*MAX(0,MIN(1,AN$6-Sites!$F$71))</f>
        <v>9.0936464446767201E-2</v>
      </c>
      <c r="AO67" s="34">
        <f ca="1">Sites!$E$71*MAX(0,MIN(1,AO$6-Sites!$F$71))</f>
        <v>9.0936464446767201E-2</v>
      </c>
      <c r="AP67" s="34">
        <f ca="1">Sites!$E$71*MAX(0,MIN(1,AP$6-Sites!$F$71))</f>
        <v>9.0936464446767201E-2</v>
      </c>
      <c r="AQ67" s="34">
        <f ca="1">Sites!$E$71*MAX(0,MIN(1,AQ$6-Sites!$F$71))</f>
        <v>9.0936464446767201E-2</v>
      </c>
      <c r="AR67" s="34">
        <f ca="1">Sites!$E$71*MAX(0,MIN(1,AR$6-Sites!$F$71))</f>
        <v>9.0936464446767201E-2</v>
      </c>
      <c r="AS67" s="34">
        <f ca="1">Sites!$E$71*MAX(0,MIN(1,AS$6-Sites!$F$71))</f>
        <v>9.0936464446767201E-2</v>
      </c>
      <c r="AT67" s="34">
        <f ca="1">Sites!$E$71*MAX(0,MIN(1,AT$6-Sites!$F$71))</f>
        <v>9.0936464446767201E-2</v>
      </c>
      <c r="AU67" s="34">
        <f ca="1">Sites!$E$71*MAX(0,MIN(1,AU$6-Sites!$F$71))</f>
        <v>9.0936464446767201E-2</v>
      </c>
      <c r="AV67" s="34">
        <f ca="1">Sites!$E$71*MAX(0,MIN(1,AV$6-Sites!$F$71))</f>
        <v>9.0936464446767201E-2</v>
      </c>
      <c r="AW67" s="34">
        <f ca="1">Sites!$E$71*MAX(0,MIN(1,AW$6-Sites!$F$71))</f>
        <v>9.0936464446767201E-2</v>
      </c>
      <c r="AX67" s="34">
        <f ca="1">Sites!$E$71*MAX(0,MIN(1,AX$6-Sites!$F$71))</f>
        <v>9.0936464446767201E-2</v>
      </c>
      <c r="AY67" s="34">
        <f ca="1">Sites!$E$71*MAX(0,MIN(1,AY$6-Sites!$F$71))</f>
        <v>9.0936464446767201E-2</v>
      </c>
      <c r="AZ67" s="34">
        <f ca="1">Sites!$E$71*MAX(0,MIN(1,AZ$6-Sites!$F$71))</f>
        <v>9.0936464446767201E-2</v>
      </c>
      <c r="BA67" s="34">
        <f ca="1">Sites!$E$71*MAX(0,MIN(1,BA$6-Sites!$F$71))</f>
        <v>9.0936464446767201E-2</v>
      </c>
    </row>
    <row r="68" spans="2:53" x14ac:dyDescent="0.45">
      <c r="B68" s="52">
        <f>Sites!$B$72</f>
        <v>51</v>
      </c>
      <c r="C68" s="26" t="s">
        <v>107</v>
      </c>
      <c r="D68" s="28"/>
      <c r="E68" s="28"/>
      <c r="F68" s="34">
        <f ca="1">Sites!$E$72*MAX(0,MIN(1,F$6-Sites!$F$72))</f>
        <v>0</v>
      </c>
      <c r="G68" s="34">
        <f ca="1">Sites!$E$72*MAX(0,MIN(1,G$6-Sites!$F$72))</f>
        <v>0</v>
      </c>
      <c r="H68" s="34">
        <f ca="1">Sites!$E$72*MAX(0,MIN(1,H$6-Sites!$F$72))</f>
        <v>0</v>
      </c>
      <c r="I68" s="34">
        <f ca="1">Sites!$E$72*MAX(0,MIN(1,I$6-Sites!$F$72))</f>
        <v>0</v>
      </c>
      <c r="J68" s="34">
        <f ca="1">Sites!$E$72*MAX(0,MIN(1,J$6-Sites!$F$72))</f>
        <v>0</v>
      </c>
      <c r="K68" s="34">
        <f ca="1">Sites!$E$72*MAX(0,MIN(1,K$6-Sites!$F$72))</f>
        <v>0</v>
      </c>
      <c r="L68" s="34">
        <f ca="1">Sites!$E$72*MAX(0,MIN(1,L$6-Sites!$F$72))</f>
        <v>0.44923316811540726</v>
      </c>
      <c r="M68" s="34">
        <f ca="1">Sites!$E$72*MAX(0,MIN(1,M$6-Sites!$F$72))</f>
        <v>0.59276585620834465</v>
      </c>
      <c r="N68" s="34">
        <f ca="1">Sites!$E$72*MAX(0,MIN(1,N$6-Sites!$F$72))</f>
        <v>0.59276585620834465</v>
      </c>
      <c r="O68" s="34">
        <f ca="1">Sites!$E$72*MAX(0,MIN(1,O$6-Sites!$F$72))</f>
        <v>0.59276585620834465</v>
      </c>
      <c r="P68" s="34">
        <f ca="1">Sites!$E$72*MAX(0,MIN(1,P$6-Sites!$F$72))</f>
        <v>0.59276585620834465</v>
      </c>
      <c r="Q68" s="34">
        <f ca="1">Sites!$E$72*MAX(0,MIN(1,Q$6-Sites!$F$72))</f>
        <v>0.59276585620834465</v>
      </c>
      <c r="R68" s="34">
        <f ca="1">Sites!$E$72*MAX(0,MIN(1,R$6-Sites!$F$72))</f>
        <v>0.59276585620834465</v>
      </c>
      <c r="S68" s="34">
        <f ca="1">Sites!$E$72*MAX(0,MIN(1,S$6-Sites!$F$72))</f>
        <v>0.59276585620834465</v>
      </c>
      <c r="T68" s="34">
        <f ca="1">Sites!$E$72*MAX(0,MIN(1,T$6-Sites!$F$72))</f>
        <v>0.59276585620834465</v>
      </c>
      <c r="U68" s="34">
        <f ca="1">Sites!$E$72*MAX(0,MIN(1,U$6-Sites!$F$72))</f>
        <v>0.59276585620834465</v>
      </c>
      <c r="V68" s="34">
        <f ca="1">Sites!$E$72*MAX(0,MIN(1,V$6-Sites!$F$72))</f>
        <v>0.59276585620834465</v>
      </c>
      <c r="W68" s="34">
        <f ca="1">Sites!$E$72*MAX(0,MIN(1,W$6-Sites!$F$72))</f>
        <v>0.59276585620834465</v>
      </c>
      <c r="X68" s="34">
        <f ca="1">Sites!$E$72*MAX(0,MIN(1,X$6-Sites!$F$72))</f>
        <v>0.59276585620834465</v>
      </c>
      <c r="Y68" s="34">
        <f ca="1">Sites!$E$72*MAX(0,MIN(1,Y$6-Sites!$F$72))</f>
        <v>0.59276585620834465</v>
      </c>
      <c r="Z68" s="34">
        <f ca="1">Sites!$E$72*MAX(0,MIN(1,Z$6-Sites!$F$72))</f>
        <v>0.59276585620834465</v>
      </c>
      <c r="AA68" s="34">
        <f ca="1">Sites!$E$72*MAX(0,MIN(1,AA$6-Sites!$F$72))</f>
        <v>0.59276585620834465</v>
      </c>
      <c r="AB68" s="34">
        <f ca="1">Sites!$E$72*MAX(0,MIN(1,AB$6-Sites!$F$72))</f>
        <v>0.59276585620834465</v>
      </c>
      <c r="AC68" s="34">
        <f ca="1">Sites!$E$72*MAX(0,MIN(1,AC$6-Sites!$F$72))</f>
        <v>0.59276585620834465</v>
      </c>
      <c r="AD68" s="34">
        <f ca="1">Sites!$E$72*MAX(0,MIN(1,AD$6-Sites!$F$72))</f>
        <v>0.59276585620834465</v>
      </c>
      <c r="AE68" s="34">
        <f ca="1">Sites!$E$72*MAX(0,MIN(1,AE$6-Sites!$F$72))</f>
        <v>0.59276585620834465</v>
      </c>
      <c r="AF68" s="34">
        <f ca="1">Sites!$E$72*MAX(0,MIN(1,AF$6-Sites!$F$72))</f>
        <v>0.59276585620834465</v>
      </c>
      <c r="AG68" s="34">
        <f ca="1">Sites!$E$72*MAX(0,MIN(1,AG$6-Sites!$F$72))</f>
        <v>0.59276585620834465</v>
      </c>
      <c r="AH68" s="34">
        <f ca="1">Sites!$E$72*MAX(0,MIN(1,AH$6-Sites!$F$72))</f>
        <v>0.59276585620834465</v>
      </c>
      <c r="AI68" s="34">
        <f ca="1">Sites!$E$72*MAX(0,MIN(1,AI$6-Sites!$F$72))</f>
        <v>0.59276585620834465</v>
      </c>
      <c r="AJ68" s="34">
        <f ca="1">Sites!$E$72*MAX(0,MIN(1,AJ$6-Sites!$F$72))</f>
        <v>0.59276585620834465</v>
      </c>
      <c r="AK68" s="34">
        <f ca="1">Sites!$E$72*MAX(0,MIN(1,AK$6-Sites!$F$72))</f>
        <v>0.59276585620834465</v>
      </c>
      <c r="AL68" s="34">
        <f ca="1">Sites!$E$72*MAX(0,MIN(1,AL$6-Sites!$F$72))</f>
        <v>0.59276585620834465</v>
      </c>
      <c r="AM68" s="34">
        <f ca="1">Sites!$E$72*MAX(0,MIN(1,AM$6-Sites!$F$72))</f>
        <v>0.59276585620834465</v>
      </c>
      <c r="AN68" s="34">
        <f ca="1">Sites!$E$72*MAX(0,MIN(1,AN$6-Sites!$F$72))</f>
        <v>0.59276585620834465</v>
      </c>
      <c r="AO68" s="34">
        <f ca="1">Sites!$E$72*MAX(0,MIN(1,AO$6-Sites!$F$72))</f>
        <v>0.59276585620834465</v>
      </c>
      <c r="AP68" s="34">
        <f ca="1">Sites!$E$72*MAX(0,MIN(1,AP$6-Sites!$F$72))</f>
        <v>0.59276585620834465</v>
      </c>
      <c r="AQ68" s="34">
        <f ca="1">Sites!$E$72*MAX(0,MIN(1,AQ$6-Sites!$F$72))</f>
        <v>0.59276585620834465</v>
      </c>
      <c r="AR68" s="34">
        <f ca="1">Sites!$E$72*MAX(0,MIN(1,AR$6-Sites!$F$72))</f>
        <v>0.59276585620834465</v>
      </c>
      <c r="AS68" s="34">
        <f ca="1">Sites!$E$72*MAX(0,MIN(1,AS$6-Sites!$F$72))</f>
        <v>0.59276585620834465</v>
      </c>
      <c r="AT68" s="34">
        <f ca="1">Sites!$E$72*MAX(0,MIN(1,AT$6-Sites!$F$72))</f>
        <v>0.59276585620834465</v>
      </c>
      <c r="AU68" s="34">
        <f ca="1">Sites!$E$72*MAX(0,MIN(1,AU$6-Sites!$F$72))</f>
        <v>0.59276585620834465</v>
      </c>
      <c r="AV68" s="34">
        <f ca="1">Sites!$E$72*MAX(0,MIN(1,AV$6-Sites!$F$72))</f>
        <v>0.59276585620834465</v>
      </c>
      <c r="AW68" s="34">
        <f ca="1">Sites!$E$72*MAX(0,MIN(1,AW$6-Sites!$F$72))</f>
        <v>0.59276585620834465</v>
      </c>
      <c r="AX68" s="34">
        <f ca="1">Sites!$E$72*MAX(0,MIN(1,AX$6-Sites!$F$72))</f>
        <v>0.59276585620834465</v>
      </c>
      <c r="AY68" s="34">
        <f ca="1">Sites!$E$72*MAX(0,MIN(1,AY$6-Sites!$F$72))</f>
        <v>0.59276585620834465</v>
      </c>
      <c r="AZ68" s="34">
        <f ca="1">Sites!$E$72*MAX(0,MIN(1,AZ$6-Sites!$F$72))</f>
        <v>0.59276585620834465</v>
      </c>
      <c r="BA68" s="34">
        <f ca="1">Sites!$E$72*MAX(0,MIN(1,BA$6-Sites!$F$72))</f>
        <v>0.59276585620834465</v>
      </c>
    </row>
    <row r="69" spans="2:53" x14ac:dyDescent="0.45">
      <c r="B69" s="52">
        <f>Sites!$B$73</f>
        <v>52</v>
      </c>
      <c r="C69" s="26" t="s">
        <v>107</v>
      </c>
      <c r="D69" s="28"/>
      <c r="E69" s="28"/>
      <c r="F69" s="34">
        <f ca="1">Sites!$E$73*MAX(0,MIN(1,F$6-Sites!$F$73))</f>
        <v>0</v>
      </c>
      <c r="G69" s="34">
        <f ca="1">Sites!$E$73*MAX(0,MIN(1,G$6-Sites!$F$73))</f>
        <v>0</v>
      </c>
      <c r="H69" s="34">
        <f ca="1">Sites!$E$73*MAX(0,MIN(1,H$6-Sites!$F$73))</f>
        <v>0</v>
      </c>
      <c r="I69" s="34">
        <f ca="1">Sites!$E$73*MAX(0,MIN(1,I$6-Sites!$F$73))</f>
        <v>5.9260923965439374E-2</v>
      </c>
      <c r="J69" s="34">
        <f ca="1">Sites!$E$73*MAX(0,MIN(1,J$6-Sites!$F$73))</f>
        <v>0.13292922557096951</v>
      </c>
      <c r="K69" s="34">
        <f ca="1">Sites!$E$73*MAX(0,MIN(1,K$6-Sites!$F$73))</f>
        <v>0.13292922557096951</v>
      </c>
      <c r="L69" s="34">
        <f ca="1">Sites!$E$73*MAX(0,MIN(1,L$6-Sites!$F$73))</f>
        <v>0.13292922557096951</v>
      </c>
      <c r="M69" s="34">
        <f ca="1">Sites!$E$73*MAX(0,MIN(1,M$6-Sites!$F$73))</f>
        <v>0.13292922557096951</v>
      </c>
      <c r="N69" s="34">
        <f ca="1">Sites!$E$73*MAX(0,MIN(1,N$6-Sites!$F$73))</f>
        <v>0.13292922557096951</v>
      </c>
      <c r="O69" s="34">
        <f ca="1">Sites!$E$73*MAX(0,MIN(1,O$6-Sites!$F$73))</f>
        <v>0.13292922557096951</v>
      </c>
      <c r="P69" s="34">
        <f ca="1">Sites!$E$73*MAX(0,MIN(1,P$6-Sites!$F$73))</f>
        <v>0.13292922557096951</v>
      </c>
      <c r="Q69" s="34">
        <f ca="1">Sites!$E$73*MAX(0,MIN(1,Q$6-Sites!$F$73))</f>
        <v>0.13292922557096951</v>
      </c>
      <c r="R69" s="34">
        <f ca="1">Sites!$E$73*MAX(0,MIN(1,R$6-Sites!$F$73))</f>
        <v>0.13292922557096951</v>
      </c>
      <c r="S69" s="34">
        <f ca="1">Sites!$E$73*MAX(0,MIN(1,S$6-Sites!$F$73))</f>
        <v>0.13292922557096951</v>
      </c>
      <c r="T69" s="34">
        <f ca="1">Sites!$E$73*MAX(0,MIN(1,T$6-Sites!$F$73))</f>
        <v>0.13292922557096951</v>
      </c>
      <c r="U69" s="34">
        <f ca="1">Sites!$E$73*MAX(0,MIN(1,U$6-Sites!$F$73))</f>
        <v>0.13292922557096951</v>
      </c>
      <c r="V69" s="34">
        <f ca="1">Sites!$E$73*MAX(0,MIN(1,V$6-Sites!$F$73))</f>
        <v>0.13292922557096951</v>
      </c>
      <c r="W69" s="34">
        <f ca="1">Sites!$E$73*MAX(0,MIN(1,W$6-Sites!$F$73))</f>
        <v>0.13292922557096951</v>
      </c>
      <c r="X69" s="34">
        <f ca="1">Sites!$E$73*MAX(0,MIN(1,X$6-Sites!$F$73))</f>
        <v>0.13292922557096951</v>
      </c>
      <c r="Y69" s="34">
        <f ca="1">Sites!$E$73*MAX(0,MIN(1,Y$6-Sites!$F$73))</f>
        <v>0.13292922557096951</v>
      </c>
      <c r="Z69" s="34">
        <f ca="1">Sites!$E$73*MAX(0,MIN(1,Z$6-Sites!$F$73))</f>
        <v>0.13292922557096951</v>
      </c>
      <c r="AA69" s="34">
        <f ca="1">Sites!$E$73*MAX(0,MIN(1,AA$6-Sites!$F$73))</f>
        <v>0.13292922557096951</v>
      </c>
      <c r="AB69" s="34">
        <f ca="1">Sites!$E$73*MAX(0,MIN(1,AB$6-Sites!$F$73))</f>
        <v>0.13292922557096951</v>
      </c>
      <c r="AC69" s="34">
        <f ca="1">Sites!$E$73*MAX(0,MIN(1,AC$6-Sites!$F$73))</f>
        <v>0.13292922557096951</v>
      </c>
      <c r="AD69" s="34">
        <f ca="1">Sites!$E$73*MAX(0,MIN(1,AD$6-Sites!$F$73))</f>
        <v>0.13292922557096951</v>
      </c>
      <c r="AE69" s="34">
        <f ca="1">Sites!$E$73*MAX(0,MIN(1,AE$6-Sites!$F$73))</f>
        <v>0.13292922557096951</v>
      </c>
      <c r="AF69" s="34">
        <f ca="1">Sites!$E$73*MAX(0,MIN(1,AF$6-Sites!$F$73))</f>
        <v>0.13292922557096951</v>
      </c>
      <c r="AG69" s="34">
        <f ca="1">Sites!$E$73*MAX(0,MIN(1,AG$6-Sites!$F$73))</f>
        <v>0.13292922557096951</v>
      </c>
      <c r="AH69" s="34">
        <f ca="1">Sites!$E$73*MAX(0,MIN(1,AH$6-Sites!$F$73))</f>
        <v>0.13292922557096951</v>
      </c>
      <c r="AI69" s="34">
        <f ca="1">Sites!$E$73*MAX(0,MIN(1,AI$6-Sites!$F$73))</f>
        <v>0.13292922557096951</v>
      </c>
      <c r="AJ69" s="34">
        <f ca="1">Sites!$E$73*MAX(0,MIN(1,AJ$6-Sites!$F$73))</f>
        <v>0.13292922557096951</v>
      </c>
      <c r="AK69" s="34">
        <f ca="1">Sites!$E$73*MAX(0,MIN(1,AK$6-Sites!$F$73))</f>
        <v>0.13292922557096951</v>
      </c>
      <c r="AL69" s="34">
        <f ca="1">Sites!$E$73*MAX(0,MIN(1,AL$6-Sites!$F$73))</f>
        <v>0.13292922557096951</v>
      </c>
      <c r="AM69" s="34">
        <f ca="1">Sites!$E$73*MAX(0,MIN(1,AM$6-Sites!$F$73))</f>
        <v>0.13292922557096951</v>
      </c>
      <c r="AN69" s="34">
        <f ca="1">Sites!$E$73*MAX(0,MIN(1,AN$6-Sites!$F$73))</f>
        <v>0.13292922557096951</v>
      </c>
      <c r="AO69" s="34">
        <f ca="1">Sites!$E$73*MAX(0,MIN(1,AO$6-Sites!$F$73))</f>
        <v>0.13292922557096951</v>
      </c>
      <c r="AP69" s="34">
        <f ca="1">Sites!$E$73*MAX(0,MIN(1,AP$6-Sites!$F$73))</f>
        <v>0.13292922557096951</v>
      </c>
      <c r="AQ69" s="34">
        <f ca="1">Sites!$E$73*MAX(0,MIN(1,AQ$6-Sites!$F$73))</f>
        <v>0.13292922557096951</v>
      </c>
      <c r="AR69" s="34">
        <f ca="1">Sites!$E$73*MAX(0,MIN(1,AR$6-Sites!$F$73))</f>
        <v>0.13292922557096951</v>
      </c>
      <c r="AS69" s="34">
        <f ca="1">Sites!$E$73*MAX(0,MIN(1,AS$6-Sites!$F$73))</f>
        <v>0.13292922557096951</v>
      </c>
      <c r="AT69" s="34">
        <f ca="1">Sites!$E$73*MAX(0,MIN(1,AT$6-Sites!$F$73))</f>
        <v>0.13292922557096951</v>
      </c>
      <c r="AU69" s="34">
        <f ca="1">Sites!$E$73*MAX(0,MIN(1,AU$6-Sites!$F$73))</f>
        <v>0.13292922557096951</v>
      </c>
      <c r="AV69" s="34">
        <f ca="1">Sites!$E$73*MAX(0,MIN(1,AV$6-Sites!$F$73))</f>
        <v>0.13292922557096951</v>
      </c>
      <c r="AW69" s="34">
        <f ca="1">Sites!$E$73*MAX(0,MIN(1,AW$6-Sites!$F$73))</f>
        <v>0.13292922557096951</v>
      </c>
      <c r="AX69" s="34">
        <f ca="1">Sites!$E$73*MAX(0,MIN(1,AX$6-Sites!$F$73))</f>
        <v>0.13292922557096951</v>
      </c>
      <c r="AY69" s="34">
        <f ca="1">Sites!$E$73*MAX(0,MIN(1,AY$6-Sites!$F$73))</f>
        <v>0.13292922557096951</v>
      </c>
      <c r="AZ69" s="34">
        <f ca="1">Sites!$E$73*MAX(0,MIN(1,AZ$6-Sites!$F$73))</f>
        <v>0.13292922557096951</v>
      </c>
      <c r="BA69" s="34">
        <f ca="1">Sites!$E$73*MAX(0,MIN(1,BA$6-Sites!$F$73))</f>
        <v>0.13292922557096951</v>
      </c>
    </row>
    <row r="70" spans="2:53" x14ac:dyDescent="0.45">
      <c r="B70" s="52">
        <f>Sites!$B$74</f>
        <v>53</v>
      </c>
      <c r="C70" s="26" t="s">
        <v>107</v>
      </c>
      <c r="D70" s="28"/>
      <c r="E70" s="28"/>
      <c r="F70" s="34">
        <f ca="1">Sites!$E$74*MAX(0,MIN(1,F$6-Sites!$F$74))</f>
        <v>0</v>
      </c>
      <c r="G70" s="34">
        <f ca="1">Sites!$E$74*MAX(0,MIN(1,G$6-Sites!$F$74))</f>
        <v>0</v>
      </c>
      <c r="H70" s="34">
        <f ca="1">Sites!$E$74*MAX(0,MIN(1,H$6-Sites!$F$74))</f>
        <v>0</v>
      </c>
      <c r="I70" s="34">
        <f ca="1">Sites!$E$74*MAX(0,MIN(1,I$6-Sites!$F$74))</f>
        <v>6.972097637071234E-2</v>
      </c>
      <c r="J70" s="34">
        <f ca="1">Sites!$E$74*MAX(0,MIN(1,J$6-Sites!$F$74))</f>
        <v>0.11566922476351058</v>
      </c>
      <c r="K70" s="34">
        <f ca="1">Sites!$E$74*MAX(0,MIN(1,K$6-Sites!$F$74))</f>
        <v>0.11566922476351058</v>
      </c>
      <c r="L70" s="34">
        <f ca="1">Sites!$E$74*MAX(0,MIN(1,L$6-Sites!$F$74))</f>
        <v>0.11566922476351058</v>
      </c>
      <c r="M70" s="34">
        <f ca="1">Sites!$E$74*MAX(0,MIN(1,M$6-Sites!$F$74))</f>
        <v>0.11566922476351058</v>
      </c>
      <c r="N70" s="34">
        <f ca="1">Sites!$E$74*MAX(0,MIN(1,N$6-Sites!$F$74))</f>
        <v>0.11566922476351058</v>
      </c>
      <c r="O70" s="34">
        <f ca="1">Sites!$E$74*MAX(0,MIN(1,O$6-Sites!$F$74))</f>
        <v>0.11566922476351058</v>
      </c>
      <c r="P70" s="34">
        <f ca="1">Sites!$E$74*MAX(0,MIN(1,P$6-Sites!$F$74))</f>
        <v>0.11566922476351058</v>
      </c>
      <c r="Q70" s="34">
        <f ca="1">Sites!$E$74*MAX(0,MIN(1,Q$6-Sites!$F$74))</f>
        <v>0.11566922476351058</v>
      </c>
      <c r="R70" s="34">
        <f ca="1">Sites!$E$74*MAX(0,MIN(1,R$6-Sites!$F$74))</f>
        <v>0.11566922476351058</v>
      </c>
      <c r="S70" s="34">
        <f ca="1">Sites!$E$74*MAX(0,MIN(1,S$6-Sites!$F$74))</f>
        <v>0.11566922476351058</v>
      </c>
      <c r="T70" s="34">
        <f ca="1">Sites!$E$74*MAX(0,MIN(1,T$6-Sites!$F$74))</f>
        <v>0.11566922476351058</v>
      </c>
      <c r="U70" s="34">
        <f ca="1">Sites!$E$74*MAX(0,MIN(1,U$6-Sites!$F$74))</f>
        <v>0.11566922476351058</v>
      </c>
      <c r="V70" s="34">
        <f ca="1">Sites!$E$74*MAX(0,MIN(1,V$6-Sites!$F$74))</f>
        <v>0.11566922476351058</v>
      </c>
      <c r="W70" s="34">
        <f ca="1">Sites!$E$74*MAX(0,MIN(1,W$6-Sites!$F$74))</f>
        <v>0.11566922476351058</v>
      </c>
      <c r="X70" s="34">
        <f ca="1">Sites!$E$74*MAX(0,MIN(1,X$6-Sites!$F$74))</f>
        <v>0.11566922476351058</v>
      </c>
      <c r="Y70" s="34">
        <f ca="1">Sites!$E$74*MAX(0,MIN(1,Y$6-Sites!$F$74))</f>
        <v>0.11566922476351058</v>
      </c>
      <c r="Z70" s="34">
        <f ca="1">Sites!$E$74*MAX(0,MIN(1,Z$6-Sites!$F$74))</f>
        <v>0.11566922476351058</v>
      </c>
      <c r="AA70" s="34">
        <f ca="1">Sites!$E$74*MAX(0,MIN(1,AA$6-Sites!$F$74))</f>
        <v>0.11566922476351058</v>
      </c>
      <c r="AB70" s="34">
        <f ca="1">Sites!$E$74*MAX(0,MIN(1,AB$6-Sites!$F$74))</f>
        <v>0.11566922476351058</v>
      </c>
      <c r="AC70" s="34">
        <f ca="1">Sites!$E$74*MAX(0,MIN(1,AC$6-Sites!$F$74))</f>
        <v>0.11566922476351058</v>
      </c>
      <c r="AD70" s="34">
        <f ca="1">Sites!$E$74*MAX(0,MIN(1,AD$6-Sites!$F$74))</f>
        <v>0.11566922476351058</v>
      </c>
      <c r="AE70" s="34">
        <f ca="1">Sites!$E$74*MAX(0,MIN(1,AE$6-Sites!$F$74))</f>
        <v>0.11566922476351058</v>
      </c>
      <c r="AF70" s="34">
        <f ca="1">Sites!$E$74*MAX(0,MIN(1,AF$6-Sites!$F$74))</f>
        <v>0.11566922476351058</v>
      </c>
      <c r="AG70" s="34">
        <f ca="1">Sites!$E$74*MAX(0,MIN(1,AG$6-Sites!$F$74))</f>
        <v>0.11566922476351058</v>
      </c>
      <c r="AH70" s="34">
        <f ca="1">Sites!$E$74*MAX(0,MIN(1,AH$6-Sites!$F$74))</f>
        <v>0.11566922476351058</v>
      </c>
      <c r="AI70" s="34">
        <f ca="1">Sites!$E$74*MAX(0,MIN(1,AI$6-Sites!$F$74))</f>
        <v>0.11566922476351058</v>
      </c>
      <c r="AJ70" s="34">
        <f ca="1">Sites!$E$74*MAX(0,MIN(1,AJ$6-Sites!$F$74))</f>
        <v>0.11566922476351058</v>
      </c>
      <c r="AK70" s="34">
        <f ca="1">Sites!$E$74*MAX(0,MIN(1,AK$6-Sites!$F$74))</f>
        <v>0.11566922476351058</v>
      </c>
      <c r="AL70" s="34">
        <f ca="1">Sites!$E$74*MAX(0,MIN(1,AL$6-Sites!$F$74))</f>
        <v>0.11566922476351058</v>
      </c>
      <c r="AM70" s="34">
        <f ca="1">Sites!$E$74*MAX(0,MIN(1,AM$6-Sites!$F$74))</f>
        <v>0.11566922476351058</v>
      </c>
      <c r="AN70" s="34">
        <f ca="1">Sites!$E$74*MAX(0,MIN(1,AN$6-Sites!$F$74))</f>
        <v>0.11566922476351058</v>
      </c>
      <c r="AO70" s="34">
        <f ca="1">Sites!$E$74*MAX(0,MIN(1,AO$6-Sites!$F$74))</f>
        <v>0.11566922476351058</v>
      </c>
      <c r="AP70" s="34">
        <f ca="1">Sites!$E$74*MAX(0,MIN(1,AP$6-Sites!$F$74))</f>
        <v>0.11566922476351058</v>
      </c>
      <c r="AQ70" s="34">
        <f ca="1">Sites!$E$74*MAX(0,MIN(1,AQ$6-Sites!$F$74))</f>
        <v>0.11566922476351058</v>
      </c>
      <c r="AR70" s="34">
        <f ca="1">Sites!$E$74*MAX(0,MIN(1,AR$6-Sites!$F$74))</f>
        <v>0.11566922476351058</v>
      </c>
      <c r="AS70" s="34">
        <f ca="1">Sites!$E$74*MAX(0,MIN(1,AS$6-Sites!$F$74))</f>
        <v>0.11566922476351058</v>
      </c>
      <c r="AT70" s="34">
        <f ca="1">Sites!$E$74*MAX(0,MIN(1,AT$6-Sites!$F$74))</f>
        <v>0.11566922476351058</v>
      </c>
      <c r="AU70" s="34">
        <f ca="1">Sites!$E$74*MAX(0,MIN(1,AU$6-Sites!$F$74))</f>
        <v>0.11566922476351058</v>
      </c>
      <c r="AV70" s="34">
        <f ca="1">Sites!$E$74*MAX(0,MIN(1,AV$6-Sites!$F$74))</f>
        <v>0.11566922476351058</v>
      </c>
      <c r="AW70" s="34">
        <f ca="1">Sites!$E$74*MAX(0,MIN(1,AW$6-Sites!$F$74))</f>
        <v>0.11566922476351058</v>
      </c>
      <c r="AX70" s="34">
        <f ca="1">Sites!$E$74*MAX(0,MIN(1,AX$6-Sites!$F$74))</f>
        <v>0.11566922476351058</v>
      </c>
      <c r="AY70" s="34">
        <f ca="1">Sites!$E$74*MAX(0,MIN(1,AY$6-Sites!$F$74))</f>
        <v>0.11566922476351058</v>
      </c>
      <c r="AZ70" s="34">
        <f ca="1">Sites!$E$74*MAX(0,MIN(1,AZ$6-Sites!$F$74))</f>
        <v>0.11566922476351058</v>
      </c>
      <c r="BA70" s="34">
        <f ca="1">Sites!$E$74*MAX(0,MIN(1,BA$6-Sites!$F$74))</f>
        <v>0.11566922476351058</v>
      </c>
    </row>
    <row r="71" spans="2:53" x14ac:dyDescent="0.45">
      <c r="B71" s="52">
        <f>Sites!$B$75</f>
        <v>54</v>
      </c>
      <c r="C71" s="26" t="s">
        <v>107</v>
      </c>
      <c r="D71" s="28"/>
      <c r="E71" s="28"/>
      <c r="F71" s="34">
        <f ca="1">Sites!$E$75*MAX(0,MIN(1,F$6-Sites!$F$75))</f>
        <v>0</v>
      </c>
      <c r="G71" s="34">
        <f ca="1">Sites!$E$75*MAX(0,MIN(1,G$6-Sites!$F$75))</f>
        <v>0</v>
      </c>
      <c r="H71" s="34">
        <f ca="1">Sites!$E$75*MAX(0,MIN(1,H$6-Sites!$F$75))</f>
        <v>0</v>
      </c>
      <c r="I71" s="34">
        <f ca="1">Sites!$E$75*MAX(0,MIN(1,I$6-Sites!$F$75))</f>
        <v>0</v>
      </c>
      <c r="J71" s="34">
        <f ca="1">Sites!$E$75*MAX(0,MIN(1,J$6-Sites!$F$75))</f>
        <v>0</v>
      </c>
      <c r="K71" s="34">
        <f ca="1">Sites!$E$75*MAX(0,MIN(1,K$6-Sites!$F$75))</f>
        <v>0</v>
      </c>
      <c r="L71" s="34">
        <f ca="1">Sites!$E$75*MAX(0,MIN(1,L$6-Sites!$F$75))</f>
        <v>0</v>
      </c>
      <c r="M71" s="34">
        <f ca="1">Sites!$E$75*MAX(0,MIN(1,M$6-Sites!$F$75))</f>
        <v>0</v>
      </c>
      <c r="N71" s="34">
        <f ca="1">Sites!$E$75*MAX(0,MIN(1,N$6-Sites!$F$75))</f>
        <v>0</v>
      </c>
      <c r="O71" s="34">
        <f ca="1">Sites!$E$75*MAX(0,MIN(1,O$6-Sites!$F$75))</f>
        <v>0</v>
      </c>
      <c r="P71" s="34">
        <f ca="1">Sites!$E$75*MAX(0,MIN(1,P$6-Sites!$F$75))</f>
        <v>0</v>
      </c>
      <c r="Q71" s="34">
        <f ca="1">Sites!$E$75*MAX(0,MIN(1,Q$6-Sites!$F$75))</f>
        <v>0</v>
      </c>
      <c r="R71" s="34">
        <f ca="1">Sites!$E$75*MAX(0,MIN(1,R$6-Sites!$F$75))</f>
        <v>0</v>
      </c>
      <c r="S71" s="34">
        <f ca="1">Sites!$E$75*MAX(0,MIN(1,S$6-Sites!$F$75))</f>
        <v>0</v>
      </c>
      <c r="T71" s="34">
        <f ca="1">Sites!$E$75*MAX(0,MIN(1,T$6-Sites!$F$75))</f>
        <v>0</v>
      </c>
      <c r="U71" s="34">
        <f ca="1">Sites!$E$75*MAX(0,MIN(1,U$6-Sites!$F$75))</f>
        <v>0</v>
      </c>
      <c r="V71" s="34">
        <f ca="1">Sites!$E$75*MAX(0,MIN(1,V$6-Sites!$F$75))</f>
        <v>0</v>
      </c>
      <c r="W71" s="34">
        <f ca="1">Sites!$E$75*MAX(0,MIN(1,W$6-Sites!$F$75))</f>
        <v>0</v>
      </c>
      <c r="X71" s="34">
        <f ca="1">Sites!$E$75*MAX(0,MIN(1,X$6-Sites!$F$75))</f>
        <v>0</v>
      </c>
      <c r="Y71" s="34">
        <f ca="1">Sites!$E$75*MAX(0,MIN(1,Y$6-Sites!$F$75))</f>
        <v>0</v>
      </c>
      <c r="Z71" s="34">
        <f ca="1">Sites!$E$75*MAX(0,MIN(1,Z$6-Sites!$F$75))</f>
        <v>0</v>
      </c>
      <c r="AA71" s="34">
        <f ca="1">Sites!$E$75*MAX(0,MIN(1,AA$6-Sites!$F$75))</f>
        <v>0</v>
      </c>
      <c r="AB71" s="34">
        <f ca="1">Sites!$E$75*MAX(0,MIN(1,AB$6-Sites!$F$75))</f>
        <v>0</v>
      </c>
      <c r="AC71" s="34">
        <f ca="1">Sites!$E$75*MAX(0,MIN(1,AC$6-Sites!$F$75))</f>
        <v>0</v>
      </c>
      <c r="AD71" s="34">
        <f ca="1">Sites!$E$75*MAX(0,MIN(1,AD$6-Sites!$F$75))</f>
        <v>0</v>
      </c>
      <c r="AE71" s="34">
        <f ca="1">Sites!$E$75*MAX(0,MIN(1,AE$6-Sites!$F$75))</f>
        <v>0</v>
      </c>
      <c r="AF71" s="34">
        <f ca="1">Sites!$E$75*MAX(0,MIN(1,AF$6-Sites!$F$75))</f>
        <v>0</v>
      </c>
      <c r="AG71" s="34">
        <f ca="1">Sites!$E$75*MAX(0,MIN(1,AG$6-Sites!$F$75))</f>
        <v>0</v>
      </c>
      <c r="AH71" s="34">
        <f ca="1">Sites!$E$75*MAX(0,MIN(1,AH$6-Sites!$F$75))</f>
        <v>0</v>
      </c>
      <c r="AI71" s="34">
        <f ca="1">Sites!$E$75*MAX(0,MIN(1,AI$6-Sites!$F$75))</f>
        <v>0</v>
      </c>
      <c r="AJ71" s="34">
        <f ca="1">Sites!$E$75*MAX(0,MIN(1,AJ$6-Sites!$F$75))</f>
        <v>0</v>
      </c>
      <c r="AK71" s="34">
        <f ca="1">Sites!$E$75*MAX(0,MIN(1,AK$6-Sites!$F$75))</f>
        <v>0</v>
      </c>
      <c r="AL71" s="34">
        <f ca="1">Sites!$E$75*MAX(0,MIN(1,AL$6-Sites!$F$75))</f>
        <v>0</v>
      </c>
      <c r="AM71" s="34">
        <f ca="1">Sites!$E$75*MAX(0,MIN(1,AM$6-Sites!$F$75))</f>
        <v>0</v>
      </c>
      <c r="AN71" s="34">
        <f ca="1">Sites!$E$75*MAX(0,MIN(1,AN$6-Sites!$F$75))</f>
        <v>0</v>
      </c>
      <c r="AO71" s="34">
        <f ca="1">Sites!$E$75*MAX(0,MIN(1,AO$6-Sites!$F$75))</f>
        <v>0</v>
      </c>
      <c r="AP71" s="34">
        <f ca="1">Sites!$E$75*MAX(0,MIN(1,AP$6-Sites!$F$75))</f>
        <v>0</v>
      </c>
      <c r="AQ71" s="34">
        <f ca="1">Sites!$E$75*MAX(0,MIN(1,AQ$6-Sites!$F$75))</f>
        <v>0</v>
      </c>
      <c r="AR71" s="34">
        <f ca="1">Sites!$E$75*MAX(0,MIN(1,AR$6-Sites!$F$75))</f>
        <v>0</v>
      </c>
      <c r="AS71" s="34">
        <f ca="1">Sites!$E$75*MAX(0,MIN(1,AS$6-Sites!$F$75))</f>
        <v>0</v>
      </c>
      <c r="AT71" s="34">
        <f ca="1">Sites!$E$75*MAX(0,MIN(1,AT$6-Sites!$F$75))</f>
        <v>0</v>
      </c>
      <c r="AU71" s="34">
        <f ca="1">Sites!$E$75*MAX(0,MIN(1,AU$6-Sites!$F$75))</f>
        <v>0</v>
      </c>
      <c r="AV71" s="34">
        <f ca="1">Sites!$E$75*MAX(0,MIN(1,AV$6-Sites!$F$75))</f>
        <v>0</v>
      </c>
      <c r="AW71" s="34">
        <f ca="1">Sites!$E$75*MAX(0,MIN(1,AW$6-Sites!$F$75))</f>
        <v>0</v>
      </c>
      <c r="AX71" s="34">
        <f ca="1">Sites!$E$75*MAX(0,MIN(1,AX$6-Sites!$F$75))</f>
        <v>0</v>
      </c>
      <c r="AY71" s="34">
        <f ca="1">Sites!$E$75*MAX(0,MIN(1,AY$6-Sites!$F$75))</f>
        <v>0</v>
      </c>
      <c r="AZ71" s="34">
        <f ca="1">Sites!$E$75*MAX(0,MIN(1,AZ$6-Sites!$F$75))</f>
        <v>0</v>
      </c>
      <c r="BA71" s="34">
        <f ca="1">Sites!$E$75*MAX(0,MIN(1,BA$6-Sites!$F$75))</f>
        <v>0</v>
      </c>
    </row>
    <row r="72" spans="2:53" x14ac:dyDescent="0.45">
      <c r="B72" s="52">
        <f>Sites!$B$76</f>
        <v>55</v>
      </c>
      <c r="C72" s="26" t="s">
        <v>107</v>
      </c>
      <c r="D72" s="28"/>
      <c r="E72" s="28"/>
      <c r="F72" s="34">
        <f ca="1">Sites!$E$76*MAX(0,MIN(1,F$6-Sites!$F$76))</f>
        <v>0</v>
      </c>
      <c r="G72" s="34">
        <f ca="1">Sites!$E$76*MAX(0,MIN(1,G$6-Sites!$F$76))</f>
        <v>5.7385761997483478E-2</v>
      </c>
      <c r="H72" s="34">
        <f ca="1">Sites!$E$76*MAX(0,MIN(1,H$6-Sites!$F$76))</f>
        <v>0.1105231677964761</v>
      </c>
      <c r="I72" s="34">
        <f ca="1">Sites!$E$76*MAX(0,MIN(1,I$6-Sites!$F$76))</f>
        <v>0.1105231677964761</v>
      </c>
      <c r="J72" s="34">
        <f ca="1">Sites!$E$76*MAX(0,MIN(1,J$6-Sites!$F$76))</f>
        <v>0.1105231677964761</v>
      </c>
      <c r="K72" s="34">
        <f ca="1">Sites!$E$76*MAX(0,MIN(1,K$6-Sites!$F$76))</f>
        <v>0.1105231677964761</v>
      </c>
      <c r="L72" s="34">
        <f ca="1">Sites!$E$76*MAX(0,MIN(1,L$6-Sites!$F$76))</f>
        <v>0.1105231677964761</v>
      </c>
      <c r="M72" s="34">
        <f ca="1">Sites!$E$76*MAX(0,MIN(1,M$6-Sites!$F$76))</f>
        <v>0.1105231677964761</v>
      </c>
      <c r="N72" s="34">
        <f ca="1">Sites!$E$76*MAX(0,MIN(1,N$6-Sites!$F$76))</f>
        <v>0.1105231677964761</v>
      </c>
      <c r="O72" s="34">
        <f ca="1">Sites!$E$76*MAX(0,MIN(1,O$6-Sites!$F$76))</f>
        <v>0.1105231677964761</v>
      </c>
      <c r="P72" s="34">
        <f ca="1">Sites!$E$76*MAX(0,MIN(1,P$6-Sites!$F$76))</f>
        <v>0.1105231677964761</v>
      </c>
      <c r="Q72" s="34">
        <f ca="1">Sites!$E$76*MAX(0,MIN(1,Q$6-Sites!$F$76))</f>
        <v>0.1105231677964761</v>
      </c>
      <c r="R72" s="34">
        <f ca="1">Sites!$E$76*MAX(0,MIN(1,R$6-Sites!$F$76))</f>
        <v>0.1105231677964761</v>
      </c>
      <c r="S72" s="34">
        <f ca="1">Sites!$E$76*MAX(0,MIN(1,S$6-Sites!$F$76))</f>
        <v>0.1105231677964761</v>
      </c>
      <c r="T72" s="34">
        <f ca="1">Sites!$E$76*MAX(0,MIN(1,T$6-Sites!$F$76))</f>
        <v>0.1105231677964761</v>
      </c>
      <c r="U72" s="34">
        <f ca="1">Sites!$E$76*MAX(0,MIN(1,U$6-Sites!$F$76))</f>
        <v>0.1105231677964761</v>
      </c>
      <c r="V72" s="34">
        <f ca="1">Sites!$E$76*MAX(0,MIN(1,V$6-Sites!$F$76))</f>
        <v>0.1105231677964761</v>
      </c>
      <c r="W72" s="34">
        <f ca="1">Sites!$E$76*MAX(0,MIN(1,W$6-Sites!$F$76))</f>
        <v>0.1105231677964761</v>
      </c>
      <c r="X72" s="34">
        <f ca="1">Sites!$E$76*MAX(0,MIN(1,X$6-Sites!$F$76))</f>
        <v>0.1105231677964761</v>
      </c>
      <c r="Y72" s="34">
        <f ca="1">Sites!$E$76*MAX(0,MIN(1,Y$6-Sites!$F$76))</f>
        <v>0.1105231677964761</v>
      </c>
      <c r="Z72" s="34">
        <f ca="1">Sites!$E$76*MAX(0,MIN(1,Z$6-Sites!$F$76))</f>
        <v>0.1105231677964761</v>
      </c>
      <c r="AA72" s="34">
        <f ca="1">Sites!$E$76*MAX(0,MIN(1,AA$6-Sites!$F$76))</f>
        <v>0.1105231677964761</v>
      </c>
      <c r="AB72" s="34">
        <f ca="1">Sites!$E$76*MAX(0,MIN(1,AB$6-Sites!$F$76))</f>
        <v>0.1105231677964761</v>
      </c>
      <c r="AC72" s="34">
        <f ca="1">Sites!$E$76*MAX(0,MIN(1,AC$6-Sites!$F$76))</f>
        <v>0.1105231677964761</v>
      </c>
      <c r="AD72" s="34">
        <f ca="1">Sites!$E$76*MAX(0,MIN(1,AD$6-Sites!$F$76))</f>
        <v>0.1105231677964761</v>
      </c>
      <c r="AE72" s="34">
        <f ca="1">Sites!$E$76*MAX(0,MIN(1,AE$6-Sites!$F$76))</f>
        <v>0.1105231677964761</v>
      </c>
      <c r="AF72" s="34">
        <f ca="1">Sites!$E$76*MAX(0,MIN(1,AF$6-Sites!$F$76))</f>
        <v>0.1105231677964761</v>
      </c>
      <c r="AG72" s="34">
        <f ca="1">Sites!$E$76*MAX(0,MIN(1,AG$6-Sites!$F$76))</f>
        <v>0.1105231677964761</v>
      </c>
      <c r="AH72" s="34">
        <f ca="1">Sites!$E$76*MAX(0,MIN(1,AH$6-Sites!$F$76))</f>
        <v>0.1105231677964761</v>
      </c>
      <c r="AI72" s="34">
        <f ca="1">Sites!$E$76*MAX(0,MIN(1,AI$6-Sites!$F$76))</f>
        <v>0.1105231677964761</v>
      </c>
      <c r="AJ72" s="34">
        <f ca="1">Sites!$E$76*MAX(0,MIN(1,AJ$6-Sites!$F$76))</f>
        <v>0.1105231677964761</v>
      </c>
      <c r="AK72" s="34">
        <f ca="1">Sites!$E$76*MAX(0,MIN(1,AK$6-Sites!$F$76))</f>
        <v>0.1105231677964761</v>
      </c>
      <c r="AL72" s="34">
        <f ca="1">Sites!$E$76*MAX(0,MIN(1,AL$6-Sites!$F$76))</f>
        <v>0.1105231677964761</v>
      </c>
      <c r="AM72" s="34">
        <f ca="1">Sites!$E$76*MAX(0,MIN(1,AM$6-Sites!$F$76))</f>
        <v>0.1105231677964761</v>
      </c>
      <c r="AN72" s="34">
        <f ca="1">Sites!$E$76*MAX(0,MIN(1,AN$6-Sites!$F$76))</f>
        <v>0.1105231677964761</v>
      </c>
      <c r="AO72" s="34">
        <f ca="1">Sites!$E$76*MAX(0,MIN(1,AO$6-Sites!$F$76))</f>
        <v>0.1105231677964761</v>
      </c>
      <c r="AP72" s="34">
        <f ca="1">Sites!$E$76*MAX(0,MIN(1,AP$6-Sites!$F$76))</f>
        <v>0.1105231677964761</v>
      </c>
      <c r="AQ72" s="34">
        <f ca="1">Sites!$E$76*MAX(0,MIN(1,AQ$6-Sites!$F$76))</f>
        <v>0.1105231677964761</v>
      </c>
      <c r="AR72" s="34">
        <f ca="1">Sites!$E$76*MAX(0,MIN(1,AR$6-Sites!$F$76))</f>
        <v>0.1105231677964761</v>
      </c>
      <c r="AS72" s="34">
        <f ca="1">Sites!$E$76*MAX(0,MIN(1,AS$6-Sites!$F$76))</f>
        <v>0.1105231677964761</v>
      </c>
      <c r="AT72" s="34">
        <f ca="1">Sites!$E$76*MAX(0,MIN(1,AT$6-Sites!$F$76))</f>
        <v>0.1105231677964761</v>
      </c>
      <c r="AU72" s="34">
        <f ca="1">Sites!$E$76*MAX(0,MIN(1,AU$6-Sites!$F$76))</f>
        <v>0.1105231677964761</v>
      </c>
      <c r="AV72" s="34">
        <f ca="1">Sites!$E$76*MAX(0,MIN(1,AV$6-Sites!$F$76))</f>
        <v>0.1105231677964761</v>
      </c>
      <c r="AW72" s="34">
        <f ca="1">Sites!$E$76*MAX(0,MIN(1,AW$6-Sites!$F$76))</f>
        <v>0.1105231677964761</v>
      </c>
      <c r="AX72" s="34">
        <f ca="1">Sites!$E$76*MAX(0,MIN(1,AX$6-Sites!$F$76))</f>
        <v>0.1105231677964761</v>
      </c>
      <c r="AY72" s="34">
        <f ca="1">Sites!$E$76*MAX(0,MIN(1,AY$6-Sites!$F$76))</f>
        <v>0.1105231677964761</v>
      </c>
      <c r="AZ72" s="34">
        <f ca="1">Sites!$E$76*MAX(0,MIN(1,AZ$6-Sites!$F$76))</f>
        <v>0.1105231677964761</v>
      </c>
      <c r="BA72" s="34">
        <f ca="1">Sites!$E$76*MAX(0,MIN(1,BA$6-Sites!$F$76))</f>
        <v>0.1105231677964761</v>
      </c>
    </row>
    <row r="73" spans="2:53" x14ac:dyDescent="0.45">
      <c r="B73" s="52">
        <f>Sites!$B$77</f>
        <v>56</v>
      </c>
      <c r="C73" s="26" t="s">
        <v>107</v>
      </c>
      <c r="D73" s="28"/>
      <c r="E73" s="28"/>
      <c r="F73" s="34">
        <f ca="1">Sites!$E$77*MAX(0,MIN(1,F$6-Sites!$F$77))</f>
        <v>0</v>
      </c>
      <c r="G73" s="34">
        <f ca="1">Sites!$E$77*MAX(0,MIN(1,G$6-Sites!$F$77))</f>
        <v>0</v>
      </c>
      <c r="H73" s="34">
        <f ca="1">Sites!$E$77*MAX(0,MIN(1,H$6-Sites!$F$77))</f>
        <v>0</v>
      </c>
      <c r="I73" s="34">
        <f ca="1">Sites!$E$77*MAX(0,MIN(1,I$6-Sites!$F$77))</f>
        <v>0</v>
      </c>
      <c r="J73" s="34">
        <f ca="1">Sites!$E$77*MAX(0,MIN(1,J$6-Sites!$F$77))</f>
        <v>0</v>
      </c>
      <c r="K73" s="34">
        <f ca="1">Sites!$E$77*MAX(0,MIN(1,K$6-Sites!$F$77))</f>
        <v>0</v>
      </c>
      <c r="L73" s="34">
        <f ca="1">Sites!$E$77*MAX(0,MIN(1,L$6-Sites!$F$77))</f>
        <v>0</v>
      </c>
      <c r="M73" s="34">
        <f ca="1">Sites!$E$77*MAX(0,MIN(1,M$6-Sites!$F$77))</f>
        <v>0</v>
      </c>
      <c r="N73" s="34">
        <f ca="1">Sites!$E$77*MAX(0,MIN(1,N$6-Sites!$F$77))</f>
        <v>0</v>
      </c>
      <c r="O73" s="34">
        <f ca="1">Sites!$E$77*MAX(0,MIN(1,O$6-Sites!$F$77))</f>
        <v>0</v>
      </c>
      <c r="P73" s="34">
        <f ca="1">Sites!$E$77*MAX(0,MIN(1,P$6-Sites!$F$77))</f>
        <v>0</v>
      </c>
      <c r="Q73" s="34">
        <f ca="1">Sites!$E$77*MAX(0,MIN(1,Q$6-Sites!$F$77))</f>
        <v>0</v>
      </c>
      <c r="R73" s="34">
        <f ca="1">Sites!$E$77*MAX(0,MIN(1,R$6-Sites!$F$77))</f>
        <v>0</v>
      </c>
      <c r="S73" s="34">
        <f ca="1">Sites!$E$77*MAX(0,MIN(1,S$6-Sites!$F$77))</f>
        <v>0</v>
      </c>
      <c r="T73" s="34">
        <f ca="1">Sites!$E$77*MAX(0,MIN(1,T$6-Sites!$F$77))</f>
        <v>0</v>
      </c>
      <c r="U73" s="34">
        <f ca="1">Sites!$E$77*MAX(0,MIN(1,U$6-Sites!$F$77))</f>
        <v>0</v>
      </c>
      <c r="V73" s="34">
        <f ca="1">Sites!$E$77*MAX(0,MIN(1,V$6-Sites!$F$77))</f>
        <v>0</v>
      </c>
      <c r="W73" s="34">
        <f ca="1">Sites!$E$77*MAX(0,MIN(1,W$6-Sites!$F$77))</f>
        <v>0</v>
      </c>
      <c r="X73" s="34">
        <f ca="1">Sites!$E$77*MAX(0,MIN(1,X$6-Sites!$F$77))</f>
        <v>0</v>
      </c>
      <c r="Y73" s="34">
        <f ca="1">Sites!$E$77*MAX(0,MIN(1,Y$6-Sites!$F$77))</f>
        <v>0</v>
      </c>
      <c r="Z73" s="34">
        <f ca="1">Sites!$E$77*MAX(0,MIN(1,Z$6-Sites!$F$77))</f>
        <v>0</v>
      </c>
      <c r="AA73" s="34">
        <f ca="1">Sites!$E$77*MAX(0,MIN(1,AA$6-Sites!$F$77))</f>
        <v>0</v>
      </c>
      <c r="AB73" s="34">
        <f ca="1">Sites!$E$77*MAX(0,MIN(1,AB$6-Sites!$F$77))</f>
        <v>0</v>
      </c>
      <c r="AC73" s="34">
        <f ca="1">Sites!$E$77*MAX(0,MIN(1,AC$6-Sites!$F$77))</f>
        <v>0</v>
      </c>
      <c r="AD73" s="34">
        <f ca="1">Sites!$E$77*MAX(0,MIN(1,AD$6-Sites!$F$77))</f>
        <v>0</v>
      </c>
      <c r="AE73" s="34">
        <f ca="1">Sites!$E$77*MAX(0,MIN(1,AE$6-Sites!$F$77))</f>
        <v>0</v>
      </c>
      <c r="AF73" s="34">
        <f ca="1">Sites!$E$77*MAX(0,MIN(1,AF$6-Sites!$F$77))</f>
        <v>0</v>
      </c>
      <c r="AG73" s="34">
        <f ca="1">Sites!$E$77*MAX(0,MIN(1,AG$6-Sites!$F$77))</f>
        <v>0</v>
      </c>
      <c r="AH73" s="34">
        <f ca="1">Sites!$E$77*MAX(0,MIN(1,AH$6-Sites!$F$77))</f>
        <v>0</v>
      </c>
      <c r="AI73" s="34">
        <f ca="1">Sites!$E$77*MAX(0,MIN(1,AI$6-Sites!$F$77))</f>
        <v>0</v>
      </c>
      <c r="AJ73" s="34">
        <f ca="1">Sites!$E$77*MAX(0,MIN(1,AJ$6-Sites!$F$77))</f>
        <v>0</v>
      </c>
      <c r="AK73" s="34">
        <f ca="1">Sites!$E$77*MAX(0,MIN(1,AK$6-Sites!$F$77))</f>
        <v>0</v>
      </c>
      <c r="AL73" s="34">
        <f ca="1">Sites!$E$77*MAX(0,MIN(1,AL$6-Sites!$F$77))</f>
        <v>0</v>
      </c>
      <c r="AM73" s="34">
        <f ca="1">Sites!$E$77*MAX(0,MIN(1,AM$6-Sites!$F$77))</f>
        <v>0</v>
      </c>
      <c r="AN73" s="34">
        <f ca="1">Sites!$E$77*MAX(0,MIN(1,AN$6-Sites!$F$77))</f>
        <v>0</v>
      </c>
      <c r="AO73" s="34">
        <f ca="1">Sites!$E$77*MAX(0,MIN(1,AO$6-Sites!$F$77))</f>
        <v>0</v>
      </c>
      <c r="AP73" s="34">
        <f ca="1">Sites!$E$77*MAX(0,MIN(1,AP$6-Sites!$F$77))</f>
        <v>0</v>
      </c>
      <c r="AQ73" s="34">
        <f ca="1">Sites!$E$77*MAX(0,MIN(1,AQ$6-Sites!$F$77))</f>
        <v>0</v>
      </c>
      <c r="AR73" s="34">
        <f ca="1">Sites!$E$77*MAX(0,MIN(1,AR$6-Sites!$F$77))</f>
        <v>0</v>
      </c>
      <c r="AS73" s="34">
        <f ca="1">Sites!$E$77*MAX(0,MIN(1,AS$6-Sites!$F$77))</f>
        <v>0</v>
      </c>
      <c r="AT73" s="34">
        <f ca="1">Sites!$E$77*MAX(0,MIN(1,AT$6-Sites!$F$77))</f>
        <v>0</v>
      </c>
      <c r="AU73" s="34">
        <f ca="1">Sites!$E$77*MAX(0,MIN(1,AU$6-Sites!$F$77))</f>
        <v>0</v>
      </c>
      <c r="AV73" s="34">
        <f ca="1">Sites!$E$77*MAX(0,MIN(1,AV$6-Sites!$F$77))</f>
        <v>0</v>
      </c>
      <c r="AW73" s="34">
        <f ca="1">Sites!$E$77*MAX(0,MIN(1,AW$6-Sites!$F$77))</f>
        <v>0</v>
      </c>
      <c r="AX73" s="34">
        <f ca="1">Sites!$E$77*MAX(0,MIN(1,AX$6-Sites!$F$77))</f>
        <v>0</v>
      </c>
      <c r="AY73" s="34">
        <f ca="1">Sites!$E$77*MAX(0,MIN(1,AY$6-Sites!$F$77))</f>
        <v>0</v>
      </c>
      <c r="AZ73" s="34">
        <f ca="1">Sites!$E$77*MAX(0,MIN(1,AZ$6-Sites!$F$77))</f>
        <v>0</v>
      </c>
      <c r="BA73" s="34">
        <f ca="1">Sites!$E$77*MAX(0,MIN(1,BA$6-Sites!$F$77))</f>
        <v>0</v>
      </c>
    </row>
    <row r="74" spans="2:53" x14ac:dyDescent="0.45">
      <c r="B74" s="52">
        <f>Sites!$B$78</f>
        <v>57</v>
      </c>
      <c r="C74" s="26" t="s">
        <v>107</v>
      </c>
      <c r="D74" s="28"/>
      <c r="E74" s="28"/>
      <c r="F74" s="34">
        <f ca="1">Sites!$E$78*MAX(0,MIN(1,F$6-Sites!$F$78))</f>
        <v>0</v>
      </c>
      <c r="G74" s="34">
        <f ca="1">Sites!$E$78*MAX(0,MIN(1,G$6-Sites!$F$78))</f>
        <v>4.8026447670252272E-3</v>
      </c>
      <c r="H74" s="34">
        <f ca="1">Sites!$E$78*MAX(0,MIN(1,H$6-Sites!$F$78))</f>
        <v>0.38283461417861719</v>
      </c>
      <c r="I74" s="34">
        <f ca="1">Sites!$E$78*MAX(0,MIN(1,I$6-Sites!$F$78))</f>
        <v>0.38283461417861719</v>
      </c>
      <c r="J74" s="34">
        <f ca="1">Sites!$E$78*MAX(0,MIN(1,J$6-Sites!$F$78))</f>
        <v>0.38283461417861719</v>
      </c>
      <c r="K74" s="34">
        <f ca="1">Sites!$E$78*MAX(0,MIN(1,K$6-Sites!$F$78))</f>
        <v>0.38283461417861719</v>
      </c>
      <c r="L74" s="34">
        <f ca="1">Sites!$E$78*MAX(0,MIN(1,L$6-Sites!$F$78))</f>
        <v>0.38283461417861719</v>
      </c>
      <c r="M74" s="34">
        <f ca="1">Sites!$E$78*MAX(0,MIN(1,M$6-Sites!$F$78))</f>
        <v>0.38283461417861719</v>
      </c>
      <c r="N74" s="34">
        <f ca="1">Sites!$E$78*MAX(0,MIN(1,N$6-Sites!$F$78))</f>
        <v>0.38283461417861719</v>
      </c>
      <c r="O74" s="34">
        <f ca="1">Sites!$E$78*MAX(0,MIN(1,O$6-Sites!$F$78))</f>
        <v>0.38283461417861719</v>
      </c>
      <c r="P74" s="34">
        <f ca="1">Sites!$E$78*MAX(0,MIN(1,P$6-Sites!$F$78))</f>
        <v>0.38283461417861719</v>
      </c>
      <c r="Q74" s="34">
        <f ca="1">Sites!$E$78*MAX(0,MIN(1,Q$6-Sites!$F$78))</f>
        <v>0.38283461417861719</v>
      </c>
      <c r="R74" s="34">
        <f ca="1">Sites!$E$78*MAX(0,MIN(1,R$6-Sites!$F$78))</f>
        <v>0.38283461417861719</v>
      </c>
      <c r="S74" s="34">
        <f ca="1">Sites!$E$78*MAX(0,MIN(1,S$6-Sites!$F$78))</f>
        <v>0.38283461417861719</v>
      </c>
      <c r="T74" s="34">
        <f ca="1">Sites!$E$78*MAX(0,MIN(1,T$6-Sites!$F$78))</f>
        <v>0.38283461417861719</v>
      </c>
      <c r="U74" s="34">
        <f ca="1">Sites!$E$78*MAX(0,MIN(1,U$6-Sites!$F$78))</f>
        <v>0.38283461417861719</v>
      </c>
      <c r="V74" s="34">
        <f ca="1">Sites!$E$78*MAX(0,MIN(1,V$6-Sites!$F$78))</f>
        <v>0.38283461417861719</v>
      </c>
      <c r="W74" s="34">
        <f ca="1">Sites!$E$78*MAX(0,MIN(1,W$6-Sites!$F$78))</f>
        <v>0.38283461417861719</v>
      </c>
      <c r="X74" s="34">
        <f ca="1">Sites!$E$78*MAX(0,MIN(1,X$6-Sites!$F$78))</f>
        <v>0.38283461417861719</v>
      </c>
      <c r="Y74" s="34">
        <f ca="1">Sites!$E$78*MAX(0,MIN(1,Y$6-Sites!$F$78))</f>
        <v>0.38283461417861719</v>
      </c>
      <c r="Z74" s="34">
        <f ca="1">Sites!$E$78*MAX(0,MIN(1,Z$6-Sites!$F$78))</f>
        <v>0.38283461417861719</v>
      </c>
      <c r="AA74" s="34">
        <f ca="1">Sites!$E$78*MAX(0,MIN(1,AA$6-Sites!$F$78))</f>
        <v>0.38283461417861719</v>
      </c>
      <c r="AB74" s="34">
        <f ca="1">Sites!$E$78*MAX(0,MIN(1,AB$6-Sites!$F$78))</f>
        <v>0.38283461417861719</v>
      </c>
      <c r="AC74" s="34">
        <f ca="1">Sites!$E$78*MAX(0,MIN(1,AC$6-Sites!$F$78))</f>
        <v>0.38283461417861719</v>
      </c>
      <c r="AD74" s="34">
        <f ca="1">Sites!$E$78*MAX(0,MIN(1,AD$6-Sites!$F$78))</f>
        <v>0.38283461417861719</v>
      </c>
      <c r="AE74" s="34">
        <f ca="1">Sites!$E$78*MAX(0,MIN(1,AE$6-Sites!$F$78))</f>
        <v>0.38283461417861719</v>
      </c>
      <c r="AF74" s="34">
        <f ca="1">Sites!$E$78*MAX(0,MIN(1,AF$6-Sites!$F$78))</f>
        <v>0.38283461417861719</v>
      </c>
      <c r="AG74" s="34">
        <f ca="1">Sites!$E$78*MAX(0,MIN(1,AG$6-Sites!$F$78))</f>
        <v>0.38283461417861719</v>
      </c>
      <c r="AH74" s="34">
        <f ca="1">Sites!$E$78*MAX(0,MIN(1,AH$6-Sites!$F$78))</f>
        <v>0.38283461417861719</v>
      </c>
      <c r="AI74" s="34">
        <f ca="1">Sites!$E$78*MAX(0,MIN(1,AI$6-Sites!$F$78))</f>
        <v>0.38283461417861719</v>
      </c>
      <c r="AJ74" s="34">
        <f ca="1">Sites!$E$78*MAX(0,MIN(1,AJ$6-Sites!$F$78))</f>
        <v>0.38283461417861719</v>
      </c>
      <c r="AK74" s="34">
        <f ca="1">Sites!$E$78*MAX(0,MIN(1,AK$6-Sites!$F$78))</f>
        <v>0.38283461417861719</v>
      </c>
      <c r="AL74" s="34">
        <f ca="1">Sites!$E$78*MAX(0,MIN(1,AL$6-Sites!$F$78))</f>
        <v>0.38283461417861719</v>
      </c>
      <c r="AM74" s="34">
        <f ca="1">Sites!$E$78*MAX(0,MIN(1,AM$6-Sites!$F$78))</f>
        <v>0.38283461417861719</v>
      </c>
      <c r="AN74" s="34">
        <f ca="1">Sites!$E$78*MAX(0,MIN(1,AN$6-Sites!$F$78))</f>
        <v>0.38283461417861719</v>
      </c>
      <c r="AO74" s="34">
        <f ca="1">Sites!$E$78*MAX(0,MIN(1,AO$6-Sites!$F$78))</f>
        <v>0.38283461417861719</v>
      </c>
      <c r="AP74" s="34">
        <f ca="1">Sites!$E$78*MAX(0,MIN(1,AP$6-Sites!$F$78))</f>
        <v>0.38283461417861719</v>
      </c>
      <c r="AQ74" s="34">
        <f ca="1">Sites!$E$78*MAX(0,MIN(1,AQ$6-Sites!$F$78))</f>
        <v>0.38283461417861719</v>
      </c>
      <c r="AR74" s="34">
        <f ca="1">Sites!$E$78*MAX(0,MIN(1,AR$6-Sites!$F$78))</f>
        <v>0.38283461417861719</v>
      </c>
      <c r="AS74" s="34">
        <f ca="1">Sites!$E$78*MAX(0,MIN(1,AS$6-Sites!$F$78))</f>
        <v>0.38283461417861719</v>
      </c>
      <c r="AT74" s="34">
        <f ca="1">Sites!$E$78*MAX(0,MIN(1,AT$6-Sites!$F$78))</f>
        <v>0.38283461417861719</v>
      </c>
      <c r="AU74" s="34">
        <f ca="1">Sites!$E$78*MAX(0,MIN(1,AU$6-Sites!$F$78))</f>
        <v>0.38283461417861719</v>
      </c>
      <c r="AV74" s="34">
        <f ca="1">Sites!$E$78*MAX(0,MIN(1,AV$6-Sites!$F$78))</f>
        <v>0.38283461417861719</v>
      </c>
      <c r="AW74" s="34">
        <f ca="1">Sites!$E$78*MAX(0,MIN(1,AW$6-Sites!$F$78))</f>
        <v>0.38283461417861719</v>
      </c>
      <c r="AX74" s="34">
        <f ca="1">Sites!$E$78*MAX(0,MIN(1,AX$6-Sites!$F$78))</f>
        <v>0.38283461417861719</v>
      </c>
      <c r="AY74" s="34">
        <f ca="1">Sites!$E$78*MAX(0,MIN(1,AY$6-Sites!$F$78))</f>
        <v>0.38283461417861719</v>
      </c>
      <c r="AZ74" s="34">
        <f ca="1">Sites!$E$78*MAX(0,MIN(1,AZ$6-Sites!$F$78))</f>
        <v>0.38283461417861719</v>
      </c>
      <c r="BA74" s="34">
        <f ca="1">Sites!$E$78*MAX(0,MIN(1,BA$6-Sites!$F$78))</f>
        <v>0.38283461417861719</v>
      </c>
    </row>
    <row r="75" spans="2:53" x14ac:dyDescent="0.45">
      <c r="B75" s="52">
        <f>Sites!$B$79</f>
        <v>58</v>
      </c>
      <c r="C75" s="26" t="s">
        <v>107</v>
      </c>
      <c r="D75" s="28"/>
      <c r="E75" s="28"/>
      <c r="F75" s="34">
        <f ca="1">Sites!$E$79*MAX(0,MIN(1,F$6-Sites!$F$79))</f>
        <v>0</v>
      </c>
      <c r="G75" s="34">
        <f ca="1">Sites!$E$79*MAX(0,MIN(1,G$6-Sites!$F$79))</f>
        <v>0</v>
      </c>
      <c r="H75" s="34">
        <f ca="1">Sites!$E$79*MAX(0,MIN(1,H$6-Sites!$F$79))</f>
        <v>0</v>
      </c>
      <c r="I75" s="34">
        <f ca="1">Sites!$E$79*MAX(0,MIN(1,I$6-Sites!$F$79))</f>
        <v>0</v>
      </c>
      <c r="J75" s="34">
        <f ca="1">Sites!$E$79*MAX(0,MIN(1,J$6-Sites!$F$79))</f>
        <v>9.2893452110796568E-2</v>
      </c>
      <c r="K75" s="34">
        <f ca="1">Sites!$E$79*MAX(0,MIN(1,K$6-Sites!$F$79))</f>
        <v>0.18552730524754352</v>
      </c>
      <c r="L75" s="34">
        <f ca="1">Sites!$E$79*MAX(0,MIN(1,L$6-Sites!$F$79))</f>
        <v>0.18552730524754352</v>
      </c>
      <c r="M75" s="34">
        <f ca="1">Sites!$E$79*MAX(0,MIN(1,M$6-Sites!$F$79))</f>
        <v>0.18552730524754352</v>
      </c>
      <c r="N75" s="34">
        <f ca="1">Sites!$E$79*MAX(0,MIN(1,N$6-Sites!$F$79))</f>
        <v>0.18552730524754352</v>
      </c>
      <c r="O75" s="34">
        <f ca="1">Sites!$E$79*MAX(0,MIN(1,O$6-Sites!$F$79))</f>
        <v>0.18552730524754352</v>
      </c>
      <c r="P75" s="34">
        <f ca="1">Sites!$E$79*MAX(0,MIN(1,P$6-Sites!$F$79))</f>
        <v>0.18552730524754352</v>
      </c>
      <c r="Q75" s="34">
        <f ca="1">Sites!$E$79*MAX(0,MIN(1,Q$6-Sites!$F$79))</f>
        <v>0.18552730524754352</v>
      </c>
      <c r="R75" s="34">
        <f ca="1">Sites!$E$79*MAX(0,MIN(1,R$6-Sites!$F$79))</f>
        <v>0.18552730524754352</v>
      </c>
      <c r="S75" s="34">
        <f ca="1">Sites!$E$79*MAX(0,MIN(1,S$6-Sites!$F$79))</f>
        <v>0.18552730524754352</v>
      </c>
      <c r="T75" s="34">
        <f ca="1">Sites!$E$79*MAX(0,MIN(1,T$6-Sites!$F$79))</f>
        <v>0.18552730524754352</v>
      </c>
      <c r="U75" s="34">
        <f ca="1">Sites!$E$79*MAX(0,MIN(1,U$6-Sites!$F$79))</f>
        <v>0.18552730524754352</v>
      </c>
      <c r="V75" s="34">
        <f ca="1">Sites!$E$79*MAX(0,MIN(1,V$6-Sites!$F$79))</f>
        <v>0.18552730524754352</v>
      </c>
      <c r="W75" s="34">
        <f ca="1">Sites!$E$79*MAX(0,MIN(1,W$6-Sites!$F$79))</f>
        <v>0.18552730524754352</v>
      </c>
      <c r="X75" s="34">
        <f ca="1">Sites!$E$79*MAX(0,MIN(1,X$6-Sites!$F$79))</f>
        <v>0.18552730524754352</v>
      </c>
      <c r="Y75" s="34">
        <f ca="1">Sites!$E$79*MAX(0,MIN(1,Y$6-Sites!$F$79))</f>
        <v>0.18552730524754352</v>
      </c>
      <c r="Z75" s="34">
        <f ca="1">Sites!$E$79*MAX(0,MIN(1,Z$6-Sites!$F$79))</f>
        <v>0.18552730524754352</v>
      </c>
      <c r="AA75" s="34">
        <f ca="1">Sites!$E$79*MAX(0,MIN(1,AA$6-Sites!$F$79))</f>
        <v>0.18552730524754352</v>
      </c>
      <c r="AB75" s="34">
        <f ca="1">Sites!$E$79*MAX(0,MIN(1,AB$6-Sites!$F$79))</f>
        <v>0.18552730524754352</v>
      </c>
      <c r="AC75" s="34">
        <f ca="1">Sites!$E$79*MAX(0,MIN(1,AC$6-Sites!$F$79))</f>
        <v>0.18552730524754352</v>
      </c>
      <c r="AD75" s="34">
        <f ca="1">Sites!$E$79*MAX(0,MIN(1,AD$6-Sites!$F$79))</f>
        <v>0.18552730524754352</v>
      </c>
      <c r="AE75" s="34">
        <f ca="1">Sites!$E$79*MAX(0,MIN(1,AE$6-Sites!$F$79))</f>
        <v>0.18552730524754352</v>
      </c>
      <c r="AF75" s="34">
        <f ca="1">Sites!$E$79*MAX(0,MIN(1,AF$6-Sites!$F$79))</f>
        <v>0.18552730524754352</v>
      </c>
      <c r="AG75" s="34">
        <f ca="1">Sites!$E$79*MAX(0,MIN(1,AG$6-Sites!$F$79))</f>
        <v>0.18552730524754352</v>
      </c>
      <c r="AH75" s="34">
        <f ca="1">Sites!$E$79*MAX(0,MIN(1,AH$6-Sites!$F$79))</f>
        <v>0.18552730524754352</v>
      </c>
      <c r="AI75" s="34">
        <f ca="1">Sites!$E$79*MAX(0,MIN(1,AI$6-Sites!$F$79))</f>
        <v>0.18552730524754352</v>
      </c>
      <c r="AJ75" s="34">
        <f ca="1">Sites!$E$79*MAX(0,MIN(1,AJ$6-Sites!$F$79))</f>
        <v>0.18552730524754352</v>
      </c>
      <c r="AK75" s="34">
        <f ca="1">Sites!$E$79*MAX(0,MIN(1,AK$6-Sites!$F$79))</f>
        <v>0.18552730524754352</v>
      </c>
      <c r="AL75" s="34">
        <f ca="1">Sites!$E$79*MAX(0,MIN(1,AL$6-Sites!$F$79))</f>
        <v>0.18552730524754352</v>
      </c>
      <c r="AM75" s="34">
        <f ca="1">Sites!$E$79*MAX(0,MIN(1,AM$6-Sites!$F$79))</f>
        <v>0.18552730524754352</v>
      </c>
      <c r="AN75" s="34">
        <f ca="1">Sites!$E$79*MAX(0,MIN(1,AN$6-Sites!$F$79))</f>
        <v>0.18552730524754352</v>
      </c>
      <c r="AO75" s="34">
        <f ca="1">Sites!$E$79*MAX(0,MIN(1,AO$6-Sites!$F$79))</f>
        <v>0.18552730524754352</v>
      </c>
      <c r="AP75" s="34">
        <f ca="1">Sites!$E$79*MAX(0,MIN(1,AP$6-Sites!$F$79))</f>
        <v>0.18552730524754352</v>
      </c>
      <c r="AQ75" s="34">
        <f ca="1">Sites!$E$79*MAX(0,MIN(1,AQ$6-Sites!$F$79))</f>
        <v>0.18552730524754352</v>
      </c>
      <c r="AR75" s="34">
        <f ca="1">Sites!$E$79*MAX(0,MIN(1,AR$6-Sites!$F$79))</f>
        <v>0.18552730524754352</v>
      </c>
      <c r="AS75" s="34">
        <f ca="1">Sites!$E$79*MAX(0,MIN(1,AS$6-Sites!$F$79))</f>
        <v>0.18552730524754352</v>
      </c>
      <c r="AT75" s="34">
        <f ca="1">Sites!$E$79*MAX(0,MIN(1,AT$6-Sites!$F$79))</f>
        <v>0.18552730524754352</v>
      </c>
      <c r="AU75" s="34">
        <f ca="1">Sites!$E$79*MAX(0,MIN(1,AU$6-Sites!$F$79))</f>
        <v>0.18552730524754352</v>
      </c>
      <c r="AV75" s="34">
        <f ca="1">Sites!$E$79*MAX(0,MIN(1,AV$6-Sites!$F$79))</f>
        <v>0.18552730524754352</v>
      </c>
      <c r="AW75" s="34">
        <f ca="1">Sites!$E$79*MAX(0,MIN(1,AW$6-Sites!$F$79))</f>
        <v>0.18552730524754352</v>
      </c>
      <c r="AX75" s="34">
        <f ca="1">Sites!$E$79*MAX(0,MIN(1,AX$6-Sites!$F$79))</f>
        <v>0.18552730524754352</v>
      </c>
      <c r="AY75" s="34">
        <f ca="1">Sites!$E$79*MAX(0,MIN(1,AY$6-Sites!$F$79))</f>
        <v>0.18552730524754352</v>
      </c>
      <c r="AZ75" s="34">
        <f ca="1">Sites!$E$79*MAX(0,MIN(1,AZ$6-Sites!$F$79))</f>
        <v>0.18552730524754352</v>
      </c>
      <c r="BA75" s="34">
        <f ca="1">Sites!$E$79*MAX(0,MIN(1,BA$6-Sites!$F$79))</f>
        <v>0.18552730524754352</v>
      </c>
    </row>
    <row r="76" spans="2:53" x14ac:dyDescent="0.45">
      <c r="B76" s="52">
        <f>Sites!$B$80</f>
        <v>59</v>
      </c>
      <c r="C76" s="26" t="s">
        <v>107</v>
      </c>
      <c r="D76" s="28"/>
      <c r="E76" s="28"/>
      <c r="F76" s="34">
        <f ca="1">Sites!$E$80*MAX(0,MIN(1,F$6-Sites!$F$80))</f>
        <v>0</v>
      </c>
      <c r="G76" s="34">
        <f ca="1">Sites!$E$80*MAX(0,MIN(1,G$6-Sites!$F$80))</f>
        <v>0</v>
      </c>
      <c r="H76" s="34">
        <f ca="1">Sites!$E$80*MAX(0,MIN(1,H$6-Sites!$F$80))</f>
        <v>0</v>
      </c>
      <c r="I76" s="34">
        <f ca="1">Sites!$E$80*MAX(0,MIN(1,I$6-Sites!$F$80))</f>
        <v>0.11163019732957095</v>
      </c>
      <c r="J76" s="34">
        <f ca="1">Sites!$E$80*MAX(0,MIN(1,J$6-Sites!$F$80))</f>
        <v>0.29849751810564984</v>
      </c>
      <c r="K76" s="34">
        <f ca="1">Sites!$E$80*MAX(0,MIN(1,K$6-Sites!$F$80))</f>
        <v>0.29849751810564984</v>
      </c>
      <c r="L76" s="34">
        <f ca="1">Sites!$E$80*MAX(0,MIN(1,L$6-Sites!$F$80))</f>
        <v>0.29849751810564984</v>
      </c>
      <c r="M76" s="34">
        <f ca="1">Sites!$E$80*MAX(0,MIN(1,M$6-Sites!$F$80))</f>
        <v>0.29849751810564984</v>
      </c>
      <c r="N76" s="34">
        <f ca="1">Sites!$E$80*MAX(0,MIN(1,N$6-Sites!$F$80))</f>
        <v>0.29849751810564984</v>
      </c>
      <c r="O76" s="34">
        <f ca="1">Sites!$E$80*MAX(0,MIN(1,O$6-Sites!$F$80))</f>
        <v>0.29849751810564984</v>
      </c>
      <c r="P76" s="34">
        <f ca="1">Sites!$E$80*MAX(0,MIN(1,P$6-Sites!$F$80))</f>
        <v>0.29849751810564984</v>
      </c>
      <c r="Q76" s="34">
        <f ca="1">Sites!$E$80*MAX(0,MIN(1,Q$6-Sites!$F$80))</f>
        <v>0.29849751810564984</v>
      </c>
      <c r="R76" s="34">
        <f ca="1">Sites!$E$80*MAX(0,MIN(1,R$6-Sites!$F$80))</f>
        <v>0.29849751810564984</v>
      </c>
      <c r="S76" s="34">
        <f ca="1">Sites!$E$80*MAX(0,MIN(1,S$6-Sites!$F$80))</f>
        <v>0.29849751810564984</v>
      </c>
      <c r="T76" s="34">
        <f ca="1">Sites!$E$80*MAX(0,MIN(1,T$6-Sites!$F$80))</f>
        <v>0.29849751810564984</v>
      </c>
      <c r="U76" s="34">
        <f ca="1">Sites!$E$80*MAX(0,MIN(1,U$6-Sites!$F$80))</f>
        <v>0.29849751810564984</v>
      </c>
      <c r="V76" s="34">
        <f ca="1">Sites!$E$80*MAX(0,MIN(1,V$6-Sites!$F$80))</f>
        <v>0.29849751810564984</v>
      </c>
      <c r="W76" s="34">
        <f ca="1">Sites!$E$80*MAX(0,MIN(1,W$6-Sites!$F$80))</f>
        <v>0.29849751810564984</v>
      </c>
      <c r="X76" s="34">
        <f ca="1">Sites!$E$80*MAX(0,MIN(1,X$6-Sites!$F$80))</f>
        <v>0.29849751810564984</v>
      </c>
      <c r="Y76" s="34">
        <f ca="1">Sites!$E$80*MAX(0,MIN(1,Y$6-Sites!$F$80))</f>
        <v>0.29849751810564984</v>
      </c>
      <c r="Z76" s="34">
        <f ca="1">Sites!$E$80*MAX(0,MIN(1,Z$6-Sites!$F$80))</f>
        <v>0.29849751810564984</v>
      </c>
      <c r="AA76" s="34">
        <f ca="1">Sites!$E$80*MAX(0,MIN(1,AA$6-Sites!$F$80))</f>
        <v>0.29849751810564984</v>
      </c>
      <c r="AB76" s="34">
        <f ca="1">Sites!$E$80*MAX(0,MIN(1,AB$6-Sites!$F$80))</f>
        <v>0.29849751810564984</v>
      </c>
      <c r="AC76" s="34">
        <f ca="1">Sites!$E$80*MAX(0,MIN(1,AC$6-Sites!$F$80))</f>
        <v>0.29849751810564984</v>
      </c>
      <c r="AD76" s="34">
        <f ca="1">Sites!$E$80*MAX(0,MIN(1,AD$6-Sites!$F$80))</f>
        <v>0.29849751810564984</v>
      </c>
      <c r="AE76" s="34">
        <f ca="1">Sites!$E$80*MAX(0,MIN(1,AE$6-Sites!$F$80))</f>
        <v>0.29849751810564984</v>
      </c>
      <c r="AF76" s="34">
        <f ca="1">Sites!$E$80*MAX(0,MIN(1,AF$6-Sites!$F$80))</f>
        <v>0.29849751810564984</v>
      </c>
      <c r="AG76" s="34">
        <f ca="1">Sites!$E$80*MAX(0,MIN(1,AG$6-Sites!$F$80))</f>
        <v>0.29849751810564984</v>
      </c>
      <c r="AH76" s="34">
        <f ca="1">Sites!$E$80*MAX(0,MIN(1,AH$6-Sites!$F$80))</f>
        <v>0.29849751810564984</v>
      </c>
      <c r="AI76" s="34">
        <f ca="1">Sites!$E$80*MAX(0,MIN(1,AI$6-Sites!$F$80))</f>
        <v>0.29849751810564984</v>
      </c>
      <c r="AJ76" s="34">
        <f ca="1">Sites!$E$80*MAX(0,MIN(1,AJ$6-Sites!$F$80))</f>
        <v>0.29849751810564984</v>
      </c>
      <c r="AK76" s="34">
        <f ca="1">Sites!$E$80*MAX(0,MIN(1,AK$6-Sites!$F$80))</f>
        <v>0.29849751810564984</v>
      </c>
      <c r="AL76" s="34">
        <f ca="1">Sites!$E$80*MAX(0,MIN(1,AL$6-Sites!$F$80))</f>
        <v>0.29849751810564984</v>
      </c>
      <c r="AM76" s="34">
        <f ca="1">Sites!$E$80*MAX(0,MIN(1,AM$6-Sites!$F$80))</f>
        <v>0.29849751810564984</v>
      </c>
      <c r="AN76" s="34">
        <f ca="1">Sites!$E$80*MAX(0,MIN(1,AN$6-Sites!$F$80))</f>
        <v>0.29849751810564984</v>
      </c>
      <c r="AO76" s="34">
        <f ca="1">Sites!$E$80*MAX(0,MIN(1,AO$6-Sites!$F$80))</f>
        <v>0.29849751810564984</v>
      </c>
      <c r="AP76" s="34">
        <f ca="1">Sites!$E$80*MAX(0,MIN(1,AP$6-Sites!$F$80))</f>
        <v>0.29849751810564984</v>
      </c>
      <c r="AQ76" s="34">
        <f ca="1">Sites!$E$80*MAX(0,MIN(1,AQ$6-Sites!$F$80))</f>
        <v>0.29849751810564984</v>
      </c>
      <c r="AR76" s="34">
        <f ca="1">Sites!$E$80*MAX(0,MIN(1,AR$6-Sites!$F$80))</f>
        <v>0.29849751810564984</v>
      </c>
      <c r="AS76" s="34">
        <f ca="1">Sites!$E$80*MAX(0,MIN(1,AS$6-Sites!$F$80))</f>
        <v>0.29849751810564984</v>
      </c>
      <c r="AT76" s="34">
        <f ca="1">Sites!$E$80*MAX(0,MIN(1,AT$6-Sites!$F$80))</f>
        <v>0.29849751810564984</v>
      </c>
      <c r="AU76" s="34">
        <f ca="1">Sites!$E$80*MAX(0,MIN(1,AU$6-Sites!$F$80))</f>
        <v>0.29849751810564984</v>
      </c>
      <c r="AV76" s="34">
        <f ca="1">Sites!$E$80*MAX(0,MIN(1,AV$6-Sites!$F$80))</f>
        <v>0.29849751810564984</v>
      </c>
      <c r="AW76" s="34">
        <f ca="1">Sites!$E$80*MAX(0,MIN(1,AW$6-Sites!$F$80))</f>
        <v>0.29849751810564984</v>
      </c>
      <c r="AX76" s="34">
        <f ca="1">Sites!$E$80*MAX(0,MIN(1,AX$6-Sites!$F$80))</f>
        <v>0.29849751810564984</v>
      </c>
      <c r="AY76" s="34">
        <f ca="1">Sites!$E$80*MAX(0,MIN(1,AY$6-Sites!$F$80))</f>
        <v>0.29849751810564984</v>
      </c>
      <c r="AZ76" s="34">
        <f ca="1">Sites!$E$80*MAX(0,MIN(1,AZ$6-Sites!$F$80))</f>
        <v>0.29849751810564984</v>
      </c>
      <c r="BA76" s="34">
        <f ca="1">Sites!$E$80*MAX(0,MIN(1,BA$6-Sites!$F$80))</f>
        <v>0.29849751810564984</v>
      </c>
    </row>
    <row r="77" spans="2:53" x14ac:dyDescent="0.45">
      <c r="B77" s="52">
        <f>Sites!$B$81</f>
        <v>60</v>
      </c>
      <c r="C77" s="26" t="s">
        <v>107</v>
      </c>
      <c r="D77" s="28"/>
      <c r="E77" s="28"/>
      <c r="F77" s="34">
        <f ca="1">Sites!$E$81*MAX(0,MIN(1,F$6-Sites!$F$81))</f>
        <v>0</v>
      </c>
      <c r="G77" s="34">
        <f ca="1">Sites!$E$81*MAX(0,MIN(1,G$6-Sites!$F$81))</f>
        <v>0</v>
      </c>
      <c r="H77" s="34">
        <f ca="1">Sites!$E$81*MAX(0,MIN(1,H$6-Sites!$F$81))</f>
        <v>0</v>
      </c>
      <c r="I77" s="34">
        <f ca="1">Sites!$E$81*MAX(0,MIN(1,I$6-Sites!$F$81))</f>
        <v>0</v>
      </c>
      <c r="J77" s="34">
        <f ca="1">Sites!$E$81*MAX(0,MIN(1,J$6-Sites!$F$81))</f>
        <v>0</v>
      </c>
      <c r="K77" s="34">
        <f ca="1">Sites!$E$81*MAX(0,MIN(1,K$6-Sites!$F$81))</f>
        <v>0</v>
      </c>
      <c r="L77" s="34">
        <f ca="1">Sites!$E$81*MAX(0,MIN(1,L$6-Sites!$F$81))</f>
        <v>0</v>
      </c>
      <c r="M77" s="34">
        <f ca="1">Sites!$E$81*MAX(0,MIN(1,M$6-Sites!$F$81))</f>
        <v>0</v>
      </c>
      <c r="N77" s="34">
        <f ca="1">Sites!$E$81*MAX(0,MIN(1,N$6-Sites!$F$81))</f>
        <v>0</v>
      </c>
      <c r="O77" s="34">
        <f ca="1">Sites!$E$81*MAX(0,MIN(1,O$6-Sites!$F$81))</f>
        <v>0</v>
      </c>
      <c r="P77" s="34">
        <f ca="1">Sites!$E$81*MAX(0,MIN(1,P$6-Sites!$F$81))</f>
        <v>0</v>
      </c>
      <c r="Q77" s="34">
        <f ca="1">Sites!$E$81*MAX(0,MIN(1,Q$6-Sites!$F$81))</f>
        <v>0</v>
      </c>
      <c r="R77" s="34">
        <f ca="1">Sites!$E$81*MAX(0,MIN(1,R$6-Sites!$F$81))</f>
        <v>0</v>
      </c>
      <c r="S77" s="34">
        <f ca="1">Sites!$E$81*MAX(0,MIN(1,S$6-Sites!$F$81))</f>
        <v>0</v>
      </c>
      <c r="T77" s="34">
        <f ca="1">Sites!$E$81*MAX(0,MIN(1,T$6-Sites!$F$81))</f>
        <v>0</v>
      </c>
      <c r="U77" s="34">
        <f ca="1">Sites!$E$81*MAX(0,MIN(1,U$6-Sites!$F$81))</f>
        <v>0</v>
      </c>
      <c r="V77" s="34">
        <f ca="1">Sites!$E$81*MAX(0,MIN(1,V$6-Sites!$F$81))</f>
        <v>0</v>
      </c>
      <c r="W77" s="34">
        <f ca="1">Sites!$E$81*MAX(0,MIN(1,W$6-Sites!$F$81))</f>
        <v>0</v>
      </c>
      <c r="X77" s="34">
        <f ca="1">Sites!$E$81*MAX(0,MIN(1,X$6-Sites!$F$81))</f>
        <v>0</v>
      </c>
      <c r="Y77" s="34">
        <f ca="1">Sites!$E$81*MAX(0,MIN(1,Y$6-Sites!$F$81))</f>
        <v>0</v>
      </c>
      <c r="Z77" s="34">
        <f ca="1">Sites!$E$81*MAX(0,MIN(1,Z$6-Sites!$F$81))</f>
        <v>0</v>
      </c>
      <c r="AA77" s="34">
        <f ca="1">Sites!$E$81*MAX(0,MIN(1,AA$6-Sites!$F$81))</f>
        <v>0</v>
      </c>
      <c r="AB77" s="34">
        <f ca="1">Sites!$E$81*MAX(0,MIN(1,AB$6-Sites!$F$81))</f>
        <v>0</v>
      </c>
      <c r="AC77" s="34">
        <f ca="1">Sites!$E$81*MAX(0,MIN(1,AC$6-Sites!$F$81))</f>
        <v>0</v>
      </c>
      <c r="AD77" s="34">
        <f ca="1">Sites!$E$81*MAX(0,MIN(1,AD$6-Sites!$F$81))</f>
        <v>0</v>
      </c>
      <c r="AE77" s="34">
        <f ca="1">Sites!$E$81*MAX(0,MIN(1,AE$6-Sites!$F$81))</f>
        <v>0</v>
      </c>
      <c r="AF77" s="34">
        <f ca="1">Sites!$E$81*MAX(0,MIN(1,AF$6-Sites!$F$81))</f>
        <v>0</v>
      </c>
      <c r="AG77" s="34">
        <f ca="1">Sites!$E$81*MAX(0,MIN(1,AG$6-Sites!$F$81))</f>
        <v>0</v>
      </c>
      <c r="AH77" s="34">
        <f ca="1">Sites!$E$81*MAX(0,MIN(1,AH$6-Sites!$F$81))</f>
        <v>0</v>
      </c>
      <c r="AI77" s="34">
        <f ca="1">Sites!$E$81*MAX(0,MIN(1,AI$6-Sites!$F$81))</f>
        <v>0</v>
      </c>
      <c r="AJ77" s="34">
        <f ca="1">Sites!$E$81*MAX(0,MIN(1,AJ$6-Sites!$F$81))</f>
        <v>0</v>
      </c>
      <c r="AK77" s="34">
        <f ca="1">Sites!$E$81*MAX(0,MIN(1,AK$6-Sites!$F$81))</f>
        <v>0</v>
      </c>
      <c r="AL77" s="34">
        <f ca="1">Sites!$E$81*MAX(0,MIN(1,AL$6-Sites!$F$81))</f>
        <v>0</v>
      </c>
      <c r="AM77" s="34">
        <f ca="1">Sites!$E$81*MAX(0,MIN(1,AM$6-Sites!$F$81))</f>
        <v>0</v>
      </c>
      <c r="AN77" s="34">
        <f ca="1">Sites!$E$81*MAX(0,MIN(1,AN$6-Sites!$F$81))</f>
        <v>0</v>
      </c>
      <c r="AO77" s="34">
        <f ca="1">Sites!$E$81*MAX(0,MIN(1,AO$6-Sites!$F$81))</f>
        <v>0</v>
      </c>
      <c r="AP77" s="34">
        <f ca="1">Sites!$E$81*MAX(0,MIN(1,AP$6-Sites!$F$81))</f>
        <v>0</v>
      </c>
      <c r="AQ77" s="34">
        <f ca="1">Sites!$E$81*MAX(0,MIN(1,AQ$6-Sites!$F$81))</f>
        <v>0</v>
      </c>
      <c r="AR77" s="34">
        <f ca="1">Sites!$E$81*MAX(0,MIN(1,AR$6-Sites!$F$81))</f>
        <v>0</v>
      </c>
      <c r="AS77" s="34">
        <f ca="1">Sites!$E$81*MAX(0,MIN(1,AS$6-Sites!$F$81))</f>
        <v>0</v>
      </c>
      <c r="AT77" s="34">
        <f ca="1">Sites!$E$81*MAX(0,MIN(1,AT$6-Sites!$F$81))</f>
        <v>0</v>
      </c>
      <c r="AU77" s="34">
        <f ca="1">Sites!$E$81*MAX(0,MIN(1,AU$6-Sites!$F$81))</f>
        <v>0</v>
      </c>
      <c r="AV77" s="34">
        <f ca="1">Sites!$E$81*MAX(0,MIN(1,AV$6-Sites!$F$81))</f>
        <v>0</v>
      </c>
      <c r="AW77" s="34">
        <f ca="1">Sites!$E$81*MAX(0,MIN(1,AW$6-Sites!$F$81))</f>
        <v>0</v>
      </c>
      <c r="AX77" s="34">
        <f ca="1">Sites!$E$81*MAX(0,MIN(1,AX$6-Sites!$F$81))</f>
        <v>0</v>
      </c>
      <c r="AY77" s="34">
        <f ca="1">Sites!$E$81*MAX(0,MIN(1,AY$6-Sites!$F$81))</f>
        <v>0</v>
      </c>
      <c r="AZ77" s="34">
        <f ca="1">Sites!$E$81*MAX(0,MIN(1,AZ$6-Sites!$F$81))</f>
        <v>0</v>
      </c>
      <c r="BA77" s="34">
        <f ca="1">Sites!$E$81*MAX(0,MIN(1,BA$6-Sites!$F$81))</f>
        <v>0</v>
      </c>
    </row>
    <row r="78" spans="2:53" ht="8" customHeight="1" x14ac:dyDescent="0.45"/>
    <row r="79" spans="2:53" ht="22.05" customHeight="1" x14ac:dyDescent="0.5">
      <c r="B79" s="7" t="s">
        <v>182</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row>
    <row r="80" spans="2:53" ht="18" customHeight="1" x14ac:dyDescent="0.45">
      <c r="B80" s="13" t="s">
        <v>183</v>
      </c>
    </row>
    <row r="81" spans="2:53" x14ac:dyDescent="0.45">
      <c r="B81" s="25" t="s">
        <v>184</v>
      </c>
      <c r="C81" s="26" t="s">
        <v>185</v>
      </c>
      <c r="D81" s="28"/>
      <c r="E81" s="28"/>
      <c r="F81" s="53" cm="1">
        <f t="array" aca="1" ref="F81" ca="1">_xll.VoseUniform(0,1)</f>
        <v>0.98877864016685635</v>
      </c>
      <c r="G81" s="53" cm="1">
        <f t="array" aca="1" ref="G81" ca="1">_xll.VoseUniform(0,1)</f>
        <v>0.77613244426902384</v>
      </c>
      <c r="H81" s="53" cm="1">
        <f t="array" aca="1" ref="H81" ca="1">_xll.VoseUniform(0,1)</f>
        <v>0.15741626324597746</v>
      </c>
      <c r="I81" s="53" cm="1">
        <f t="array" aca="1" ref="I81" ca="1">_xll.VoseUniform(0,1)</f>
        <v>0.12831090658437461</v>
      </c>
      <c r="J81" s="53" cm="1">
        <f t="array" aca="1" ref="J81" ca="1">_xll.VoseUniform(0,1)</f>
        <v>0.17850959987845272</v>
      </c>
      <c r="K81" s="53" cm="1">
        <f t="array" aca="1" ref="K81" ca="1">_xll.VoseUniform(0,1)</f>
        <v>0.34907626186031848</v>
      </c>
      <c r="L81" s="53" cm="1">
        <f t="array" aca="1" ref="L81" ca="1">_xll.VoseUniform(0,1)</f>
        <v>0.1727815045742318</v>
      </c>
      <c r="M81" s="53" cm="1">
        <f t="array" aca="1" ref="M81" ca="1">_xll.VoseUniform(0,1)</f>
        <v>0.44654633745085448</v>
      </c>
      <c r="N81" s="53" cm="1">
        <f t="array" aca="1" ref="N81" ca="1">_xll.VoseUniform(0,1)</f>
        <v>0.15954485617112368</v>
      </c>
      <c r="O81" s="53" cm="1">
        <f t="array" aca="1" ref="O81" ca="1">_xll.VoseUniform(0,1)</f>
        <v>0.36518149578478187</v>
      </c>
      <c r="P81" s="53" cm="1">
        <f t="array" aca="1" ref="P81" ca="1">_xll.VoseUniform(0,1)</f>
        <v>0.74061791237909347</v>
      </c>
      <c r="Q81" s="53" cm="1">
        <f t="array" aca="1" ref="Q81" ca="1">_xll.VoseUniform(0,1)</f>
        <v>0.76949691202025861</v>
      </c>
      <c r="R81" s="53" cm="1">
        <f t="array" aca="1" ref="R81" ca="1">_xll.VoseUniform(0,1)</f>
        <v>8.6049350211396813E-3</v>
      </c>
      <c r="S81" s="53" cm="1">
        <f t="array" aca="1" ref="S81" ca="1">_xll.VoseUniform(0,1)</f>
        <v>0.59231646091211587</v>
      </c>
      <c r="T81" s="53" cm="1">
        <f t="array" aca="1" ref="T81" ca="1">_xll.VoseUniform(0,1)</f>
        <v>0.5684968699933961</v>
      </c>
      <c r="U81" s="53" cm="1">
        <f t="array" aca="1" ref="U81" ca="1">_xll.VoseUniform(0,1)</f>
        <v>0.6971863970393315</v>
      </c>
      <c r="V81" s="53" cm="1">
        <f t="array" aca="1" ref="V81" ca="1">_xll.VoseUniform(0,1)</f>
        <v>0.52464976196642965</v>
      </c>
      <c r="W81" s="53" cm="1">
        <f t="array" aca="1" ref="W81" ca="1">_xll.VoseUniform(0,1)</f>
        <v>0.4531878448324278</v>
      </c>
      <c r="X81" s="53" cm="1">
        <f t="array" aca="1" ref="X81" ca="1">_xll.VoseUniform(0,1)</f>
        <v>0.43947169452439994</v>
      </c>
      <c r="Y81" s="53" cm="1">
        <f t="array" aca="1" ref="Y81" ca="1">_xll.VoseUniform(0,1)</f>
        <v>0.49954335356596857</v>
      </c>
      <c r="Z81" s="53" cm="1">
        <f t="array" aca="1" ref="Z81" ca="1">_xll.VoseUniform(0,1)</f>
        <v>0.12576231395360082</v>
      </c>
      <c r="AA81" s="53" cm="1">
        <f t="array" aca="1" ref="AA81" ca="1">_xll.VoseUniform(0,1)</f>
        <v>0.97904157673474401</v>
      </c>
      <c r="AB81" s="53" cm="1">
        <f t="array" aca="1" ref="AB81" ca="1">_xll.VoseUniform(0,1)</f>
        <v>0.74918699997942895</v>
      </c>
      <c r="AC81" s="53" cm="1">
        <f t="array" aca="1" ref="AC81" ca="1">_xll.VoseUniform(0,1)</f>
        <v>0.37921821034979075</v>
      </c>
      <c r="AD81" s="53" cm="1">
        <f t="array" aca="1" ref="AD81" ca="1">_xll.VoseUniform(0,1)</f>
        <v>0.81667919328901917</v>
      </c>
      <c r="AE81" s="53" cm="1">
        <f t="array" aca="1" ref="AE81" ca="1">_xll.VoseUniform(0,1)</f>
        <v>0.4218399579403922</v>
      </c>
      <c r="AF81" s="53" cm="1">
        <f t="array" aca="1" ref="AF81" ca="1">_xll.VoseUniform(0,1)</f>
        <v>0.79940544359851629</v>
      </c>
      <c r="AG81" s="53" cm="1">
        <f t="array" aca="1" ref="AG81" ca="1">_xll.VoseUniform(0,1)</f>
        <v>9.0053740073926747E-2</v>
      </c>
      <c r="AH81" s="53" cm="1">
        <f t="array" aca="1" ref="AH81" ca="1">_xll.VoseUniform(0,1)</f>
        <v>0.47218664770480245</v>
      </c>
      <c r="AI81" s="53" cm="1">
        <f t="array" aca="1" ref="AI81" ca="1">_xll.VoseUniform(0,1)</f>
        <v>0.95792819524649531</v>
      </c>
      <c r="AJ81" s="53" cm="1">
        <f t="array" aca="1" ref="AJ81" ca="1">_xll.VoseUniform(0,1)</f>
        <v>0.2962030858034268</v>
      </c>
      <c r="AK81" s="53" cm="1">
        <f t="array" aca="1" ref="AK81" ca="1">_xll.VoseUniform(0,1)</f>
        <v>0.95867867500055581</v>
      </c>
      <c r="AL81" s="53" cm="1">
        <f t="array" aca="1" ref="AL81" ca="1">_xll.VoseUniform(0,1)</f>
        <v>0.13297615677583963</v>
      </c>
      <c r="AM81" s="53" cm="1">
        <f t="array" aca="1" ref="AM81" ca="1">_xll.VoseUniform(0,1)</f>
        <v>0.15984402585308999</v>
      </c>
      <c r="AN81" s="53" cm="1">
        <f t="array" aca="1" ref="AN81" ca="1">_xll.VoseUniform(0,1)</f>
        <v>3.5796030075289309E-2</v>
      </c>
      <c r="AO81" s="53" cm="1">
        <f t="array" aca="1" ref="AO81" ca="1">_xll.VoseUniform(0,1)</f>
        <v>0.54652915464248508</v>
      </c>
      <c r="AP81" s="53" cm="1">
        <f t="array" aca="1" ref="AP81" ca="1">_xll.VoseUniform(0,1)</f>
        <v>0.29519706720020622</v>
      </c>
      <c r="AQ81" s="53" cm="1">
        <f t="array" aca="1" ref="AQ81" ca="1">_xll.VoseUniform(0,1)</f>
        <v>0.37051348120439798</v>
      </c>
      <c r="AR81" s="53" cm="1">
        <f t="array" aca="1" ref="AR81" ca="1">_xll.VoseUniform(0,1)</f>
        <v>0.38602419674862176</v>
      </c>
      <c r="AS81" s="53" cm="1">
        <f t="array" aca="1" ref="AS81" ca="1">_xll.VoseUniform(0,1)</f>
        <v>0.25292940356303006</v>
      </c>
      <c r="AT81" s="53" cm="1">
        <f t="array" aca="1" ref="AT81" ca="1">_xll.VoseUniform(0,1)</f>
        <v>0.52208806003909558</v>
      </c>
      <c r="AU81" s="53" cm="1">
        <f t="array" aca="1" ref="AU81" ca="1">_xll.VoseUniform(0,1)</f>
        <v>5.569628847297281E-2</v>
      </c>
      <c r="AV81" s="53" cm="1">
        <f t="array" aca="1" ref="AV81" ca="1">_xll.VoseUniform(0,1)</f>
        <v>0.12568058108445257</v>
      </c>
      <c r="AW81" s="53" cm="1">
        <f t="array" aca="1" ref="AW81" ca="1">_xll.VoseUniform(0,1)</f>
        <v>0.12334529508370906</v>
      </c>
      <c r="AX81" s="53" cm="1">
        <f t="array" aca="1" ref="AX81" ca="1">_xll.VoseUniform(0,1)</f>
        <v>9.6313017536886036E-2</v>
      </c>
      <c r="AY81" s="53" cm="1">
        <f t="array" aca="1" ref="AY81" ca="1">_xll.VoseUniform(0,1)</f>
        <v>0.34051979996729642</v>
      </c>
      <c r="AZ81" s="53" cm="1">
        <f t="array" aca="1" ref="AZ81" ca="1">_xll.VoseUniform(0,1)</f>
        <v>0.12482698273379356</v>
      </c>
      <c r="BA81" s="53" cm="1">
        <f t="array" aca="1" ref="BA81" ca="1">_xll.VoseUniform(0,1)</f>
        <v>3.0125375255011022E-2</v>
      </c>
    </row>
    <row r="82" spans="2:53" ht="8" customHeight="1" x14ac:dyDescent="0.45"/>
    <row r="83" spans="2:53" ht="22.05" customHeight="1" x14ac:dyDescent="0.5">
      <c r="B83" s="7" t="s">
        <v>186</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row>
    <row r="84" spans="2:53" ht="18" customHeight="1" x14ac:dyDescent="0.45">
      <c r="B84" s="13" t="str">
        <f>"Sites: "&amp;Sites_1&amp;". Expected patients: the grid above summed over the option's sites; the count is Poisson."</f>
        <v>Sites: 40. Expected patients: the grid above summed over the option's sites; the count is Poisson.</v>
      </c>
    </row>
    <row r="85" spans="2:53" x14ac:dyDescent="0.45">
      <c r="B85" s="25" t="s">
        <v>187</v>
      </c>
      <c r="C85" s="26" t="s">
        <v>107</v>
      </c>
      <c r="D85" s="28"/>
      <c r="E85" s="28"/>
      <c r="F85" s="43">
        <f t="shared" ref="F85:BA85" ca="1" si="1">SUMIF($B$18:$B$77,"&lt;="&amp;Sites_1,F$18:F$77)</f>
        <v>0</v>
      </c>
      <c r="G85" s="43">
        <f t="shared" ca="1" si="1"/>
        <v>0.63809022979263086</v>
      </c>
      <c r="H85" s="43">
        <f t="shared" ca="1" si="1"/>
        <v>2.5831306659978122</v>
      </c>
      <c r="I85" s="43">
        <f t="shared" ca="1" si="1"/>
        <v>5.6567750122172091</v>
      </c>
      <c r="J85" s="43">
        <f t="shared" ca="1" si="1"/>
        <v>8.360072015474687</v>
      </c>
      <c r="K85" s="43">
        <f t="shared" ca="1" si="1"/>
        <v>11.456948460566528</v>
      </c>
      <c r="L85" s="43">
        <f t="shared" ca="1" si="1"/>
        <v>12.853780398278785</v>
      </c>
      <c r="M85" s="43">
        <f t="shared" ca="1" si="1"/>
        <v>12.853780398278785</v>
      </c>
      <c r="N85" s="43">
        <f t="shared" ca="1" si="1"/>
        <v>12.853780398278785</v>
      </c>
      <c r="O85" s="43">
        <f t="shared" ca="1" si="1"/>
        <v>12.853780398278785</v>
      </c>
      <c r="P85" s="43">
        <f t="shared" ca="1" si="1"/>
        <v>12.853780398278785</v>
      </c>
      <c r="Q85" s="43">
        <f t="shared" ca="1" si="1"/>
        <v>12.853780398278785</v>
      </c>
      <c r="R85" s="43">
        <f t="shared" ca="1" si="1"/>
        <v>12.853780398278785</v>
      </c>
      <c r="S85" s="43">
        <f t="shared" ca="1" si="1"/>
        <v>12.853780398278785</v>
      </c>
      <c r="T85" s="43">
        <f t="shared" ca="1" si="1"/>
        <v>12.853780398278785</v>
      </c>
      <c r="U85" s="43">
        <f t="shared" ca="1" si="1"/>
        <v>12.853780398278785</v>
      </c>
      <c r="V85" s="43">
        <f t="shared" ca="1" si="1"/>
        <v>12.853780398278785</v>
      </c>
      <c r="W85" s="43">
        <f t="shared" ca="1" si="1"/>
        <v>12.853780398278785</v>
      </c>
      <c r="X85" s="43">
        <f t="shared" ca="1" si="1"/>
        <v>12.853780398278785</v>
      </c>
      <c r="Y85" s="43">
        <f t="shared" ca="1" si="1"/>
        <v>12.853780398278785</v>
      </c>
      <c r="Z85" s="43">
        <f t="shared" ca="1" si="1"/>
        <v>12.853780398278785</v>
      </c>
      <c r="AA85" s="43">
        <f t="shared" ca="1" si="1"/>
        <v>12.853780398278785</v>
      </c>
      <c r="AB85" s="43">
        <f t="shared" ca="1" si="1"/>
        <v>12.853780398278785</v>
      </c>
      <c r="AC85" s="43">
        <f t="shared" ca="1" si="1"/>
        <v>12.853780398278785</v>
      </c>
      <c r="AD85" s="43">
        <f t="shared" ca="1" si="1"/>
        <v>12.853780398278785</v>
      </c>
      <c r="AE85" s="43">
        <f t="shared" ca="1" si="1"/>
        <v>12.853780398278785</v>
      </c>
      <c r="AF85" s="43">
        <f t="shared" ca="1" si="1"/>
        <v>12.853780398278785</v>
      </c>
      <c r="AG85" s="43">
        <f t="shared" ca="1" si="1"/>
        <v>12.853780398278785</v>
      </c>
      <c r="AH85" s="43">
        <f t="shared" ca="1" si="1"/>
        <v>12.853780398278785</v>
      </c>
      <c r="AI85" s="43">
        <f t="shared" ca="1" si="1"/>
        <v>12.853780398278785</v>
      </c>
      <c r="AJ85" s="43">
        <f t="shared" ca="1" si="1"/>
        <v>12.853780398278785</v>
      </c>
      <c r="AK85" s="43">
        <f t="shared" ca="1" si="1"/>
        <v>12.853780398278785</v>
      </c>
      <c r="AL85" s="43">
        <f t="shared" ca="1" si="1"/>
        <v>12.853780398278785</v>
      </c>
      <c r="AM85" s="43">
        <f t="shared" ca="1" si="1"/>
        <v>12.853780398278785</v>
      </c>
      <c r="AN85" s="43">
        <f t="shared" ca="1" si="1"/>
        <v>12.853780398278785</v>
      </c>
      <c r="AO85" s="43">
        <f t="shared" ca="1" si="1"/>
        <v>12.853780398278785</v>
      </c>
      <c r="AP85" s="43">
        <f t="shared" ca="1" si="1"/>
        <v>12.853780398278785</v>
      </c>
      <c r="AQ85" s="43">
        <f t="shared" ca="1" si="1"/>
        <v>12.853780398278785</v>
      </c>
      <c r="AR85" s="43">
        <f t="shared" ca="1" si="1"/>
        <v>12.853780398278785</v>
      </c>
      <c r="AS85" s="43">
        <f t="shared" ca="1" si="1"/>
        <v>12.853780398278785</v>
      </c>
      <c r="AT85" s="43">
        <f t="shared" ca="1" si="1"/>
        <v>12.853780398278785</v>
      </c>
      <c r="AU85" s="43">
        <f t="shared" ca="1" si="1"/>
        <v>12.853780398278785</v>
      </c>
      <c r="AV85" s="43">
        <f t="shared" ca="1" si="1"/>
        <v>12.853780398278785</v>
      </c>
      <c r="AW85" s="43">
        <f t="shared" ca="1" si="1"/>
        <v>12.853780398278785</v>
      </c>
      <c r="AX85" s="43">
        <f t="shared" ca="1" si="1"/>
        <v>12.853780398278785</v>
      </c>
      <c r="AY85" s="43">
        <f t="shared" ca="1" si="1"/>
        <v>12.853780398278785</v>
      </c>
      <c r="AZ85" s="43">
        <f t="shared" ca="1" si="1"/>
        <v>12.853780398278785</v>
      </c>
      <c r="BA85" s="43">
        <f t="shared" ca="1" si="1"/>
        <v>12.853780398278785</v>
      </c>
    </row>
    <row r="86" spans="2:53" x14ac:dyDescent="0.45">
      <c r="B86" s="25" t="s">
        <v>188</v>
      </c>
      <c r="C86" s="26" t="s">
        <v>107</v>
      </c>
      <c r="D86" s="28"/>
      <c r="E86" s="28"/>
      <c r="F86" s="54" cm="1">
        <f t="array" aca="1" ref="F86" ca="1">IF(F85&gt;0,_xll.VosePoisson(F85,F81),0)</f>
        <v>0</v>
      </c>
      <c r="G86" s="54" cm="1">
        <f t="array" aca="1" ref="G86" ca="1">IF(G85&gt;0,_xll.VosePoisson(G85,G81),0)</f>
        <v>1</v>
      </c>
      <c r="H86" s="54" cm="1">
        <f t="array" aca="1" ref="H86" ca="1">IF(H85&gt;0,_xll.VosePoisson(H85,H81),0)</f>
        <v>1</v>
      </c>
      <c r="I86" s="54" cm="1">
        <f t="array" aca="1" ref="I86" ca="1">IF(I85&gt;0,_xll.VosePoisson(I85,I81),0)</f>
        <v>3</v>
      </c>
      <c r="J86" s="54" cm="1">
        <f t="array" aca="1" ref="J86" ca="1">IF(J85&gt;0,_xll.VosePoisson(J85,J81),0)</f>
        <v>6</v>
      </c>
      <c r="K86" s="54" cm="1">
        <f t="array" aca="1" ref="K86" ca="1">IF(K85&gt;0,_xll.VosePoisson(K85,K81),0)</f>
        <v>10</v>
      </c>
      <c r="L86" s="54" cm="1">
        <f t="array" aca="1" ref="L86" ca="1">IF(L85&gt;0,_xll.VosePoisson(L85,L81),0)</f>
        <v>9</v>
      </c>
      <c r="M86" s="54" cm="1">
        <f t="array" aca="1" ref="M86" ca="1">IF(M85&gt;0,_xll.VosePoisson(M85,M81),0)</f>
        <v>12</v>
      </c>
      <c r="N86" s="54" cm="1">
        <f t="array" aca="1" ref="N86" ca="1">IF(N85&gt;0,_xll.VosePoisson(N85,N81),0)</f>
        <v>9</v>
      </c>
      <c r="O86" s="54" cm="1">
        <f t="array" aca="1" ref="O86" ca="1">IF(O85&gt;0,_xll.VosePoisson(O85,O81),0)</f>
        <v>11</v>
      </c>
      <c r="P86" s="54" cm="1">
        <f t="array" aca="1" ref="P86" ca="1">IF(P85&gt;0,_xll.VosePoisson(P85,P81),0)</f>
        <v>15</v>
      </c>
      <c r="Q86" s="54" cm="1">
        <f t="array" aca="1" ref="Q86" ca="1">IF(Q85&gt;0,_xll.VosePoisson(Q85,Q81),0)</f>
        <v>15</v>
      </c>
      <c r="R86" s="54" cm="1">
        <f t="array" aca="1" ref="R86" ca="1">IF(R85&gt;0,_xll.VosePoisson(R85,R81),0)</f>
        <v>5</v>
      </c>
      <c r="S86" s="54" cm="1">
        <f t="array" aca="1" ref="S86" ca="1">IF(S85&gt;0,_xll.VosePoisson(S85,S81),0)</f>
        <v>14</v>
      </c>
      <c r="T86" s="54" cm="1">
        <f t="array" aca="1" ref="T86" ca="1">IF(T85&gt;0,_xll.VosePoisson(T85,T81),0)</f>
        <v>13</v>
      </c>
      <c r="U86" s="54" cm="1">
        <f t="array" aca="1" ref="U86" ca="1">IF(U85&gt;0,_xll.VosePoisson(U85,U81),0)</f>
        <v>15</v>
      </c>
      <c r="V86" s="54" cm="1">
        <f t="array" aca="1" ref="V86" ca="1">IF(V85&gt;0,_xll.VosePoisson(V85,V81),0)</f>
        <v>13</v>
      </c>
      <c r="W86" s="54" cm="1">
        <f t="array" aca="1" ref="W86" ca="1">IF(W85&gt;0,_xll.VosePoisson(W85,W81),0)</f>
        <v>12</v>
      </c>
      <c r="X86" s="54" cm="1">
        <f t="array" aca="1" ref="X86" ca="1">IF(X85&gt;0,_xll.VosePoisson(X85,X81),0)</f>
        <v>12</v>
      </c>
      <c r="Y86" s="54" cm="1">
        <f t="array" aca="1" ref="Y86" ca="1">IF(Y85&gt;0,_xll.VosePoisson(Y85,Y81),0)</f>
        <v>13</v>
      </c>
      <c r="Z86" s="54" cm="1">
        <f t="array" aca="1" ref="Z86" ca="1">IF(Z85&gt;0,_xll.VosePoisson(Z85,Z81),0)</f>
        <v>9</v>
      </c>
      <c r="AA86" s="54" cm="1">
        <f t="array" aca="1" ref="AA86" ca="1">IF(AA85&gt;0,_xll.VosePoisson(AA85,AA81),0)</f>
        <v>21</v>
      </c>
      <c r="AB86" s="54" cm="1">
        <f t="array" aca="1" ref="AB86" ca="1">IF(AB85&gt;0,_xll.VosePoisson(AB85,AB81),0)</f>
        <v>15</v>
      </c>
      <c r="AC86" s="54" cm="1">
        <f t="array" aca="1" ref="AC86" ca="1">IF(AC85&gt;0,_xll.VosePoisson(AC85,AC81),0)</f>
        <v>12</v>
      </c>
      <c r="AD86" s="54" cm="1">
        <f t="array" aca="1" ref="AD86" ca="1">IF(AD85&gt;0,_xll.VosePoisson(AD85,AD81),0)</f>
        <v>16</v>
      </c>
      <c r="AE86" s="54" cm="1">
        <f t="array" aca="1" ref="AE86" ca="1">IF(AE85&gt;0,_xll.VosePoisson(AE85,AE81),0)</f>
        <v>12</v>
      </c>
      <c r="AF86" s="54" cm="1">
        <f t="array" aca="1" ref="AF86" ca="1">IF(AF85&gt;0,_xll.VosePoisson(AF85,AF81),0)</f>
        <v>16</v>
      </c>
      <c r="AG86" s="54" cm="1">
        <f t="array" aca="1" ref="AG86" ca="1">IF(AG85&gt;0,_xll.VosePoisson(AG85,AG81),0)</f>
        <v>8</v>
      </c>
      <c r="AH86" s="54" cm="1">
        <f t="array" aca="1" ref="AH86" ca="1">IF(AH85&gt;0,_xll.VosePoisson(AH85,AH81),0)</f>
        <v>12</v>
      </c>
      <c r="AI86" s="54" cm="1">
        <f t="array" aca="1" ref="AI86" ca="1">IF(AI85&gt;0,_xll.VosePoisson(AI85,AI81),0)</f>
        <v>19</v>
      </c>
      <c r="AJ86" s="54" cm="1">
        <f t="array" aca="1" ref="AJ86" ca="1">IF(AJ85&gt;0,_xll.VosePoisson(AJ85,AJ81),0)</f>
        <v>11</v>
      </c>
      <c r="AK86" s="54" cm="1">
        <f t="array" aca="1" ref="AK86" ca="1">IF(AK85&gt;0,_xll.VosePoisson(AK85,AK81),0)</f>
        <v>19</v>
      </c>
      <c r="AL86" s="54" cm="1">
        <f t="array" aca="1" ref="AL86" ca="1">IF(AL85&gt;0,_xll.VosePoisson(AL85,AL81),0)</f>
        <v>9</v>
      </c>
      <c r="AM86" s="54" cm="1">
        <f t="array" aca="1" ref="AM86" ca="1">IF(AM85&gt;0,_xll.VosePoisson(AM85,AM81),0)</f>
        <v>9</v>
      </c>
      <c r="AN86" s="54" cm="1">
        <f t="array" aca="1" ref="AN86" ca="1">IF(AN85&gt;0,_xll.VosePoisson(AN85,AN81),0)</f>
        <v>7</v>
      </c>
      <c r="AO86" s="54" cm="1">
        <f t="array" aca="1" ref="AO86" ca="1">IF(AO85&gt;0,_xll.VosePoisson(AO85,AO81),0)</f>
        <v>13</v>
      </c>
      <c r="AP86" s="54" cm="1">
        <f t="array" aca="1" ref="AP86" ca="1">IF(AP85&gt;0,_xll.VosePoisson(AP85,AP81),0)</f>
        <v>11</v>
      </c>
      <c r="AQ86" s="54" cm="1">
        <f t="array" aca="1" ref="AQ86" ca="1">IF(AQ85&gt;0,_xll.VosePoisson(AQ85,AQ81),0)</f>
        <v>12</v>
      </c>
      <c r="AR86" s="54" cm="1">
        <f t="array" aca="1" ref="AR86" ca="1">IF(AR85&gt;0,_xll.VosePoisson(AR85,AR81),0)</f>
        <v>12</v>
      </c>
      <c r="AS86" s="54" cm="1">
        <f t="array" aca="1" ref="AS86" ca="1">IF(AS85&gt;0,_xll.VosePoisson(AS85,AS81),0)</f>
        <v>10</v>
      </c>
      <c r="AT86" s="54" cm="1">
        <f t="array" aca="1" ref="AT86" ca="1">IF(AT85&gt;0,_xll.VosePoisson(AT85,AT81),0)</f>
        <v>13</v>
      </c>
      <c r="AU86" s="54" cm="1">
        <f t="array" aca="1" ref="AU86" ca="1">IF(AU85&gt;0,_xll.VosePoisson(AU85,AU81),0)</f>
        <v>7</v>
      </c>
      <c r="AV86" s="54" cm="1">
        <f t="array" aca="1" ref="AV86" ca="1">IF(AV85&gt;0,_xll.VosePoisson(AV85,AV81),0)</f>
        <v>9</v>
      </c>
      <c r="AW86" s="54" cm="1">
        <f t="array" aca="1" ref="AW86" ca="1">IF(AW85&gt;0,_xll.VosePoisson(AW85,AW81),0)</f>
        <v>9</v>
      </c>
      <c r="AX86" s="54" cm="1">
        <f t="array" aca="1" ref="AX86" ca="1">IF(AX85&gt;0,_xll.VosePoisson(AX85,AX81),0)</f>
        <v>8</v>
      </c>
      <c r="AY86" s="54" cm="1">
        <f t="array" aca="1" ref="AY86" ca="1">IF(AY85&gt;0,_xll.VosePoisson(AY85,AY81),0)</f>
        <v>11</v>
      </c>
      <c r="AZ86" s="54" cm="1">
        <f t="array" aca="1" ref="AZ86" ca="1">IF(AZ85&gt;0,_xll.VosePoisson(AZ85,AZ81),0)</f>
        <v>9</v>
      </c>
      <c r="BA86" s="54" cm="1">
        <f t="array" aca="1" ref="BA86" ca="1">IF(BA85&gt;0,_xll.VosePoisson(BA85,BA81),0)</f>
        <v>7</v>
      </c>
    </row>
    <row r="87" spans="2:53" x14ac:dyDescent="0.45">
      <c r="B87" s="55" t="s">
        <v>189</v>
      </c>
      <c r="C87" s="26" t="s">
        <v>107</v>
      </c>
      <c r="D87" s="28"/>
      <c r="E87" s="56">
        <v>0</v>
      </c>
      <c r="F87" s="57">
        <f t="shared" ref="F87:BA87" ca="1" si="2">MIN(Target,E87+F86)</f>
        <v>0</v>
      </c>
      <c r="G87" s="57">
        <f t="shared" ca="1" si="2"/>
        <v>1</v>
      </c>
      <c r="H87" s="57">
        <f t="shared" ca="1" si="2"/>
        <v>2</v>
      </c>
      <c r="I87" s="57">
        <f t="shared" ca="1" si="2"/>
        <v>5</v>
      </c>
      <c r="J87" s="57">
        <f t="shared" ca="1" si="2"/>
        <v>11</v>
      </c>
      <c r="K87" s="57">
        <f t="shared" ca="1" si="2"/>
        <v>21</v>
      </c>
      <c r="L87" s="57">
        <f t="shared" ca="1" si="2"/>
        <v>30</v>
      </c>
      <c r="M87" s="57">
        <f t="shared" ca="1" si="2"/>
        <v>42</v>
      </c>
      <c r="N87" s="57">
        <f t="shared" ca="1" si="2"/>
        <v>51</v>
      </c>
      <c r="O87" s="57">
        <f t="shared" ca="1" si="2"/>
        <v>62</v>
      </c>
      <c r="P87" s="57">
        <f t="shared" ca="1" si="2"/>
        <v>77</v>
      </c>
      <c r="Q87" s="57">
        <f t="shared" ca="1" si="2"/>
        <v>92</v>
      </c>
      <c r="R87" s="57">
        <f t="shared" ca="1" si="2"/>
        <v>97</v>
      </c>
      <c r="S87" s="57">
        <f t="shared" ca="1" si="2"/>
        <v>111</v>
      </c>
      <c r="T87" s="57">
        <f t="shared" ca="1" si="2"/>
        <v>124</v>
      </c>
      <c r="U87" s="57">
        <f t="shared" ca="1" si="2"/>
        <v>139</v>
      </c>
      <c r="V87" s="57">
        <f t="shared" ca="1" si="2"/>
        <v>152</v>
      </c>
      <c r="W87" s="57">
        <f t="shared" ca="1" si="2"/>
        <v>164</v>
      </c>
      <c r="X87" s="57">
        <f t="shared" ca="1" si="2"/>
        <v>176</v>
      </c>
      <c r="Y87" s="57">
        <f t="shared" ca="1" si="2"/>
        <v>189</v>
      </c>
      <c r="Z87" s="57">
        <f t="shared" ca="1" si="2"/>
        <v>198</v>
      </c>
      <c r="AA87" s="57">
        <f t="shared" ca="1" si="2"/>
        <v>219</v>
      </c>
      <c r="AB87" s="57">
        <f t="shared" ca="1" si="2"/>
        <v>234</v>
      </c>
      <c r="AC87" s="57">
        <f t="shared" ca="1" si="2"/>
        <v>246</v>
      </c>
      <c r="AD87" s="57">
        <f t="shared" ca="1" si="2"/>
        <v>262</v>
      </c>
      <c r="AE87" s="57">
        <f t="shared" ca="1" si="2"/>
        <v>274</v>
      </c>
      <c r="AF87" s="57">
        <f t="shared" ca="1" si="2"/>
        <v>290</v>
      </c>
      <c r="AG87" s="57">
        <f t="shared" ca="1" si="2"/>
        <v>298</v>
      </c>
      <c r="AH87" s="57">
        <f t="shared" ca="1" si="2"/>
        <v>300</v>
      </c>
      <c r="AI87" s="57">
        <f t="shared" ca="1" si="2"/>
        <v>300</v>
      </c>
      <c r="AJ87" s="57">
        <f t="shared" ca="1" si="2"/>
        <v>300</v>
      </c>
      <c r="AK87" s="57">
        <f t="shared" ca="1" si="2"/>
        <v>300</v>
      </c>
      <c r="AL87" s="57">
        <f t="shared" ca="1" si="2"/>
        <v>300</v>
      </c>
      <c r="AM87" s="57">
        <f t="shared" ca="1" si="2"/>
        <v>300</v>
      </c>
      <c r="AN87" s="57">
        <f t="shared" ca="1" si="2"/>
        <v>300</v>
      </c>
      <c r="AO87" s="57">
        <f t="shared" ca="1" si="2"/>
        <v>300</v>
      </c>
      <c r="AP87" s="57">
        <f t="shared" ca="1" si="2"/>
        <v>300</v>
      </c>
      <c r="AQ87" s="57">
        <f t="shared" ca="1" si="2"/>
        <v>300</v>
      </c>
      <c r="AR87" s="57">
        <f t="shared" ca="1" si="2"/>
        <v>300</v>
      </c>
      <c r="AS87" s="57">
        <f t="shared" ca="1" si="2"/>
        <v>300</v>
      </c>
      <c r="AT87" s="57">
        <f t="shared" ca="1" si="2"/>
        <v>300</v>
      </c>
      <c r="AU87" s="57">
        <f t="shared" ca="1" si="2"/>
        <v>300</v>
      </c>
      <c r="AV87" s="57">
        <f t="shared" ca="1" si="2"/>
        <v>300</v>
      </c>
      <c r="AW87" s="57">
        <f t="shared" ca="1" si="2"/>
        <v>300</v>
      </c>
      <c r="AX87" s="57">
        <f t="shared" ca="1" si="2"/>
        <v>300</v>
      </c>
      <c r="AY87" s="57">
        <f t="shared" ca="1" si="2"/>
        <v>300</v>
      </c>
      <c r="AZ87" s="57">
        <f t="shared" ca="1" si="2"/>
        <v>300</v>
      </c>
      <c r="BA87" s="57">
        <f t="shared" ca="1" si="2"/>
        <v>300</v>
      </c>
    </row>
    <row r="88" spans="2:53" x14ac:dyDescent="0.45">
      <c r="B88" s="25" t="s">
        <v>190</v>
      </c>
      <c r="C88" s="26" t="s">
        <v>111</v>
      </c>
      <c r="D88" s="28"/>
      <c r="E88" s="28"/>
      <c r="F88" s="43">
        <f t="shared" ref="F88:BA88" ca="1" si="3">IF(AND(E87&lt;Target,F87&gt;=Target),F$6-1+(Target-E87)/F86,0)</f>
        <v>0</v>
      </c>
      <c r="G88" s="43">
        <f t="shared" ca="1" si="3"/>
        <v>0</v>
      </c>
      <c r="H88" s="43">
        <f t="shared" ca="1" si="3"/>
        <v>0</v>
      </c>
      <c r="I88" s="43">
        <f t="shared" ca="1" si="3"/>
        <v>0</v>
      </c>
      <c r="J88" s="43">
        <f t="shared" ca="1" si="3"/>
        <v>0</v>
      </c>
      <c r="K88" s="43">
        <f t="shared" ca="1" si="3"/>
        <v>0</v>
      </c>
      <c r="L88" s="43">
        <f t="shared" ca="1" si="3"/>
        <v>0</v>
      </c>
      <c r="M88" s="43">
        <f t="shared" ca="1" si="3"/>
        <v>0</v>
      </c>
      <c r="N88" s="43">
        <f t="shared" ca="1" si="3"/>
        <v>0</v>
      </c>
      <c r="O88" s="43">
        <f t="shared" ca="1" si="3"/>
        <v>0</v>
      </c>
      <c r="P88" s="43">
        <f t="shared" ca="1" si="3"/>
        <v>0</v>
      </c>
      <c r="Q88" s="43">
        <f t="shared" ca="1" si="3"/>
        <v>0</v>
      </c>
      <c r="R88" s="43">
        <f t="shared" ca="1" si="3"/>
        <v>0</v>
      </c>
      <c r="S88" s="43">
        <f t="shared" ca="1" si="3"/>
        <v>0</v>
      </c>
      <c r="T88" s="43">
        <f t="shared" ca="1" si="3"/>
        <v>0</v>
      </c>
      <c r="U88" s="43">
        <f t="shared" ca="1" si="3"/>
        <v>0</v>
      </c>
      <c r="V88" s="43">
        <f t="shared" ca="1" si="3"/>
        <v>0</v>
      </c>
      <c r="W88" s="43">
        <f t="shared" ca="1" si="3"/>
        <v>0</v>
      </c>
      <c r="X88" s="43">
        <f t="shared" ca="1" si="3"/>
        <v>0</v>
      </c>
      <c r="Y88" s="43">
        <f t="shared" ca="1" si="3"/>
        <v>0</v>
      </c>
      <c r="Z88" s="43">
        <f t="shared" ca="1" si="3"/>
        <v>0</v>
      </c>
      <c r="AA88" s="43">
        <f t="shared" ca="1" si="3"/>
        <v>0</v>
      </c>
      <c r="AB88" s="43">
        <f t="shared" ca="1" si="3"/>
        <v>0</v>
      </c>
      <c r="AC88" s="43">
        <f t="shared" ca="1" si="3"/>
        <v>0</v>
      </c>
      <c r="AD88" s="43">
        <f t="shared" ca="1" si="3"/>
        <v>0</v>
      </c>
      <c r="AE88" s="43">
        <f t="shared" ca="1" si="3"/>
        <v>0</v>
      </c>
      <c r="AF88" s="43">
        <f t="shared" ca="1" si="3"/>
        <v>0</v>
      </c>
      <c r="AG88" s="43">
        <f t="shared" ca="1" si="3"/>
        <v>0</v>
      </c>
      <c r="AH88" s="43">
        <f t="shared" ca="1" si="3"/>
        <v>28.166666666666668</v>
      </c>
      <c r="AI88" s="43">
        <f t="shared" ca="1" si="3"/>
        <v>0</v>
      </c>
      <c r="AJ88" s="43">
        <f t="shared" ca="1" si="3"/>
        <v>0</v>
      </c>
      <c r="AK88" s="43">
        <f t="shared" ca="1" si="3"/>
        <v>0</v>
      </c>
      <c r="AL88" s="43">
        <f t="shared" ca="1" si="3"/>
        <v>0</v>
      </c>
      <c r="AM88" s="43">
        <f t="shared" ca="1" si="3"/>
        <v>0</v>
      </c>
      <c r="AN88" s="43">
        <f t="shared" ca="1" si="3"/>
        <v>0</v>
      </c>
      <c r="AO88" s="43">
        <f t="shared" ca="1" si="3"/>
        <v>0</v>
      </c>
      <c r="AP88" s="43">
        <f t="shared" ca="1" si="3"/>
        <v>0</v>
      </c>
      <c r="AQ88" s="43">
        <f t="shared" ca="1" si="3"/>
        <v>0</v>
      </c>
      <c r="AR88" s="43">
        <f t="shared" ca="1" si="3"/>
        <v>0</v>
      </c>
      <c r="AS88" s="43">
        <f t="shared" ca="1" si="3"/>
        <v>0</v>
      </c>
      <c r="AT88" s="43">
        <f t="shared" ca="1" si="3"/>
        <v>0</v>
      </c>
      <c r="AU88" s="43">
        <f t="shared" ca="1" si="3"/>
        <v>0</v>
      </c>
      <c r="AV88" s="43">
        <f t="shared" ca="1" si="3"/>
        <v>0</v>
      </c>
      <c r="AW88" s="43">
        <f t="shared" ca="1" si="3"/>
        <v>0</v>
      </c>
      <c r="AX88" s="43">
        <f t="shared" ca="1" si="3"/>
        <v>0</v>
      </c>
      <c r="AY88" s="43">
        <f t="shared" ca="1" si="3"/>
        <v>0</v>
      </c>
      <c r="AZ88" s="43">
        <f t="shared" ca="1" si="3"/>
        <v>0</v>
      </c>
      <c r="BA88" s="43">
        <f t="shared" ca="1" si="3"/>
        <v>0</v>
      </c>
    </row>
    <row r="89" spans="2:53" ht="8" customHeight="1" x14ac:dyDescent="0.45"/>
    <row r="90" spans="2:53" x14ac:dyDescent="0.45">
      <c r="B90" s="25" t="s">
        <v>191</v>
      </c>
      <c r="C90" s="26" t="s">
        <v>107</v>
      </c>
      <c r="D90" s="28"/>
      <c r="E90" s="28"/>
      <c r="F90" s="58" cm="1">
        <f t="array" aca="1" ref="F90" ca="1">_xll.VoseOutput("Enrolled by month 1","patients")+F87</f>
        <v>0</v>
      </c>
      <c r="G90" s="58" cm="1">
        <f t="array" aca="1" ref="G90" ca="1">_xll.VoseOutput("Enrolled by month 2","patients")+G87</f>
        <v>1</v>
      </c>
      <c r="H90" s="58" cm="1">
        <f t="array" aca="1" ref="H90" ca="1">_xll.VoseOutput("Enrolled by month 3","patients")+H87</f>
        <v>2</v>
      </c>
      <c r="I90" s="58" cm="1">
        <f t="array" aca="1" ref="I90" ca="1">_xll.VoseOutput("Enrolled by month 4","patients")+I87</f>
        <v>5</v>
      </c>
      <c r="J90" s="58" cm="1">
        <f t="array" aca="1" ref="J90" ca="1">_xll.VoseOutput("Enrolled by month 5","patients")+J87</f>
        <v>11</v>
      </c>
      <c r="K90" s="58" cm="1">
        <f t="array" aca="1" ref="K90" ca="1">_xll.VoseOutput("Enrolled by month 6","patients")+K87</f>
        <v>21</v>
      </c>
      <c r="L90" s="58" cm="1">
        <f t="array" aca="1" ref="L90" ca="1">_xll.VoseOutput("Enrolled by month 7","patients")+L87</f>
        <v>30</v>
      </c>
      <c r="M90" s="58" cm="1">
        <f t="array" aca="1" ref="M90" ca="1">_xll.VoseOutput("Enrolled by month 8","patients")+M87</f>
        <v>42</v>
      </c>
      <c r="N90" s="58" cm="1">
        <f t="array" aca="1" ref="N90" ca="1">_xll.VoseOutput("Enrolled by month 9","patients")+N87</f>
        <v>51</v>
      </c>
      <c r="O90" s="58" cm="1">
        <f t="array" aca="1" ref="O90" ca="1">_xll.VoseOutput("Enrolled by month 10","patients")+O87</f>
        <v>62</v>
      </c>
      <c r="P90" s="58" cm="1">
        <f t="array" aca="1" ref="P90" ca="1">_xll.VoseOutput("Enrolled by month 11","patients")+P87</f>
        <v>77</v>
      </c>
      <c r="Q90" s="58" cm="1">
        <f t="array" aca="1" ref="Q90" ca="1">_xll.VoseOutput("Enrolled by month 12","patients")+Q87</f>
        <v>92</v>
      </c>
      <c r="R90" s="58" cm="1">
        <f t="array" aca="1" ref="R90" ca="1">_xll.VoseOutput("Enrolled by month 13","patients")+R87</f>
        <v>97</v>
      </c>
      <c r="S90" s="58" cm="1">
        <f t="array" aca="1" ref="S90" ca="1">_xll.VoseOutput("Enrolled by month 14","patients")+S87</f>
        <v>111</v>
      </c>
      <c r="T90" s="58" cm="1">
        <f t="array" aca="1" ref="T90" ca="1">_xll.VoseOutput("Enrolled by month 15","patients")+T87</f>
        <v>124</v>
      </c>
      <c r="U90" s="58" cm="1">
        <f t="array" aca="1" ref="U90" ca="1">_xll.VoseOutput("Enrolled by month 16","patients")+U87</f>
        <v>139</v>
      </c>
      <c r="V90" s="58" cm="1">
        <f t="array" aca="1" ref="V90" ca="1">_xll.VoseOutput("Enrolled by month 17","patients")+V87</f>
        <v>152</v>
      </c>
      <c r="W90" s="58" cm="1">
        <f t="array" aca="1" ref="W90" ca="1">_xll.VoseOutput("Enrolled by month 18","patients")+W87</f>
        <v>164</v>
      </c>
      <c r="X90" s="58" cm="1">
        <f t="array" aca="1" ref="X90" ca="1">_xll.VoseOutput("Enrolled by month 19","patients")+X87</f>
        <v>176</v>
      </c>
      <c r="Y90" s="58" cm="1">
        <f t="array" aca="1" ref="Y90" ca="1">_xll.VoseOutput("Enrolled by month 20","patients")+Y87</f>
        <v>189</v>
      </c>
      <c r="Z90" s="58" cm="1">
        <f t="array" aca="1" ref="Z90" ca="1">_xll.VoseOutput("Enrolled by month 21","patients")+Z87</f>
        <v>198</v>
      </c>
      <c r="AA90" s="58" cm="1">
        <f t="array" aca="1" ref="AA90" ca="1">_xll.VoseOutput("Enrolled by month 22","patients")+AA87</f>
        <v>219</v>
      </c>
      <c r="AB90" s="58" cm="1">
        <f t="array" aca="1" ref="AB90" ca="1">_xll.VoseOutput("Enrolled by month 23","patients")+AB87</f>
        <v>234</v>
      </c>
      <c r="AC90" s="58" cm="1">
        <f t="array" aca="1" ref="AC90" ca="1">_xll.VoseOutput("Enrolled by month 24","patients")+AC87</f>
        <v>246</v>
      </c>
      <c r="AD90" s="58" cm="1">
        <f t="array" aca="1" ref="AD90" ca="1">_xll.VoseOutput("Enrolled by month 25","patients")+AD87</f>
        <v>262</v>
      </c>
      <c r="AE90" s="58" cm="1">
        <f t="array" aca="1" ref="AE90" ca="1">_xll.VoseOutput("Enrolled by month 26","patients")+AE87</f>
        <v>274</v>
      </c>
      <c r="AF90" s="58" cm="1">
        <f t="array" aca="1" ref="AF90" ca="1">_xll.VoseOutput("Enrolled by month 27","patients")+AF87</f>
        <v>290</v>
      </c>
      <c r="AG90" s="58" cm="1">
        <f t="array" aca="1" ref="AG90" ca="1">_xll.VoseOutput("Enrolled by month 28","patients")+AG87</f>
        <v>298</v>
      </c>
      <c r="AH90" s="58" cm="1">
        <f t="array" aca="1" ref="AH90" ca="1">_xll.VoseOutput("Enrolled by month 29","patients")+AH87</f>
        <v>300</v>
      </c>
      <c r="AI90" s="58" cm="1">
        <f t="array" aca="1" ref="AI90" ca="1">_xll.VoseOutput("Enrolled by month 30","patients")+AI87</f>
        <v>300</v>
      </c>
      <c r="AJ90" s="58" cm="1">
        <f t="array" aca="1" ref="AJ90" ca="1">_xll.VoseOutput("Enrolled by month 31","patients")+AJ87</f>
        <v>300</v>
      </c>
      <c r="AK90" s="58" cm="1">
        <f t="array" aca="1" ref="AK90" ca="1">_xll.VoseOutput("Enrolled by month 32","patients")+AK87</f>
        <v>300</v>
      </c>
      <c r="AL90" s="58" cm="1">
        <f t="array" aca="1" ref="AL90" ca="1">_xll.VoseOutput("Enrolled by month 33","patients")+AL87</f>
        <v>300</v>
      </c>
      <c r="AM90" s="58" cm="1">
        <f t="array" aca="1" ref="AM90" ca="1">_xll.VoseOutput("Enrolled by month 34","patients")+AM87</f>
        <v>300</v>
      </c>
      <c r="AN90" s="58" cm="1">
        <f t="array" aca="1" ref="AN90" ca="1">_xll.VoseOutput("Enrolled by month 35","patients")+AN87</f>
        <v>300</v>
      </c>
      <c r="AO90" s="58" cm="1">
        <f t="array" aca="1" ref="AO90" ca="1">_xll.VoseOutput("Enrolled by month 36","patients")+AO87</f>
        <v>300</v>
      </c>
      <c r="AP90" s="58" cm="1">
        <f t="array" aca="1" ref="AP90" ca="1">_xll.VoseOutput("Enrolled by month 37","patients")+AP87</f>
        <v>300</v>
      </c>
      <c r="AQ90" s="58" cm="1">
        <f t="array" aca="1" ref="AQ90" ca="1">_xll.VoseOutput("Enrolled by month 38","patients")+AQ87</f>
        <v>300</v>
      </c>
      <c r="AR90" s="58" cm="1">
        <f t="array" aca="1" ref="AR90" ca="1">_xll.VoseOutput("Enrolled by month 39","patients")+AR87</f>
        <v>300</v>
      </c>
      <c r="AS90" s="58" cm="1">
        <f t="array" aca="1" ref="AS90" ca="1">_xll.VoseOutput("Enrolled by month 40","patients")+AS87</f>
        <v>300</v>
      </c>
      <c r="AT90" s="58" cm="1">
        <f t="array" aca="1" ref="AT90" ca="1">_xll.VoseOutput("Enrolled by month 41","patients")+AT87</f>
        <v>300</v>
      </c>
      <c r="AU90" s="58" cm="1">
        <f t="array" aca="1" ref="AU90" ca="1">_xll.VoseOutput("Enrolled by month 42","patients")+AU87</f>
        <v>300</v>
      </c>
      <c r="AV90" s="58" cm="1">
        <f t="array" aca="1" ref="AV90" ca="1">_xll.VoseOutput("Enrolled by month 43","patients")+AV87</f>
        <v>300</v>
      </c>
      <c r="AW90" s="58" cm="1">
        <f t="array" aca="1" ref="AW90" ca="1">_xll.VoseOutput("Enrolled by month 44","patients")+AW87</f>
        <v>300</v>
      </c>
      <c r="AX90" s="58" cm="1">
        <f t="array" aca="1" ref="AX90" ca="1">_xll.VoseOutput("Enrolled by month 45","patients")+AX87</f>
        <v>300</v>
      </c>
      <c r="AY90" s="58" cm="1">
        <f t="array" aca="1" ref="AY90" ca="1">_xll.VoseOutput("Enrolled by month 46","patients")+AY87</f>
        <v>300</v>
      </c>
      <c r="AZ90" s="58" cm="1">
        <f t="array" aca="1" ref="AZ90" ca="1">_xll.VoseOutput("Enrolled by month 47","patients")+AZ87</f>
        <v>300</v>
      </c>
      <c r="BA90" s="58" cm="1">
        <f t="array" aca="1" ref="BA90" ca="1">_xll.VoseOutput("Enrolled by month 48","patients")+BA87</f>
        <v>300</v>
      </c>
    </row>
    <row r="91" spans="2:53" ht="8" customHeight="1" x14ac:dyDescent="0.45"/>
    <row r="92" spans="2:53" ht="22.05" customHeight="1" x14ac:dyDescent="0.5">
      <c r="B92" s="7" t="s">
        <v>192</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row>
    <row r="93" spans="2:53" ht="18" customHeight="1" x14ac:dyDescent="0.45">
      <c r="B93" s="13" t="str">
        <f>"Sites: "&amp;Sites_2&amp;". Expected patients: the grid above summed over the option's sites; the count is Poisson."</f>
        <v>Sites: 50. Expected patients: the grid above summed over the option's sites; the count is Poisson.</v>
      </c>
    </row>
    <row r="94" spans="2:53" x14ac:dyDescent="0.45">
      <c r="B94" s="25" t="s">
        <v>187</v>
      </c>
      <c r="C94" s="26" t="s">
        <v>107</v>
      </c>
      <c r="D94" s="28"/>
      <c r="E94" s="28"/>
      <c r="F94" s="43">
        <f t="shared" ref="F94:BA94" ca="1" si="4">SUMIF($B$18:$B$77,"&lt;="&amp;Sites_2,F$18:F$77)</f>
        <v>0</v>
      </c>
      <c r="G94" s="43">
        <f t="shared" ca="1" si="4"/>
        <v>0.67452609965753063</v>
      </c>
      <c r="H94" s="43">
        <f t="shared" ca="1" si="4"/>
        <v>3.185987264490227</v>
      </c>
      <c r="I94" s="43">
        <f t="shared" ca="1" si="4"/>
        <v>7.0439122414888118</v>
      </c>
      <c r="J94" s="43">
        <f t="shared" ca="1" si="4"/>
        <v>10.228031378470998</v>
      </c>
      <c r="K94" s="43">
        <f t="shared" ca="1" si="4"/>
        <v>14.231950246633781</v>
      </c>
      <c r="L94" s="43">
        <f t="shared" ca="1" si="4"/>
        <v>15.865085237553046</v>
      </c>
      <c r="M94" s="43">
        <f t="shared" ca="1" si="4"/>
        <v>15.865085237553046</v>
      </c>
      <c r="N94" s="43">
        <f t="shared" ca="1" si="4"/>
        <v>15.865085237553046</v>
      </c>
      <c r="O94" s="43">
        <f t="shared" ca="1" si="4"/>
        <v>15.865085237553046</v>
      </c>
      <c r="P94" s="43">
        <f t="shared" ca="1" si="4"/>
        <v>15.865085237553046</v>
      </c>
      <c r="Q94" s="43">
        <f t="shared" ca="1" si="4"/>
        <v>15.865085237553046</v>
      </c>
      <c r="R94" s="43">
        <f t="shared" ca="1" si="4"/>
        <v>15.865085237553046</v>
      </c>
      <c r="S94" s="43">
        <f t="shared" ca="1" si="4"/>
        <v>15.865085237553046</v>
      </c>
      <c r="T94" s="43">
        <f t="shared" ca="1" si="4"/>
        <v>15.865085237553046</v>
      </c>
      <c r="U94" s="43">
        <f t="shared" ca="1" si="4"/>
        <v>15.865085237553046</v>
      </c>
      <c r="V94" s="43">
        <f t="shared" ca="1" si="4"/>
        <v>15.865085237553046</v>
      </c>
      <c r="W94" s="43">
        <f t="shared" ca="1" si="4"/>
        <v>15.865085237553046</v>
      </c>
      <c r="X94" s="43">
        <f t="shared" ca="1" si="4"/>
        <v>15.865085237553046</v>
      </c>
      <c r="Y94" s="43">
        <f t="shared" ca="1" si="4"/>
        <v>15.865085237553046</v>
      </c>
      <c r="Z94" s="43">
        <f t="shared" ca="1" si="4"/>
        <v>15.865085237553046</v>
      </c>
      <c r="AA94" s="43">
        <f t="shared" ca="1" si="4"/>
        <v>15.865085237553046</v>
      </c>
      <c r="AB94" s="43">
        <f t="shared" ca="1" si="4"/>
        <v>15.865085237553046</v>
      </c>
      <c r="AC94" s="43">
        <f t="shared" ca="1" si="4"/>
        <v>15.865085237553046</v>
      </c>
      <c r="AD94" s="43">
        <f t="shared" ca="1" si="4"/>
        <v>15.865085237553046</v>
      </c>
      <c r="AE94" s="43">
        <f t="shared" ca="1" si="4"/>
        <v>15.865085237553046</v>
      </c>
      <c r="AF94" s="43">
        <f t="shared" ca="1" si="4"/>
        <v>15.865085237553046</v>
      </c>
      <c r="AG94" s="43">
        <f t="shared" ca="1" si="4"/>
        <v>15.865085237553046</v>
      </c>
      <c r="AH94" s="43">
        <f t="shared" ca="1" si="4"/>
        <v>15.865085237553046</v>
      </c>
      <c r="AI94" s="43">
        <f t="shared" ca="1" si="4"/>
        <v>15.865085237553046</v>
      </c>
      <c r="AJ94" s="43">
        <f t="shared" ca="1" si="4"/>
        <v>15.865085237553046</v>
      </c>
      <c r="AK94" s="43">
        <f t="shared" ca="1" si="4"/>
        <v>15.865085237553046</v>
      </c>
      <c r="AL94" s="43">
        <f t="shared" ca="1" si="4"/>
        <v>15.865085237553046</v>
      </c>
      <c r="AM94" s="43">
        <f t="shared" ca="1" si="4"/>
        <v>15.865085237553046</v>
      </c>
      <c r="AN94" s="43">
        <f t="shared" ca="1" si="4"/>
        <v>15.865085237553046</v>
      </c>
      <c r="AO94" s="43">
        <f t="shared" ca="1" si="4"/>
        <v>15.865085237553046</v>
      </c>
      <c r="AP94" s="43">
        <f t="shared" ca="1" si="4"/>
        <v>15.865085237553046</v>
      </c>
      <c r="AQ94" s="43">
        <f t="shared" ca="1" si="4"/>
        <v>15.865085237553046</v>
      </c>
      <c r="AR94" s="43">
        <f t="shared" ca="1" si="4"/>
        <v>15.865085237553046</v>
      </c>
      <c r="AS94" s="43">
        <f t="shared" ca="1" si="4"/>
        <v>15.865085237553046</v>
      </c>
      <c r="AT94" s="43">
        <f t="shared" ca="1" si="4"/>
        <v>15.865085237553046</v>
      </c>
      <c r="AU94" s="43">
        <f t="shared" ca="1" si="4"/>
        <v>15.865085237553046</v>
      </c>
      <c r="AV94" s="43">
        <f t="shared" ca="1" si="4"/>
        <v>15.865085237553046</v>
      </c>
      <c r="AW94" s="43">
        <f t="shared" ca="1" si="4"/>
        <v>15.865085237553046</v>
      </c>
      <c r="AX94" s="43">
        <f t="shared" ca="1" si="4"/>
        <v>15.865085237553046</v>
      </c>
      <c r="AY94" s="43">
        <f t="shared" ca="1" si="4"/>
        <v>15.865085237553046</v>
      </c>
      <c r="AZ94" s="43">
        <f t="shared" ca="1" si="4"/>
        <v>15.865085237553046</v>
      </c>
      <c r="BA94" s="43">
        <f t="shared" ca="1" si="4"/>
        <v>15.865085237553046</v>
      </c>
    </row>
    <row r="95" spans="2:53" x14ac:dyDescent="0.45">
      <c r="B95" s="25" t="s">
        <v>188</v>
      </c>
      <c r="C95" s="26" t="s">
        <v>107</v>
      </c>
      <c r="D95" s="28"/>
      <c r="E95" s="28"/>
      <c r="F95" s="54" cm="1">
        <f t="array" aca="1" ref="F95" ca="1">IF(F94&gt;0,_xll.VosePoisson(F94,F81),0)</f>
        <v>0</v>
      </c>
      <c r="G95" s="54" cm="1">
        <f t="array" aca="1" ref="G95" ca="1">IF(G94&gt;0,_xll.VosePoisson(G94,G81),0)</f>
        <v>1</v>
      </c>
      <c r="H95" s="54" cm="1">
        <f t="array" aca="1" ref="H95" ca="1">IF(H94&gt;0,_xll.VosePoisson(H94,H81),0)</f>
        <v>1</v>
      </c>
      <c r="I95" s="54" cm="1">
        <f t="array" aca="1" ref="I95" ca="1">IF(I94&gt;0,_xll.VosePoisson(I94,I81),0)</f>
        <v>4</v>
      </c>
      <c r="J95" s="54" cm="1">
        <f t="array" aca="1" ref="J95" ca="1">IF(J94&gt;0,_xll.VosePoisson(J94,J81),0)</f>
        <v>7</v>
      </c>
      <c r="K95" s="54" cm="1">
        <f t="array" aca="1" ref="K95" ca="1">IF(K94&gt;0,_xll.VosePoisson(K94,K81),0)</f>
        <v>13</v>
      </c>
      <c r="L95" s="54" cm="1">
        <f t="array" aca="1" ref="L95" ca="1">IF(L94&gt;0,_xll.VosePoisson(L94,L81),0)</f>
        <v>12</v>
      </c>
      <c r="M95" s="54" cm="1">
        <f t="array" aca="1" ref="M95" ca="1">IF(M94&gt;0,_xll.VosePoisson(M94,M81),0)</f>
        <v>15</v>
      </c>
      <c r="N95" s="54" cm="1">
        <f t="array" aca="1" ref="N95" ca="1">IF(N94&gt;0,_xll.VosePoisson(N94,N81),0)</f>
        <v>12</v>
      </c>
      <c r="O95" s="54" cm="1">
        <f t="array" aca="1" ref="O95" ca="1">IF(O94&gt;0,_xll.VosePoisson(O94,O81),0)</f>
        <v>14</v>
      </c>
      <c r="P95" s="54" cm="1">
        <f t="array" aca="1" ref="P95" ca="1">IF(P94&gt;0,_xll.VosePoisson(P94,P81),0)</f>
        <v>18</v>
      </c>
      <c r="Q95" s="54" cm="1">
        <f t="array" aca="1" ref="Q95" ca="1">IF(Q94&gt;0,_xll.VosePoisson(Q94,Q81),0)</f>
        <v>19</v>
      </c>
      <c r="R95" s="54" cm="1">
        <f t="array" aca="1" ref="R95" ca="1">IF(R94&gt;0,_xll.VosePoisson(R94,R81),0)</f>
        <v>7</v>
      </c>
      <c r="S95" s="54" cm="1">
        <f t="array" aca="1" ref="S95" ca="1">IF(S94&gt;0,_xll.VosePoisson(S94,S81),0)</f>
        <v>17</v>
      </c>
      <c r="T95" s="54" cm="1">
        <f t="array" aca="1" ref="T95" ca="1">IF(T94&gt;0,_xll.VosePoisson(T94,T81),0)</f>
        <v>16</v>
      </c>
      <c r="U95" s="54" cm="1">
        <f t="array" aca="1" ref="U95" ca="1">IF(U94&gt;0,_xll.VosePoisson(U94,U81),0)</f>
        <v>18</v>
      </c>
      <c r="V95" s="54" cm="1">
        <f t="array" aca="1" ref="V95" ca="1">IF(V94&gt;0,_xll.VosePoisson(V94,V81),0)</f>
        <v>16</v>
      </c>
      <c r="W95" s="54" cm="1">
        <f t="array" aca="1" ref="W95" ca="1">IF(W94&gt;0,_xll.VosePoisson(W94,W81),0)</f>
        <v>15</v>
      </c>
      <c r="X95" s="54" cm="1">
        <f t="array" aca="1" ref="X95" ca="1">IF(X94&gt;0,_xll.VosePoisson(X94,X81),0)</f>
        <v>15</v>
      </c>
      <c r="Y95" s="54" cm="1">
        <f t="array" aca="1" ref="Y95" ca="1">IF(Y94&gt;0,_xll.VosePoisson(Y94,Y81),0)</f>
        <v>16</v>
      </c>
      <c r="Z95" s="54" cm="1">
        <f t="array" aca="1" ref="Z95" ca="1">IF(Z94&gt;0,_xll.VosePoisson(Z94,Z81),0)</f>
        <v>11</v>
      </c>
      <c r="AA95" s="54" cm="1">
        <f t="array" aca="1" ref="AA95" ca="1">IF(AA94&gt;0,_xll.VosePoisson(AA94,AA81),0)</f>
        <v>24</v>
      </c>
      <c r="AB95" s="54" cm="1">
        <f t="array" aca="1" ref="AB95" ca="1">IF(AB94&gt;0,_xll.VosePoisson(AB94,AB81),0)</f>
        <v>18</v>
      </c>
      <c r="AC95" s="54" cm="1">
        <f t="array" aca="1" ref="AC95" ca="1">IF(AC94&gt;0,_xll.VosePoisson(AC94,AC81),0)</f>
        <v>14</v>
      </c>
      <c r="AD95" s="54" cm="1">
        <f t="array" aca="1" ref="AD95" ca="1">IF(AD94&gt;0,_xll.VosePoisson(AD94,AD81),0)</f>
        <v>19</v>
      </c>
      <c r="AE95" s="54" cm="1">
        <f t="array" aca="1" ref="AE95" ca="1">IF(AE94&gt;0,_xll.VosePoisson(AE94,AE81),0)</f>
        <v>15</v>
      </c>
      <c r="AF95" s="54" cm="1">
        <f t="array" aca="1" ref="AF95" ca="1">IF(AF94&gt;0,_xll.VosePoisson(AF94,AF81),0)</f>
        <v>19</v>
      </c>
      <c r="AG95" s="54" cm="1">
        <f t="array" aca="1" ref="AG95" ca="1">IF(AG94&gt;0,_xll.VosePoisson(AG94,AG81),0)</f>
        <v>11</v>
      </c>
      <c r="AH95" s="54" cm="1">
        <f t="array" aca="1" ref="AH95" ca="1">IF(AH94&gt;0,_xll.VosePoisson(AH94,AH81),0)</f>
        <v>15</v>
      </c>
      <c r="AI95" s="54" cm="1">
        <f t="array" aca="1" ref="AI95" ca="1">IF(AI94&gt;0,_xll.VosePoisson(AI94,AI81),0)</f>
        <v>23</v>
      </c>
      <c r="AJ95" s="54" cm="1">
        <f t="array" aca="1" ref="AJ95" ca="1">IF(AJ94&gt;0,_xll.VosePoisson(AJ94,AJ81),0)</f>
        <v>14</v>
      </c>
      <c r="AK95" s="54" cm="1">
        <f t="array" aca="1" ref="AK95" ca="1">IF(AK94&gt;0,_xll.VosePoisson(AK94,AK81),0)</f>
        <v>23</v>
      </c>
      <c r="AL95" s="54" cm="1">
        <f t="array" aca="1" ref="AL95" ca="1">IF(AL94&gt;0,_xll.VosePoisson(AL94,AL81),0)</f>
        <v>11</v>
      </c>
      <c r="AM95" s="54" cm="1">
        <f t="array" aca="1" ref="AM95" ca="1">IF(AM94&gt;0,_xll.VosePoisson(AM94,AM81),0)</f>
        <v>12</v>
      </c>
      <c r="AN95" s="54" cm="1">
        <f t="array" aca="1" ref="AN95" ca="1">IF(AN94&gt;0,_xll.VosePoisson(AN94,AN81),0)</f>
        <v>9</v>
      </c>
      <c r="AO95" s="54" cm="1">
        <f t="array" aca="1" ref="AO95" ca="1">IF(AO94&gt;0,_xll.VosePoisson(AO94,AO81),0)</f>
        <v>16</v>
      </c>
      <c r="AP95" s="54" cm="1">
        <f t="array" aca="1" ref="AP95" ca="1">IF(AP94&gt;0,_xll.VosePoisson(AP94,AP81),0)</f>
        <v>14</v>
      </c>
      <c r="AQ95" s="54" cm="1">
        <f t="array" aca="1" ref="AQ95" ca="1">IF(AQ94&gt;0,_xll.VosePoisson(AQ94,AQ81),0)</f>
        <v>14</v>
      </c>
      <c r="AR95" s="54" cm="1">
        <f t="array" aca="1" ref="AR95" ca="1">IF(AR94&gt;0,_xll.VosePoisson(AR94,AR81),0)</f>
        <v>15</v>
      </c>
      <c r="AS95" s="54" cm="1">
        <f t="array" aca="1" ref="AS95" ca="1">IF(AS94&gt;0,_xll.VosePoisson(AS94,AS81),0)</f>
        <v>13</v>
      </c>
      <c r="AT95" s="54" cm="1">
        <f t="array" aca="1" ref="AT95" ca="1">IF(AT94&gt;0,_xll.VosePoisson(AT94,AT81),0)</f>
        <v>16</v>
      </c>
      <c r="AU95" s="54" cm="1">
        <f t="array" aca="1" ref="AU95" ca="1">IF(AU94&gt;0,_xll.VosePoisson(AU94,AU81),0)</f>
        <v>10</v>
      </c>
      <c r="AV95" s="54" cm="1">
        <f t="array" aca="1" ref="AV95" ca="1">IF(AV94&gt;0,_xll.VosePoisson(AV94,AV81),0)</f>
        <v>11</v>
      </c>
      <c r="AW95" s="54" cm="1">
        <f t="array" aca="1" ref="AW95" ca="1">IF(AW94&gt;0,_xll.VosePoisson(AW94,AW81),0)</f>
        <v>11</v>
      </c>
      <c r="AX95" s="54" cm="1">
        <f t="array" aca="1" ref="AX95" ca="1">IF(AX94&gt;0,_xll.VosePoisson(AX94,AX81),0)</f>
        <v>11</v>
      </c>
      <c r="AY95" s="54" cm="1">
        <f t="array" aca="1" ref="AY95" ca="1">IF(AY94&gt;0,_xll.VosePoisson(AY94,AY81),0)</f>
        <v>14</v>
      </c>
      <c r="AZ95" s="54" cm="1">
        <f t="array" aca="1" ref="AZ95" ca="1">IF(AZ94&gt;0,_xll.VosePoisson(AZ94,AZ81),0)</f>
        <v>11</v>
      </c>
      <c r="BA95" s="54" cm="1">
        <f t="array" aca="1" ref="BA95" ca="1">IF(BA94&gt;0,_xll.VosePoisson(BA94,BA81),0)</f>
        <v>9</v>
      </c>
    </row>
    <row r="96" spans="2:53" x14ac:dyDescent="0.45">
      <c r="B96" s="55" t="s">
        <v>189</v>
      </c>
      <c r="C96" s="26" t="s">
        <v>107</v>
      </c>
      <c r="D96" s="28"/>
      <c r="E96" s="56">
        <v>0</v>
      </c>
      <c r="F96" s="57">
        <f t="shared" ref="F96:BA96" ca="1" si="5">MIN(Target,E96+F95)</f>
        <v>0</v>
      </c>
      <c r="G96" s="57">
        <f t="shared" ca="1" si="5"/>
        <v>1</v>
      </c>
      <c r="H96" s="57">
        <f t="shared" ca="1" si="5"/>
        <v>2</v>
      </c>
      <c r="I96" s="57">
        <f t="shared" ca="1" si="5"/>
        <v>6</v>
      </c>
      <c r="J96" s="57">
        <f t="shared" ca="1" si="5"/>
        <v>13</v>
      </c>
      <c r="K96" s="57">
        <f t="shared" ca="1" si="5"/>
        <v>26</v>
      </c>
      <c r="L96" s="57">
        <f t="shared" ca="1" si="5"/>
        <v>38</v>
      </c>
      <c r="M96" s="57">
        <f t="shared" ca="1" si="5"/>
        <v>53</v>
      </c>
      <c r="N96" s="57">
        <f t="shared" ca="1" si="5"/>
        <v>65</v>
      </c>
      <c r="O96" s="57">
        <f t="shared" ca="1" si="5"/>
        <v>79</v>
      </c>
      <c r="P96" s="57">
        <f t="shared" ca="1" si="5"/>
        <v>97</v>
      </c>
      <c r="Q96" s="57">
        <f t="shared" ca="1" si="5"/>
        <v>116</v>
      </c>
      <c r="R96" s="57">
        <f t="shared" ca="1" si="5"/>
        <v>123</v>
      </c>
      <c r="S96" s="57">
        <f t="shared" ca="1" si="5"/>
        <v>140</v>
      </c>
      <c r="T96" s="57">
        <f t="shared" ca="1" si="5"/>
        <v>156</v>
      </c>
      <c r="U96" s="57">
        <f t="shared" ca="1" si="5"/>
        <v>174</v>
      </c>
      <c r="V96" s="57">
        <f t="shared" ca="1" si="5"/>
        <v>190</v>
      </c>
      <c r="W96" s="57">
        <f t="shared" ca="1" si="5"/>
        <v>205</v>
      </c>
      <c r="X96" s="57">
        <f t="shared" ca="1" si="5"/>
        <v>220</v>
      </c>
      <c r="Y96" s="57">
        <f t="shared" ca="1" si="5"/>
        <v>236</v>
      </c>
      <c r="Z96" s="57">
        <f t="shared" ca="1" si="5"/>
        <v>247</v>
      </c>
      <c r="AA96" s="57">
        <f t="shared" ca="1" si="5"/>
        <v>271</v>
      </c>
      <c r="AB96" s="57">
        <f t="shared" ca="1" si="5"/>
        <v>289</v>
      </c>
      <c r="AC96" s="57">
        <f t="shared" ca="1" si="5"/>
        <v>300</v>
      </c>
      <c r="AD96" s="57">
        <f t="shared" ca="1" si="5"/>
        <v>300</v>
      </c>
      <c r="AE96" s="57">
        <f t="shared" ca="1" si="5"/>
        <v>300</v>
      </c>
      <c r="AF96" s="57">
        <f t="shared" ca="1" si="5"/>
        <v>300</v>
      </c>
      <c r="AG96" s="57">
        <f t="shared" ca="1" si="5"/>
        <v>300</v>
      </c>
      <c r="AH96" s="57">
        <f t="shared" ca="1" si="5"/>
        <v>300</v>
      </c>
      <c r="AI96" s="57">
        <f t="shared" ca="1" si="5"/>
        <v>300</v>
      </c>
      <c r="AJ96" s="57">
        <f t="shared" ca="1" si="5"/>
        <v>300</v>
      </c>
      <c r="AK96" s="57">
        <f t="shared" ca="1" si="5"/>
        <v>300</v>
      </c>
      <c r="AL96" s="57">
        <f t="shared" ca="1" si="5"/>
        <v>300</v>
      </c>
      <c r="AM96" s="57">
        <f t="shared" ca="1" si="5"/>
        <v>300</v>
      </c>
      <c r="AN96" s="57">
        <f t="shared" ca="1" si="5"/>
        <v>300</v>
      </c>
      <c r="AO96" s="57">
        <f t="shared" ca="1" si="5"/>
        <v>300</v>
      </c>
      <c r="AP96" s="57">
        <f t="shared" ca="1" si="5"/>
        <v>300</v>
      </c>
      <c r="AQ96" s="57">
        <f t="shared" ca="1" si="5"/>
        <v>300</v>
      </c>
      <c r="AR96" s="57">
        <f t="shared" ca="1" si="5"/>
        <v>300</v>
      </c>
      <c r="AS96" s="57">
        <f t="shared" ca="1" si="5"/>
        <v>300</v>
      </c>
      <c r="AT96" s="57">
        <f t="shared" ca="1" si="5"/>
        <v>300</v>
      </c>
      <c r="AU96" s="57">
        <f t="shared" ca="1" si="5"/>
        <v>300</v>
      </c>
      <c r="AV96" s="57">
        <f t="shared" ca="1" si="5"/>
        <v>300</v>
      </c>
      <c r="AW96" s="57">
        <f t="shared" ca="1" si="5"/>
        <v>300</v>
      </c>
      <c r="AX96" s="57">
        <f t="shared" ca="1" si="5"/>
        <v>300</v>
      </c>
      <c r="AY96" s="57">
        <f t="shared" ca="1" si="5"/>
        <v>300</v>
      </c>
      <c r="AZ96" s="57">
        <f t="shared" ca="1" si="5"/>
        <v>300</v>
      </c>
      <c r="BA96" s="57">
        <f t="shared" ca="1" si="5"/>
        <v>300</v>
      </c>
    </row>
    <row r="97" spans="2:53" x14ac:dyDescent="0.45">
      <c r="B97" s="25" t="s">
        <v>190</v>
      </c>
      <c r="C97" s="26" t="s">
        <v>111</v>
      </c>
      <c r="D97" s="28"/>
      <c r="E97" s="28"/>
      <c r="F97" s="43">
        <f t="shared" ref="F97:BA97" ca="1" si="6">IF(AND(E96&lt;Target,F96&gt;=Target),F$6-1+(Target-E96)/F95,0)</f>
        <v>0</v>
      </c>
      <c r="G97" s="43">
        <f t="shared" ca="1" si="6"/>
        <v>0</v>
      </c>
      <c r="H97" s="43">
        <f t="shared" ca="1" si="6"/>
        <v>0</v>
      </c>
      <c r="I97" s="43">
        <f t="shared" ca="1" si="6"/>
        <v>0</v>
      </c>
      <c r="J97" s="43">
        <f t="shared" ca="1" si="6"/>
        <v>0</v>
      </c>
      <c r="K97" s="43">
        <f t="shared" ca="1" si="6"/>
        <v>0</v>
      </c>
      <c r="L97" s="43">
        <f t="shared" ca="1" si="6"/>
        <v>0</v>
      </c>
      <c r="M97" s="43">
        <f t="shared" ca="1" si="6"/>
        <v>0</v>
      </c>
      <c r="N97" s="43">
        <f t="shared" ca="1" si="6"/>
        <v>0</v>
      </c>
      <c r="O97" s="43">
        <f t="shared" ca="1" si="6"/>
        <v>0</v>
      </c>
      <c r="P97" s="43">
        <f t="shared" ca="1" si="6"/>
        <v>0</v>
      </c>
      <c r="Q97" s="43">
        <f t="shared" ca="1" si="6"/>
        <v>0</v>
      </c>
      <c r="R97" s="43">
        <f t="shared" ca="1" si="6"/>
        <v>0</v>
      </c>
      <c r="S97" s="43">
        <f t="shared" ca="1" si="6"/>
        <v>0</v>
      </c>
      <c r="T97" s="43">
        <f t="shared" ca="1" si="6"/>
        <v>0</v>
      </c>
      <c r="U97" s="43">
        <f t="shared" ca="1" si="6"/>
        <v>0</v>
      </c>
      <c r="V97" s="43">
        <f t="shared" ca="1" si="6"/>
        <v>0</v>
      </c>
      <c r="W97" s="43">
        <f t="shared" ca="1" si="6"/>
        <v>0</v>
      </c>
      <c r="X97" s="43">
        <f t="shared" ca="1" si="6"/>
        <v>0</v>
      </c>
      <c r="Y97" s="43">
        <f t="shared" ca="1" si="6"/>
        <v>0</v>
      </c>
      <c r="Z97" s="43">
        <f t="shared" ca="1" si="6"/>
        <v>0</v>
      </c>
      <c r="AA97" s="43">
        <f t="shared" ca="1" si="6"/>
        <v>0</v>
      </c>
      <c r="AB97" s="43">
        <f t="shared" ca="1" si="6"/>
        <v>0</v>
      </c>
      <c r="AC97" s="43">
        <f t="shared" ca="1" si="6"/>
        <v>23.785714285714285</v>
      </c>
      <c r="AD97" s="43">
        <f t="shared" ca="1" si="6"/>
        <v>0</v>
      </c>
      <c r="AE97" s="43">
        <f t="shared" ca="1" si="6"/>
        <v>0</v>
      </c>
      <c r="AF97" s="43">
        <f t="shared" ca="1" si="6"/>
        <v>0</v>
      </c>
      <c r="AG97" s="43">
        <f t="shared" ca="1" si="6"/>
        <v>0</v>
      </c>
      <c r="AH97" s="43">
        <f t="shared" ca="1" si="6"/>
        <v>0</v>
      </c>
      <c r="AI97" s="43">
        <f t="shared" ca="1" si="6"/>
        <v>0</v>
      </c>
      <c r="AJ97" s="43">
        <f t="shared" ca="1" si="6"/>
        <v>0</v>
      </c>
      <c r="AK97" s="43">
        <f t="shared" ca="1" si="6"/>
        <v>0</v>
      </c>
      <c r="AL97" s="43">
        <f t="shared" ca="1" si="6"/>
        <v>0</v>
      </c>
      <c r="AM97" s="43">
        <f t="shared" ca="1" si="6"/>
        <v>0</v>
      </c>
      <c r="AN97" s="43">
        <f t="shared" ca="1" si="6"/>
        <v>0</v>
      </c>
      <c r="AO97" s="43">
        <f t="shared" ca="1" si="6"/>
        <v>0</v>
      </c>
      <c r="AP97" s="43">
        <f t="shared" ca="1" si="6"/>
        <v>0</v>
      </c>
      <c r="AQ97" s="43">
        <f t="shared" ca="1" si="6"/>
        <v>0</v>
      </c>
      <c r="AR97" s="43">
        <f t="shared" ca="1" si="6"/>
        <v>0</v>
      </c>
      <c r="AS97" s="43">
        <f t="shared" ca="1" si="6"/>
        <v>0</v>
      </c>
      <c r="AT97" s="43">
        <f t="shared" ca="1" si="6"/>
        <v>0</v>
      </c>
      <c r="AU97" s="43">
        <f t="shared" ca="1" si="6"/>
        <v>0</v>
      </c>
      <c r="AV97" s="43">
        <f t="shared" ca="1" si="6"/>
        <v>0</v>
      </c>
      <c r="AW97" s="43">
        <f t="shared" ca="1" si="6"/>
        <v>0</v>
      </c>
      <c r="AX97" s="43">
        <f t="shared" ca="1" si="6"/>
        <v>0</v>
      </c>
      <c r="AY97" s="43">
        <f t="shared" ca="1" si="6"/>
        <v>0</v>
      </c>
      <c r="AZ97" s="43">
        <f t="shared" ca="1" si="6"/>
        <v>0</v>
      </c>
      <c r="BA97" s="43">
        <f t="shared" ca="1" si="6"/>
        <v>0</v>
      </c>
    </row>
    <row r="98" spans="2:53" ht="8" customHeight="1" x14ac:dyDescent="0.45"/>
    <row r="99" spans="2:53" ht="22.05" customHeight="1" x14ac:dyDescent="0.5">
      <c r="B99" s="7" t="s">
        <v>193</v>
      </c>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row>
    <row r="100" spans="2:53" ht="18" customHeight="1" x14ac:dyDescent="0.45">
      <c r="B100" s="13" t="str">
        <f>"Sites: "&amp;Sites_3&amp;". Expected patients: the grid above summed over the option's sites; the count is Poisson."</f>
        <v>Sites: 60. Expected patients: the grid above summed over the option's sites; the count is Poisson.</v>
      </c>
    </row>
    <row r="101" spans="2:53" x14ac:dyDescent="0.45">
      <c r="B101" s="25" t="s">
        <v>187</v>
      </c>
      <c r="C101" s="26" t="s">
        <v>107</v>
      </c>
      <c r="D101" s="28"/>
      <c r="E101" s="28"/>
      <c r="F101" s="43">
        <f t="shared" ref="F101:BA101" ca="1" si="7">SUMIF($B$18:$B$77,"&lt;="&amp;Sites_3,F$18:F$77)</f>
        <v>0</v>
      </c>
      <c r="G101" s="43">
        <f t="shared" ca="1" si="7"/>
        <v>0.73671450642203928</v>
      </c>
      <c r="H101" s="43">
        <f t="shared" ca="1" si="7"/>
        <v>3.6793450464653201</v>
      </c>
      <c r="I101" s="43">
        <f t="shared" ca="1" si="7"/>
        <v>7.7778821211296281</v>
      </c>
      <c r="J101" s="43">
        <f t="shared" ca="1" si="7"/>
        <v>11.361378580997018</v>
      </c>
      <c r="K101" s="43">
        <f t="shared" ca="1" si="7"/>
        <v>15.457931302296549</v>
      </c>
      <c r="L101" s="43">
        <f t="shared" ca="1" si="7"/>
        <v>17.540299461331216</v>
      </c>
      <c r="M101" s="43">
        <f t="shared" ca="1" si="7"/>
        <v>17.683832149424155</v>
      </c>
      <c r="N101" s="43">
        <f t="shared" ca="1" si="7"/>
        <v>17.683832149424155</v>
      </c>
      <c r="O101" s="43">
        <f t="shared" ca="1" si="7"/>
        <v>17.683832149424155</v>
      </c>
      <c r="P101" s="43">
        <f t="shared" ca="1" si="7"/>
        <v>17.683832149424155</v>
      </c>
      <c r="Q101" s="43">
        <f t="shared" ca="1" si="7"/>
        <v>17.683832149424155</v>
      </c>
      <c r="R101" s="43">
        <f t="shared" ca="1" si="7"/>
        <v>17.683832149424155</v>
      </c>
      <c r="S101" s="43">
        <f t="shared" ca="1" si="7"/>
        <v>17.683832149424155</v>
      </c>
      <c r="T101" s="43">
        <f t="shared" ca="1" si="7"/>
        <v>17.683832149424155</v>
      </c>
      <c r="U101" s="43">
        <f t="shared" ca="1" si="7"/>
        <v>17.683832149424155</v>
      </c>
      <c r="V101" s="43">
        <f t="shared" ca="1" si="7"/>
        <v>17.683832149424155</v>
      </c>
      <c r="W101" s="43">
        <f t="shared" ca="1" si="7"/>
        <v>17.683832149424155</v>
      </c>
      <c r="X101" s="43">
        <f t="shared" ca="1" si="7"/>
        <v>17.683832149424155</v>
      </c>
      <c r="Y101" s="43">
        <f t="shared" ca="1" si="7"/>
        <v>17.683832149424155</v>
      </c>
      <c r="Z101" s="43">
        <f t="shared" ca="1" si="7"/>
        <v>17.683832149424155</v>
      </c>
      <c r="AA101" s="43">
        <f t="shared" ca="1" si="7"/>
        <v>17.683832149424155</v>
      </c>
      <c r="AB101" s="43">
        <f t="shared" ca="1" si="7"/>
        <v>17.683832149424155</v>
      </c>
      <c r="AC101" s="43">
        <f t="shared" ca="1" si="7"/>
        <v>17.683832149424155</v>
      </c>
      <c r="AD101" s="43">
        <f t="shared" ca="1" si="7"/>
        <v>17.683832149424155</v>
      </c>
      <c r="AE101" s="43">
        <f t="shared" ca="1" si="7"/>
        <v>17.683832149424155</v>
      </c>
      <c r="AF101" s="43">
        <f t="shared" ca="1" si="7"/>
        <v>17.683832149424155</v>
      </c>
      <c r="AG101" s="43">
        <f t="shared" ca="1" si="7"/>
        <v>17.683832149424155</v>
      </c>
      <c r="AH101" s="43">
        <f t="shared" ca="1" si="7"/>
        <v>17.683832149424155</v>
      </c>
      <c r="AI101" s="43">
        <f t="shared" ca="1" si="7"/>
        <v>17.683832149424155</v>
      </c>
      <c r="AJ101" s="43">
        <f t="shared" ca="1" si="7"/>
        <v>17.683832149424155</v>
      </c>
      <c r="AK101" s="43">
        <f t="shared" ca="1" si="7"/>
        <v>17.683832149424155</v>
      </c>
      <c r="AL101" s="43">
        <f t="shared" ca="1" si="7"/>
        <v>17.683832149424155</v>
      </c>
      <c r="AM101" s="43">
        <f t="shared" ca="1" si="7"/>
        <v>17.683832149424155</v>
      </c>
      <c r="AN101" s="43">
        <f t="shared" ca="1" si="7"/>
        <v>17.683832149424155</v>
      </c>
      <c r="AO101" s="43">
        <f t="shared" ca="1" si="7"/>
        <v>17.683832149424155</v>
      </c>
      <c r="AP101" s="43">
        <f t="shared" ca="1" si="7"/>
        <v>17.683832149424155</v>
      </c>
      <c r="AQ101" s="43">
        <f t="shared" ca="1" si="7"/>
        <v>17.683832149424155</v>
      </c>
      <c r="AR101" s="43">
        <f t="shared" ca="1" si="7"/>
        <v>17.683832149424155</v>
      </c>
      <c r="AS101" s="43">
        <f t="shared" ca="1" si="7"/>
        <v>17.683832149424155</v>
      </c>
      <c r="AT101" s="43">
        <f t="shared" ca="1" si="7"/>
        <v>17.683832149424155</v>
      </c>
      <c r="AU101" s="43">
        <f t="shared" ca="1" si="7"/>
        <v>17.683832149424155</v>
      </c>
      <c r="AV101" s="43">
        <f t="shared" ca="1" si="7"/>
        <v>17.683832149424155</v>
      </c>
      <c r="AW101" s="43">
        <f t="shared" ca="1" si="7"/>
        <v>17.683832149424155</v>
      </c>
      <c r="AX101" s="43">
        <f t="shared" ca="1" si="7"/>
        <v>17.683832149424155</v>
      </c>
      <c r="AY101" s="43">
        <f t="shared" ca="1" si="7"/>
        <v>17.683832149424155</v>
      </c>
      <c r="AZ101" s="43">
        <f t="shared" ca="1" si="7"/>
        <v>17.683832149424155</v>
      </c>
      <c r="BA101" s="43">
        <f t="shared" ca="1" si="7"/>
        <v>17.683832149424155</v>
      </c>
    </row>
    <row r="102" spans="2:53" x14ac:dyDescent="0.45">
      <c r="B102" s="25" t="s">
        <v>188</v>
      </c>
      <c r="C102" s="26" t="s">
        <v>107</v>
      </c>
      <c r="D102" s="28"/>
      <c r="E102" s="28"/>
      <c r="F102" s="54" cm="1">
        <f t="array" aca="1" ref="F102" ca="1">IF(F101&gt;0,_xll.VosePoisson(F101,F81),0)</f>
        <v>0</v>
      </c>
      <c r="G102" s="54" cm="1">
        <f t="array" aca="1" ref="G102" ca="1">IF(G101&gt;0,_xll.VosePoisson(G101,G81),0)</f>
        <v>1</v>
      </c>
      <c r="H102" s="54" cm="1">
        <f t="array" aca="1" ref="H102" ca="1">IF(H101&gt;0,_xll.VosePoisson(H101,H81),0)</f>
        <v>2</v>
      </c>
      <c r="I102" s="54" cm="1">
        <f t="array" aca="1" ref="I102" ca="1">IF(I101&gt;0,_xll.VosePoisson(I101,I81),0)</f>
        <v>5</v>
      </c>
      <c r="J102" s="54" cm="1">
        <f t="array" aca="1" ref="J102" ca="1">IF(J101&gt;0,_xll.VosePoisson(J101,J81),0)</f>
        <v>8</v>
      </c>
      <c r="K102" s="54" cm="1">
        <f t="array" aca="1" ref="K102" ca="1">IF(K101&gt;0,_xll.VosePoisson(K101,K81),0)</f>
        <v>14</v>
      </c>
      <c r="L102" s="54" cm="1">
        <f t="array" aca="1" ref="L102" ca="1">IF(L101&gt;0,_xll.VosePoisson(L101,L81),0)</f>
        <v>14</v>
      </c>
      <c r="M102" s="54" cm="1">
        <f t="array" aca="1" ref="M102" ca="1">IF(M101&gt;0,_xll.VosePoisson(M101,M81),0)</f>
        <v>17</v>
      </c>
      <c r="N102" s="54" cm="1">
        <f t="array" aca="1" ref="N102" ca="1">IF(N101&gt;0,_xll.VosePoisson(N101,N81),0)</f>
        <v>14</v>
      </c>
      <c r="O102" s="54" cm="1">
        <f t="array" aca="1" ref="O102" ca="1">IF(O101&gt;0,_xll.VosePoisson(O101,O81),0)</f>
        <v>16</v>
      </c>
      <c r="P102" s="54" cm="1">
        <f t="array" aca="1" ref="P102" ca="1">IF(P101&gt;0,_xll.VosePoisson(P101,P81),0)</f>
        <v>20</v>
      </c>
      <c r="Q102" s="54" cm="1">
        <f t="array" aca="1" ref="Q102" ca="1">IF(Q101&gt;0,_xll.VosePoisson(Q101,Q81),0)</f>
        <v>21</v>
      </c>
      <c r="R102" s="54" cm="1">
        <f t="array" aca="1" ref="R102" ca="1">IF(R101&gt;0,_xll.VosePoisson(R101,R81),0)</f>
        <v>9</v>
      </c>
      <c r="S102" s="54" cm="1">
        <f t="array" aca="1" ref="S102" ca="1">IF(S101&gt;0,_xll.VosePoisson(S101,S81),0)</f>
        <v>19</v>
      </c>
      <c r="T102" s="54" cm="1">
        <f t="array" aca="1" ref="T102" ca="1">IF(T101&gt;0,_xll.VosePoisson(T101,T81),0)</f>
        <v>18</v>
      </c>
      <c r="U102" s="54" cm="1">
        <f t="array" aca="1" ref="U102" ca="1">IF(U101&gt;0,_xll.VosePoisson(U101,U81),0)</f>
        <v>20</v>
      </c>
      <c r="V102" s="54" cm="1">
        <f t="array" aca="1" ref="V102" ca="1">IF(V101&gt;0,_xll.VosePoisson(V101,V81),0)</f>
        <v>18</v>
      </c>
      <c r="W102" s="54" cm="1">
        <f t="array" aca="1" ref="W102" ca="1">IF(W101&gt;0,_xll.VosePoisson(W101,W81),0)</f>
        <v>17</v>
      </c>
      <c r="X102" s="54" cm="1">
        <f t="array" aca="1" ref="X102" ca="1">IF(X101&gt;0,_xll.VosePoisson(X101,X81),0)</f>
        <v>17</v>
      </c>
      <c r="Y102" s="54" cm="1">
        <f t="array" aca="1" ref="Y102" ca="1">IF(Y101&gt;0,_xll.VosePoisson(Y101,Y81),0)</f>
        <v>18</v>
      </c>
      <c r="Z102" s="54" cm="1">
        <f t="array" aca="1" ref="Z102" ca="1">IF(Z101&gt;0,_xll.VosePoisson(Z101,Z81),0)</f>
        <v>13</v>
      </c>
      <c r="AA102" s="54" cm="1">
        <f t="array" aca="1" ref="AA102" ca="1">IF(AA101&gt;0,_xll.VosePoisson(AA101,AA81),0)</f>
        <v>27</v>
      </c>
      <c r="AB102" s="54" cm="1">
        <f t="array" aca="1" ref="AB102" ca="1">IF(AB101&gt;0,_xll.VosePoisson(AB101,AB81),0)</f>
        <v>20</v>
      </c>
      <c r="AC102" s="54" cm="1">
        <f t="array" aca="1" ref="AC102" ca="1">IF(AC101&gt;0,_xll.VosePoisson(AC101,AC81),0)</f>
        <v>16</v>
      </c>
      <c r="AD102" s="54" cm="1">
        <f t="array" aca="1" ref="AD102" ca="1">IF(AD101&gt;0,_xll.VosePoisson(AD101,AD81),0)</f>
        <v>21</v>
      </c>
      <c r="AE102" s="54" cm="1">
        <f t="array" aca="1" ref="AE102" ca="1">IF(AE101&gt;0,_xll.VosePoisson(AE101,AE81),0)</f>
        <v>17</v>
      </c>
      <c r="AF102" s="54" cm="1">
        <f t="array" aca="1" ref="AF102" ca="1">IF(AF101&gt;0,_xll.VosePoisson(AF101,AF81),0)</f>
        <v>21</v>
      </c>
      <c r="AG102" s="54" cm="1">
        <f t="array" aca="1" ref="AG102" ca="1">IF(AG101&gt;0,_xll.VosePoisson(AG101,AG81),0)</f>
        <v>12</v>
      </c>
      <c r="AH102" s="54" cm="1">
        <f t="array" aca="1" ref="AH102" ca="1">IF(AH101&gt;0,_xll.VosePoisson(AH101,AH81),0)</f>
        <v>17</v>
      </c>
      <c r="AI102" s="54" cm="1">
        <f t="array" aca="1" ref="AI102" ca="1">IF(AI101&gt;0,_xll.VosePoisson(AI101,AI81),0)</f>
        <v>25</v>
      </c>
      <c r="AJ102" s="54" cm="1">
        <f t="array" aca="1" ref="AJ102" ca="1">IF(AJ101&gt;0,_xll.VosePoisson(AJ101,AJ81),0)</f>
        <v>15</v>
      </c>
      <c r="AK102" s="54" cm="1">
        <f t="array" aca="1" ref="AK102" ca="1">IF(AK101&gt;0,_xll.VosePoisson(AK101,AK81),0)</f>
        <v>25</v>
      </c>
      <c r="AL102" s="54" cm="1">
        <f t="array" aca="1" ref="AL102" ca="1">IF(AL101&gt;0,_xll.VosePoisson(AL101,AL81),0)</f>
        <v>13</v>
      </c>
      <c r="AM102" s="54" cm="1">
        <f t="array" aca="1" ref="AM102" ca="1">IF(AM101&gt;0,_xll.VosePoisson(AM101,AM81),0)</f>
        <v>14</v>
      </c>
      <c r="AN102" s="54" cm="1">
        <f t="array" aca="1" ref="AN102" ca="1">IF(AN101&gt;0,_xll.VosePoisson(AN101,AN81),0)</f>
        <v>11</v>
      </c>
      <c r="AO102" s="54" cm="1">
        <f t="array" aca="1" ref="AO102" ca="1">IF(AO101&gt;0,_xll.VosePoisson(AO101,AO81),0)</f>
        <v>18</v>
      </c>
      <c r="AP102" s="54" cm="1">
        <f t="array" aca="1" ref="AP102" ca="1">IF(AP101&gt;0,_xll.VosePoisson(AP101,AP81),0)</f>
        <v>15</v>
      </c>
      <c r="AQ102" s="54" cm="1">
        <f t="array" aca="1" ref="AQ102" ca="1">IF(AQ101&gt;0,_xll.VosePoisson(AQ101,AQ81),0)</f>
        <v>16</v>
      </c>
      <c r="AR102" s="54" cm="1">
        <f t="array" aca="1" ref="AR102" ca="1">IF(AR101&gt;0,_xll.VosePoisson(AR101,AR81),0)</f>
        <v>16</v>
      </c>
      <c r="AS102" s="54" cm="1">
        <f t="array" aca="1" ref="AS102" ca="1">IF(AS101&gt;0,_xll.VosePoisson(AS101,AS81),0)</f>
        <v>15</v>
      </c>
      <c r="AT102" s="54" cm="1">
        <f t="array" aca="1" ref="AT102" ca="1">IF(AT101&gt;0,_xll.VosePoisson(AT101,AT81),0)</f>
        <v>18</v>
      </c>
      <c r="AU102" s="54" cm="1">
        <f t="array" aca="1" ref="AU102" ca="1">IF(AU101&gt;0,_xll.VosePoisson(AU101,AU81),0)</f>
        <v>11</v>
      </c>
      <c r="AV102" s="54" cm="1">
        <f t="array" aca="1" ref="AV102" ca="1">IF(AV101&gt;0,_xll.VosePoisson(AV101,AV81),0)</f>
        <v>13</v>
      </c>
      <c r="AW102" s="54" cm="1">
        <f t="array" aca="1" ref="AW102" ca="1">IF(AW101&gt;0,_xll.VosePoisson(AW101,AW81),0)</f>
        <v>13</v>
      </c>
      <c r="AX102" s="54" cm="1">
        <f t="array" aca="1" ref="AX102" ca="1">IF(AX101&gt;0,_xll.VosePoisson(AX101,AX81),0)</f>
        <v>12</v>
      </c>
      <c r="AY102" s="54" cm="1">
        <f t="array" aca="1" ref="AY102" ca="1">IF(AY101&gt;0,_xll.VosePoisson(AY101,AY81),0)</f>
        <v>16</v>
      </c>
      <c r="AZ102" s="54" cm="1">
        <f t="array" aca="1" ref="AZ102" ca="1">IF(AZ101&gt;0,_xll.VosePoisson(AZ101,AZ81),0)</f>
        <v>13</v>
      </c>
      <c r="BA102" s="54" cm="1">
        <f t="array" aca="1" ref="BA102" ca="1">IF(BA101&gt;0,_xll.VosePoisson(BA101,BA81),0)</f>
        <v>10</v>
      </c>
    </row>
    <row r="103" spans="2:53" x14ac:dyDescent="0.45">
      <c r="B103" s="55" t="s">
        <v>189</v>
      </c>
      <c r="C103" s="26" t="s">
        <v>107</v>
      </c>
      <c r="D103" s="28"/>
      <c r="E103" s="56">
        <v>0</v>
      </c>
      <c r="F103" s="57">
        <f t="shared" ref="F103:BA103" ca="1" si="8">MIN(Target,E103+F102)</f>
        <v>0</v>
      </c>
      <c r="G103" s="57">
        <f t="shared" ca="1" si="8"/>
        <v>1</v>
      </c>
      <c r="H103" s="57">
        <f t="shared" ca="1" si="8"/>
        <v>3</v>
      </c>
      <c r="I103" s="57">
        <f t="shared" ca="1" si="8"/>
        <v>8</v>
      </c>
      <c r="J103" s="57">
        <f t="shared" ca="1" si="8"/>
        <v>16</v>
      </c>
      <c r="K103" s="57">
        <f t="shared" ca="1" si="8"/>
        <v>30</v>
      </c>
      <c r="L103" s="57">
        <f t="shared" ca="1" si="8"/>
        <v>44</v>
      </c>
      <c r="M103" s="57">
        <f t="shared" ca="1" si="8"/>
        <v>61</v>
      </c>
      <c r="N103" s="57">
        <f t="shared" ca="1" si="8"/>
        <v>75</v>
      </c>
      <c r="O103" s="57">
        <f t="shared" ca="1" si="8"/>
        <v>91</v>
      </c>
      <c r="P103" s="57">
        <f t="shared" ca="1" si="8"/>
        <v>111</v>
      </c>
      <c r="Q103" s="57">
        <f t="shared" ca="1" si="8"/>
        <v>132</v>
      </c>
      <c r="R103" s="57">
        <f t="shared" ca="1" si="8"/>
        <v>141</v>
      </c>
      <c r="S103" s="57">
        <f t="shared" ca="1" si="8"/>
        <v>160</v>
      </c>
      <c r="T103" s="57">
        <f t="shared" ca="1" si="8"/>
        <v>178</v>
      </c>
      <c r="U103" s="57">
        <f t="shared" ca="1" si="8"/>
        <v>198</v>
      </c>
      <c r="V103" s="57">
        <f t="shared" ca="1" si="8"/>
        <v>216</v>
      </c>
      <c r="W103" s="57">
        <f t="shared" ca="1" si="8"/>
        <v>233</v>
      </c>
      <c r="X103" s="57">
        <f t="shared" ca="1" si="8"/>
        <v>250</v>
      </c>
      <c r="Y103" s="57">
        <f t="shared" ca="1" si="8"/>
        <v>268</v>
      </c>
      <c r="Z103" s="57">
        <f t="shared" ca="1" si="8"/>
        <v>281</v>
      </c>
      <c r="AA103" s="57">
        <f t="shared" ca="1" si="8"/>
        <v>300</v>
      </c>
      <c r="AB103" s="57">
        <f t="shared" ca="1" si="8"/>
        <v>300</v>
      </c>
      <c r="AC103" s="57">
        <f t="shared" ca="1" si="8"/>
        <v>300</v>
      </c>
      <c r="AD103" s="57">
        <f t="shared" ca="1" si="8"/>
        <v>300</v>
      </c>
      <c r="AE103" s="57">
        <f t="shared" ca="1" si="8"/>
        <v>300</v>
      </c>
      <c r="AF103" s="57">
        <f t="shared" ca="1" si="8"/>
        <v>300</v>
      </c>
      <c r="AG103" s="57">
        <f t="shared" ca="1" si="8"/>
        <v>300</v>
      </c>
      <c r="AH103" s="57">
        <f t="shared" ca="1" si="8"/>
        <v>300</v>
      </c>
      <c r="AI103" s="57">
        <f t="shared" ca="1" si="8"/>
        <v>300</v>
      </c>
      <c r="AJ103" s="57">
        <f t="shared" ca="1" si="8"/>
        <v>300</v>
      </c>
      <c r="AK103" s="57">
        <f t="shared" ca="1" si="8"/>
        <v>300</v>
      </c>
      <c r="AL103" s="57">
        <f t="shared" ca="1" si="8"/>
        <v>300</v>
      </c>
      <c r="AM103" s="57">
        <f t="shared" ca="1" si="8"/>
        <v>300</v>
      </c>
      <c r="AN103" s="57">
        <f t="shared" ca="1" si="8"/>
        <v>300</v>
      </c>
      <c r="AO103" s="57">
        <f t="shared" ca="1" si="8"/>
        <v>300</v>
      </c>
      <c r="AP103" s="57">
        <f t="shared" ca="1" si="8"/>
        <v>300</v>
      </c>
      <c r="AQ103" s="57">
        <f t="shared" ca="1" si="8"/>
        <v>300</v>
      </c>
      <c r="AR103" s="57">
        <f t="shared" ca="1" si="8"/>
        <v>300</v>
      </c>
      <c r="AS103" s="57">
        <f t="shared" ca="1" si="8"/>
        <v>300</v>
      </c>
      <c r="AT103" s="57">
        <f t="shared" ca="1" si="8"/>
        <v>300</v>
      </c>
      <c r="AU103" s="57">
        <f t="shared" ca="1" si="8"/>
        <v>300</v>
      </c>
      <c r="AV103" s="57">
        <f t="shared" ca="1" si="8"/>
        <v>300</v>
      </c>
      <c r="AW103" s="57">
        <f t="shared" ca="1" si="8"/>
        <v>300</v>
      </c>
      <c r="AX103" s="57">
        <f t="shared" ca="1" si="8"/>
        <v>300</v>
      </c>
      <c r="AY103" s="57">
        <f t="shared" ca="1" si="8"/>
        <v>300</v>
      </c>
      <c r="AZ103" s="57">
        <f t="shared" ca="1" si="8"/>
        <v>300</v>
      </c>
      <c r="BA103" s="57">
        <f t="shared" ca="1" si="8"/>
        <v>300</v>
      </c>
    </row>
    <row r="104" spans="2:53" x14ac:dyDescent="0.45">
      <c r="B104" s="25" t="s">
        <v>190</v>
      </c>
      <c r="C104" s="26" t="s">
        <v>111</v>
      </c>
      <c r="D104" s="28"/>
      <c r="E104" s="28"/>
      <c r="F104" s="43">
        <f t="shared" ref="F104:BA104" ca="1" si="9">IF(AND(E103&lt;Target,F103&gt;=Target),F$6-1+(Target-E103)/F102,0)</f>
        <v>0</v>
      </c>
      <c r="G104" s="43">
        <f t="shared" ca="1" si="9"/>
        <v>0</v>
      </c>
      <c r="H104" s="43">
        <f t="shared" ca="1" si="9"/>
        <v>0</v>
      </c>
      <c r="I104" s="43">
        <f t="shared" ca="1" si="9"/>
        <v>0</v>
      </c>
      <c r="J104" s="43">
        <f t="shared" ca="1" si="9"/>
        <v>0</v>
      </c>
      <c r="K104" s="43">
        <f t="shared" ca="1" si="9"/>
        <v>0</v>
      </c>
      <c r="L104" s="43">
        <f t="shared" ca="1" si="9"/>
        <v>0</v>
      </c>
      <c r="M104" s="43">
        <f t="shared" ca="1" si="9"/>
        <v>0</v>
      </c>
      <c r="N104" s="43">
        <f t="shared" ca="1" si="9"/>
        <v>0</v>
      </c>
      <c r="O104" s="43">
        <f t="shared" ca="1" si="9"/>
        <v>0</v>
      </c>
      <c r="P104" s="43">
        <f t="shared" ca="1" si="9"/>
        <v>0</v>
      </c>
      <c r="Q104" s="43">
        <f t="shared" ca="1" si="9"/>
        <v>0</v>
      </c>
      <c r="R104" s="43">
        <f t="shared" ca="1" si="9"/>
        <v>0</v>
      </c>
      <c r="S104" s="43">
        <f t="shared" ca="1" si="9"/>
        <v>0</v>
      </c>
      <c r="T104" s="43">
        <f t="shared" ca="1" si="9"/>
        <v>0</v>
      </c>
      <c r="U104" s="43">
        <f t="shared" ca="1" si="9"/>
        <v>0</v>
      </c>
      <c r="V104" s="43">
        <f t="shared" ca="1" si="9"/>
        <v>0</v>
      </c>
      <c r="W104" s="43">
        <f t="shared" ca="1" si="9"/>
        <v>0</v>
      </c>
      <c r="X104" s="43">
        <f t="shared" ca="1" si="9"/>
        <v>0</v>
      </c>
      <c r="Y104" s="43">
        <f t="shared" ca="1" si="9"/>
        <v>0</v>
      </c>
      <c r="Z104" s="43">
        <f t="shared" ca="1" si="9"/>
        <v>0</v>
      </c>
      <c r="AA104" s="43">
        <f t="shared" ca="1" si="9"/>
        <v>21.703703703703702</v>
      </c>
      <c r="AB104" s="43">
        <f t="shared" ca="1" si="9"/>
        <v>0</v>
      </c>
      <c r="AC104" s="43">
        <f t="shared" ca="1" si="9"/>
        <v>0</v>
      </c>
      <c r="AD104" s="43">
        <f t="shared" ca="1" si="9"/>
        <v>0</v>
      </c>
      <c r="AE104" s="43">
        <f t="shared" ca="1" si="9"/>
        <v>0</v>
      </c>
      <c r="AF104" s="43">
        <f t="shared" ca="1" si="9"/>
        <v>0</v>
      </c>
      <c r="AG104" s="43">
        <f t="shared" ca="1" si="9"/>
        <v>0</v>
      </c>
      <c r="AH104" s="43">
        <f t="shared" ca="1" si="9"/>
        <v>0</v>
      </c>
      <c r="AI104" s="43">
        <f t="shared" ca="1" si="9"/>
        <v>0</v>
      </c>
      <c r="AJ104" s="43">
        <f t="shared" ca="1" si="9"/>
        <v>0</v>
      </c>
      <c r="AK104" s="43">
        <f t="shared" ca="1" si="9"/>
        <v>0</v>
      </c>
      <c r="AL104" s="43">
        <f t="shared" ca="1" si="9"/>
        <v>0</v>
      </c>
      <c r="AM104" s="43">
        <f t="shared" ca="1" si="9"/>
        <v>0</v>
      </c>
      <c r="AN104" s="43">
        <f t="shared" ca="1" si="9"/>
        <v>0</v>
      </c>
      <c r="AO104" s="43">
        <f t="shared" ca="1" si="9"/>
        <v>0</v>
      </c>
      <c r="AP104" s="43">
        <f t="shared" ca="1" si="9"/>
        <v>0</v>
      </c>
      <c r="AQ104" s="43">
        <f t="shared" ca="1" si="9"/>
        <v>0</v>
      </c>
      <c r="AR104" s="43">
        <f t="shared" ca="1" si="9"/>
        <v>0</v>
      </c>
      <c r="AS104" s="43">
        <f t="shared" ca="1" si="9"/>
        <v>0</v>
      </c>
      <c r="AT104" s="43">
        <f t="shared" ca="1" si="9"/>
        <v>0</v>
      </c>
      <c r="AU104" s="43">
        <f t="shared" ca="1" si="9"/>
        <v>0</v>
      </c>
      <c r="AV104" s="43">
        <f t="shared" ca="1" si="9"/>
        <v>0</v>
      </c>
      <c r="AW104" s="43">
        <f t="shared" ca="1" si="9"/>
        <v>0</v>
      </c>
      <c r="AX104" s="43">
        <f t="shared" ca="1" si="9"/>
        <v>0</v>
      </c>
      <c r="AY104" s="43">
        <f t="shared" ca="1" si="9"/>
        <v>0</v>
      </c>
      <c r="AZ104" s="43">
        <f t="shared" ca="1" si="9"/>
        <v>0</v>
      </c>
      <c r="BA104" s="43">
        <f t="shared" ca="1" si="9"/>
        <v>0</v>
      </c>
    </row>
    <row r="105" spans="2:53" ht="8" customHeight="1" x14ac:dyDescent="0.45"/>
    <row r="106" spans="2:53" ht="22.05" customHeight="1" x14ac:dyDescent="0.5">
      <c r="B106" s="7" t="s">
        <v>194</v>
      </c>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row>
    <row r="107" spans="2:53" ht="18" customHeight="1" x14ac:dyDescent="0.45">
      <c r="B107" s="13" t="s">
        <v>195</v>
      </c>
    </row>
    <row r="108" spans="2:53" ht="18" customHeight="1" x14ac:dyDescent="0.45">
      <c r="B108" s="36" t="s">
        <v>196</v>
      </c>
      <c r="C108" s="36" t="s">
        <v>102</v>
      </c>
      <c r="D108" s="37" t="s">
        <v>147</v>
      </c>
      <c r="E108" s="5"/>
      <c r="F108" s="36" t="s">
        <v>197</v>
      </c>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row>
    <row r="109" spans="2:53" x14ac:dyDescent="0.45">
      <c r="B109" s="25" t="s">
        <v>198</v>
      </c>
      <c r="C109" s="26" t="s">
        <v>111</v>
      </c>
      <c r="D109" s="59" cm="1">
        <f t="array" aca="1" ref="D109" ca="1">_xll.VoseOutput("Last patient in plan","month")+IF(MAX(F88:BA88)=0,LastMonth+1,MAX(F88:BA88))</f>
        <v>28.166666666666668</v>
      </c>
      <c r="E109" s="28"/>
      <c r="F109" s="26" t="s">
        <v>199</v>
      </c>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row>
    <row r="110" spans="2:53" x14ac:dyDescent="0.45">
      <c r="B110" s="25" t="s">
        <v>200</v>
      </c>
      <c r="C110" s="26" t="s">
        <v>111</v>
      </c>
      <c r="D110" s="59" cm="1">
        <f t="array" aca="1" ref="D110" ca="1">_xll.VoseOutput("Last patient in more sites","month")+IF(MAX(F97:BA97)=0,LastMonth+1,MAX(F97:BA97))</f>
        <v>23.785714285714285</v>
      </c>
      <c r="E110" s="28"/>
      <c r="F110" s="26"/>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row>
    <row r="111" spans="2:53" x14ac:dyDescent="0.45">
      <c r="B111" s="25" t="s">
        <v>201</v>
      </c>
      <c r="C111" s="26" t="s">
        <v>111</v>
      </c>
      <c r="D111" s="59" cm="1">
        <f t="array" aca="1" ref="D111" ca="1">_xll.VoseOutput("Last patient in most sites","month")+IF(MAX(F104:BA104)=0,LastMonth+1,MAX(F104:BA104))</f>
        <v>21.703703703703702</v>
      </c>
      <c r="E111" s="28"/>
      <c r="F111" s="26"/>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row>
    <row r="112" spans="2:53" x14ac:dyDescent="0.45">
      <c r="B112" s="25" t="s">
        <v>202</v>
      </c>
      <c r="C112" s="26" t="s">
        <v>107</v>
      </c>
      <c r="D112" s="58" cm="1">
        <f t="array" aca="1" ref="D112" ca="1">_xll.VoseOutput("Enrolled by the deadline plan","patients")+INDEX(F87:BA87,Deadline)</f>
        <v>164</v>
      </c>
      <c r="E112" s="28"/>
      <c r="F112" s="26"/>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row>
    <row r="113" spans="2:53" x14ac:dyDescent="0.45">
      <c r="B113" s="25" t="s">
        <v>203</v>
      </c>
      <c r="C113" s="26" t="s">
        <v>107</v>
      </c>
      <c r="D113" s="58" cm="1">
        <f t="array" aca="1" ref="D113" ca="1">_xll.VoseOutput("Enrolled by the deadline more sites","patients")+INDEX(F96:BA96,Deadline)</f>
        <v>205</v>
      </c>
      <c r="E113" s="28"/>
      <c r="F113" s="26"/>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row>
    <row r="114" spans="2:53" x14ac:dyDescent="0.45">
      <c r="B114" s="25" t="s">
        <v>204</v>
      </c>
      <c r="C114" s="26" t="s">
        <v>107</v>
      </c>
      <c r="D114" s="58" cm="1">
        <f t="array" aca="1" ref="D114" ca="1">_xll.VoseOutput("Enrolled by the deadline most sites","patients")+INDEX(F103:BA103,Deadline)</f>
        <v>233</v>
      </c>
      <c r="E114" s="28"/>
      <c r="F114" s="26"/>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row>
    <row r="115" spans="2:53" x14ac:dyDescent="0.45">
      <c r="B115" s="25" t="s">
        <v>205</v>
      </c>
      <c r="C115" s="26" t="s">
        <v>164</v>
      </c>
      <c r="D115" s="60" cm="1">
        <f t="array" aca="1" ref="D115" ca="1">_xll.VoseOutput("Deadline met plan","1 = yes")+IF(Months_1&lt;=Deadline,1,0)</f>
        <v>0</v>
      </c>
      <c r="E115" s="28"/>
      <c r="F115" s="26"/>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row>
    <row r="116" spans="2:53" x14ac:dyDescent="0.45">
      <c r="B116" s="25" t="s">
        <v>206</v>
      </c>
      <c r="C116" s="26" t="s">
        <v>164</v>
      </c>
      <c r="D116" s="60" cm="1">
        <f t="array" aca="1" ref="D116" ca="1">_xll.VoseOutput("Deadline met more sites","1 = yes")+IF(Months_2&lt;=Deadline,1,0)</f>
        <v>0</v>
      </c>
      <c r="E116" s="28"/>
      <c r="F116" s="26"/>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row>
    <row r="117" spans="2:53" x14ac:dyDescent="0.45">
      <c r="B117" s="25" t="s">
        <v>207</v>
      </c>
      <c r="C117" s="26" t="s">
        <v>164</v>
      </c>
      <c r="D117" s="60" cm="1">
        <f t="array" aca="1" ref="D117" ca="1">_xll.VoseOutput("Deadline met most sites","1 = yes")+IF(Months_3&lt;=Deadline,1,0)</f>
        <v>0</v>
      </c>
      <c r="E117" s="28"/>
      <c r="F117" s="26"/>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row>
    <row r="118" spans="2:53" x14ac:dyDescent="0.45">
      <c r="B118" s="25" t="s">
        <v>208</v>
      </c>
      <c r="C118" s="26" t="s">
        <v>107</v>
      </c>
      <c r="D118" s="59" cm="1">
        <f t="array" aca="1" ref="D118" ca="1">_xll.VoseOutput("Full-speed rate plan","patients / month")+FullRate_1</f>
        <v>12.853780398278785</v>
      </c>
      <c r="E118" s="28"/>
      <c r="F118" s="26" t="s">
        <v>209</v>
      </c>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row>
    <row r="119" spans="2:53" ht="8" customHeight="1" x14ac:dyDescent="0.45"/>
    <row r="120" spans="2:53" ht="22.05" customHeight="1" x14ac:dyDescent="0.5">
      <c r="B120" s="7" t="s">
        <v>210</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row>
    <row r="121" spans="2:53" ht="18" customHeight="1" x14ac:dyDescent="0.45">
      <c r="B121" s="13" t="s">
        <v>211</v>
      </c>
    </row>
    <row r="122" spans="2:53" x14ac:dyDescent="0.45">
      <c r="B122" s="25" t="s">
        <v>212</v>
      </c>
      <c r="C122" s="28"/>
      <c r="D122" s="61" t="str">
        <f>IF(COUNTIF(InputMeans,"✗*")=0,"OK","CHECK")</f>
        <v>OK</v>
      </c>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row>
    <row r="123" spans="2:53" x14ac:dyDescent="0.45">
      <c r="B123" s="25" t="s">
        <v>213</v>
      </c>
      <c r="C123" s="28"/>
      <c r="D123" s="61" t="str">
        <f>IF(MAX(Sites_1,Sites_2,Sites_3)&lt;=MAX(SiteNo),"OK","CHECK")</f>
        <v>OK</v>
      </c>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row>
    <row r="124" spans="2:53" x14ac:dyDescent="0.45">
      <c r="B124" s="25" t="s">
        <v>214</v>
      </c>
      <c r="C124" s="28"/>
      <c r="D124" s="61" t="str">
        <f>IF(AND(Sites_1&lt;=Sites_2,Sites_2&lt;=Sites_3),"OK","CHECK")</f>
        <v>OK</v>
      </c>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row>
    <row r="125" spans="2:53" x14ac:dyDescent="0.45">
      <c r="B125" s="25" t="s">
        <v>215</v>
      </c>
      <c r="C125" s="28"/>
      <c r="D125" s="61" t="str">
        <f>IF(AND(Open_Lo&lt;=Open_ML,Open_ML&lt;=Open_Hi,Open_Lo&lt;Open_Hi),"OK","CHECK")</f>
        <v>OK</v>
      </c>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row>
    <row r="126" spans="2:53" x14ac:dyDescent="0.45">
      <c r="B126" s="25" t="s">
        <v>216</v>
      </c>
      <c r="C126" s="28"/>
      <c r="D126" s="61" t="str">
        <f>IF(AND(Deadline&gt;=1,Deadline&lt;=LastMonth),"OK","CHECK")</f>
        <v>OK</v>
      </c>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row>
    <row r="127" spans="2:53" ht="14" customHeight="1" x14ac:dyDescent="0.45"/>
  </sheetData>
  <conditionalFormatting sqref="D122:D126">
    <cfRule type="expression" dxfId="5" priority="1">
      <formula>D122="CHECK"</formula>
    </cfRule>
  </conditionalFormatting>
  <hyperlinks>
    <hyperlink ref="B4" location="'Sites'!A1" display="◂  Sites" xr:uid="{00000000-0004-0000-0300-000000000000}"/>
    <hyperlink ref="BA4" location="'Results'!A1" display="Next:  Results  ▸" xr:uid="{00000000-0004-0000-0300-000001000000}"/>
  </hyperlinks>
  <printOptions horizontalCentered="1"/>
  <pageMargins left="0.4" right="0.4" top="0.5" bottom="0.6" header="0.25" footer="0.25"/>
  <pageSetup paperSize="8" scale="80" fitToHeight="0" orientation="landscape" r:id="rId1"/>
  <headerFooter>
    <oddFooter>&amp;L&amp;K3F5876&amp;8&amp;F · &amp;A&amp;R&amp;K3F5876&amp;8Page &amp;P of &amp;N</oddFooter>
  </headerFooter>
  <rowBreaks count="2" manualBreakCount="2">
    <brk id="91" max="16383" man="1"/>
    <brk id="105" max="16383" man="1"/>
  </rowBreaks>
  <colBreaks count="1" manualBreakCount="1">
    <brk id="2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151"/>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217</v>
      </c>
      <c r="C3" s="1"/>
      <c r="D3" s="1"/>
      <c r="E3" s="1"/>
      <c r="F3" s="1"/>
      <c r="G3" s="1"/>
      <c r="H3" s="1"/>
      <c r="I3" s="1"/>
      <c r="J3" s="1"/>
      <c r="K3" s="1"/>
      <c r="L3" s="1"/>
      <c r="M3" s="1"/>
      <c r="N3" s="1"/>
      <c r="O3" s="1"/>
      <c r="P3" s="1"/>
      <c r="Q3" s="1"/>
      <c r="R3" s="1"/>
    </row>
    <row r="4" spans="1:18" ht="20" customHeight="1" x14ac:dyDescent="0.45">
      <c r="A4" s="5"/>
      <c r="B4" s="22" t="s">
        <v>218</v>
      </c>
      <c r="C4" s="5"/>
      <c r="D4" s="5"/>
      <c r="E4" s="5"/>
      <c r="F4" s="5"/>
      <c r="G4" s="5"/>
      <c r="H4" s="5"/>
      <c r="I4" s="5"/>
      <c r="J4" s="5"/>
      <c r="K4" s="5"/>
      <c r="L4" s="5"/>
      <c r="M4" s="5"/>
      <c r="N4" s="5"/>
      <c r="O4" s="5"/>
      <c r="P4" s="5"/>
      <c r="Q4" s="5"/>
      <c r="R4" s="5"/>
    </row>
    <row r="5" spans="1:18" ht="8" customHeight="1" x14ac:dyDescent="0.45"/>
    <row r="6" spans="1:18" ht="26" customHeight="1" x14ac:dyDescent="0.45">
      <c r="B6" s="62" t="str" cm="1">
        <f t="array" aca="1" ref="B6" ca="1">IF(ISNUMBER(_xll.VoseSimMean(Months_1)),"✔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3"/>
      <c r="D6" s="63"/>
      <c r="E6" s="63"/>
      <c r="F6" s="63"/>
      <c r="G6" s="63"/>
    </row>
    <row r="7" spans="1:18" x14ac:dyDescent="0.45">
      <c r="B7" s="64"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219</v>
      </c>
      <c r="C9" s="8"/>
      <c r="D9" s="8"/>
      <c r="E9" s="8"/>
      <c r="F9" s="8"/>
      <c r="G9" s="8"/>
      <c r="I9" s="65" t="s">
        <v>220</v>
      </c>
      <c r="J9" s="8"/>
      <c r="K9" s="8"/>
      <c r="L9" s="8"/>
      <c r="M9" s="8"/>
      <c r="N9" s="8"/>
      <c r="O9" s="8"/>
      <c r="P9" s="8"/>
      <c r="Q9" s="8"/>
      <c r="R9" s="8"/>
    </row>
    <row r="10" spans="1:18" ht="18" customHeight="1" x14ac:dyDescent="0.45">
      <c r="B10" s="13" t="s">
        <v>221</v>
      </c>
    </row>
    <row r="11" spans="1:18" ht="18" customHeight="1" x14ac:dyDescent="0.45">
      <c r="B11" s="66" t="s">
        <v>153</v>
      </c>
      <c r="C11" s="67" t="s">
        <v>67</v>
      </c>
      <c r="D11" s="67" t="s">
        <v>222</v>
      </c>
      <c r="E11" s="67" t="str">
        <f>"P"&amp;ROUND(Confidence*100,0)</f>
        <v>P80</v>
      </c>
      <c r="F11" s="67" t="s">
        <v>223</v>
      </c>
      <c r="G11" s="67" t="s">
        <v>224</v>
      </c>
    </row>
    <row r="12" spans="1:18" x14ac:dyDescent="0.45">
      <c r="B12" s="40"/>
      <c r="C12" s="40" t="s">
        <v>111</v>
      </c>
      <c r="D12" s="40" t="s">
        <v>111</v>
      </c>
      <c r="E12" s="40" t="s">
        <v>111</v>
      </c>
      <c r="F12" s="40" t="s">
        <v>225</v>
      </c>
      <c r="G12" s="40" t="s">
        <v>226</v>
      </c>
    </row>
    <row r="13" spans="1:18" x14ac:dyDescent="0.45">
      <c r="B13" s="55" t="str">
        <f>"Plan: "&amp;Sites_1&amp;" sites"</f>
        <v>Plan: 40 sites</v>
      </c>
      <c r="C13" s="43">
        <f>PlanMonths_1</f>
        <v>18</v>
      </c>
      <c r="D13" s="68" cm="1">
        <f t="array" aca="1" ref="D13" ca="1">_xll.VoseSimPercentile(Months_1,0.5)</f>
        <v>21.368421052631579</v>
      </c>
      <c r="E13" s="68" cm="1">
        <f t="array" aca="1" ref="E13" ca="1">_xll.VoseSimPercentile(Months_1,Confidence)</f>
        <v>25</v>
      </c>
      <c r="F13" s="69" cm="1">
        <f t="array" aca="1" ref="F13" ca="1">_xll.VoseSimMean(OnTime_1)</f>
        <v>0.154</v>
      </c>
      <c r="G13" s="70" cm="1">
        <f t="array" aca="1" ref="G13" ca="1">_xll.VoseSimMean(ByDeadline_1)</f>
        <v>241.85210000000001</v>
      </c>
    </row>
    <row r="14" spans="1:18" x14ac:dyDescent="0.45">
      <c r="B14" s="25" t="str">
        <f>"More sites: "&amp;Sites_2&amp;" sites"</f>
        <v>More sites: 50 sites</v>
      </c>
      <c r="C14" s="43">
        <f>PlanMonths_2</f>
        <v>15</v>
      </c>
      <c r="D14" s="68" cm="1">
        <f t="array" aca="1" ref="D14" ca="1">_xll.VoseSimPercentile(Months_2,0.5)</f>
        <v>17.75</v>
      </c>
      <c r="E14" s="68" cm="1">
        <f t="array" aca="1" ref="E14" ca="1">_xll.VoseSimPercentile(Months_2,Confidence)</f>
        <v>20.555555555555557</v>
      </c>
      <c r="F14" s="69" cm="1">
        <f t="array" aca="1" ref="F14" ca="1">_xll.VoseSimMean(OnTime_2)</f>
        <v>0.53690000000000004</v>
      </c>
      <c r="G14" s="70" cm="1">
        <f t="array" aca="1" ref="G14" ca="1">_xll.VoseSimMean(ByDeadline_2)</f>
        <v>279.40640000000002</v>
      </c>
    </row>
    <row r="15" spans="1:18" x14ac:dyDescent="0.45">
      <c r="B15" s="25" t="str">
        <f>"Most sites: "&amp;Sites_3&amp;" sites"</f>
        <v>Most sites: 60 sites</v>
      </c>
      <c r="C15" s="43">
        <f>PlanMonths_3</f>
        <v>13</v>
      </c>
      <c r="D15" s="68" cm="1">
        <f t="array" aca="1" ref="D15" ca="1">_xll.VoseSimPercentile(Months_3,0.5)</f>
        <v>15.346153846153847</v>
      </c>
      <c r="E15" s="68" cm="1">
        <f t="array" aca="1" ref="E15" ca="1">_xll.VoseSimPercentile(Months_3,Confidence)</f>
        <v>17.625</v>
      </c>
      <c r="F15" s="69" cm="1">
        <f t="array" aca="1" ref="F15" ca="1">_xll.VoseSimMean(OnTime_3)</f>
        <v>0.8327</v>
      </c>
      <c r="G15" s="70" cm="1">
        <f t="array" aca="1" ref="G15" ca="1">_xll.VoseSimMean(ByDeadline_3)</f>
        <v>294.69110000000001</v>
      </c>
    </row>
    <row r="16" spans="1:18" ht="22.05" customHeight="1" x14ac:dyDescent="0.45">
      <c r="B16" s="71" t="str">
        <f>"Fewest sites that meet the deadline "&amp;TEXT(Confidence,"0%")&amp;" of the time"</f>
        <v>Fewest sites that meet the deadline 80% of the time</v>
      </c>
      <c r="C16" s="72"/>
      <c r="D16" s="73" t="str" cm="1">
        <f t="array" aca="1" ref="D16" ca="1">IF(ISNUMBER(F13),IF(COUNTIF(F13:F15,"&gt;="&amp;Confidence)=0,"None of the three",INDEX(B13:B15,COUNTIF(F13:F15,"&lt;"&amp;Confidence)+1)),"–")</f>
        <v>Most sites: 60 sites</v>
      </c>
      <c r="E16" s="72"/>
      <c r="F16" s="72"/>
      <c r="G16" s="72"/>
    </row>
    <row r="17" spans="2:18" x14ac:dyDescent="0.45">
      <c r="B17" s="74" t="str">
        <f>"Deadline: the end of month "&amp;Deadline&amp;". Plan: every site open at the most likely month, recruiting at the most likely rate."</f>
        <v>Deadline: the end of month 18. Plan: every site open at the most likely month, recruiting at the most likely rate.</v>
      </c>
    </row>
    <row r="18" spans="2:18" ht="8" customHeight="1" x14ac:dyDescent="0.45"/>
    <row r="25" spans="2:18" ht="22.05" customHeight="1" x14ac:dyDescent="0.5">
      <c r="B25" s="7" t="s">
        <v>227</v>
      </c>
      <c r="C25" s="8"/>
      <c r="D25" s="8"/>
      <c r="E25" s="8"/>
      <c r="F25" s="8"/>
      <c r="G25" s="8"/>
      <c r="I25" s="65" t="s">
        <v>228</v>
      </c>
      <c r="J25" s="8"/>
      <c r="K25" s="8"/>
      <c r="L25" s="8"/>
      <c r="M25" s="8"/>
      <c r="N25" s="8"/>
      <c r="O25" s="8"/>
      <c r="P25" s="8"/>
      <c r="Q25" s="8"/>
      <c r="R25" s="8"/>
    </row>
    <row r="26" spans="2:18" ht="18" customHeight="1" x14ac:dyDescent="0.45">
      <c r="B26" s="13" t="s">
        <v>229</v>
      </c>
    </row>
    <row r="27" spans="2:18" ht="18" customHeight="1" x14ac:dyDescent="0.45">
      <c r="B27" s="23" t="s">
        <v>230</v>
      </c>
      <c r="C27" s="23" t="s">
        <v>102</v>
      </c>
      <c r="D27" s="24" t="s">
        <v>147</v>
      </c>
      <c r="E27" s="5"/>
      <c r="F27" s="5"/>
      <c r="G27" s="5"/>
    </row>
    <row r="28" spans="2:18" x14ac:dyDescent="0.45">
      <c r="B28" s="75" t="s">
        <v>231</v>
      </c>
      <c r="C28" s="26" t="s">
        <v>107</v>
      </c>
      <c r="D28" s="43">
        <f>Sites_1*RateMean_ML</f>
        <v>20</v>
      </c>
      <c r="E28" s="28"/>
      <c r="F28" s="28"/>
      <c r="G28" s="28"/>
    </row>
    <row r="29" spans="2:18" x14ac:dyDescent="0.45">
      <c r="B29" s="55" t="s">
        <v>232</v>
      </c>
      <c r="C29" s="26" t="s">
        <v>107</v>
      </c>
      <c r="D29" s="68" cm="1">
        <f t="array" aca="1" ref="D29" ca="1">_xll.VoseSimMean(FullRate_out)</f>
        <v>16.987844368474683</v>
      </c>
      <c r="E29" s="28"/>
      <c r="F29" s="28"/>
      <c r="G29" s="28"/>
    </row>
    <row r="30" spans="2:18" x14ac:dyDescent="0.45">
      <c r="B30" s="25" t="s">
        <v>233</v>
      </c>
      <c r="C30" s="26" t="s">
        <v>114</v>
      </c>
      <c r="D30" s="69" cm="1">
        <f t="array" aca="1" ref="D30" ca="1">_xll.VoseSimProbability(FullRate_out,Sites_1*RateMean_ML)</f>
        <v>0.81311868813118693</v>
      </c>
      <c r="E30" s="28"/>
      <c r="F30" s="28"/>
      <c r="G30" s="28"/>
    </row>
    <row r="31" spans="2:18" x14ac:dyDescent="0.45">
      <c r="B31" s="75" t="s">
        <v>234</v>
      </c>
      <c r="C31" s="26" t="s">
        <v>118</v>
      </c>
      <c r="D31" s="43">
        <f>Sites_1*(1-PerfProb)</f>
        <v>6.0000000000000009</v>
      </c>
      <c r="E31" s="28"/>
      <c r="F31" s="28"/>
      <c r="G31" s="28"/>
    </row>
    <row r="32" spans="2:18" x14ac:dyDescent="0.45">
      <c r="B32" s="25" t="s">
        <v>235</v>
      </c>
      <c r="C32" s="26" t="s">
        <v>107</v>
      </c>
      <c r="D32" s="70" cm="1">
        <f t="array" aca="1" ref="D32" ca="1">_xll.VoseSimMean(ByDeadline_1)</f>
        <v>241.85210000000001</v>
      </c>
      <c r="E32" s="28"/>
      <c r="F32" s="28"/>
      <c r="G32" s="28"/>
    </row>
    <row r="33" spans="2:7" x14ac:dyDescent="0.45">
      <c r="B33" s="25" t="s">
        <v>236</v>
      </c>
      <c r="C33" s="26" t="s">
        <v>107</v>
      </c>
      <c r="D33" s="70" cm="1">
        <f t="array" aca="1" ref="D33" ca="1">_xll.VoseSimPercentile(ByDeadline_1,0.1)</f>
        <v>183</v>
      </c>
      <c r="E33" s="28"/>
      <c r="F33" s="28"/>
      <c r="G33" s="28"/>
    </row>
    <row r="34" spans="2:7" ht="8" customHeight="1" x14ac:dyDescent="0.45"/>
    <row r="41" spans="2:7" ht="22.05" customHeight="1" x14ac:dyDescent="0.5">
      <c r="B41" s="7" t="s">
        <v>237</v>
      </c>
      <c r="C41" s="8"/>
      <c r="D41" s="8"/>
      <c r="E41" s="8"/>
      <c r="F41" s="8"/>
      <c r="G41" s="8"/>
    </row>
    <row r="42" spans="2:7" ht="45" customHeight="1" x14ac:dyDescent="0.45">
      <c r="B42" s="79" t="s">
        <v>238</v>
      </c>
      <c r="C42" s="80"/>
      <c r="D42" s="80"/>
      <c r="E42" s="80"/>
      <c r="F42" s="80"/>
      <c r="G42" s="80"/>
    </row>
    <row r="43" spans="2:7" ht="45" customHeight="1" x14ac:dyDescent="0.45">
      <c r="B43" s="79" t="s">
        <v>239</v>
      </c>
      <c r="C43" s="80"/>
      <c r="D43" s="80"/>
      <c r="E43" s="80"/>
      <c r="F43" s="80"/>
      <c r="G43" s="80"/>
    </row>
    <row r="44" spans="2:7" ht="58.05" customHeight="1" x14ac:dyDescent="0.45">
      <c r="B44" s="79" t="s">
        <v>240</v>
      </c>
      <c r="C44" s="80"/>
      <c r="D44" s="80"/>
      <c r="E44" s="80"/>
      <c r="F44" s="80"/>
      <c r="G44" s="80"/>
    </row>
    <row r="45" spans="2:7" ht="32" customHeight="1" x14ac:dyDescent="0.45">
      <c r="B45" s="79" t="s">
        <v>241</v>
      </c>
      <c r="C45" s="80"/>
      <c r="D45" s="80"/>
      <c r="E45" s="80"/>
      <c r="F45" s="80"/>
      <c r="G45" s="80"/>
    </row>
    <row r="46" spans="2:7" ht="32" customHeight="1" x14ac:dyDescent="0.45">
      <c r="B46" s="79" t="s">
        <v>242</v>
      </c>
      <c r="C46" s="80"/>
      <c r="D46" s="80"/>
      <c r="E46" s="80"/>
      <c r="F46" s="80"/>
      <c r="G46" s="80"/>
    </row>
    <row r="47" spans="2:7" ht="14" customHeight="1" x14ac:dyDescent="0.45"/>
    <row r="48" spans="2:7" ht="14" customHeight="1" x14ac:dyDescent="0.45"/>
    <row r="49" spans="2:7" ht="22.05" customHeight="1" x14ac:dyDescent="0.5">
      <c r="B49" s="7" t="s">
        <v>243</v>
      </c>
      <c r="C49" s="8"/>
      <c r="D49" s="8"/>
      <c r="E49" s="8"/>
      <c r="F49" s="8"/>
      <c r="G49" s="8"/>
    </row>
    <row r="50" spans="2:7" ht="18" customHeight="1" x14ac:dyDescent="0.45">
      <c r="B50" s="13" t="s">
        <v>244</v>
      </c>
    </row>
    <row r="51" spans="2:7" ht="28.05" hidden="1" customHeight="1" outlineLevel="1" x14ac:dyDescent="0.45">
      <c r="B51" s="24" t="s">
        <v>245</v>
      </c>
      <c r="C51" s="24" t="s">
        <v>246</v>
      </c>
      <c r="D51" s="24" t="s">
        <v>247</v>
      </c>
      <c r="E51" s="24" t="s">
        <v>248</v>
      </c>
      <c r="F51" s="24" t="s">
        <v>249</v>
      </c>
      <c r="G51" s="5"/>
    </row>
    <row r="52" spans="2:7" hidden="1" outlineLevel="1" x14ac:dyDescent="0.45">
      <c r="B52" s="76">
        <v>0.01</v>
      </c>
      <c r="C52" s="76">
        <f t="shared" ref="C52:C83" si="0">1-B52</f>
        <v>0.99</v>
      </c>
      <c r="D52" s="77" cm="1">
        <f t="array" aca="1" ref="D52" ca="1">IF(ISNUMBER(_xll.VoseSimPercentile(Months_1,$B52)),_xll.VoseSimPercentile(Months_1,$B52),NA())</f>
        <v>15.060606060606061</v>
      </c>
      <c r="E52" s="77" cm="1">
        <f t="array" aca="1" ref="E52" ca="1">IF(ISNUMBER(_xll.VoseSimPercentile(Months_2,$B52)),_xll.VoseSimPercentile(Months_2,$B52),NA())</f>
        <v>12.818181818181818</v>
      </c>
      <c r="F52" s="77" cm="1">
        <f t="array" aca="1" ref="F52" ca="1">IF(ISNUMBER(_xll.VoseSimPercentile(Months_3,$B52)),_xll.VoseSimPercentile(Months_3,$B52),NA())</f>
        <v>11.387096774193548</v>
      </c>
    </row>
    <row r="53" spans="2:7" hidden="1" outlineLevel="1" x14ac:dyDescent="0.45">
      <c r="B53" s="76">
        <v>0.03</v>
      </c>
      <c r="C53" s="76">
        <f t="shared" si="0"/>
        <v>0.97</v>
      </c>
      <c r="D53" s="77" cm="1">
        <f t="array" aca="1" ref="D53" ca="1">IF(ISNUMBER(_xll.VoseSimPercentile(Months_1,$B53)),_xll.VoseSimPercentile(Months_1,$B53),NA())</f>
        <v>15.944444444444445</v>
      </c>
      <c r="E53" s="77" cm="1">
        <f t="array" aca="1" ref="E53" ca="1">IF(ISNUMBER(_xll.VoseSimPercentile(Months_2,$B53)),_xll.VoseSimPercentile(Months_2,$B53),NA())</f>
        <v>13.590909090909092</v>
      </c>
      <c r="F53" s="77" cm="1">
        <f t="array" aca="1" ref="F53" ca="1">IF(ISNUMBER(_xll.VoseSimPercentile(Months_3,$B53)),_xll.VoseSimPercentile(Months_3,$B53),NA())</f>
        <v>12</v>
      </c>
    </row>
    <row r="54" spans="2:7" hidden="1" outlineLevel="1" x14ac:dyDescent="0.45">
      <c r="B54" s="76">
        <v>0.05</v>
      </c>
      <c r="C54" s="76">
        <f t="shared" si="0"/>
        <v>0.95</v>
      </c>
      <c r="D54" s="77" cm="1">
        <f t="array" aca="1" ref="D54" ca="1">IF(ISNUMBER(_xll.VoseSimPercentile(Months_1,$B54)),_xll.VoseSimPercentile(Months_1,$B54),NA())</f>
        <v>16.48</v>
      </c>
      <c r="E54" s="77" cm="1">
        <f t="array" aca="1" ref="E54" ca="1">IF(ISNUMBER(_xll.VoseSimPercentile(Months_2,$B54)),_xll.VoseSimPercentile(Months_2,$B54),NA())</f>
        <v>14</v>
      </c>
      <c r="F54" s="77" cm="1">
        <f t="array" aca="1" ref="F54" ca="1">IF(ISNUMBER(_xll.VoseSimPercentile(Months_3,$B54)),_xll.VoseSimPercentile(Months_3,$B54),NA())</f>
        <v>12.3125</v>
      </c>
    </row>
    <row r="55" spans="2:7" hidden="1" outlineLevel="1" x14ac:dyDescent="0.45">
      <c r="B55" s="76">
        <v>7.0000000000000007E-2</v>
      </c>
      <c r="C55" s="76">
        <f t="shared" si="0"/>
        <v>0.92999999999999994</v>
      </c>
      <c r="D55" s="77" cm="1">
        <f t="array" aca="1" ref="D55" ca="1">IF(ISNUMBER(_xll.VoseSimPercentile(Months_1,$B55)),_xll.VoseSimPercentile(Months_1,$B55),NA())</f>
        <v>16.851851851851851</v>
      </c>
      <c r="E55" s="77" cm="1">
        <f t="array" aca="1" ref="E55" ca="1">IF(ISNUMBER(_xll.VoseSimPercentile(Months_2,$B55)),_xll.VoseSimPercentile(Months_2,$B55),NA())</f>
        <v>14.321428571428571</v>
      </c>
      <c r="F55" s="77" cm="1">
        <f t="array" aca="1" ref="F55" ca="1">IF(ISNUMBER(_xll.VoseSimPercentile(Months_3,$B55)),_xll.VoseSimPercentile(Months_3,$B55),NA())</f>
        <v>12.571428571428571</v>
      </c>
    </row>
    <row r="56" spans="2:7" hidden="1" outlineLevel="1" x14ac:dyDescent="0.45">
      <c r="B56" s="76">
        <v>0.09</v>
      </c>
      <c r="C56" s="76">
        <f t="shared" si="0"/>
        <v>0.91</v>
      </c>
      <c r="D56" s="77" cm="1">
        <f t="array" aca="1" ref="D56" ca="1">IF(ISNUMBER(_xll.VoseSimPercentile(Months_1,$B56)),_xll.VoseSimPercentile(Months_1,$B56),NA())</f>
        <v>17.166666666666668</v>
      </c>
      <c r="E56" s="77" cm="1">
        <f t="array" aca="1" ref="E56" ca="1">IF(ISNUMBER(_xll.VoseSimPercentile(Months_2,$B56)),_xll.VoseSimPercentile(Months_2,$B56),NA())</f>
        <v>14.555555555555555</v>
      </c>
      <c r="F56" s="77" cm="1">
        <f t="array" aca="1" ref="F56" ca="1">IF(ISNUMBER(_xll.VoseSimPercentile(Months_3,$B56)),_xll.VoseSimPercentile(Months_3,$B56),NA())</f>
        <v>12.8</v>
      </c>
    </row>
    <row r="57" spans="2:7" hidden="1" outlineLevel="1" x14ac:dyDescent="0.45">
      <c r="B57" s="76">
        <v>0.11</v>
      </c>
      <c r="C57" s="76">
        <f t="shared" si="0"/>
        <v>0.89</v>
      </c>
      <c r="D57" s="77" cm="1">
        <f t="array" aca="1" ref="D57" ca="1">IF(ISNUMBER(_xll.VoseSimPercentile(Months_1,$B57)),_xll.VoseSimPercentile(Months_1,$B57),NA())</f>
        <v>17.482758620689655</v>
      </c>
      <c r="E57" s="77" cm="1">
        <f t="array" aca="1" ref="E57" ca="1">IF(ISNUMBER(_xll.VoseSimPercentile(Months_2,$B57)),_xll.VoseSimPercentile(Months_2,$B57),NA())</f>
        <v>14.777777777777779</v>
      </c>
      <c r="F57" s="77" cm="1">
        <f t="array" aca="1" ref="F57" ca="1">IF(ISNUMBER(_xll.VoseSimPercentile(Months_3,$B57)),_xll.VoseSimPercentile(Months_3,$B57),NA())</f>
        <v>12.961538461538462</v>
      </c>
    </row>
    <row r="58" spans="2:7" hidden="1" outlineLevel="1" x14ac:dyDescent="0.45">
      <c r="B58" s="76">
        <v>0.13</v>
      </c>
      <c r="C58" s="76">
        <f t="shared" si="0"/>
        <v>0.87</v>
      </c>
      <c r="D58" s="77" cm="1">
        <f t="array" aca="1" ref="D58" ca="1">IF(ISNUMBER(_xll.VoseSimPercentile(Months_1,$B58)),_xll.VoseSimPercentile(Months_1,$B58),NA())</f>
        <v>17.73076923076923</v>
      </c>
      <c r="E58" s="77" cm="1">
        <f t="array" aca="1" ref="E58" ca="1">IF(ISNUMBER(_xll.VoseSimPercentile(Months_2,$B58)),_xll.VoseSimPercentile(Months_2,$B58),NA())</f>
        <v>15</v>
      </c>
      <c r="F58" s="77" cm="1">
        <f t="array" aca="1" ref="F58" ca="1">IF(ISNUMBER(_xll.VoseSimPercentile(Months_3,$B58)),_xll.VoseSimPercentile(Months_3,$B58),NA())</f>
        <v>13.125</v>
      </c>
    </row>
    <row r="59" spans="2:7" hidden="1" outlineLevel="1" x14ac:dyDescent="0.45">
      <c r="B59" s="76">
        <v>0.15</v>
      </c>
      <c r="C59" s="76">
        <f t="shared" si="0"/>
        <v>0.85</v>
      </c>
      <c r="D59" s="77" cm="1">
        <f t="array" aca="1" ref="D59" ca="1">IF(ISNUMBER(_xll.VoseSimPercentile(Months_1,$B59)),_xll.VoseSimPercentile(Months_1,$B59),NA())</f>
        <v>17.964285714285715</v>
      </c>
      <c r="E59" s="77" cm="1">
        <f t="array" aca="1" ref="E59" ca="1">IF(ISNUMBER(_xll.VoseSimPercentile(Months_2,$B59)),_xll.VoseSimPercentile(Months_2,$B59),NA())</f>
        <v>15.1875</v>
      </c>
      <c r="F59" s="77" cm="1">
        <f t="array" aca="1" ref="F59" ca="1">IF(ISNUMBER(_xll.VoseSimPercentile(Months_3,$B59)),_xll.VoseSimPercentile(Months_3,$B59),NA())</f>
        <v>13.275862068965518</v>
      </c>
    </row>
    <row r="60" spans="2:7" hidden="1" outlineLevel="1" x14ac:dyDescent="0.45">
      <c r="B60" s="76">
        <v>0.17</v>
      </c>
      <c r="C60" s="76">
        <f t="shared" si="0"/>
        <v>0.83</v>
      </c>
      <c r="D60" s="77" cm="1">
        <f t="array" aca="1" ref="D60" ca="1">IF(ISNUMBER(_xll.VoseSimPercentile(Months_1,$B60)),_xll.VoseSimPercentile(Months_1,$B60),NA())</f>
        <v>18.2</v>
      </c>
      <c r="E60" s="77" cm="1">
        <f t="array" aca="1" ref="E60" ca="1">IF(ISNUMBER(_xll.VoseSimPercentile(Months_2,$B60)),_xll.VoseSimPercentile(Months_2,$B60),NA())</f>
        <v>15.35</v>
      </c>
      <c r="F60" s="77" cm="1">
        <f t="array" aca="1" ref="F60" ca="1">IF(ISNUMBER(_xll.VoseSimPercentile(Months_3,$B60)),_xll.VoseSimPercentile(Months_3,$B60),NA())</f>
        <v>13.409090909090908</v>
      </c>
    </row>
    <row r="61" spans="2:7" hidden="1" outlineLevel="1" x14ac:dyDescent="0.45">
      <c r="B61" s="76">
        <v>0.19</v>
      </c>
      <c r="C61" s="76">
        <f t="shared" si="0"/>
        <v>0.81</v>
      </c>
      <c r="D61" s="77" cm="1">
        <f t="array" aca="1" ref="D61" ca="1">IF(ISNUMBER(_xll.VoseSimPercentile(Months_1,$B61)),_xll.VoseSimPercentile(Months_1,$B61),NA())</f>
        <v>18.421052631578949</v>
      </c>
      <c r="E61" s="77" cm="1">
        <f t="array" aca="1" ref="E61" ca="1">IF(ISNUMBER(_xll.VoseSimPercentile(Months_2,$B61)),_xll.VoseSimPercentile(Months_2,$B61),NA())</f>
        <v>15.5</v>
      </c>
      <c r="F61" s="77" cm="1">
        <f t="array" aca="1" ref="F61" ca="1">IF(ISNUMBER(_xll.VoseSimPercentile(Months_3,$B61)),_xll.VoseSimPercentile(Months_3,$B61),NA())</f>
        <v>13.541666666666666</v>
      </c>
    </row>
    <row r="62" spans="2:7" hidden="1" outlineLevel="1" x14ac:dyDescent="0.45">
      <c r="B62" s="76">
        <v>0.21</v>
      </c>
      <c r="C62" s="76">
        <f t="shared" si="0"/>
        <v>0.79</v>
      </c>
      <c r="D62" s="77" cm="1">
        <f t="array" aca="1" ref="D62" ca="1">IF(ISNUMBER(_xll.VoseSimPercentile(Months_1,$B62)),_xll.VoseSimPercentile(Months_1,$B62),NA())</f>
        <v>18.625</v>
      </c>
      <c r="E62" s="77" cm="1">
        <f t="array" aca="1" ref="E62" ca="1">IF(ISNUMBER(_xll.VoseSimPercentile(Months_2,$B62)),_xll.VoseSimPercentile(Months_2,$B62),NA())</f>
        <v>15.652173913043478</v>
      </c>
      <c r="F62" s="77" cm="1">
        <f t="array" aca="1" ref="F62" ca="1">IF(ISNUMBER(_xll.VoseSimPercentile(Months_3,$B62)),_xll.VoseSimPercentile(Months_3,$B62),NA())</f>
        <v>13.666666666666666</v>
      </c>
    </row>
    <row r="63" spans="2:7" hidden="1" outlineLevel="1" x14ac:dyDescent="0.45">
      <c r="B63" s="76">
        <v>0.23</v>
      </c>
      <c r="C63" s="76">
        <f t="shared" si="0"/>
        <v>0.77</v>
      </c>
      <c r="D63" s="77" cm="1">
        <f t="array" aca="1" ref="D63" ca="1">IF(ISNUMBER(_xll.VoseSimPercentile(Months_1,$B63)),_xll.VoseSimPercentile(Months_1,$B63),NA())</f>
        <v>18.826086956521738</v>
      </c>
      <c r="E63" s="77" cm="1">
        <f t="array" aca="1" ref="E63" ca="1">IF(ISNUMBER(_xll.VoseSimPercentile(Months_2,$B63)),_xll.VoseSimPercentile(Months_2,$B63),NA())</f>
        <v>15.814814814814815</v>
      </c>
      <c r="F63" s="77" cm="1">
        <f t="array" aca="1" ref="F63" ca="1">IF(ISNUMBER(_xll.VoseSimPercentile(Months_3,$B63)),_xll.VoseSimPercentile(Months_3,$B63),NA())</f>
        <v>13.777777777777779</v>
      </c>
    </row>
    <row r="64" spans="2:7" hidden="1" outlineLevel="1" x14ac:dyDescent="0.45">
      <c r="B64" s="76">
        <v>0.25</v>
      </c>
      <c r="C64" s="76">
        <f t="shared" si="0"/>
        <v>0.75</v>
      </c>
      <c r="D64" s="77" cm="1">
        <f t="array" aca="1" ref="D64" ca="1">IF(ISNUMBER(_xll.VoseSimPercentile(Months_1,$B64)),_xll.VoseSimPercentile(Months_1,$B64),NA())</f>
        <v>19</v>
      </c>
      <c r="E64" s="77" cm="1">
        <f t="array" aca="1" ref="E64" ca="1">IF(ISNUMBER(_xll.VoseSimPercentile(Months_2,$B64)),_xll.VoseSimPercentile(Months_2,$B64),NA())</f>
        <v>15.961538461538462</v>
      </c>
      <c r="F64" s="77" cm="1">
        <f t="array" aca="1" ref="F64" ca="1">IF(ISNUMBER(_xll.VoseSimPercentile(Months_3,$B64)),_xll.VoseSimPercentile(Months_3,$B64),NA())</f>
        <v>13.903225806451612</v>
      </c>
    </row>
    <row r="65" spans="2:6" hidden="1" outlineLevel="1" x14ac:dyDescent="0.45">
      <c r="B65" s="76">
        <v>0.27</v>
      </c>
      <c r="C65" s="76">
        <f t="shared" si="0"/>
        <v>0.73</v>
      </c>
      <c r="D65" s="77" cm="1">
        <f t="array" aca="1" ref="D65" ca="1">IF(ISNUMBER(_xll.VoseSimPercentile(Months_1,$B65)),_xll.VoseSimPercentile(Months_1,$B65),NA())</f>
        <v>19.181818181818183</v>
      </c>
      <c r="E65" s="77" cm="1">
        <f t="array" aca="1" ref="E65" ca="1">IF(ISNUMBER(_xll.VoseSimPercentile(Months_2,$B65)),_xll.VoseSimPercentile(Months_2,$B65),NA())</f>
        <v>16.105263157894736</v>
      </c>
      <c r="F65" s="77" cm="1">
        <f t="array" aca="1" ref="F65" ca="1">IF(ISNUMBER(_xll.VoseSimPercentile(Months_3,$B65)),_xll.VoseSimPercentile(Months_3,$B65),NA())</f>
        <v>14.03225806451613</v>
      </c>
    </row>
    <row r="66" spans="2:6" hidden="1" outlineLevel="1" x14ac:dyDescent="0.45">
      <c r="B66" s="76">
        <v>0.28999999999999998</v>
      </c>
      <c r="C66" s="76">
        <f t="shared" si="0"/>
        <v>0.71</v>
      </c>
      <c r="D66" s="77" cm="1">
        <f t="array" aca="1" ref="D66" ca="1">IF(ISNUMBER(_xll.VoseSimPercentile(Months_1,$B66)),_xll.VoseSimPercentile(Months_1,$B66),NA())</f>
        <v>19.375</v>
      </c>
      <c r="E66" s="77" cm="1">
        <f t="array" aca="1" ref="E66" ca="1">IF(ISNUMBER(_xll.VoseSimPercentile(Months_2,$B66)),_xll.VoseSimPercentile(Months_2,$B66),NA())</f>
        <v>16.25</v>
      </c>
      <c r="F66" s="77" cm="1">
        <f t="array" aca="1" ref="F66" ca="1">IF(ISNUMBER(_xll.VoseSimPercentile(Months_3,$B66)),_xll.VoseSimPercentile(Months_3,$B66),NA())</f>
        <v>14.15625</v>
      </c>
    </row>
    <row r="67" spans="2:6" hidden="1" outlineLevel="1" x14ac:dyDescent="0.45">
      <c r="B67" s="76">
        <v>0.31</v>
      </c>
      <c r="C67" s="76">
        <f t="shared" si="0"/>
        <v>0.69</v>
      </c>
      <c r="D67" s="77" cm="1">
        <f t="array" aca="1" ref="D67" ca="1">IF(ISNUMBER(_xll.VoseSimPercentile(Months_1,$B67)),_xll.VoseSimPercentile(Months_1,$B67),NA())</f>
        <v>19.5625</v>
      </c>
      <c r="E67" s="77" cm="1">
        <f t="array" aca="1" ref="E67" ca="1">IF(ISNUMBER(_xll.VoseSimPercentile(Months_2,$B67)),_xll.VoseSimPercentile(Months_2,$B67),NA())</f>
        <v>16.391304347826086</v>
      </c>
      <c r="F67" s="77" cm="1">
        <f t="array" aca="1" ref="F67" ca="1">IF(ISNUMBER(_xll.VoseSimPercentile(Months_3,$B67)),_xll.VoseSimPercentile(Months_3,$B67),NA())</f>
        <v>14.264705882352942</v>
      </c>
    </row>
    <row r="68" spans="2:6" hidden="1" outlineLevel="1" x14ac:dyDescent="0.45">
      <c r="B68" s="76">
        <v>0.33</v>
      </c>
      <c r="C68" s="76">
        <f t="shared" si="0"/>
        <v>0.66999999999999993</v>
      </c>
      <c r="D68" s="77" cm="1">
        <f t="array" aca="1" ref="D68" ca="1">IF(ISNUMBER(_xll.VoseSimPercentile(Months_1,$B68)),_xll.VoseSimPercentile(Months_1,$B68),NA())</f>
        <v>19.761904761904763</v>
      </c>
      <c r="E68" s="77" cm="1">
        <f t="array" aca="1" ref="E68" ca="1">IF(ISNUMBER(_xll.VoseSimPercentile(Months_2,$B68)),_xll.VoseSimPercentile(Months_2,$B68),NA())</f>
        <v>16.523809523809526</v>
      </c>
      <c r="F68" s="77" cm="1">
        <f t="array" aca="1" ref="F68" ca="1">IF(ISNUMBER(_xll.VoseSimPercentile(Months_3,$B68)),_xll.VoseSimPercentile(Months_3,$B68),NA())</f>
        <v>14.384615384615385</v>
      </c>
    </row>
    <row r="69" spans="2:6" hidden="1" outlineLevel="1" x14ac:dyDescent="0.45">
      <c r="B69" s="76">
        <v>0.35</v>
      </c>
      <c r="C69" s="76">
        <f t="shared" si="0"/>
        <v>0.65</v>
      </c>
      <c r="D69" s="77" cm="1">
        <f t="array" aca="1" ref="D69" ca="1">IF(ISNUMBER(_xll.VoseSimPercentile(Months_1,$B69)),_xll.VoseSimPercentile(Months_1,$B69),NA())</f>
        <v>19.95</v>
      </c>
      <c r="E69" s="77" cm="1">
        <f t="array" aca="1" ref="E69" ca="1">IF(ISNUMBER(_xll.VoseSimPercentile(Months_2,$B69)),_xll.VoseSimPercentile(Months_2,$B69),NA())</f>
        <v>16.666666666666668</v>
      </c>
      <c r="F69" s="77" cm="1">
        <f t="array" aca="1" ref="F69" ca="1">IF(ISNUMBER(_xll.VoseSimPercentile(Months_3,$B69)),_xll.VoseSimPercentile(Months_3,$B69),NA())</f>
        <v>14.5</v>
      </c>
    </row>
    <row r="70" spans="2:6" hidden="1" outlineLevel="1" x14ac:dyDescent="0.45">
      <c r="B70" s="76">
        <v>0.37</v>
      </c>
      <c r="C70" s="76">
        <f t="shared" si="0"/>
        <v>0.63</v>
      </c>
      <c r="D70" s="77" cm="1">
        <f t="array" aca="1" ref="D70" ca="1">IF(ISNUMBER(_xll.VoseSimPercentile(Months_1,$B70)),_xll.VoseSimPercentile(Months_1,$B70),NA())</f>
        <v>20.136363636363637</v>
      </c>
      <c r="E70" s="77" cm="1">
        <f t="array" aca="1" ref="E70" ca="1">IF(ISNUMBER(_xll.VoseSimPercentile(Months_2,$B70)),_xll.VoseSimPercentile(Months_2,$B70),NA())</f>
        <v>16.8125</v>
      </c>
      <c r="F70" s="77" cm="1">
        <f t="array" aca="1" ref="F70" ca="1">IF(ISNUMBER(_xll.VoseSimPercentile(Months_3,$B70)),_xll.VoseSimPercentile(Months_3,$B70),NA())</f>
        <v>14.607142857142858</v>
      </c>
    </row>
    <row r="71" spans="2:6" hidden="1" outlineLevel="1" x14ac:dyDescent="0.45">
      <c r="B71" s="76">
        <v>0.39</v>
      </c>
      <c r="C71" s="76">
        <f t="shared" si="0"/>
        <v>0.61</v>
      </c>
      <c r="D71" s="77" cm="1">
        <f t="array" aca="1" ref="D71" ca="1">IF(ISNUMBER(_xll.VoseSimPercentile(Months_1,$B71)),_xll.VoseSimPercentile(Months_1,$B71),NA())</f>
        <v>20.315789473684209</v>
      </c>
      <c r="E71" s="77" cm="1">
        <f t="array" aca="1" ref="E71" ca="1">IF(ISNUMBER(_xll.VoseSimPercentile(Months_2,$B71)),_xll.VoseSimPercentile(Months_2,$B71),NA())</f>
        <v>16.952380952380953</v>
      </c>
      <c r="F71" s="77" cm="1">
        <f t="array" aca="1" ref="F71" ca="1">IF(ISNUMBER(_xll.VoseSimPercentile(Months_3,$B71)),_xll.VoseSimPercentile(Months_3,$B71),NA())</f>
        <v>14.709677419354838</v>
      </c>
    </row>
    <row r="72" spans="2:6" hidden="1" outlineLevel="1" x14ac:dyDescent="0.45">
      <c r="B72" s="76">
        <v>0.41</v>
      </c>
      <c r="C72" s="76">
        <f t="shared" si="0"/>
        <v>0.59000000000000008</v>
      </c>
      <c r="D72" s="77" cm="1">
        <f t="array" aca="1" ref="D72" ca="1">IF(ISNUMBER(_xll.VoseSimPercentile(Months_1,$B72)),_xll.VoseSimPercentile(Months_1,$B72),NA())</f>
        <v>20.5</v>
      </c>
      <c r="E72" s="77" cm="1">
        <f t="array" aca="1" ref="E72" ca="1">IF(ISNUMBER(_xll.VoseSimPercentile(Months_2,$B72)),_xll.VoseSimPercentile(Months_2,$B72),NA())</f>
        <v>17.095238095238095</v>
      </c>
      <c r="F72" s="77" cm="1">
        <f t="array" aca="1" ref="F72" ca="1">IF(ISNUMBER(_xll.VoseSimPercentile(Months_3,$B72)),_xll.VoseSimPercentile(Months_3,$B72),NA())</f>
        <v>14.826086956521738</v>
      </c>
    </row>
    <row r="73" spans="2:6" hidden="1" outlineLevel="1" x14ac:dyDescent="0.45">
      <c r="B73" s="76">
        <v>0.43</v>
      </c>
      <c r="C73" s="76">
        <f t="shared" si="0"/>
        <v>0.57000000000000006</v>
      </c>
      <c r="D73" s="77" cm="1">
        <f t="array" aca="1" ref="D73" ca="1">IF(ISNUMBER(_xll.VoseSimPercentile(Months_1,$B73)),_xll.VoseSimPercentile(Months_1,$B73),NA())</f>
        <v>20.705882352941178</v>
      </c>
      <c r="E73" s="77" cm="1">
        <f t="array" aca="1" ref="E73" ca="1">IF(ISNUMBER(_xll.VoseSimPercentile(Months_2,$B73)),_xll.VoseSimPercentile(Months_2,$B73),NA())</f>
        <v>17.217391304347824</v>
      </c>
      <c r="F73" s="77" cm="1">
        <f t="array" aca="1" ref="F73" ca="1">IF(ISNUMBER(_xll.VoseSimPercentile(Months_3,$B73)),_xll.VoseSimPercentile(Months_3,$B73),NA())</f>
        <v>14.9375</v>
      </c>
    </row>
    <row r="74" spans="2:6" hidden="1" outlineLevel="1" x14ac:dyDescent="0.45">
      <c r="B74" s="76">
        <v>0.45</v>
      </c>
      <c r="C74" s="76">
        <f t="shared" si="0"/>
        <v>0.55000000000000004</v>
      </c>
      <c r="D74" s="77" cm="1">
        <f t="array" aca="1" ref="D74" ca="1">IF(ISNUMBER(_xll.VoseSimPercentile(Months_1,$B74)),_xll.VoseSimPercentile(Months_1,$B74),NA())</f>
        <v>20.875</v>
      </c>
      <c r="E74" s="77" cm="1">
        <f t="array" aca="1" ref="E74" ca="1">IF(ISNUMBER(_xll.VoseSimPercentile(Months_2,$B74)),_xll.VoseSimPercentile(Months_2,$B74),NA())</f>
        <v>17.366666666666667</v>
      </c>
      <c r="F74" s="77" cm="1">
        <f t="array" aca="1" ref="F74" ca="1">IF(ISNUMBER(_xll.VoseSimPercentile(Months_3,$B74)),_xll.VoseSimPercentile(Months_3,$B74),NA())</f>
        <v>15.047619047619047</v>
      </c>
    </row>
    <row r="75" spans="2:6" hidden="1" outlineLevel="1" x14ac:dyDescent="0.45">
      <c r="B75" s="76">
        <v>0.47</v>
      </c>
      <c r="C75" s="76">
        <f t="shared" si="0"/>
        <v>0.53</v>
      </c>
      <c r="D75" s="77" cm="1">
        <f t="array" aca="1" ref="D75" ca="1">IF(ISNUMBER(_xll.VoseSimPercentile(Months_1,$B75)),_xll.VoseSimPercentile(Months_1,$B75),NA())</f>
        <v>21.076923076923077</v>
      </c>
      <c r="E75" s="77" cm="1">
        <f t="array" aca="1" ref="E75" ca="1">IF(ISNUMBER(_xll.VoseSimPercentile(Months_2,$B75)),_xll.VoseSimPercentile(Months_2,$B75),NA())</f>
        <v>17.526315789473685</v>
      </c>
      <c r="F75" s="77" cm="1">
        <f t="array" aca="1" ref="F75" ca="1">IF(ISNUMBER(_xll.VoseSimPercentile(Months_3,$B75)),_xll.VoseSimPercentile(Months_3,$B75),NA())</f>
        <v>15.166666666666666</v>
      </c>
    </row>
    <row r="76" spans="2:6" hidden="1" outlineLevel="1" x14ac:dyDescent="0.45">
      <c r="B76" s="76">
        <v>0.49</v>
      </c>
      <c r="C76" s="76">
        <f t="shared" si="0"/>
        <v>0.51</v>
      </c>
      <c r="D76" s="77" cm="1">
        <f t="array" aca="1" ref="D76" ca="1">IF(ISNUMBER(_xll.VoseSimPercentile(Months_1,$B76)),_xll.VoseSimPercentile(Months_1,$B76),NA())</f>
        <v>21.277777777777779</v>
      </c>
      <c r="E76" s="77" cm="1">
        <f t="array" aca="1" ref="E76" ca="1">IF(ISNUMBER(_xll.VoseSimPercentile(Months_2,$B76)),_xll.VoseSimPercentile(Months_2,$B76),NA())</f>
        <v>17.666666666666668</v>
      </c>
      <c r="F76" s="77" cm="1">
        <f t="array" aca="1" ref="F76" ca="1">IF(ISNUMBER(_xll.VoseSimPercentile(Months_3,$B76)),_xll.VoseSimPercentile(Months_3,$B76),NA())</f>
        <v>15.294117647058824</v>
      </c>
    </row>
    <row r="77" spans="2:6" hidden="1" outlineLevel="1" x14ac:dyDescent="0.45">
      <c r="B77" s="76">
        <v>0.51</v>
      </c>
      <c r="C77" s="76">
        <f t="shared" si="0"/>
        <v>0.49</v>
      </c>
      <c r="D77" s="77" cm="1">
        <f t="array" aca="1" ref="D77" ca="1">IF(ISNUMBER(_xll.VoseSimPercentile(Months_1,$B77)),_xll.VoseSimPercentile(Months_1,$B77),NA())</f>
        <v>21.470588235294116</v>
      </c>
      <c r="E77" s="77" cm="1">
        <f t="array" aca="1" ref="E77" ca="1">IF(ISNUMBER(_xll.VoseSimPercentile(Months_2,$B77)),_xll.VoseSimPercentile(Months_2,$B77),NA())</f>
        <v>17.833333333333332</v>
      </c>
      <c r="F77" s="77" cm="1">
        <f t="array" aca="1" ref="F77" ca="1">IF(ISNUMBER(_xll.VoseSimPercentile(Months_3,$B77)),_xll.VoseSimPercentile(Months_3,$B77),NA())</f>
        <v>15.40625</v>
      </c>
    </row>
    <row r="78" spans="2:6" hidden="1" outlineLevel="1" x14ac:dyDescent="0.45">
      <c r="B78" s="76">
        <v>0.53</v>
      </c>
      <c r="C78" s="76">
        <f t="shared" si="0"/>
        <v>0.47</v>
      </c>
      <c r="D78" s="77" cm="1">
        <f t="array" aca="1" ref="D78" ca="1">IF(ISNUMBER(_xll.VoseSimPercentile(Months_1,$B78)),_xll.VoseSimPercentile(Months_1,$B78),NA())</f>
        <v>21.681818181818183</v>
      </c>
      <c r="E78" s="77" cm="1">
        <f t="array" aca="1" ref="E78" ca="1">IF(ISNUMBER(_xll.VoseSimPercentile(Months_2,$B78)),_xll.VoseSimPercentile(Months_2,$B78),NA())</f>
        <v>18</v>
      </c>
      <c r="F78" s="77" cm="1">
        <f t="array" aca="1" ref="F78" ca="1">IF(ISNUMBER(_xll.VoseSimPercentile(Months_3,$B78)),_xll.VoseSimPercentile(Months_3,$B78),NA())</f>
        <v>15.529411764705882</v>
      </c>
    </row>
    <row r="79" spans="2:6" hidden="1" outlineLevel="1" x14ac:dyDescent="0.45">
      <c r="B79" s="76">
        <v>0.55000000000000004</v>
      </c>
      <c r="C79" s="76">
        <f t="shared" si="0"/>
        <v>0.44999999999999996</v>
      </c>
      <c r="D79" s="77" cm="1">
        <f t="array" aca="1" ref="D79" ca="1">IF(ISNUMBER(_xll.VoseSimPercentile(Months_1,$B79)),_xll.VoseSimPercentile(Months_1,$B79),NA())</f>
        <v>21.882352941176471</v>
      </c>
      <c r="E79" s="77" cm="1">
        <f t="array" aca="1" ref="E79" ca="1">IF(ISNUMBER(_xll.VoseSimPercentile(Months_2,$B79)),_xll.VoseSimPercentile(Months_2,$B79),NA())</f>
        <v>18.130434782608695</v>
      </c>
      <c r="F79" s="77" cm="1">
        <f t="array" aca="1" ref="F79" ca="1">IF(ISNUMBER(_xll.VoseSimPercentile(Months_3,$B79)),_xll.VoseSimPercentile(Months_3,$B79),NA())</f>
        <v>15.655172413793103</v>
      </c>
    </row>
    <row r="80" spans="2:6" hidden="1" outlineLevel="1" x14ac:dyDescent="0.45">
      <c r="B80" s="76">
        <v>0.56999999999999995</v>
      </c>
      <c r="C80" s="76">
        <f t="shared" si="0"/>
        <v>0.43000000000000005</v>
      </c>
      <c r="D80" s="77" cm="1">
        <f t="array" aca="1" ref="D80" ca="1">IF(ISNUMBER(_xll.VoseSimPercentile(Months_1,$B80)),_xll.VoseSimPercentile(Months_1,$B80),NA())</f>
        <v>22.083333333333332</v>
      </c>
      <c r="E80" s="77" cm="1">
        <f t="array" aca="1" ref="E80" ca="1">IF(ISNUMBER(_xll.VoseSimPercentile(Months_2,$B80)),_xll.VoseSimPercentile(Months_2,$B80),NA())</f>
        <v>18.28</v>
      </c>
      <c r="F80" s="77" cm="1">
        <f t="array" aca="1" ref="F80" ca="1">IF(ISNUMBER(_xll.VoseSimPercentile(Months_3,$B80)),_xll.VoseSimPercentile(Months_3,$B80),NA())</f>
        <v>15.818181818181818</v>
      </c>
    </row>
    <row r="81" spans="2:6" hidden="1" outlineLevel="1" x14ac:dyDescent="0.45">
      <c r="B81" s="76">
        <v>0.59</v>
      </c>
      <c r="C81" s="76">
        <f t="shared" si="0"/>
        <v>0.41000000000000003</v>
      </c>
      <c r="D81" s="77" cm="1">
        <f t="array" aca="1" ref="D81" ca="1">IF(ISNUMBER(_xll.VoseSimPercentile(Months_1,$B81)),_xll.VoseSimPercentile(Months_1,$B81),NA())</f>
        <v>22.277777777777779</v>
      </c>
      <c r="E81" s="77" cm="1">
        <f t="array" aca="1" ref="E81" ca="1">IF(ISNUMBER(_xll.VoseSimPercentile(Months_2,$B81)),_xll.VoseSimPercentile(Months_2,$B81),NA())</f>
        <v>18.454545454545453</v>
      </c>
      <c r="F81" s="77" cm="1">
        <f t="array" aca="1" ref="F81" ca="1">IF(ISNUMBER(_xll.VoseSimPercentile(Months_3,$B81)),_xll.VoseSimPercentile(Months_3,$B81),NA())</f>
        <v>15.941176470588236</v>
      </c>
    </row>
    <row r="82" spans="2:6" hidden="1" outlineLevel="1" x14ac:dyDescent="0.45">
      <c r="B82" s="76">
        <v>0.61</v>
      </c>
      <c r="C82" s="76">
        <f t="shared" si="0"/>
        <v>0.39</v>
      </c>
      <c r="D82" s="77" cm="1">
        <f t="array" aca="1" ref="D82" ca="1">IF(ISNUMBER(_xll.VoseSimPercentile(Months_1,$B82)),_xll.VoseSimPercentile(Months_1,$B82),NA())</f>
        <v>22.5</v>
      </c>
      <c r="E82" s="77" cm="1">
        <f t="array" aca="1" ref="E82" ca="1">IF(ISNUMBER(_xll.VoseSimPercentile(Months_2,$B82)),_xll.VoseSimPercentile(Months_2,$B82),NA())</f>
        <v>18.636363636363637</v>
      </c>
      <c r="F82" s="77" cm="1">
        <f t="array" aca="1" ref="F82" ca="1">IF(ISNUMBER(_xll.VoseSimPercentile(Months_3,$B82)),_xll.VoseSimPercentile(Months_3,$B82),NA())</f>
        <v>16.0625</v>
      </c>
    </row>
    <row r="83" spans="2:6" hidden="1" outlineLevel="1" x14ac:dyDescent="0.45">
      <c r="B83" s="76">
        <v>0.63</v>
      </c>
      <c r="C83" s="76">
        <f t="shared" si="0"/>
        <v>0.37</v>
      </c>
      <c r="D83" s="77" cm="1">
        <f t="array" aca="1" ref="D83" ca="1">IF(ISNUMBER(_xll.VoseSimPercentile(Months_1,$B83)),_xll.VoseSimPercentile(Months_1,$B83),NA())</f>
        <v>22.714285714285715</v>
      </c>
      <c r="E83" s="77" cm="1">
        <f t="array" aca="1" ref="E83" ca="1">IF(ISNUMBER(_xll.VoseSimPercentile(Months_2,$B83)),_xll.VoseSimPercentile(Months_2,$B83),NA())</f>
        <v>18.8</v>
      </c>
      <c r="F83" s="77" cm="1">
        <f t="array" aca="1" ref="F83" ca="1">IF(ISNUMBER(_xll.VoseSimPercentile(Months_3,$B83)),_xll.VoseSimPercentile(Months_3,$B83),NA())</f>
        <v>16.2</v>
      </c>
    </row>
    <row r="84" spans="2:6" hidden="1" outlineLevel="1" x14ac:dyDescent="0.45">
      <c r="B84" s="76">
        <v>0.65</v>
      </c>
      <c r="C84" s="76">
        <f t="shared" ref="C84:C115" si="1">1-B84</f>
        <v>0.35</v>
      </c>
      <c r="D84" s="77" cm="1">
        <f t="array" aca="1" ref="D84" ca="1">IF(ISNUMBER(_xll.VoseSimPercentile(Months_1,$B84)),_xll.VoseSimPercentile(Months_1,$B84),NA())</f>
        <v>22.923076923076923</v>
      </c>
      <c r="E84" s="77" cm="1">
        <f t="array" aca="1" ref="E84" ca="1">IF(ISNUMBER(_xll.VoseSimPercentile(Months_2,$B84)),_xll.VoseSimPercentile(Months_2,$B84),NA())</f>
        <v>18.952380952380953</v>
      </c>
      <c r="F84" s="77" cm="1">
        <f t="array" aca="1" ref="F84" ca="1">IF(ISNUMBER(_xll.VoseSimPercentile(Months_3,$B84)),_xll.VoseSimPercentile(Months_3,$B84),NA())</f>
        <v>16.363636363636363</v>
      </c>
    </row>
    <row r="85" spans="2:6" hidden="1" outlineLevel="1" x14ac:dyDescent="0.45">
      <c r="B85" s="76">
        <v>0.67</v>
      </c>
      <c r="C85" s="76">
        <f t="shared" si="1"/>
        <v>0.32999999999999996</v>
      </c>
      <c r="D85" s="77" cm="1">
        <f t="array" aca="1" ref="D85" ca="1">IF(ISNUMBER(_xll.VoseSimPercentile(Months_1,$B85)),_xll.VoseSimPercentile(Months_1,$B85),NA())</f>
        <v>23.142857142857142</v>
      </c>
      <c r="E85" s="77" cm="1">
        <f t="array" aca="1" ref="E85" ca="1">IF(ISNUMBER(_xll.VoseSimPercentile(Months_2,$B85)),_xll.VoseSimPercentile(Months_2,$B85),NA())</f>
        <v>19.142857142857142</v>
      </c>
      <c r="F85" s="77" cm="1">
        <f t="array" aca="1" ref="F85" ca="1">IF(ISNUMBER(_xll.VoseSimPercentile(Months_3,$B85)),_xll.VoseSimPercentile(Months_3,$B85),NA())</f>
        <v>16.5</v>
      </c>
    </row>
    <row r="86" spans="2:6" hidden="1" outlineLevel="1" x14ac:dyDescent="0.45">
      <c r="B86" s="76">
        <v>0.69</v>
      </c>
      <c r="C86" s="76">
        <f t="shared" si="1"/>
        <v>0.31000000000000005</v>
      </c>
      <c r="D86" s="77" cm="1">
        <f t="array" aca="1" ref="D86" ca="1">IF(ISNUMBER(_xll.VoseSimPercentile(Months_1,$B86)),_xll.VoseSimPercentile(Months_1,$B86),NA())</f>
        <v>23.388888888888889</v>
      </c>
      <c r="E86" s="77" cm="1">
        <f t="array" aca="1" ref="E86" ca="1">IF(ISNUMBER(_xll.VoseSimPercentile(Months_2,$B86)),_xll.VoseSimPercentile(Months_2,$B86),NA())</f>
        <v>19.324324324324323</v>
      </c>
      <c r="F86" s="77" cm="1">
        <f t="array" aca="1" ref="F86" ca="1">IF(ISNUMBER(_xll.VoseSimPercentile(Months_3,$B86)),_xll.VoseSimPercentile(Months_3,$B86),NA())</f>
        <v>16.666666666666668</v>
      </c>
    </row>
    <row r="87" spans="2:6" hidden="1" outlineLevel="1" x14ac:dyDescent="0.45">
      <c r="B87" s="76">
        <v>0.71</v>
      </c>
      <c r="C87" s="76">
        <f t="shared" si="1"/>
        <v>0.29000000000000004</v>
      </c>
      <c r="D87" s="77" cm="1">
        <f t="array" aca="1" ref="D87" ca="1">IF(ISNUMBER(_xll.VoseSimPercentile(Months_1,$B87)),_xll.VoseSimPercentile(Months_1,$B87),NA())</f>
        <v>23.625</v>
      </c>
      <c r="E87" s="77" cm="1">
        <f t="array" aca="1" ref="E87" ca="1">IF(ISNUMBER(_xll.VoseSimPercentile(Months_2,$B87)),_xll.VoseSimPercentile(Months_2,$B87),NA())</f>
        <v>19.526315789473685</v>
      </c>
      <c r="F87" s="77" cm="1">
        <f t="array" aca="1" ref="F87" ca="1">IF(ISNUMBER(_xll.VoseSimPercentile(Months_3,$B87)),_xll.VoseSimPercentile(Months_3,$B87),NA())</f>
        <v>16.80952380952381</v>
      </c>
    </row>
    <row r="88" spans="2:6" hidden="1" outlineLevel="1" x14ac:dyDescent="0.45">
      <c r="B88" s="76">
        <v>0.73</v>
      </c>
      <c r="C88" s="76">
        <f t="shared" si="1"/>
        <v>0.27</v>
      </c>
      <c r="D88" s="77" cm="1">
        <f t="array" aca="1" ref="D88" ca="1">IF(ISNUMBER(_xll.VoseSimPercentile(Months_1,$B88)),_xll.VoseSimPercentile(Months_1,$B88),NA())</f>
        <v>23.916666666666668</v>
      </c>
      <c r="E88" s="77" cm="1">
        <f t="array" aca="1" ref="E88" ca="1">IF(ISNUMBER(_xll.VoseSimPercentile(Months_2,$B88)),_xll.VoseSimPercentile(Months_2,$B88),NA())</f>
        <v>19.733333333333334</v>
      </c>
      <c r="F88" s="77" cm="1">
        <f t="array" aca="1" ref="F88" ca="1">IF(ISNUMBER(_xll.VoseSimPercentile(Months_3,$B88)),_xll.VoseSimPercentile(Months_3,$B88),NA())</f>
        <v>16.954545454545453</v>
      </c>
    </row>
    <row r="89" spans="2:6" hidden="1" outlineLevel="1" x14ac:dyDescent="0.45">
      <c r="B89" s="76">
        <v>0.75</v>
      </c>
      <c r="C89" s="76">
        <f t="shared" si="1"/>
        <v>0.25</v>
      </c>
      <c r="D89" s="77" cm="1">
        <f t="array" aca="1" ref="D89" ca="1">IF(ISNUMBER(_xll.VoseSimPercentile(Months_1,$B89)),_xll.VoseSimPercentile(Months_1,$B89),NA())</f>
        <v>24.2</v>
      </c>
      <c r="E89" s="77" cm="1">
        <f t="array" aca="1" ref="E89" ca="1">IF(ISNUMBER(_xll.VoseSimPercentile(Months_2,$B89)),_xll.VoseSimPercentile(Months_2,$B89),NA())</f>
        <v>19.95</v>
      </c>
      <c r="F89" s="77" cm="1">
        <f t="array" aca="1" ref="F89" ca="1">IF(ISNUMBER(_xll.VoseSimPercentile(Months_3,$B89)),_xll.VoseSimPercentile(Months_3,$B89),NA())</f>
        <v>17.117647058823529</v>
      </c>
    </row>
    <row r="90" spans="2:6" hidden="1" outlineLevel="1" x14ac:dyDescent="0.45">
      <c r="B90" s="76">
        <v>0.77</v>
      </c>
      <c r="C90" s="76">
        <f t="shared" si="1"/>
        <v>0.22999999999999998</v>
      </c>
      <c r="D90" s="77" cm="1">
        <f t="array" aca="1" ref="D90" ca="1">IF(ISNUMBER(_xll.VoseSimPercentile(Months_1,$B90)),_xll.VoseSimPercentile(Months_1,$B90),NA())</f>
        <v>24.5</v>
      </c>
      <c r="E90" s="77" cm="1">
        <f t="array" aca="1" ref="E90" ca="1">IF(ISNUMBER(_xll.VoseSimPercentile(Months_2,$B90)),_xll.VoseSimPercentile(Months_2,$B90),NA())</f>
        <v>20.166666666666668</v>
      </c>
      <c r="F90" s="77" cm="1">
        <f t="array" aca="1" ref="F90" ca="1">IF(ISNUMBER(_xll.VoseSimPercentile(Months_3,$B90)),_xll.VoseSimPercentile(Months_3,$B90),NA())</f>
        <v>17.3</v>
      </c>
    </row>
    <row r="91" spans="2:6" hidden="1" outlineLevel="1" x14ac:dyDescent="0.45">
      <c r="B91" s="76">
        <v>0.79</v>
      </c>
      <c r="C91" s="76">
        <f t="shared" si="1"/>
        <v>0.20999999999999996</v>
      </c>
      <c r="D91" s="77" cm="1">
        <f t="array" aca="1" ref="D91" ca="1">IF(ISNUMBER(_xll.VoseSimPercentile(Months_1,$B91)),_xll.VoseSimPercentile(Months_1,$B91),NA())</f>
        <v>24.842105263157894</v>
      </c>
      <c r="E91" s="77" cm="1">
        <f t="array" aca="1" ref="E91" ca="1">IF(ISNUMBER(_xll.VoseSimPercentile(Months_2,$B91)),_xll.VoseSimPercentile(Months_2,$B91),NA())</f>
        <v>20.40909090909091</v>
      </c>
      <c r="F91" s="77" cm="1">
        <f t="array" aca="1" ref="F91" ca="1">IF(ISNUMBER(_xll.VoseSimPercentile(Months_3,$B91)),_xll.VoseSimPercentile(Months_3,$B91),NA())</f>
        <v>17.5</v>
      </c>
    </row>
    <row r="92" spans="2:6" hidden="1" outlineLevel="1" x14ac:dyDescent="0.45">
      <c r="B92" s="76">
        <v>0.81</v>
      </c>
      <c r="C92" s="76">
        <f t="shared" si="1"/>
        <v>0.18999999999999995</v>
      </c>
      <c r="D92" s="77" cm="1">
        <f t="array" aca="1" ref="D92" ca="1">IF(ISNUMBER(_xll.VoseSimPercentile(Months_1,$B92)),_xll.VoseSimPercentile(Months_1,$B92),NA())</f>
        <v>25.2</v>
      </c>
      <c r="E92" s="77" cm="1">
        <f t="array" aca="1" ref="E92" ca="1">IF(ISNUMBER(_xll.VoseSimPercentile(Months_2,$B92)),_xll.VoseSimPercentile(Months_2,$B92),NA())</f>
        <v>20.692307692307693</v>
      </c>
      <c r="F92" s="77" cm="1">
        <f t="array" aca="1" ref="F92" ca="1">IF(ISNUMBER(_xll.VoseSimPercentile(Months_3,$B92)),_xll.VoseSimPercentile(Months_3,$B92),NA())</f>
        <v>17.761904761904763</v>
      </c>
    </row>
    <row r="93" spans="2:6" hidden="1" outlineLevel="1" x14ac:dyDescent="0.45">
      <c r="B93" s="76">
        <v>0.83</v>
      </c>
      <c r="C93" s="76">
        <f t="shared" si="1"/>
        <v>0.17000000000000004</v>
      </c>
      <c r="D93" s="77" cm="1">
        <f t="array" aca="1" ref="D93" ca="1">IF(ISNUMBER(_xll.VoseSimPercentile(Months_1,$B93)),_xll.VoseSimPercentile(Months_1,$B93),NA())</f>
        <v>25.526315789473685</v>
      </c>
      <c r="E93" s="77" cm="1">
        <f t="array" aca="1" ref="E93" ca="1">IF(ISNUMBER(_xll.VoseSimPercentile(Months_2,$B93)),_xll.VoseSimPercentile(Months_2,$B93),NA())</f>
        <v>21</v>
      </c>
      <c r="F93" s="77" cm="1">
        <f t="array" aca="1" ref="F93" ca="1">IF(ISNUMBER(_xll.VoseSimPercentile(Months_3,$B93)),_xll.VoseSimPercentile(Months_3,$B93),NA())</f>
        <v>18</v>
      </c>
    </row>
    <row r="94" spans="2:6" hidden="1" outlineLevel="1" x14ac:dyDescent="0.45">
      <c r="B94" s="76">
        <v>0.85</v>
      </c>
      <c r="C94" s="76">
        <f t="shared" si="1"/>
        <v>0.15000000000000002</v>
      </c>
      <c r="D94" s="77" cm="1">
        <f t="array" aca="1" ref="D94" ca="1">IF(ISNUMBER(_xll.VoseSimPercentile(Months_1,$B94)),_xll.VoseSimPercentile(Months_1,$B94),NA())</f>
        <v>25.9375</v>
      </c>
      <c r="E94" s="77" cm="1">
        <f t="array" aca="1" ref="E94" ca="1">IF(ISNUMBER(_xll.VoseSimPercentile(Months_2,$B94)),_xll.VoseSimPercentile(Months_2,$B94),NA())</f>
        <v>21.3</v>
      </c>
      <c r="F94" s="77" cm="1">
        <f t="array" aca="1" ref="F94" ca="1">IF(ISNUMBER(_xll.VoseSimPercentile(Months_3,$B94)),_xll.VoseSimPercentile(Months_3,$B94),NA())</f>
        <v>18.235294117647058</v>
      </c>
    </row>
    <row r="95" spans="2:6" hidden="1" outlineLevel="1" x14ac:dyDescent="0.45">
      <c r="B95" s="76">
        <v>0.87</v>
      </c>
      <c r="C95" s="76">
        <f t="shared" si="1"/>
        <v>0.13</v>
      </c>
      <c r="D95" s="77" cm="1">
        <f t="array" aca="1" ref="D95" ca="1">IF(ISNUMBER(_xll.VoseSimPercentile(Months_1,$B95)),_xll.VoseSimPercentile(Months_1,$B95),NA())</f>
        <v>26.4375</v>
      </c>
      <c r="E95" s="77" cm="1">
        <f t="array" aca="1" ref="E95" ca="1">IF(ISNUMBER(_xll.VoseSimPercentile(Months_2,$B95)),_xll.VoseSimPercentile(Months_2,$B95),NA())</f>
        <v>21.615384615384617</v>
      </c>
      <c r="F95" s="77" cm="1">
        <f t="array" aca="1" ref="F95" ca="1">IF(ISNUMBER(_xll.VoseSimPercentile(Months_3,$B95)),_xll.VoseSimPercentile(Months_3,$B95),NA())</f>
        <v>18.52</v>
      </c>
    </row>
    <row r="96" spans="2:6" hidden="1" outlineLevel="1" x14ac:dyDescent="0.45">
      <c r="B96" s="76">
        <v>0.89</v>
      </c>
      <c r="C96" s="76">
        <f t="shared" si="1"/>
        <v>0.10999999999999999</v>
      </c>
      <c r="D96" s="77" cm="1">
        <f t="array" aca="1" ref="D96" ca="1">IF(ISNUMBER(_xll.VoseSimPercentile(Months_1,$B96)),_xll.VoseSimPercentile(Months_1,$B96),NA())</f>
        <v>26.933333333333334</v>
      </c>
      <c r="E96" s="77" cm="1">
        <f t="array" aca="1" ref="E96" ca="1">IF(ISNUMBER(_xll.VoseSimPercentile(Months_2,$B96)),_xll.VoseSimPercentile(Months_2,$B96),NA())</f>
        <v>22</v>
      </c>
      <c r="F96" s="77" cm="1">
        <f t="array" aca="1" ref="F96" ca="1">IF(ISNUMBER(_xll.VoseSimPercentile(Months_3,$B96)),_xll.VoseSimPercentile(Months_3,$B96),NA())</f>
        <v>18.842105263157894</v>
      </c>
    </row>
    <row r="97" spans="2:8" hidden="1" outlineLevel="1" x14ac:dyDescent="0.45">
      <c r="B97" s="76">
        <v>0.91</v>
      </c>
      <c r="C97" s="76">
        <f t="shared" si="1"/>
        <v>8.9999999999999969E-2</v>
      </c>
      <c r="D97" s="77" cm="1">
        <f t="array" aca="1" ref="D97" ca="1">IF(ISNUMBER(_xll.VoseSimPercentile(Months_1,$B97)),_xll.VoseSimPercentile(Months_1,$B97),NA())</f>
        <v>27.5</v>
      </c>
      <c r="E97" s="77" cm="1">
        <f t="array" aca="1" ref="E97" ca="1">IF(ISNUMBER(_xll.VoseSimPercentile(Months_2,$B97)),_xll.VoseSimPercentile(Months_2,$B97),NA())</f>
        <v>22.526315789473685</v>
      </c>
      <c r="F97" s="77" cm="1">
        <f t="array" aca="1" ref="F97" ca="1">IF(ISNUMBER(_xll.VoseSimPercentile(Months_3,$B97)),_xll.VoseSimPercentile(Months_3,$B97),NA())</f>
        <v>19.23076923076923</v>
      </c>
    </row>
    <row r="98" spans="2:8" hidden="1" outlineLevel="1" x14ac:dyDescent="0.45">
      <c r="B98" s="76">
        <v>0.93</v>
      </c>
      <c r="C98" s="76">
        <f t="shared" si="1"/>
        <v>6.9999999999999951E-2</v>
      </c>
      <c r="D98" s="77" cm="1">
        <f t="array" aca="1" ref="D98" ca="1">IF(ISNUMBER(_xll.VoseSimPercentile(Months_1,$B98)),_xll.VoseSimPercentile(Months_1,$B98),NA())</f>
        <v>28.176470588235293</v>
      </c>
      <c r="E98" s="77" cm="1">
        <f t="array" aca="1" ref="E98" ca="1">IF(ISNUMBER(_xll.VoseSimPercentile(Months_2,$B98)),_xll.VoseSimPercentile(Months_2,$B98),NA())</f>
        <v>23.0625</v>
      </c>
      <c r="F98" s="77" cm="1">
        <f t="array" aca="1" ref="F98" ca="1">IF(ISNUMBER(_xll.VoseSimPercentile(Months_3,$B98)),_xll.VoseSimPercentile(Months_3,$B98),NA())</f>
        <v>19.72</v>
      </c>
    </row>
    <row r="99" spans="2:8" hidden="1" outlineLevel="1" x14ac:dyDescent="0.45">
      <c r="B99" s="76">
        <v>0.95</v>
      </c>
      <c r="C99" s="76">
        <f t="shared" si="1"/>
        <v>5.0000000000000044E-2</v>
      </c>
      <c r="D99" s="77" cm="1">
        <f t="array" aca="1" ref="D99" ca="1">IF(ISNUMBER(_xll.VoseSimPercentile(Months_1,$B99)),_xll.VoseSimPercentile(Months_1,$B99),NA())</f>
        <v>29.176470588235293</v>
      </c>
      <c r="E99" s="77" cm="1">
        <f t="array" aca="1" ref="E99" ca="1">IF(ISNUMBER(_xll.VoseSimPercentile(Months_2,$B99)),_xll.VoseSimPercentile(Months_2,$B99),NA())</f>
        <v>23.846153846153847</v>
      </c>
      <c r="F99" s="77" cm="1">
        <f t="array" aca="1" ref="F99" ca="1">IF(ISNUMBER(_xll.VoseSimPercentile(Months_3,$B99)),_xll.VoseSimPercentile(Months_3,$B99),NA())</f>
        <v>20.285714285714285</v>
      </c>
    </row>
    <row r="100" spans="2:8" hidden="1" outlineLevel="1" x14ac:dyDescent="0.45">
      <c r="B100" s="76">
        <v>0.97</v>
      </c>
      <c r="C100" s="76">
        <f t="shared" si="1"/>
        <v>3.0000000000000027E-2</v>
      </c>
      <c r="D100" s="77" cm="1">
        <f t="array" aca="1" ref="D100" ca="1">IF(ISNUMBER(_xll.VoseSimPercentile(Months_1,$B100)),_xll.VoseSimPercentile(Months_1,$B100),NA())</f>
        <v>30.647058823529413</v>
      </c>
      <c r="E100" s="77" cm="1">
        <f t="array" aca="1" ref="E100" ca="1">IF(ISNUMBER(_xll.VoseSimPercentile(Months_2,$B100)),_xll.VoseSimPercentile(Months_2,$B100),NA())</f>
        <v>24.90909090909091</v>
      </c>
      <c r="F100" s="77" cm="1">
        <f t="array" aca="1" ref="F100" ca="1">IF(ISNUMBER(_xll.VoseSimPercentile(Months_3,$B100)),_xll.VoseSimPercentile(Months_3,$B100),NA())</f>
        <v>21.166666666666668</v>
      </c>
    </row>
    <row r="101" spans="2:8" hidden="1" outlineLevel="1" x14ac:dyDescent="0.45">
      <c r="B101" s="76">
        <v>0.99</v>
      </c>
      <c r="C101" s="76">
        <f t="shared" si="1"/>
        <v>1.0000000000000009E-2</v>
      </c>
      <c r="D101" s="77" cm="1">
        <f t="array" aca="1" ref="D101" ca="1">IF(ISNUMBER(_xll.VoseSimPercentile(Months_1,$B101)),_xll.VoseSimPercentile(Months_1,$B101),NA())</f>
        <v>33.384615384615387</v>
      </c>
      <c r="E101" s="77" cm="1">
        <f t="array" aca="1" ref="E101" ca="1">IF(ISNUMBER(_xll.VoseSimPercentile(Months_2,$B101)),_xll.VoseSimPercentile(Months_2,$B101),NA())</f>
        <v>27</v>
      </c>
      <c r="F101" s="77" cm="1">
        <f t="array" aca="1" ref="F101" ca="1">IF(ISNUMBER(_xll.VoseSimPercentile(Months_3,$B101)),_xll.VoseSimPercentile(Months_3,$B101),NA())</f>
        <v>22.647058823529413</v>
      </c>
    </row>
    <row r="102" spans="2:8" hidden="1" outlineLevel="1" x14ac:dyDescent="0.45"/>
    <row r="103" spans="2:8" ht="28.05" hidden="1" customHeight="1" outlineLevel="1" x14ac:dyDescent="0.45">
      <c r="B103" s="23" t="s">
        <v>250</v>
      </c>
      <c r="C103" s="24" t="s">
        <v>251</v>
      </c>
      <c r="D103" s="24" t="s">
        <v>222</v>
      </c>
      <c r="E103" s="24" t="s">
        <v>252</v>
      </c>
      <c r="F103" s="24" t="s">
        <v>127</v>
      </c>
      <c r="G103" s="24" t="s">
        <v>253</v>
      </c>
      <c r="H103" s="24" t="s">
        <v>67</v>
      </c>
    </row>
    <row r="104" spans="2:8" hidden="1" outlineLevel="1" x14ac:dyDescent="0.45">
      <c r="B104" s="78">
        <f>Enrolment!F6</f>
        <v>1</v>
      </c>
      <c r="C104" s="77" cm="1">
        <f t="array" aca="1" ref="C104" ca="1">IF(ISNUMBER(_xll.VoseSimPercentile(Enrolment!F90,0.1)),_xll.VoseSimPercentile(Enrolment!F90,0.1),NA())</f>
        <v>0</v>
      </c>
      <c r="D104" s="77" cm="1">
        <f t="array" aca="1" ref="D104" ca="1">IF(ISNUMBER(_xll.VoseSimPercentile(Enrolment!F90,0.5)),_xll.VoseSimPercentile(Enrolment!F90,0.5),NA())</f>
        <v>0</v>
      </c>
      <c r="E104" s="77" cm="1">
        <f t="array" aca="1" ref="E104" ca="1">IF(ISNUMBER(_xll.VoseSimPercentile(Enrolment!F90,0.9)),_xll.VoseSimPercentile(Enrolment!F90,0.9),NA())</f>
        <v>0</v>
      </c>
      <c r="F104" s="77" cm="1">
        <f t="array" aca="1" ref="F104" ca="1">IF(ISNUMBER(_xll.VoseSimMean(Enrolment!F90)),_xll.VoseSimMean(Enrolment!F90),NA())</f>
        <v>0</v>
      </c>
      <c r="G104" s="77">
        <f t="shared" ref="G104:G151" si="2">Target</f>
        <v>300</v>
      </c>
      <c r="H104" s="77">
        <f>MIN(Target,Sites_1*RateMean_ML*MAX(0,1-Open_ML))</f>
        <v>0</v>
      </c>
    </row>
    <row r="105" spans="2:8" hidden="1" outlineLevel="1" x14ac:dyDescent="0.45">
      <c r="B105" s="78">
        <f>Enrolment!G6</f>
        <v>2</v>
      </c>
      <c r="C105" s="77" cm="1">
        <f t="array" aca="1" ref="C105" ca="1">IF(ISNUMBER(_xll.VoseSimPercentile(Enrolment!G90,0.1)),_xll.VoseSimPercentile(Enrolment!G90,0.1),NA())</f>
        <v>0</v>
      </c>
      <c r="D105" s="77" cm="1">
        <f t="array" aca="1" ref="D105" ca="1">IF(ISNUMBER(_xll.VoseSimPercentile(Enrolment!G90,0.5)),_xll.VoseSimPercentile(Enrolment!G90,0.5),NA())</f>
        <v>0</v>
      </c>
      <c r="E105" s="77" cm="1">
        <f t="array" aca="1" ref="E105" ca="1">IF(ISNUMBER(_xll.VoseSimPercentile(Enrolment!G90,0.9)),_xll.VoseSimPercentile(Enrolment!G90,0.9),NA())</f>
        <v>2</v>
      </c>
      <c r="F105" s="77" cm="1">
        <f t="array" aca="1" ref="F105" ca="1">IF(ISNUMBER(_xll.VoseSimMean(Enrolment!G90)),_xll.VoseSimMean(Enrolment!G90),NA())</f>
        <v>0.68033401670083504</v>
      </c>
      <c r="G105" s="77">
        <f t="shared" si="2"/>
        <v>300</v>
      </c>
      <c r="H105" s="77">
        <f>MIN(Target,Sites_1*RateMean_ML*MAX(0,2-Open_ML))</f>
        <v>0</v>
      </c>
    </row>
    <row r="106" spans="2:8" hidden="1" outlineLevel="1" x14ac:dyDescent="0.45">
      <c r="B106" s="78">
        <f>Enrolment!H6</f>
        <v>3</v>
      </c>
      <c r="C106" s="77" cm="1">
        <f t="array" aca="1" ref="C106" ca="1">IF(ISNUMBER(_xll.VoseSimPercentile(Enrolment!H90,0.1)),_xll.VoseSimPercentile(Enrolment!H90,0.1),NA())</f>
        <v>2</v>
      </c>
      <c r="D106" s="77" cm="1">
        <f t="array" aca="1" ref="D106" ca="1">IF(ISNUMBER(_xll.VoseSimPercentile(Enrolment!H90,0.5)),_xll.VoseSimPercentile(Enrolment!H90,0.5),NA())</f>
        <v>5</v>
      </c>
      <c r="E106" s="77" cm="1">
        <f t="array" aca="1" ref="E106" ca="1">IF(ISNUMBER(_xll.VoseSimPercentile(Enrolment!H90,0.9)),_xll.VoseSimPercentile(Enrolment!H90,0.9),NA())</f>
        <v>9</v>
      </c>
      <c r="F106" s="77" cm="1">
        <f t="array" aca="1" ref="F106" ca="1">IF(ISNUMBER(_xll.VoseSimMean(Enrolment!H90)),_xll.VoseSimMean(Enrolment!H90),NA())</f>
        <v>4.902995149757488</v>
      </c>
      <c r="G106" s="77">
        <f t="shared" si="2"/>
        <v>300</v>
      </c>
      <c r="H106" s="77">
        <f>MIN(Target,Sites_1*RateMean_ML*MAX(0,3-Open_ML))</f>
        <v>0</v>
      </c>
    </row>
    <row r="107" spans="2:8" hidden="1" outlineLevel="1" x14ac:dyDescent="0.45">
      <c r="B107" s="78">
        <f>Enrolment!I6</f>
        <v>4</v>
      </c>
      <c r="C107" s="77" cm="1">
        <f t="array" aca="1" ref="C107" ca="1">IF(ISNUMBER(_xll.VoseSimPercentile(Enrolment!I90,0.1)),_xll.VoseSimPercentile(Enrolment!I90,0.1),NA())</f>
        <v>7</v>
      </c>
      <c r="D107" s="77" cm="1">
        <f t="array" aca="1" ref="D107" ca="1">IF(ISNUMBER(_xll.VoseSimPercentile(Enrolment!I90,0.5)),_xll.VoseSimPercentile(Enrolment!I90,0.5),NA())</f>
        <v>13</v>
      </c>
      <c r="E107" s="77" cm="1">
        <f t="array" aca="1" ref="E107" ca="1">IF(ISNUMBER(_xll.VoseSimPercentile(Enrolment!I90,0.9)),_xll.VoseSimPercentile(Enrolment!I90,0.9),NA())</f>
        <v>21</v>
      </c>
      <c r="F107" s="77" cm="1">
        <f t="array" aca="1" ref="F107" ca="1">IF(ISNUMBER(_xll.VoseSimMean(Enrolment!I90)),_xll.VoseSimMean(Enrolment!I90),NA())</f>
        <v>13.924446222311115</v>
      </c>
      <c r="G107" s="77">
        <f t="shared" si="2"/>
        <v>300</v>
      </c>
      <c r="H107" s="77">
        <f>MIN(Target,Sites_1*RateMean_ML*MAX(0,4-Open_ML))</f>
        <v>20</v>
      </c>
    </row>
    <row r="108" spans="2:8" hidden="1" outlineLevel="1" x14ac:dyDescent="0.45">
      <c r="B108" s="78">
        <f>Enrolment!J6</f>
        <v>5</v>
      </c>
      <c r="C108" s="77" cm="1">
        <f t="array" aca="1" ref="C108" ca="1">IF(ISNUMBER(_xll.VoseSimPercentile(Enrolment!J90,0.1)),_xll.VoseSimPercentile(Enrolment!J90,0.1),NA())</f>
        <v>17</v>
      </c>
      <c r="D108" s="77" cm="1">
        <f t="array" aca="1" ref="D108" ca="1">IF(ISNUMBER(_xll.VoseSimPercentile(Enrolment!J90,0.5)),_xll.VoseSimPercentile(Enrolment!J90,0.5),NA())</f>
        <v>26</v>
      </c>
      <c r="E108" s="77" cm="1">
        <f t="array" aca="1" ref="E108" ca="1">IF(ISNUMBER(_xll.VoseSimPercentile(Enrolment!J90,0.9)),_xll.VoseSimPercentile(Enrolment!J90,0.9),NA())</f>
        <v>38</v>
      </c>
      <c r="F108" s="77" cm="1">
        <f t="array" aca="1" ref="F108" ca="1">IF(ISNUMBER(_xll.VoseSimMean(Enrolment!J90)),_xll.VoseSimMean(Enrolment!J90),NA())</f>
        <v>27.062453122656134</v>
      </c>
      <c r="G108" s="77">
        <f t="shared" si="2"/>
        <v>300</v>
      </c>
      <c r="H108" s="77">
        <f>MIN(Target,Sites_1*RateMean_ML*MAX(0,5-Open_ML))</f>
        <v>40</v>
      </c>
    </row>
    <row r="109" spans="2:8" hidden="1" outlineLevel="1" x14ac:dyDescent="0.45">
      <c r="B109" s="78">
        <f>Enrolment!K6</f>
        <v>6</v>
      </c>
      <c r="C109" s="77" cm="1">
        <f t="array" aca="1" ref="C109" ca="1">IF(ISNUMBER(_xll.VoseSimPercentile(Enrolment!K90,0.1)),_xll.VoseSimPercentile(Enrolment!K90,0.1),NA())</f>
        <v>29</v>
      </c>
      <c r="D109" s="77" cm="1">
        <f t="array" aca="1" ref="D109" ca="1">IF(ISNUMBER(_xll.VoseSimPercentile(Enrolment!K90,0.5)),_xll.VoseSimPercentile(Enrolment!K90,0.5),NA())</f>
        <v>42</v>
      </c>
      <c r="E109" s="77" cm="1">
        <f t="array" aca="1" ref="E109" ca="1">IF(ISNUMBER(_xll.VoseSimPercentile(Enrolment!K90,0.9)),_xll.VoseSimPercentile(Enrolment!K90,0.9),NA())</f>
        <v>58</v>
      </c>
      <c r="F109" s="77" cm="1">
        <f t="array" aca="1" ref="F109" ca="1">IF(ISNUMBER(_xll.VoseSimMean(Enrolment!K90)),_xll.VoseSimMean(Enrolment!K90),NA())</f>
        <v>42.796089804490222</v>
      </c>
      <c r="G109" s="77">
        <f t="shared" si="2"/>
        <v>300</v>
      </c>
      <c r="H109" s="77">
        <f>MIN(Target,Sites_1*RateMean_ML*MAX(0,6-Open_ML))</f>
        <v>60</v>
      </c>
    </row>
    <row r="110" spans="2:8" hidden="1" outlineLevel="1" x14ac:dyDescent="0.45">
      <c r="B110" s="78">
        <f>Enrolment!L6</f>
        <v>7</v>
      </c>
      <c r="C110" s="77" cm="1">
        <f t="array" aca="1" ref="C110" ca="1">IF(ISNUMBER(_xll.VoseSimPercentile(Enrolment!L90,0.1)),_xll.VoseSimPercentile(Enrolment!L90,0.1),NA())</f>
        <v>42</v>
      </c>
      <c r="D110" s="77" cm="1">
        <f t="array" aca="1" ref="D110" ca="1">IF(ISNUMBER(_xll.VoseSimPercentile(Enrolment!L90,0.5)),_xll.VoseSimPercentile(Enrolment!L90,0.5),NA())</f>
        <v>59</v>
      </c>
      <c r="E110" s="77" cm="1">
        <f t="array" aca="1" ref="E110" ca="1">IF(ISNUMBER(_xll.VoseSimPercentile(Enrolment!L90,0.9)),_xll.VoseSimPercentile(Enrolment!L90,0.9),NA())</f>
        <v>79</v>
      </c>
      <c r="F110" s="77" cm="1">
        <f t="array" aca="1" ref="F110" ca="1">IF(ISNUMBER(_xll.VoseSimMean(Enrolment!L90)),_xll.VoseSimMean(Enrolment!L90),NA())</f>
        <v>59.5690784539227</v>
      </c>
      <c r="G110" s="77">
        <f t="shared" si="2"/>
        <v>300</v>
      </c>
      <c r="H110" s="77">
        <f>MIN(Target,Sites_1*RateMean_ML*MAX(0,7-Open_ML))</f>
        <v>80</v>
      </c>
    </row>
    <row r="111" spans="2:8" hidden="1" outlineLevel="1" x14ac:dyDescent="0.45">
      <c r="B111" s="78">
        <f>Enrolment!M6</f>
        <v>8</v>
      </c>
      <c r="C111" s="77" cm="1">
        <f t="array" aca="1" ref="C111" ca="1">IF(ISNUMBER(_xll.VoseSimPercentile(Enrolment!M90,0.1)),_xll.VoseSimPercentile(Enrolment!M90,0.1),NA())</f>
        <v>54</v>
      </c>
      <c r="D111" s="77" cm="1">
        <f t="array" aca="1" ref="D111" ca="1">IF(ISNUMBER(_xll.VoseSimPercentile(Enrolment!M90,0.5)),_xll.VoseSimPercentile(Enrolment!M90,0.5),NA())</f>
        <v>75</v>
      </c>
      <c r="E111" s="77" cm="1">
        <f t="array" aca="1" ref="E111" ca="1">IF(ISNUMBER(_xll.VoseSimPercentile(Enrolment!M90,0.9)),_xll.VoseSimPercentile(Enrolment!M90,0.9),NA())</f>
        <v>101</v>
      </c>
      <c r="F111" s="77" cm="1">
        <f t="array" aca="1" ref="F111" ca="1">IF(ISNUMBER(_xll.VoseSimMean(Enrolment!M90)),_xll.VoseSimMean(Enrolment!M90),NA())</f>
        <v>76.50722536126807</v>
      </c>
      <c r="G111" s="77">
        <f t="shared" si="2"/>
        <v>300</v>
      </c>
      <c r="H111" s="77">
        <f>MIN(Target,Sites_1*RateMean_ML*MAX(0,8-Open_ML))</f>
        <v>100</v>
      </c>
    </row>
    <row r="112" spans="2:8" hidden="1" outlineLevel="1" x14ac:dyDescent="0.45">
      <c r="B112" s="78">
        <f>Enrolment!N6</f>
        <v>9</v>
      </c>
      <c r="C112" s="77" cm="1">
        <f t="array" aca="1" ref="C112" ca="1">IF(ISNUMBER(_xll.VoseSimPercentile(Enrolment!N90,0.1)),_xll.VoseSimPercentile(Enrolment!N90,0.1),NA())</f>
        <v>67</v>
      </c>
      <c r="D112" s="77" cm="1">
        <f t="array" aca="1" ref="D112" ca="1">IF(ISNUMBER(_xll.VoseSimPercentile(Enrolment!N90,0.5)),_xll.VoseSimPercentile(Enrolment!N90,0.5),NA())</f>
        <v>92</v>
      </c>
      <c r="E112" s="77" cm="1">
        <f t="array" aca="1" ref="E112" ca="1">IF(ISNUMBER(_xll.VoseSimPercentile(Enrolment!N90,0.9)),_xll.VoseSimPercentile(Enrolment!N90,0.9),NA())</f>
        <v>122</v>
      </c>
      <c r="F112" s="77" cm="1">
        <f t="array" aca="1" ref="F112" ca="1">IF(ISNUMBER(_xll.VoseSimMean(Enrolment!N90)),_xll.VoseSimMean(Enrolment!N90),NA())</f>
        <v>93.481574078703929</v>
      </c>
      <c r="G112" s="77">
        <f t="shared" si="2"/>
        <v>300</v>
      </c>
      <c r="H112" s="77">
        <f>MIN(Target,Sites_1*RateMean_ML*MAX(0,9-Open_ML))</f>
        <v>120</v>
      </c>
    </row>
    <row r="113" spans="2:8" hidden="1" outlineLevel="1" x14ac:dyDescent="0.45">
      <c r="B113" s="78">
        <f>Enrolment!O6</f>
        <v>10</v>
      </c>
      <c r="C113" s="77" cm="1">
        <f t="array" aca="1" ref="C113" ca="1">IF(ISNUMBER(_xll.VoseSimPercentile(Enrolment!O90,0.1)),_xll.VoseSimPercentile(Enrolment!O90,0.1),NA())</f>
        <v>80</v>
      </c>
      <c r="D113" s="77" cm="1">
        <f t="array" aca="1" ref="D113" ca="1">IF(ISNUMBER(_xll.VoseSimPercentile(Enrolment!O90,0.5)),_xll.VoseSimPercentile(Enrolment!O90,0.5),NA())</f>
        <v>109</v>
      </c>
      <c r="E113" s="77" cm="1">
        <f t="array" aca="1" ref="E113" ca="1">IF(ISNUMBER(_xll.VoseSimPercentile(Enrolment!O90,0.9)),_xll.VoseSimPercentile(Enrolment!O90,0.9),NA())</f>
        <v>143</v>
      </c>
      <c r="F113" s="77" cm="1">
        <f t="array" aca="1" ref="F113" ca="1">IF(ISNUMBER(_xll.VoseSimMean(Enrolment!O90)),_xll.VoseSimMean(Enrolment!O90),NA())</f>
        <v>110.39341967098355</v>
      </c>
      <c r="G113" s="77">
        <f t="shared" si="2"/>
        <v>300</v>
      </c>
      <c r="H113" s="77">
        <f>MIN(Target,Sites_1*RateMean_ML*MAX(0,10-Open_ML))</f>
        <v>140</v>
      </c>
    </row>
    <row r="114" spans="2:8" hidden="1" outlineLevel="1" x14ac:dyDescent="0.45">
      <c r="B114" s="78">
        <f>Enrolment!P6</f>
        <v>11</v>
      </c>
      <c r="C114" s="77" cm="1">
        <f t="array" aca="1" ref="C114" ca="1">IF(ISNUMBER(_xll.VoseSimPercentile(Enrolment!P90,0.1)),_xll.VoseSimPercentile(Enrolment!P90,0.1),NA())</f>
        <v>93</v>
      </c>
      <c r="D114" s="77" cm="1">
        <f t="array" aca="1" ref="D114" ca="1">IF(ISNUMBER(_xll.VoseSimPercentile(Enrolment!P90,0.5)),_xll.VoseSimPercentile(Enrolment!P90,0.5),NA())</f>
        <v>126</v>
      </c>
      <c r="E114" s="77" cm="1">
        <f t="array" aca="1" ref="E114" ca="1">IF(ISNUMBER(_xll.VoseSimPercentile(Enrolment!P90,0.9)),_xll.VoseSimPercentile(Enrolment!P90,0.9),NA())</f>
        <v>165</v>
      </c>
      <c r="F114" s="77" cm="1">
        <f t="array" aca="1" ref="F114" ca="1">IF(ISNUMBER(_xll.VoseSimMean(Enrolment!P90)),_xll.VoseSimMean(Enrolment!P90),NA())</f>
        <v>127.39681984099205</v>
      </c>
      <c r="G114" s="77">
        <f t="shared" si="2"/>
        <v>300</v>
      </c>
      <c r="H114" s="77">
        <f>MIN(Target,Sites_1*RateMean_ML*MAX(0,11-Open_ML))</f>
        <v>160</v>
      </c>
    </row>
    <row r="115" spans="2:8" hidden="1" outlineLevel="1" x14ac:dyDescent="0.45">
      <c r="B115" s="78">
        <f>Enrolment!Q6</f>
        <v>12</v>
      </c>
      <c r="C115" s="77" cm="1">
        <f t="array" aca="1" ref="C115" ca="1">IF(ISNUMBER(_xll.VoseSimPercentile(Enrolment!Q90,0.1)),_xll.VoseSimPercentile(Enrolment!Q90,0.1),NA())</f>
        <v>105</v>
      </c>
      <c r="D115" s="77" cm="1">
        <f t="array" aca="1" ref="D115" ca="1">IF(ISNUMBER(_xll.VoseSimPercentile(Enrolment!Q90,0.5)),_xll.VoseSimPercentile(Enrolment!Q90,0.5),NA())</f>
        <v>143</v>
      </c>
      <c r="E115" s="77" cm="1">
        <f t="array" aca="1" ref="E115" ca="1">IF(ISNUMBER(_xll.VoseSimPercentile(Enrolment!Q90,0.9)),_xll.VoseSimPercentile(Enrolment!Q90,0.9),NA())</f>
        <v>186</v>
      </c>
      <c r="F115" s="77" cm="1">
        <f t="array" aca="1" ref="F115" ca="1">IF(ISNUMBER(_xll.VoseSimMean(Enrolment!Q90)),_xll.VoseSimMean(Enrolment!Q90),NA())</f>
        <v>144.35871793589681</v>
      </c>
      <c r="G115" s="77">
        <f t="shared" si="2"/>
        <v>300</v>
      </c>
      <c r="H115" s="77">
        <f>MIN(Target,Sites_1*RateMean_ML*MAX(0,12-Open_ML))</f>
        <v>180</v>
      </c>
    </row>
    <row r="116" spans="2:8" hidden="1" outlineLevel="1" x14ac:dyDescent="0.45">
      <c r="B116" s="78">
        <f>Enrolment!R6</f>
        <v>13</v>
      </c>
      <c r="C116" s="77" cm="1">
        <f t="array" aca="1" ref="C116" ca="1">IF(ISNUMBER(_xll.VoseSimPercentile(Enrolment!R90,0.1)),_xll.VoseSimPercentile(Enrolment!R90,0.1),NA())</f>
        <v>118</v>
      </c>
      <c r="D116" s="77" cm="1">
        <f t="array" aca="1" ref="D116" ca="1">IF(ISNUMBER(_xll.VoseSimPercentile(Enrolment!R90,0.5)),_xll.VoseSimPercentile(Enrolment!R90,0.5),NA())</f>
        <v>159</v>
      </c>
      <c r="E116" s="77" cm="1">
        <f t="array" aca="1" ref="E116" ca="1">IF(ISNUMBER(_xll.VoseSimPercentile(Enrolment!R90,0.9)),_xll.VoseSimPercentile(Enrolment!R90,0.9),NA())</f>
        <v>207</v>
      </c>
      <c r="F116" s="77" cm="1">
        <f t="array" aca="1" ref="F116" ca="1">IF(ISNUMBER(_xll.VoseSimMean(Enrolment!R90)),_xll.VoseSimMean(Enrolment!R90),NA())</f>
        <v>161.38496924846243</v>
      </c>
      <c r="G116" s="77">
        <f t="shared" si="2"/>
        <v>300</v>
      </c>
      <c r="H116" s="77">
        <f>MIN(Target,Sites_1*RateMean_ML*MAX(0,13-Open_ML))</f>
        <v>200</v>
      </c>
    </row>
    <row r="117" spans="2:8" hidden="1" outlineLevel="1" x14ac:dyDescent="0.45">
      <c r="B117" s="78">
        <f>Enrolment!S6</f>
        <v>14</v>
      </c>
      <c r="C117" s="77" cm="1">
        <f t="array" aca="1" ref="C117" ca="1">IF(ISNUMBER(_xll.VoseSimPercentile(Enrolment!S90,0.1)),_xll.VoseSimPercentile(Enrolment!S90,0.1),NA())</f>
        <v>131</v>
      </c>
      <c r="D117" s="77" cm="1">
        <f t="array" aca="1" ref="D117" ca="1">IF(ISNUMBER(_xll.VoseSimPercentile(Enrolment!S90,0.5)),_xll.VoseSimPercentile(Enrolment!S90,0.5),NA())</f>
        <v>176</v>
      </c>
      <c r="E117" s="77" cm="1">
        <f t="array" aca="1" ref="E117" ca="1">IF(ISNUMBER(_xll.VoseSimPercentile(Enrolment!S90,0.9)),_xll.VoseSimPercentile(Enrolment!S90,0.9),NA())</f>
        <v>229</v>
      </c>
      <c r="F117" s="77" cm="1">
        <f t="array" aca="1" ref="F117" ca="1">IF(ISNUMBER(_xll.VoseSimMean(Enrolment!S90)),_xll.VoseSimMean(Enrolment!S90),NA())</f>
        <v>178.41147057352867</v>
      </c>
      <c r="G117" s="77">
        <f t="shared" si="2"/>
        <v>300</v>
      </c>
      <c r="H117" s="77">
        <f>MIN(Target,Sites_1*RateMean_ML*MAX(0,14-Open_ML))</f>
        <v>220</v>
      </c>
    </row>
    <row r="118" spans="2:8" hidden="1" outlineLevel="1" x14ac:dyDescent="0.45">
      <c r="B118" s="78">
        <f>Enrolment!T6</f>
        <v>15</v>
      </c>
      <c r="C118" s="77" cm="1">
        <f t="array" aca="1" ref="C118" ca="1">IF(ISNUMBER(_xll.VoseSimPercentile(Enrolment!T90,0.1)),_xll.VoseSimPercentile(Enrolment!T90,0.1),NA())</f>
        <v>144</v>
      </c>
      <c r="D118" s="77" cm="1">
        <f t="array" aca="1" ref="D118" ca="1">IF(ISNUMBER(_xll.VoseSimPercentile(Enrolment!T90,0.5)),_xll.VoseSimPercentile(Enrolment!T90,0.5),NA())</f>
        <v>193</v>
      </c>
      <c r="E118" s="77" cm="1">
        <f t="array" aca="1" ref="E118" ca="1">IF(ISNUMBER(_xll.VoseSimPercentile(Enrolment!T90,0.9)),_xll.VoseSimPercentile(Enrolment!T90,0.9),NA())</f>
        <v>250</v>
      </c>
      <c r="F118" s="77" cm="1">
        <f t="array" aca="1" ref="F118" ca="1">IF(ISNUMBER(_xll.VoseSimMean(Enrolment!T90)),_xll.VoseSimMean(Enrolment!T90),NA())</f>
        <v>195.24626231311566</v>
      </c>
      <c r="G118" s="77">
        <f t="shared" si="2"/>
        <v>300</v>
      </c>
      <c r="H118" s="77">
        <f>MIN(Target,Sites_1*RateMean_ML*MAX(0,15-Open_ML))</f>
        <v>240</v>
      </c>
    </row>
    <row r="119" spans="2:8" hidden="1" outlineLevel="1" x14ac:dyDescent="0.45">
      <c r="B119" s="78">
        <f>Enrolment!U6</f>
        <v>16</v>
      </c>
      <c r="C119" s="77" cm="1">
        <f t="array" aca="1" ref="C119" ca="1">IF(ISNUMBER(_xll.VoseSimPercentile(Enrolment!U90,0.1)),_xll.VoseSimPercentile(Enrolment!U90,0.1),NA())</f>
        <v>157</v>
      </c>
      <c r="D119" s="77" cm="1">
        <f t="array" aca="1" ref="D119" ca="1">IF(ISNUMBER(_xll.VoseSimPercentile(Enrolment!U90,0.5)),_xll.VoseSimPercentile(Enrolment!U90,0.5),NA())</f>
        <v>210</v>
      </c>
      <c r="E119" s="77" cm="1">
        <f t="array" aca="1" ref="E119" ca="1">IF(ISNUMBER(_xll.VoseSimPercentile(Enrolment!U90,0.9)),_xll.VoseSimPercentile(Enrolment!U90,0.9),NA())</f>
        <v>271</v>
      </c>
      <c r="F119" s="77" cm="1">
        <f t="array" aca="1" ref="F119" ca="1">IF(ISNUMBER(_xll.VoseSimMean(Enrolment!U90)),_xll.VoseSimMean(Enrolment!U90),NA())</f>
        <v>211.78928946447323</v>
      </c>
      <c r="G119" s="77">
        <f t="shared" si="2"/>
        <v>300</v>
      </c>
      <c r="H119" s="77">
        <f>MIN(Target,Sites_1*RateMean_ML*MAX(0,16-Open_ML))</f>
        <v>260</v>
      </c>
    </row>
    <row r="120" spans="2:8" hidden="1" outlineLevel="1" x14ac:dyDescent="0.45">
      <c r="B120" s="78">
        <f>Enrolment!V6</f>
        <v>17</v>
      </c>
      <c r="C120" s="77" cm="1">
        <f t="array" aca="1" ref="C120" ca="1">IF(ISNUMBER(_xll.VoseSimPercentile(Enrolment!V90,0.1)),_xll.VoseSimPercentile(Enrolment!V90,0.1),NA())</f>
        <v>169</v>
      </c>
      <c r="D120" s="77" cm="1">
        <f t="array" aca="1" ref="D120" ca="1">IF(ISNUMBER(_xll.VoseSimPercentile(Enrolment!V90,0.5)),_xll.VoseSimPercentile(Enrolment!V90,0.5),NA())</f>
        <v>227</v>
      </c>
      <c r="E120" s="77" cm="1">
        <f t="array" aca="1" ref="E120" ca="1">IF(ISNUMBER(_xll.VoseSimPercentile(Enrolment!V90,0.9)),_xll.VoseSimPercentile(Enrolment!V90,0.9),NA())</f>
        <v>293</v>
      </c>
      <c r="F120" s="77" cm="1">
        <f t="array" aca="1" ref="F120" ca="1">IF(ISNUMBER(_xll.VoseSimMean(Enrolment!V90)),_xll.VoseSimMean(Enrolment!V90),NA())</f>
        <v>227.5149257462873</v>
      </c>
      <c r="G120" s="77">
        <f t="shared" si="2"/>
        <v>300</v>
      </c>
      <c r="H120" s="77">
        <f>MIN(Target,Sites_1*RateMean_ML*MAX(0,17-Open_ML))</f>
        <v>280</v>
      </c>
    </row>
    <row r="121" spans="2:8" hidden="1" outlineLevel="1" x14ac:dyDescent="0.45">
      <c r="B121" s="78">
        <f>Enrolment!W6</f>
        <v>18</v>
      </c>
      <c r="C121" s="77" cm="1">
        <f t="array" aca="1" ref="C121" ca="1">IF(ISNUMBER(_xll.VoseSimPercentile(Enrolment!W90,0.1)),_xll.VoseSimPercentile(Enrolment!W90,0.1),NA())</f>
        <v>183</v>
      </c>
      <c r="D121" s="77" cm="1">
        <f t="array" aca="1" ref="D121" ca="1">IF(ISNUMBER(_xll.VoseSimPercentile(Enrolment!W90,0.5)),_xll.VoseSimPercentile(Enrolment!W90,0.5),NA())</f>
        <v>243</v>
      </c>
      <c r="E121" s="77" cm="1">
        <f t="array" aca="1" ref="E121" ca="1">IF(ISNUMBER(_xll.VoseSimPercentile(Enrolment!W90,0.9)),_xll.VoseSimPercentile(Enrolment!W90,0.9),NA())</f>
        <v>300</v>
      </c>
      <c r="F121" s="77" cm="1">
        <f t="array" aca="1" ref="F121" ca="1">IF(ISNUMBER(_xll.VoseSimMean(Enrolment!W90)),_xll.VoseSimMean(Enrolment!W90),NA())</f>
        <v>241.8520426021301</v>
      </c>
      <c r="G121" s="77">
        <f t="shared" si="2"/>
        <v>300</v>
      </c>
      <c r="H121" s="77">
        <f>MIN(Target,Sites_1*RateMean_ML*MAX(0,18-Open_ML))</f>
        <v>300</v>
      </c>
    </row>
    <row r="122" spans="2:8" hidden="1" outlineLevel="1" x14ac:dyDescent="0.45">
      <c r="B122" s="78">
        <f>Enrolment!X6</f>
        <v>19</v>
      </c>
      <c r="C122" s="77" cm="1">
        <f t="array" aca="1" ref="C122" ca="1">IF(ISNUMBER(_xll.VoseSimPercentile(Enrolment!X90,0.1)),_xll.VoseSimPercentile(Enrolment!X90,0.1),NA())</f>
        <v>195</v>
      </c>
      <c r="D122" s="77" cm="1">
        <f t="array" aca="1" ref="D122" ca="1">IF(ISNUMBER(_xll.VoseSimPercentile(Enrolment!X90,0.5)),_xll.VoseSimPercentile(Enrolment!X90,0.5),NA())</f>
        <v>260</v>
      </c>
      <c r="E122" s="77" cm="1">
        <f t="array" aca="1" ref="E122" ca="1">IF(ISNUMBER(_xll.VoseSimPercentile(Enrolment!X90,0.9)),_xll.VoseSimPercentile(Enrolment!X90,0.9),NA())</f>
        <v>300</v>
      </c>
      <c r="F122" s="77" cm="1">
        <f t="array" aca="1" ref="F122" ca="1">IF(ISNUMBER(_xll.VoseSimMean(Enrolment!X90)),_xll.VoseSimMean(Enrolment!X90),NA())</f>
        <v>254.46927346367318</v>
      </c>
      <c r="G122" s="77">
        <f t="shared" si="2"/>
        <v>300</v>
      </c>
      <c r="H122" s="77">
        <f>MIN(Target,Sites_1*RateMean_ML*MAX(0,19-Open_ML))</f>
        <v>300</v>
      </c>
    </row>
    <row r="123" spans="2:8" hidden="1" outlineLevel="1" x14ac:dyDescent="0.45">
      <c r="B123" s="78">
        <f>Enrolment!Y6</f>
        <v>20</v>
      </c>
      <c r="C123" s="77" cm="1">
        <f t="array" aca="1" ref="C123" ca="1">IF(ISNUMBER(_xll.VoseSimPercentile(Enrolment!Y90,0.1)),_xll.VoseSimPercentile(Enrolment!Y90,0.1),NA())</f>
        <v>208</v>
      </c>
      <c r="D123" s="77" cm="1">
        <f t="array" aca="1" ref="D123" ca="1">IF(ISNUMBER(_xll.VoseSimPercentile(Enrolment!Y90,0.5)),_xll.VoseSimPercentile(Enrolment!Y90,0.5),NA())</f>
        <v>277</v>
      </c>
      <c r="E123" s="77" cm="1">
        <f t="array" aca="1" ref="E123" ca="1">IF(ISNUMBER(_xll.VoseSimPercentile(Enrolment!Y90,0.9)),_xll.VoseSimPercentile(Enrolment!Y90,0.9),NA())</f>
        <v>300</v>
      </c>
      <c r="F123" s="77" cm="1">
        <f t="array" aca="1" ref="F123" ca="1">IF(ISNUMBER(_xll.VoseSimMean(Enrolment!Y90)),_xll.VoseSimMean(Enrolment!Y90),NA())</f>
        <v>265.16980849042454</v>
      </c>
      <c r="G123" s="77">
        <f t="shared" si="2"/>
        <v>300</v>
      </c>
      <c r="H123" s="77">
        <f>MIN(Target,Sites_1*RateMean_ML*MAX(0,20-Open_ML))</f>
        <v>300</v>
      </c>
    </row>
    <row r="124" spans="2:8" hidden="1" outlineLevel="1" x14ac:dyDescent="0.45">
      <c r="B124" s="78">
        <f>Enrolment!Z6</f>
        <v>21</v>
      </c>
      <c r="C124" s="77" cm="1">
        <f t="array" aca="1" ref="C124" ca="1">IF(ISNUMBER(_xll.VoseSimPercentile(Enrolment!Z90,0.1)),_xll.VoseSimPercentile(Enrolment!Z90,0.1),NA())</f>
        <v>221</v>
      </c>
      <c r="D124" s="77" cm="1">
        <f t="array" aca="1" ref="D124" ca="1">IF(ISNUMBER(_xll.VoseSimPercentile(Enrolment!Z90,0.5)),_xll.VoseSimPercentile(Enrolment!Z90,0.5),NA())</f>
        <v>294</v>
      </c>
      <c r="E124" s="77" cm="1">
        <f t="array" aca="1" ref="E124" ca="1">IF(ISNUMBER(_xll.VoseSimPercentile(Enrolment!Z90,0.9)),_xll.VoseSimPercentile(Enrolment!Z90,0.9),NA())</f>
        <v>300</v>
      </c>
      <c r="F124" s="77" cm="1">
        <f t="array" aca="1" ref="F124" ca="1">IF(ISNUMBER(_xll.VoseSimMean(Enrolment!Z90)),_xll.VoseSimMean(Enrolment!Z90),NA())</f>
        <v>273.8772438621931</v>
      </c>
      <c r="G124" s="77">
        <f t="shared" si="2"/>
        <v>300</v>
      </c>
      <c r="H124" s="77">
        <f>MIN(Target,Sites_1*RateMean_ML*MAX(0,21-Open_ML))</f>
        <v>300</v>
      </c>
    </row>
    <row r="125" spans="2:8" hidden="1" outlineLevel="1" x14ac:dyDescent="0.45">
      <c r="B125" s="78">
        <f>Enrolment!AA6</f>
        <v>22</v>
      </c>
      <c r="C125" s="77" cm="1">
        <f t="array" aca="1" ref="C125" ca="1">IF(ISNUMBER(_xll.VoseSimPercentile(Enrolment!AA90,0.1)),_xll.VoseSimPercentile(Enrolment!AA90,0.1),NA())</f>
        <v>233</v>
      </c>
      <c r="D125" s="77" cm="1">
        <f t="array" aca="1" ref="D125" ca="1">IF(ISNUMBER(_xll.VoseSimPercentile(Enrolment!AA90,0.5)),_xll.VoseSimPercentile(Enrolment!AA90,0.5),NA())</f>
        <v>300</v>
      </c>
      <c r="E125" s="77" cm="1">
        <f t="array" aca="1" ref="E125" ca="1">IF(ISNUMBER(_xll.VoseSimPercentile(Enrolment!AA90,0.9)),_xll.VoseSimPercentile(Enrolment!AA90,0.9),NA())</f>
        <v>300</v>
      </c>
      <c r="F125" s="77" cm="1">
        <f t="array" aca="1" ref="F125" ca="1">IF(ISNUMBER(_xll.VoseSimMean(Enrolment!AA90)),_xll.VoseSimMean(Enrolment!AA90),NA())</f>
        <v>280.8461923096155</v>
      </c>
      <c r="G125" s="77">
        <f t="shared" si="2"/>
        <v>300</v>
      </c>
      <c r="H125" s="77">
        <f>MIN(Target,Sites_1*RateMean_ML*MAX(0,22-Open_ML))</f>
        <v>300</v>
      </c>
    </row>
    <row r="126" spans="2:8" hidden="1" outlineLevel="1" x14ac:dyDescent="0.45">
      <c r="B126" s="78">
        <f>Enrolment!AB6</f>
        <v>23</v>
      </c>
      <c r="C126" s="77" cm="1">
        <f t="array" aca="1" ref="C126" ca="1">IF(ISNUMBER(_xll.VoseSimPercentile(Enrolment!AB90,0.1)),_xll.VoseSimPercentile(Enrolment!AB90,0.1),NA())</f>
        <v>246</v>
      </c>
      <c r="D126" s="77" cm="1">
        <f t="array" aca="1" ref="D126" ca="1">IF(ISNUMBER(_xll.VoseSimPercentile(Enrolment!AB90,0.5)),_xll.VoseSimPercentile(Enrolment!AB90,0.5),NA())</f>
        <v>300</v>
      </c>
      <c r="E126" s="77" cm="1">
        <f t="array" aca="1" ref="E126" ca="1">IF(ISNUMBER(_xll.VoseSimPercentile(Enrolment!AB90,0.9)),_xll.VoseSimPercentile(Enrolment!AB90,0.9),NA())</f>
        <v>300</v>
      </c>
      <c r="F126" s="77" cm="1">
        <f t="array" aca="1" ref="F126" ca="1">IF(ISNUMBER(_xll.VoseSimMean(Enrolment!AB90)),_xll.VoseSimMean(Enrolment!AB90),NA())</f>
        <v>286.17390869543476</v>
      </c>
      <c r="G126" s="77">
        <f t="shared" si="2"/>
        <v>300</v>
      </c>
      <c r="H126" s="77">
        <f>MIN(Target,Sites_1*RateMean_ML*MAX(0,23-Open_ML))</f>
        <v>300</v>
      </c>
    </row>
    <row r="127" spans="2:8" hidden="1" outlineLevel="1" x14ac:dyDescent="0.45">
      <c r="B127" s="78">
        <f>Enrolment!AC6</f>
        <v>24</v>
      </c>
      <c r="C127" s="77" cm="1">
        <f t="array" aca="1" ref="C127" ca="1">IF(ISNUMBER(_xll.VoseSimPercentile(Enrolment!AC90,0.1)),_xll.VoseSimPercentile(Enrolment!AC90,0.1),NA())</f>
        <v>259</v>
      </c>
      <c r="D127" s="77" cm="1">
        <f t="array" aca="1" ref="D127" ca="1">IF(ISNUMBER(_xll.VoseSimPercentile(Enrolment!AC90,0.5)),_xll.VoseSimPercentile(Enrolment!AC90,0.5),NA())</f>
        <v>300</v>
      </c>
      <c r="E127" s="77" cm="1">
        <f t="array" aca="1" ref="E127" ca="1">IF(ISNUMBER(_xll.VoseSimPercentile(Enrolment!AC90,0.9)),_xll.VoseSimPercentile(Enrolment!AC90,0.9),NA())</f>
        <v>300</v>
      </c>
      <c r="F127" s="77" cm="1">
        <f t="array" aca="1" ref="F127" ca="1">IF(ISNUMBER(_xll.VoseSimMean(Enrolment!AC90)),_xll.VoseSimMean(Enrolment!AC90),NA())</f>
        <v>290.17100855042753</v>
      </c>
      <c r="G127" s="77">
        <f t="shared" si="2"/>
        <v>300</v>
      </c>
      <c r="H127" s="77">
        <f>MIN(Target,Sites_1*RateMean_ML*MAX(0,24-Open_ML))</f>
        <v>300</v>
      </c>
    </row>
    <row r="128" spans="2:8" hidden="1" outlineLevel="1" x14ac:dyDescent="0.45">
      <c r="B128" s="78">
        <f>Enrolment!AD6</f>
        <v>25</v>
      </c>
      <c r="C128" s="77" cm="1">
        <f t="array" aca="1" ref="C128" ca="1">IF(ISNUMBER(_xll.VoseSimPercentile(Enrolment!AD90,0.1)),_xll.VoseSimPercentile(Enrolment!AD90,0.1),NA())</f>
        <v>272</v>
      </c>
      <c r="D128" s="77" cm="1">
        <f t="array" aca="1" ref="D128" ca="1">IF(ISNUMBER(_xll.VoseSimPercentile(Enrolment!AD90,0.5)),_xll.VoseSimPercentile(Enrolment!AD90,0.5),NA())</f>
        <v>300</v>
      </c>
      <c r="E128" s="77" cm="1">
        <f t="array" aca="1" ref="E128" ca="1">IF(ISNUMBER(_xll.VoseSimPercentile(Enrolment!AD90,0.9)),_xll.VoseSimPercentile(Enrolment!AD90,0.9),NA())</f>
        <v>300</v>
      </c>
      <c r="F128" s="77" cm="1">
        <f t="array" aca="1" ref="F128" ca="1">IF(ISNUMBER(_xll.VoseSimMean(Enrolment!AD90)),_xll.VoseSimMean(Enrolment!AD90),NA())</f>
        <v>293.14895744787242</v>
      </c>
      <c r="G128" s="77">
        <f t="shared" si="2"/>
        <v>300</v>
      </c>
      <c r="H128" s="77">
        <f>MIN(Target,Sites_1*RateMean_ML*MAX(0,25-Open_ML))</f>
        <v>300</v>
      </c>
    </row>
    <row r="129" spans="2:8" hidden="1" outlineLevel="1" x14ac:dyDescent="0.45">
      <c r="B129" s="78">
        <f>Enrolment!AE6</f>
        <v>26</v>
      </c>
      <c r="C129" s="77" cm="1">
        <f t="array" aca="1" ref="C129" ca="1">IF(ISNUMBER(_xll.VoseSimPercentile(Enrolment!AE90,0.1)),_xll.VoseSimPercentile(Enrolment!AE90,0.1),NA())</f>
        <v>285</v>
      </c>
      <c r="D129" s="77" cm="1">
        <f t="array" aca="1" ref="D129" ca="1">IF(ISNUMBER(_xll.VoseSimPercentile(Enrolment!AE90,0.5)),_xll.VoseSimPercentile(Enrolment!AE90,0.5),NA())</f>
        <v>300</v>
      </c>
      <c r="E129" s="77" cm="1">
        <f t="array" aca="1" ref="E129" ca="1">IF(ISNUMBER(_xll.VoseSimPercentile(Enrolment!AE90,0.9)),_xll.VoseSimPercentile(Enrolment!AE90,0.9),NA())</f>
        <v>300</v>
      </c>
      <c r="F129" s="77" cm="1">
        <f t="array" aca="1" ref="F129" ca="1">IF(ISNUMBER(_xll.VoseSimMean(Enrolment!AE90)),_xll.VoseSimMean(Enrolment!AE90),NA())</f>
        <v>295.27686384319213</v>
      </c>
      <c r="G129" s="77">
        <f t="shared" si="2"/>
        <v>300</v>
      </c>
      <c r="H129" s="77">
        <f>MIN(Target,Sites_1*RateMean_ML*MAX(0,26-Open_ML))</f>
        <v>300</v>
      </c>
    </row>
    <row r="130" spans="2:8" hidden="1" outlineLevel="1" x14ac:dyDescent="0.45">
      <c r="B130" s="78">
        <f>Enrolment!AF6</f>
        <v>27</v>
      </c>
      <c r="C130" s="77" cm="1">
        <f t="array" aca="1" ref="C130" ca="1">IF(ISNUMBER(_xll.VoseSimPercentile(Enrolment!AF90,0.1)),_xll.VoseSimPercentile(Enrolment!AF90,0.1),NA())</f>
        <v>297</v>
      </c>
      <c r="D130" s="77" cm="1">
        <f t="array" aca="1" ref="D130" ca="1">IF(ISNUMBER(_xll.VoseSimPercentile(Enrolment!AF90,0.5)),_xll.VoseSimPercentile(Enrolment!AF90,0.5),NA())</f>
        <v>300</v>
      </c>
      <c r="E130" s="77" cm="1">
        <f t="array" aca="1" ref="E130" ca="1">IF(ISNUMBER(_xll.VoseSimPercentile(Enrolment!AF90,0.9)),_xll.VoseSimPercentile(Enrolment!AF90,0.9),NA())</f>
        <v>300</v>
      </c>
      <c r="F130" s="77" cm="1">
        <f t="array" aca="1" ref="F130" ca="1">IF(ISNUMBER(_xll.VoseSimMean(Enrolment!AF90)),_xll.VoseSimMean(Enrolment!AF90),NA())</f>
        <v>296.78693934696736</v>
      </c>
      <c r="G130" s="77">
        <f t="shared" si="2"/>
        <v>300</v>
      </c>
      <c r="H130" s="77">
        <f>MIN(Target,Sites_1*RateMean_ML*MAX(0,27-Open_ML))</f>
        <v>300</v>
      </c>
    </row>
    <row r="131" spans="2:8" hidden="1" outlineLevel="1" x14ac:dyDescent="0.45">
      <c r="B131" s="78">
        <f>Enrolment!AG6</f>
        <v>28</v>
      </c>
      <c r="C131" s="77" cm="1">
        <f t="array" aca="1" ref="C131" ca="1">IF(ISNUMBER(_xll.VoseSimPercentile(Enrolment!AG90,0.1)),_xll.VoseSimPercentile(Enrolment!AG90,0.1),NA())</f>
        <v>300</v>
      </c>
      <c r="D131" s="77" cm="1">
        <f t="array" aca="1" ref="D131" ca="1">IF(ISNUMBER(_xll.VoseSimPercentile(Enrolment!AG90,0.5)),_xll.VoseSimPercentile(Enrolment!AG90,0.5),NA())</f>
        <v>300</v>
      </c>
      <c r="E131" s="77" cm="1">
        <f t="array" aca="1" ref="E131" ca="1">IF(ISNUMBER(_xll.VoseSimPercentile(Enrolment!AG90,0.9)),_xll.VoseSimPercentile(Enrolment!AG90,0.9),NA())</f>
        <v>300</v>
      </c>
      <c r="F131" s="77" cm="1">
        <f t="array" aca="1" ref="F131" ca="1">IF(ISNUMBER(_xll.VoseSimMean(Enrolment!AG90)),_xll.VoseSimMean(Enrolment!AG90),NA())</f>
        <v>297.82369118455921</v>
      </c>
      <c r="G131" s="77">
        <f t="shared" si="2"/>
        <v>300</v>
      </c>
      <c r="H131" s="77">
        <f>MIN(Target,Sites_1*RateMean_ML*MAX(0,28-Open_ML))</f>
        <v>300</v>
      </c>
    </row>
    <row r="132" spans="2:8" hidden="1" outlineLevel="1" x14ac:dyDescent="0.45">
      <c r="B132" s="78">
        <f>Enrolment!AH6</f>
        <v>29</v>
      </c>
      <c r="C132" s="77" cm="1">
        <f t="array" aca="1" ref="C132" ca="1">IF(ISNUMBER(_xll.VoseSimPercentile(Enrolment!AH90,0.1)),_xll.VoseSimPercentile(Enrolment!AH90,0.1),NA())</f>
        <v>300</v>
      </c>
      <c r="D132" s="77" cm="1">
        <f t="array" aca="1" ref="D132" ca="1">IF(ISNUMBER(_xll.VoseSimPercentile(Enrolment!AH90,0.5)),_xll.VoseSimPercentile(Enrolment!AH90,0.5),NA())</f>
        <v>300</v>
      </c>
      <c r="E132" s="77" cm="1">
        <f t="array" aca="1" ref="E132" ca="1">IF(ISNUMBER(_xll.VoseSimPercentile(Enrolment!AH90,0.9)),_xll.VoseSimPercentile(Enrolment!AH90,0.9),NA())</f>
        <v>300</v>
      </c>
      <c r="F132" s="77" cm="1">
        <f t="array" aca="1" ref="F132" ca="1">IF(ISNUMBER(_xll.VoseSimMean(Enrolment!AH90)),_xll.VoseSimMean(Enrolment!AH90),NA())</f>
        <v>298.54412720636032</v>
      </c>
      <c r="G132" s="77">
        <f t="shared" si="2"/>
        <v>300</v>
      </c>
      <c r="H132" s="77">
        <f>MIN(Target,Sites_1*RateMean_ML*MAX(0,29-Open_ML))</f>
        <v>300</v>
      </c>
    </row>
    <row r="133" spans="2:8" hidden="1" outlineLevel="1" x14ac:dyDescent="0.45">
      <c r="B133" s="78">
        <f>Enrolment!AI6</f>
        <v>30</v>
      </c>
      <c r="C133" s="77" cm="1">
        <f t="array" aca="1" ref="C133" ca="1">IF(ISNUMBER(_xll.VoseSimPercentile(Enrolment!AI90,0.1)),_xll.VoseSimPercentile(Enrolment!AI90,0.1),NA())</f>
        <v>300</v>
      </c>
      <c r="D133" s="77" cm="1">
        <f t="array" aca="1" ref="D133" ca="1">IF(ISNUMBER(_xll.VoseSimPercentile(Enrolment!AI90,0.5)),_xll.VoseSimPercentile(Enrolment!AI90,0.5),NA())</f>
        <v>300</v>
      </c>
      <c r="E133" s="77" cm="1">
        <f t="array" aca="1" ref="E133" ca="1">IF(ISNUMBER(_xll.VoseSimPercentile(Enrolment!AI90,0.9)),_xll.VoseSimPercentile(Enrolment!AI90,0.9),NA())</f>
        <v>300</v>
      </c>
      <c r="F133" s="77" cm="1">
        <f t="array" aca="1" ref="F133" ca="1">IF(ISNUMBER(_xll.VoseSimMean(Enrolment!AI90)),_xll.VoseSimMean(Enrolment!AI90),NA())</f>
        <v>299.02395119755988</v>
      </c>
      <c r="G133" s="77">
        <f t="shared" si="2"/>
        <v>300</v>
      </c>
      <c r="H133" s="77">
        <f>MIN(Target,Sites_1*RateMean_ML*MAX(0,30-Open_ML))</f>
        <v>300</v>
      </c>
    </row>
    <row r="134" spans="2:8" hidden="1" outlineLevel="1" x14ac:dyDescent="0.45">
      <c r="B134" s="78">
        <f>Enrolment!AJ6</f>
        <v>31</v>
      </c>
      <c r="C134" s="77" cm="1">
        <f t="array" aca="1" ref="C134" ca="1">IF(ISNUMBER(_xll.VoseSimPercentile(Enrolment!AJ90,0.1)),_xll.VoseSimPercentile(Enrolment!AJ90,0.1),NA())</f>
        <v>300</v>
      </c>
      <c r="D134" s="77" cm="1">
        <f t="array" aca="1" ref="D134" ca="1">IF(ISNUMBER(_xll.VoseSimPercentile(Enrolment!AJ90,0.5)),_xll.VoseSimPercentile(Enrolment!AJ90,0.5),NA())</f>
        <v>300</v>
      </c>
      <c r="E134" s="77" cm="1">
        <f t="array" aca="1" ref="E134" ca="1">IF(ISNUMBER(_xll.VoseSimPercentile(Enrolment!AJ90,0.9)),_xll.VoseSimPercentile(Enrolment!AJ90,0.9),NA())</f>
        <v>300</v>
      </c>
      <c r="F134" s="77" cm="1">
        <f t="array" aca="1" ref="F134" ca="1">IF(ISNUMBER(_xll.VoseSimMean(Enrolment!AJ90)),_xll.VoseSimMean(Enrolment!AJ90),NA())</f>
        <v>299.35286764338218</v>
      </c>
      <c r="G134" s="77">
        <f t="shared" si="2"/>
        <v>300</v>
      </c>
      <c r="H134" s="77">
        <f>MIN(Target,Sites_1*RateMean_ML*MAX(0,31-Open_ML))</f>
        <v>300</v>
      </c>
    </row>
    <row r="135" spans="2:8" hidden="1" outlineLevel="1" x14ac:dyDescent="0.45">
      <c r="B135" s="78">
        <f>Enrolment!AK6</f>
        <v>32</v>
      </c>
      <c r="C135" s="77" cm="1">
        <f t="array" aca="1" ref="C135" ca="1">IF(ISNUMBER(_xll.VoseSimPercentile(Enrolment!AK90,0.1)),_xll.VoseSimPercentile(Enrolment!AK90,0.1),NA())</f>
        <v>300</v>
      </c>
      <c r="D135" s="77" cm="1">
        <f t="array" aca="1" ref="D135" ca="1">IF(ISNUMBER(_xll.VoseSimPercentile(Enrolment!AK90,0.5)),_xll.VoseSimPercentile(Enrolment!AK90,0.5),NA())</f>
        <v>300</v>
      </c>
      <c r="E135" s="77" cm="1">
        <f t="array" aca="1" ref="E135" ca="1">IF(ISNUMBER(_xll.VoseSimPercentile(Enrolment!AK90,0.9)),_xll.VoseSimPercentile(Enrolment!AK90,0.9),NA())</f>
        <v>300</v>
      </c>
      <c r="F135" s="77" cm="1">
        <f t="array" aca="1" ref="F135" ca="1">IF(ISNUMBER(_xll.VoseSimMean(Enrolment!AK90)),_xll.VoseSimMean(Enrolment!AK90),NA())</f>
        <v>299.57467873393671</v>
      </c>
      <c r="G135" s="77">
        <f t="shared" si="2"/>
        <v>300</v>
      </c>
      <c r="H135" s="77">
        <f>MIN(Target,Sites_1*RateMean_ML*MAX(0,32-Open_ML))</f>
        <v>300</v>
      </c>
    </row>
    <row r="136" spans="2:8" hidden="1" outlineLevel="1" x14ac:dyDescent="0.45">
      <c r="B136" s="78">
        <f>Enrolment!AL6</f>
        <v>33</v>
      </c>
      <c r="C136" s="77" cm="1">
        <f t="array" aca="1" ref="C136" ca="1">IF(ISNUMBER(_xll.VoseSimPercentile(Enrolment!AL90,0.1)),_xll.VoseSimPercentile(Enrolment!AL90,0.1),NA())</f>
        <v>300</v>
      </c>
      <c r="D136" s="77" cm="1">
        <f t="array" aca="1" ref="D136" ca="1">IF(ISNUMBER(_xll.VoseSimPercentile(Enrolment!AL90,0.5)),_xll.VoseSimPercentile(Enrolment!AL90,0.5),NA())</f>
        <v>300</v>
      </c>
      <c r="E136" s="77" cm="1">
        <f t="array" aca="1" ref="E136" ca="1">IF(ISNUMBER(_xll.VoseSimPercentile(Enrolment!AL90,0.9)),_xll.VoseSimPercentile(Enrolment!AL90,0.9),NA())</f>
        <v>300</v>
      </c>
      <c r="F136" s="77" cm="1">
        <f t="array" aca="1" ref="F136" ca="1">IF(ISNUMBER(_xll.VoseSimMean(Enrolment!AL90)),_xll.VoseSimMean(Enrolment!AL90),NA())</f>
        <v>299.71078553927697</v>
      </c>
      <c r="G136" s="77">
        <f t="shared" si="2"/>
        <v>300</v>
      </c>
      <c r="H136" s="77">
        <f>MIN(Target,Sites_1*RateMean_ML*MAX(0,33-Open_ML))</f>
        <v>300</v>
      </c>
    </row>
    <row r="137" spans="2:8" hidden="1" outlineLevel="1" x14ac:dyDescent="0.45">
      <c r="B137" s="78">
        <f>Enrolment!AM6</f>
        <v>34</v>
      </c>
      <c r="C137" s="77" cm="1">
        <f t="array" aca="1" ref="C137" ca="1">IF(ISNUMBER(_xll.VoseSimPercentile(Enrolment!AM90,0.1)),_xll.VoseSimPercentile(Enrolment!AM90,0.1),NA())</f>
        <v>300</v>
      </c>
      <c r="D137" s="77" cm="1">
        <f t="array" aca="1" ref="D137" ca="1">IF(ISNUMBER(_xll.VoseSimPercentile(Enrolment!AM90,0.5)),_xll.VoseSimPercentile(Enrolment!AM90,0.5),NA())</f>
        <v>300</v>
      </c>
      <c r="E137" s="77" cm="1">
        <f t="array" aca="1" ref="E137" ca="1">IF(ISNUMBER(_xll.VoseSimPercentile(Enrolment!AM90,0.9)),_xll.VoseSimPercentile(Enrolment!AM90,0.9),NA())</f>
        <v>300</v>
      </c>
      <c r="F137" s="77" cm="1">
        <f t="array" aca="1" ref="F137" ca="1">IF(ISNUMBER(_xll.VoseSimMean(Enrolment!AM90)),_xll.VoseSimMean(Enrolment!AM90),NA())</f>
        <v>299.80219010950549</v>
      </c>
      <c r="G137" s="77">
        <f t="shared" si="2"/>
        <v>300</v>
      </c>
      <c r="H137" s="77">
        <f>MIN(Target,Sites_1*RateMean_ML*MAX(0,34-Open_ML))</f>
        <v>300</v>
      </c>
    </row>
    <row r="138" spans="2:8" hidden="1" outlineLevel="1" x14ac:dyDescent="0.45">
      <c r="B138" s="78">
        <f>Enrolment!AN6</f>
        <v>35</v>
      </c>
      <c r="C138" s="77" cm="1">
        <f t="array" aca="1" ref="C138" ca="1">IF(ISNUMBER(_xll.VoseSimPercentile(Enrolment!AN90,0.1)),_xll.VoseSimPercentile(Enrolment!AN90,0.1),NA())</f>
        <v>300</v>
      </c>
      <c r="D138" s="77" cm="1">
        <f t="array" aca="1" ref="D138" ca="1">IF(ISNUMBER(_xll.VoseSimPercentile(Enrolment!AN90,0.5)),_xll.VoseSimPercentile(Enrolment!AN90,0.5),NA())</f>
        <v>300</v>
      </c>
      <c r="E138" s="77" cm="1">
        <f t="array" aca="1" ref="E138" ca="1">IF(ISNUMBER(_xll.VoseSimPercentile(Enrolment!AN90,0.9)),_xll.VoseSimPercentile(Enrolment!AN90,0.9),NA())</f>
        <v>300</v>
      </c>
      <c r="F138" s="77" cm="1">
        <f t="array" aca="1" ref="F138" ca="1">IF(ISNUMBER(_xll.VoseSimMean(Enrolment!AN90)),_xll.VoseSimMean(Enrolment!AN90),NA())</f>
        <v>299.86449322466126</v>
      </c>
      <c r="G138" s="77">
        <f t="shared" si="2"/>
        <v>300</v>
      </c>
      <c r="H138" s="77">
        <f>MIN(Target,Sites_1*RateMean_ML*MAX(0,35-Open_ML))</f>
        <v>300</v>
      </c>
    </row>
    <row r="139" spans="2:8" hidden="1" outlineLevel="1" x14ac:dyDescent="0.45">
      <c r="B139" s="78">
        <f>Enrolment!AO6</f>
        <v>36</v>
      </c>
      <c r="C139" s="77" cm="1">
        <f t="array" aca="1" ref="C139" ca="1">IF(ISNUMBER(_xll.VoseSimPercentile(Enrolment!AO90,0.1)),_xll.VoseSimPercentile(Enrolment!AO90,0.1),NA())</f>
        <v>300</v>
      </c>
      <c r="D139" s="77" cm="1">
        <f t="array" aca="1" ref="D139" ca="1">IF(ISNUMBER(_xll.VoseSimPercentile(Enrolment!AO90,0.5)),_xll.VoseSimPercentile(Enrolment!AO90,0.5),NA())</f>
        <v>300</v>
      </c>
      <c r="E139" s="77" cm="1">
        <f t="array" aca="1" ref="E139" ca="1">IF(ISNUMBER(_xll.VoseSimPercentile(Enrolment!AO90,0.9)),_xll.VoseSimPercentile(Enrolment!AO90,0.9),NA())</f>
        <v>300</v>
      </c>
      <c r="F139" s="77" cm="1">
        <f t="array" aca="1" ref="F139" ca="1">IF(ISNUMBER(_xll.VoseSimMean(Enrolment!AO90)),_xll.VoseSimMean(Enrolment!AO90),NA())</f>
        <v>299.90539526976346</v>
      </c>
      <c r="G139" s="77">
        <f t="shared" si="2"/>
        <v>300</v>
      </c>
      <c r="H139" s="77">
        <f>MIN(Target,Sites_1*RateMean_ML*MAX(0,36-Open_ML))</f>
        <v>300</v>
      </c>
    </row>
    <row r="140" spans="2:8" hidden="1" outlineLevel="1" x14ac:dyDescent="0.45">
      <c r="B140" s="78">
        <f>Enrolment!AP6</f>
        <v>37</v>
      </c>
      <c r="C140" s="77" cm="1">
        <f t="array" aca="1" ref="C140" ca="1">IF(ISNUMBER(_xll.VoseSimPercentile(Enrolment!AP90,0.1)),_xll.VoseSimPercentile(Enrolment!AP90,0.1),NA())</f>
        <v>300</v>
      </c>
      <c r="D140" s="77" cm="1">
        <f t="array" aca="1" ref="D140" ca="1">IF(ISNUMBER(_xll.VoseSimPercentile(Enrolment!AP90,0.5)),_xll.VoseSimPercentile(Enrolment!AP90,0.5),NA())</f>
        <v>300</v>
      </c>
      <c r="E140" s="77" cm="1">
        <f t="array" aca="1" ref="E140" ca="1">IF(ISNUMBER(_xll.VoseSimPercentile(Enrolment!AP90,0.9)),_xll.VoseSimPercentile(Enrolment!AP90,0.9),NA())</f>
        <v>300</v>
      </c>
      <c r="F140" s="77" cm="1">
        <f t="array" aca="1" ref="F140" ca="1">IF(ISNUMBER(_xll.VoseSimMean(Enrolment!AP90)),_xll.VoseSimMean(Enrolment!AP90),NA())</f>
        <v>299.93299664983249</v>
      </c>
      <c r="G140" s="77">
        <f t="shared" si="2"/>
        <v>300</v>
      </c>
      <c r="H140" s="77">
        <f>MIN(Target,Sites_1*RateMean_ML*MAX(0,37-Open_ML))</f>
        <v>300</v>
      </c>
    </row>
    <row r="141" spans="2:8" hidden="1" outlineLevel="1" x14ac:dyDescent="0.45">
      <c r="B141" s="78">
        <f>Enrolment!AQ6</f>
        <v>38</v>
      </c>
      <c r="C141" s="77" cm="1">
        <f t="array" aca="1" ref="C141" ca="1">IF(ISNUMBER(_xll.VoseSimPercentile(Enrolment!AQ90,0.1)),_xll.VoseSimPercentile(Enrolment!AQ90,0.1),NA())</f>
        <v>300</v>
      </c>
      <c r="D141" s="77" cm="1">
        <f t="array" aca="1" ref="D141" ca="1">IF(ISNUMBER(_xll.VoseSimPercentile(Enrolment!AQ90,0.5)),_xll.VoseSimPercentile(Enrolment!AQ90,0.5),NA())</f>
        <v>300</v>
      </c>
      <c r="E141" s="77" cm="1">
        <f t="array" aca="1" ref="E141" ca="1">IF(ISNUMBER(_xll.VoseSimPercentile(Enrolment!AQ90,0.9)),_xll.VoseSimPercentile(Enrolment!AQ90,0.9),NA())</f>
        <v>300</v>
      </c>
      <c r="F141" s="77" cm="1">
        <f t="array" aca="1" ref="F141" ca="1">IF(ISNUMBER(_xll.VoseSimMean(Enrolment!AQ90)),_xll.VoseSimMean(Enrolment!AQ90),NA())</f>
        <v>299.95409770488527</v>
      </c>
      <c r="G141" s="77">
        <f t="shared" si="2"/>
        <v>300</v>
      </c>
      <c r="H141" s="77">
        <f>MIN(Target,Sites_1*RateMean_ML*MAX(0,38-Open_ML))</f>
        <v>300</v>
      </c>
    </row>
    <row r="142" spans="2:8" hidden="1" outlineLevel="1" x14ac:dyDescent="0.45">
      <c r="B142" s="78">
        <f>Enrolment!AR6</f>
        <v>39</v>
      </c>
      <c r="C142" s="77" cm="1">
        <f t="array" aca="1" ref="C142" ca="1">IF(ISNUMBER(_xll.VoseSimPercentile(Enrolment!AR90,0.1)),_xll.VoseSimPercentile(Enrolment!AR90,0.1),NA())</f>
        <v>300</v>
      </c>
      <c r="D142" s="77" cm="1">
        <f t="array" aca="1" ref="D142" ca="1">IF(ISNUMBER(_xll.VoseSimPercentile(Enrolment!AR90,0.5)),_xll.VoseSimPercentile(Enrolment!AR90,0.5),NA())</f>
        <v>300</v>
      </c>
      <c r="E142" s="77" cm="1">
        <f t="array" aca="1" ref="E142" ca="1">IF(ISNUMBER(_xll.VoseSimPercentile(Enrolment!AR90,0.9)),_xll.VoseSimPercentile(Enrolment!AR90,0.9),NA())</f>
        <v>300</v>
      </c>
      <c r="F142" s="77" cm="1">
        <f t="array" aca="1" ref="F142" ca="1">IF(ISNUMBER(_xll.VoseSimMean(Enrolment!AR90)),_xll.VoseSimMean(Enrolment!AR90),NA())</f>
        <v>299.9721986099305</v>
      </c>
      <c r="G142" s="77">
        <f t="shared" si="2"/>
        <v>300</v>
      </c>
      <c r="H142" s="77">
        <f>MIN(Target,Sites_1*RateMean_ML*MAX(0,39-Open_ML))</f>
        <v>300</v>
      </c>
    </row>
    <row r="143" spans="2:8" hidden="1" outlineLevel="1" x14ac:dyDescent="0.45">
      <c r="B143" s="78">
        <f>Enrolment!AS6</f>
        <v>40</v>
      </c>
      <c r="C143" s="77" cm="1">
        <f t="array" aca="1" ref="C143" ca="1">IF(ISNUMBER(_xll.VoseSimPercentile(Enrolment!AS90,0.1)),_xll.VoseSimPercentile(Enrolment!AS90,0.1),NA())</f>
        <v>300</v>
      </c>
      <c r="D143" s="77" cm="1">
        <f t="array" aca="1" ref="D143" ca="1">IF(ISNUMBER(_xll.VoseSimPercentile(Enrolment!AS90,0.5)),_xll.VoseSimPercentile(Enrolment!AS90,0.5),NA())</f>
        <v>300</v>
      </c>
      <c r="E143" s="77" cm="1">
        <f t="array" aca="1" ref="E143" ca="1">IF(ISNUMBER(_xll.VoseSimPercentile(Enrolment!AS90,0.9)),_xll.VoseSimPercentile(Enrolment!AS90,0.9),NA())</f>
        <v>300</v>
      </c>
      <c r="F143" s="77" cm="1">
        <f t="array" aca="1" ref="F143" ca="1">IF(ISNUMBER(_xll.VoseSimMean(Enrolment!AS90)),_xll.VoseSimMean(Enrolment!AS90),NA())</f>
        <v>299.98319915995802</v>
      </c>
      <c r="G143" s="77">
        <f t="shared" si="2"/>
        <v>300</v>
      </c>
      <c r="H143" s="77">
        <f>MIN(Target,Sites_1*RateMean_ML*MAX(0,40-Open_ML))</f>
        <v>300</v>
      </c>
    </row>
    <row r="144" spans="2:8" hidden="1" outlineLevel="1" x14ac:dyDescent="0.45">
      <c r="B144" s="78">
        <f>Enrolment!AT6</f>
        <v>41</v>
      </c>
      <c r="C144" s="77" cm="1">
        <f t="array" aca="1" ref="C144" ca="1">IF(ISNUMBER(_xll.VoseSimPercentile(Enrolment!AT90,0.1)),_xll.VoseSimPercentile(Enrolment!AT90,0.1),NA())</f>
        <v>300</v>
      </c>
      <c r="D144" s="77" cm="1">
        <f t="array" aca="1" ref="D144" ca="1">IF(ISNUMBER(_xll.VoseSimPercentile(Enrolment!AT90,0.5)),_xll.VoseSimPercentile(Enrolment!AT90,0.5),NA())</f>
        <v>300</v>
      </c>
      <c r="E144" s="77" cm="1">
        <f t="array" aca="1" ref="E144" ca="1">IF(ISNUMBER(_xll.VoseSimPercentile(Enrolment!AT90,0.9)),_xll.VoseSimPercentile(Enrolment!AT90,0.9),NA())</f>
        <v>300</v>
      </c>
      <c r="F144" s="77" cm="1">
        <f t="array" aca="1" ref="F144" ca="1">IF(ISNUMBER(_xll.VoseSimMean(Enrolment!AT90)),_xll.VoseSimMean(Enrolment!AT90),NA())</f>
        <v>299.989999499975</v>
      </c>
      <c r="G144" s="77">
        <f t="shared" si="2"/>
        <v>300</v>
      </c>
      <c r="H144" s="77">
        <f>MIN(Target,Sites_1*RateMean_ML*MAX(0,41-Open_ML))</f>
        <v>300</v>
      </c>
    </row>
    <row r="145" spans="2:8" hidden="1" outlineLevel="1" x14ac:dyDescent="0.45">
      <c r="B145" s="78">
        <f>Enrolment!AU6</f>
        <v>42</v>
      </c>
      <c r="C145" s="77" cm="1">
        <f t="array" aca="1" ref="C145" ca="1">IF(ISNUMBER(_xll.VoseSimPercentile(Enrolment!AU90,0.1)),_xll.VoseSimPercentile(Enrolment!AU90,0.1),NA())</f>
        <v>300</v>
      </c>
      <c r="D145" s="77" cm="1">
        <f t="array" aca="1" ref="D145" ca="1">IF(ISNUMBER(_xll.VoseSimPercentile(Enrolment!AU90,0.5)),_xll.VoseSimPercentile(Enrolment!AU90,0.5),NA())</f>
        <v>300</v>
      </c>
      <c r="E145" s="77" cm="1">
        <f t="array" aca="1" ref="E145" ca="1">IF(ISNUMBER(_xll.VoseSimPercentile(Enrolment!AU90,0.9)),_xll.VoseSimPercentile(Enrolment!AU90,0.9),NA())</f>
        <v>300</v>
      </c>
      <c r="F145" s="77" cm="1">
        <f t="array" aca="1" ref="F145" ca="1">IF(ISNUMBER(_xll.VoseSimMean(Enrolment!AU90)),_xll.VoseSimMean(Enrolment!AU90),NA())</f>
        <v>299.99369968498422</v>
      </c>
      <c r="G145" s="77">
        <f t="shared" si="2"/>
        <v>300</v>
      </c>
      <c r="H145" s="77">
        <f>MIN(Target,Sites_1*RateMean_ML*MAX(0,42-Open_ML))</f>
        <v>300</v>
      </c>
    </row>
    <row r="146" spans="2:8" hidden="1" outlineLevel="1" x14ac:dyDescent="0.45">
      <c r="B146" s="78">
        <f>Enrolment!AV6</f>
        <v>43</v>
      </c>
      <c r="C146" s="77" cm="1">
        <f t="array" aca="1" ref="C146" ca="1">IF(ISNUMBER(_xll.VoseSimPercentile(Enrolment!AV90,0.1)),_xll.VoseSimPercentile(Enrolment!AV90,0.1),NA())</f>
        <v>300</v>
      </c>
      <c r="D146" s="77" cm="1">
        <f t="array" aca="1" ref="D146" ca="1">IF(ISNUMBER(_xll.VoseSimPercentile(Enrolment!AV90,0.5)),_xll.VoseSimPercentile(Enrolment!AV90,0.5),NA())</f>
        <v>300</v>
      </c>
      <c r="E146" s="77" cm="1">
        <f t="array" aca="1" ref="E146" ca="1">IF(ISNUMBER(_xll.VoseSimPercentile(Enrolment!AV90,0.9)),_xll.VoseSimPercentile(Enrolment!AV90,0.9),NA())</f>
        <v>300</v>
      </c>
      <c r="F146" s="77" cm="1">
        <f t="array" aca="1" ref="F146" ca="1">IF(ISNUMBER(_xll.VoseSimMean(Enrolment!AV90)),_xll.VoseSimMean(Enrolment!AV90),NA())</f>
        <v>299.99749987499376</v>
      </c>
      <c r="G146" s="77">
        <f t="shared" si="2"/>
        <v>300</v>
      </c>
      <c r="H146" s="77">
        <f>MIN(Target,Sites_1*RateMean_ML*MAX(0,43-Open_ML))</f>
        <v>300</v>
      </c>
    </row>
    <row r="147" spans="2:8" hidden="1" outlineLevel="1" x14ac:dyDescent="0.45">
      <c r="B147" s="78">
        <f>Enrolment!AW6</f>
        <v>44</v>
      </c>
      <c r="C147" s="77" cm="1">
        <f t="array" aca="1" ref="C147" ca="1">IF(ISNUMBER(_xll.VoseSimPercentile(Enrolment!AW90,0.1)),_xll.VoseSimPercentile(Enrolment!AW90,0.1),NA())</f>
        <v>300</v>
      </c>
      <c r="D147" s="77" cm="1">
        <f t="array" aca="1" ref="D147" ca="1">IF(ISNUMBER(_xll.VoseSimPercentile(Enrolment!AW90,0.5)),_xll.VoseSimPercentile(Enrolment!AW90,0.5),NA())</f>
        <v>300</v>
      </c>
      <c r="E147" s="77" cm="1">
        <f t="array" aca="1" ref="E147" ca="1">IF(ISNUMBER(_xll.VoseSimPercentile(Enrolment!AW90,0.9)),_xll.VoseSimPercentile(Enrolment!AW90,0.9),NA())</f>
        <v>300</v>
      </c>
      <c r="F147" s="77" cm="1">
        <f t="array" aca="1" ref="F147" ca="1">IF(ISNUMBER(_xll.VoseSimMean(Enrolment!AW90)),_xll.VoseSimMean(Enrolment!AW90),NA())</f>
        <v>299.99849992499622</v>
      </c>
      <c r="G147" s="77">
        <f t="shared" si="2"/>
        <v>300</v>
      </c>
      <c r="H147" s="77">
        <f>MIN(Target,Sites_1*RateMean_ML*MAX(0,44-Open_ML))</f>
        <v>300</v>
      </c>
    </row>
    <row r="148" spans="2:8" hidden="1" outlineLevel="1" x14ac:dyDescent="0.45">
      <c r="B148" s="78">
        <f>Enrolment!AX6</f>
        <v>45</v>
      </c>
      <c r="C148" s="77" cm="1">
        <f t="array" aca="1" ref="C148" ca="1">IF(ISNUMBER(_xll.VoseSimPercentile(Enrolment!AX90,0.1)),_xll.VoseSimPercentile(Enrolment!AX90,0.1),NA())</f>
        <v>300</v>
      </c>
      <c r="D148" s="77" cm="1">
        <f t="array" aca="1" ref="D148" ca="1">IF(ISNUMBER(_xll.VoseSimPercentile(Enrolment!AX90,0.5)),_xll.VoseSimPercentile(Enrolment!AX90,0.5),NA())</f>
        <v>300</v>
      </c>
      <c r="E148" s="77" cm="1">
        <f t="array" aca="1" ref="E148" ca="1">IF(ISNUMBER(_xll.VoseSimPercentile(Enrolment!AX90,0.9)),_xll.VoseSimPercentile(Enrolment!AX90,0.9),NA())</f>
        <v>300</v>
      </c>
      <c r="F148" s="77" cm="1">
        <f t="array" aca="1" ref="F148" ca="1">IF(ISNUMBER(_xll.VoseSimMean(Enrolment!AX90)),_xll.VoseSimMean(Enrolment!AX90),NA())</f>
        <v>299.99969998499927</v>
      </c>
      <c r="G148" s="77">
        <f t="shared" si="2"/>
        <v>300</v>
      </c>
      <c r="H148" s="77">
        <f>MIN(Target,Sites_1*RateMean_ML*MAX(0,45-Open_ML))</f>
        <v>300</v>
      </c>
    </row>
    <row r="149" spans="2:8" hidden="1" outlineLevel="1" x14ac:dyDescent="0.45">
      <c r="B149" s="78">
        <f>Enrolment!AY6</f>
        <v>46</v>
      </c>
      <c r="C149" s="77" cm="1">
        <f t="array" aca="1" ref="C149" ca="1">IF(ISNUMBER(_xll.VoseSimPercentile(Enrolment!AY90,0.1)),_xll.VoseSimPercentile(Enrolment!AY90,0.1),NA())</f>
        <v>300</v>
      </c>
      <c r="D149" s="77" cm="1">
        <f t="array" aca="1" ref="D149" ca="1">IF(ISNUMBER(_xll.VoseSimPercentile(Enrolment!AY90,0.5)),_xll.VoseSimPercentile(Enrolment!AY90,0.5),NA())</f>
        <v>300</v>
      </c>
      <c r="E149" s="77" cm="1">
        <f t="array" aca="1" ref="E149" ca="1">IF(ISNUMBER(_xll.VoseSimPercentile(Enrolment!AY90,0.9)),_xll.VoseSimPercentile(Enrolment!AY90,0.9),NA())</f>
        <v>300</v>
      </c>
      <c r="F149" s="77" cm="1">
        <f t="array" aca="1" ref="F149" ca="1">IF(ISNUMBER(_xll.VoseSimMean(Enrolment!AY90)),_xll.VoseSimMean(Enrolment!AY90),NA())</f>
        <v>300</v>
      </c>
      <c r="G149" s="77">
        <f t="shared" si="2"/>
        <v>300</v>
      </c>
      <c r="H149" s="77">
        <f>MIN(Target,Sites_1*RateMean_ML*MAX(0,46-Open_ML))</f>
        <v>300</v>
      </c>
    </row>
    <row r="150" spans="2:8" hidden="1" outlineLevel="1" x14ac:dyDescent="0.45">
      <c r="B150" s="78">
        <f>Enrolment!AZ6</f>
        <v>47</v>
      </c>
      <c r="C150" s="77" cm="1">
        <f t="array" aca="1" ref="C150" ca="1">IF(ISNUMBER(_xll.VoseSimPercentile(Enrolment!AZ90,0.1)),_xll.VoseSimPercentile(Enrolment!AZ90,0.1),NA())</f>
        <v>300</v>
      </c>
      <c r="D150" s="77" cm="1">
        <f t="array" aca="1" ref="D150" ca="1">IF(ISNUMBER(_xll.VoseSimPercentile(Enrolment!AZ90,0.5)),_xll.VoseSimPercentile(Enrolment!AZ90,0.5),NA())</f>
        <v>300</v>
      </c>
      <c r="E150" s="77" cm="1">
        <f t="array" aca="1" ref="E150" ca="1">IF(ISNUMBER(_xll.VoseSimPercentile(Enrolment!AZ90,0.9)),_xll.VoseSimPercentile(Enrolment!AZ90,0.9),NA())</f>
        <v>300</v>
      </c>
      <c r="F150" s="77" cm="1">
        <f t="array" aca="1" ref="F150" ca="1">IF(ISNUMBER(_xll.VoseSimMean(Enrolment!AZ90)),_xll.VoseSimMean(Enrolment!AZ90),NA())</f>
        <v>300</v>
      </c>
      <c r="G150" s="77">
        <f t="shared" si="2"/>
        <v>300</v>
      </c>
      <c r="H150" s="77">
        <f>MIN(Target,Sites_1*RateMean_ML*MAX(0,47-Open_ML))</f>
        <v>300</v>
      </c>
    </row>
    <row r="151" spans="2:8" hidden="1" outlineLevel="1" x14ac:dyDescent="0.45">
      <c r="B151" s="78">
        <f>Enrolment!BA6</f>
        <v>48</v>
      </c>
      <c r="C151" s="77" cm="1">
        <f t="array" aca="1" ref="C151" ca="1">IF(ISNUMBER(_xll.VoseSimPercentile(Enrolment!BA90,0.1)),_xll.VoseSimPercentile(Enrolment!BA90,0.1),NA())</f>
        <v>300</v>
      </c>
      <c r="D151" s="77" cm="1">
        <f t="array" aca="1" ref="D151" ca="1">IF(ISNUMBER(_xll.VoseSimPercentile(Enrolment!BA90,0.5)),_xll.VoseSimPercentile(Enrolment!BA90,0.5),NA())</f>
        <v>300</v>
      </c>
      <c r="E151" s="77" cm="1">
        <f t="array" aca="1" ref="E151" ca="1">IF(ISNUMBER(_xll.VoseSimPercentile(Enrolment!BA90,0.9)),_xll.VoseSimPercentile(Enrolment!BA90,0.9),NA())</f>
        <v>300</v>
      </c>
      <c r="F151" s="77" cm="1">
        <f t="array" aca="1" ref="F151" ca="1">IF(ISNUMBER(_xll.VoseSimMean(Enrolment!BA90)),_xll.VoseSimMean(Enrolment!BA90),NA())</f>
        <v>300</v>
      </c>
      <c r="G151" s="77">
        <f t="shared" si="2"/>
        <v>300</v>
      </c>
      <c r="H151" s="77">
        <f>MIN(Target,Sites_1*RateMean_ML*MAX(0,48-Open_ML))</f>
        <v>300</v>
      </c>
    </row>
  </sheetData>
  <mergeCells count="5">
    <mergeCell ref="B42:G42"/>
    <mergeCell ref="B46:G46"/>
    <mergeCell ref="B45:G45"/>
    <mergeCell ref="B43:G43"/>
    <mergeCell ref="B44:G44"/>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B13:G15">
    <cfRule type="expression" dxfId="2" priority="3">
      <formula>AND(ISNUMBER($F13),$F13&gt;=Confidence)</formula>
    </cfRule>
  </conditionalFormatting>
  <conditionalFormatting sqref="C104:F151">
    <cfRule type="expression" dxfId="1" priority="5">
      <formula>ISNA(C104)</formula>
    </cfRule>
  </conditionalFormatting>
  <conditionalFormatting sqref="D52:F101">
    <cfRule type="expression" dxfId="0" priority="4">
      <formula>ISNA(D52)</formula>
    </cfRule>
  </conditionalFormatting>
  <hyperlinks>
    <hyperlink ref="B4" location="'Enrolment'!A1" display="◂  Enrolment"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0"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05E49-009A-4B82-A92A-50F689DAE027}">
  <dimension ref="A1:B1"/>
  <sheetViews>
    <sheetView workbookViewId="0"/>
  </sheetViews>
  <sheetFormatPr defaultRowHeight="14.25" x14ac:dyDescent="0.45"/>
  <sheetData>
    <row r="1" spans="1:2" x14ac:dyDescent="0.45">
      <c r="A1" s="83" t="s">
        <v>254</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7F90D-985E-47EB-B9EB-7D7D05500A87}">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A39BE-A855-4457-B331-DDB0823D306A}">
  <dimension ref="B3:B592"/>
  <sheetViews>
    <sheetView workbookViewId="0"/>
  </sheetViews>
  <sheetFormatPr defaultRowHeight="14.25" x14ac:dyDescent="0.45"/>
  <sheetData>
    <row r="3" spans="2:2" x14ac:dyDescent="0.45">
      <c r="B3">
        <v>0</v>
      </c>
    </row>
    <row r="4" spans="2:2" x14ac:dyDescent="0.45">
      <c r="B4">
        <v>0</v>
      </c>
    </row>
    <row r="5" spans="2:2" x14ac:dyDescent="0.45">
      <c r="B5">
        <v>0</v>
      </c>
    </row>
    <row r="6" spans="2:2" x14ac:dyDescent="0.45">
      <c r="B6">
        <v>0</v>
      </c>
    </row>
    <row r="7" spans="2:2" x14ac:dyDescent="0.45">
      <c r="B7">
        <v>0</v>
      </c>
    </row>
    <row r="8" spans="2:2" x14ac:dyDescent="0.45">
      <c r="B8">
        <v>2000</v>
      </c>
    </row>
    <row r="9" spans="2:2" x14ac:dyDescent="0.45">
      <c r="B9">
        <v>0</v>
      </c>
    </row>
    <row r="10" spans="2:2" x14ac:dyDescent="0.45">
      <c r="B10">
        <v>0</v>
      </c>
    </row>
    <row r="11" spans="2:2" x14ac:dyDescent="0.45">
      <c r="B11">
        <v>0</v>
      </c>
    </row>
    <row r="12" spans="2:2" x14ac:dyDescent="0.45">
      <c r="B12">
        <v>0</v>
      </c>
    </row>
    <row r="13" spans="2:2" x14ac:dyDescent="0.45">
      <c r="B13">
        <v>1134</v>
      </c>
    </row>
    <row r="14" spans="2:2" x14ac:dyDescent="0.45">
      <c r="B14">
        <v>530</v>
      </c>
    </row>
    <row r="15" spans="2:2" x14ac:dyDescent="0.45">
      <c r="B15">
        <v>0</v>
      </c>
    </row>
    <row r="16" spans="2:2" x14ac:dyDescent="0.45">
      <c r="B16">
        <v>224</v>
      </c>
    </row>
    <row r="17" spans="2:2" x14ac:dyDescent="0.45">
      <c r="B17">
        <v>76</v>
      </c>
    </row>
    <row r="18" spans="2:2" x14ac:dyDescent="0.45">
      <c r="B18">
        <v>0</v>
      </c>
    </row>
    <row r="19" spans="2:2" x14ac:dyDescent="0.45">
      <c r="B19">
        <v>26</v>
      </c>
    </row>
    <row r="20" spans="2:2" x14ac:dyDescent="0.45">
      <c r="B20">
        <v>0</v>
      </c>
    </row>
    <row r="21" spans="2:2" x14ac:dyDescent="0.45">
      <c r="B21">
        <v>8</v>
      </c>
    </row>
    <row r="22" spans="2:2" x14ac:dyDescent="0.45">
      <c r="B22">
        <v>2</v>
      </c>
    </row>
    <row r="23" spans="2:2" x14ac:dyDescent="0.45">
      <c r="B23">
        <v>195</v>
      </c>
    </row>
    <row r="24" spans="2:2" x14ac:dyDescent="0.45">
      <c r="B24">
        <v>520</v>
      </c>
    </row>
    <row r="25" spans="2:2" x14ac:dyDescent="0.45">
      <c r="B25">
        <v>546</v>
      </c>
    </row>
    <row r="26" spans="2:2" x14ac:dyDescent="0.45">
      <c r="B26">
        <v>249</v>
      </c>
    </row>
    <row r="27" spans="2:2" x14ac:dyDescent="0.45">
      <c r="B27">
        <v>272</v>
      </c>
    </row>
    <row r="28" spans="2:2" x14ac:dyDescent="0.45">
      <c r="B28">
        <v>136</v>
      </c>
    </row>
    <row r="29" spans="2:2" x14ac:dyDescent="0.45">
      <c r="B29">
        <v>23</v>
      </c>
    </row>
    <row r="30" spans="2:2" x14ac:dyDescent="0.45">
      <c r="B30">
        <v>40</v>
      </c>
    </row>
    <row r="31" spans="2:2" x14ac:dyDescent="0.45">
      <c r="B31">
        <v>16</v>
      </c>
    </row>
    <row r="32" spans="2:2" x14ac:dyDescent="0.45">
      <c r="B32">
        <v>3</v>
      </c>
    </row>
    <row r="33" spans="2:2" x14ac:dyDescent="0.45">
      <c r="B33">
        <v>53</v>
      </c>
    </row>
    <row r="34" spans="2:2" x14ac:dyDescent="0.45">
      <c r="B34">
        <v>255</v>
      </c>
    </row>
    <row r="35" spans="2:2" x14ac:dyDescent="0.45">
      <c r="B35">
        <v>587</v>
      </c>
    </row>
    <row r="36" spans="2:2" x14ac:dyDescent="0.45">
      <c r="B36">
        <v>520</v>
      </c>
    </row>
    <row r="37" spans="2:2" x14ac:dyDescent="0.45">
      <c r="B37">
        <v>350</v>
      </c>
    </row>
    <row r="38" spans="2:2" x14ac:dyDescent="0.45">
      <c r="B38">
        <v>147</v>
      </c>
    </row>
    <row r="39" spans="2:2" x14ac:dyDescent="0.45">
      <c r="B39">
        <v>60</v>
      </c>
    </row>
    <row r="40" spans="2:2" x14ac:dyDescent="0.45">
      <c r="B40">
        <v>23</v>
      </c>
    </row>
    <row r="41" spans="2:2" x14ac:dyDescent="0.45">
      <c r="B41">
        <v>3</v>
      </c>
    </row>
    <row r="42" spans="2:2" x14ac:dyDescent="0.45">
      <c r="B42">
        <v>2</v>
      </c>
    </row>
    <row r="43" spans="2:2" x14ac:dyDescent="0.45">
      <c r="B43">
        <v>15</v>
      </c>
    </row>
    <row r="44" spans="2:2" x14ac:dyDescent="0.45">
      <c r="B44">
        <v>166</v>
      </c>
    </row>
    <row r="45" spans="2:2" x14ac:dyDescent="0.45">
      <c r="B45">
        <v>361</v>
      </c>
    </row>
    <row r="46" spans="2:2" x14ac:dyDescent="0.45">
      <c r="B46">
        <v>581</v>
      </c>
    </row>
    <row r="47" spans="2:2" x14ac:dyDescent="0.45">
      <c r="B47">
        <v>472</v>
      </c>
    </row>
    <row r="48" spans="2:2" x14ac:dyDescent="0.45">
      <c r="B48">
        <v>215</v>
      </c>
    </row>
    <row r="49" spans="2:2" x14ac:dyDescent="0.45">
      <c r="B49">
        <v>114</v>
      </c>
    </row>
    <row r="50" spans="2:2" x14ac:dyDescent="0.45">
      <c r="B50">
        <v>52</v>
      </c>
    </row>
    <row r="51" spans="2:2" x14ac:dyDescent="0.45">
      <c r="B51">
        <v>21</v>
      </c>
    </row>
    <row r="52" spans="2:2" x14ac:dyDescent="0.45">
      <c r="B52">
        <v>3</v>
      </c>
    </row>
    <row r="53" spans="2:2" x14ac:dyDescent="0.45">
      <c r="B53">
        <v>10</v>
      </c>
    </row>
    <row r="54" spans="2:2" x14ac:dyDescent="0.45">
      <c r="B54">
        <v>112</v>
      </c>
    </row>
    <row r="55" spans="2:2" x14ac:dyDescent="0.45">
      <c r="B55">
        <v>364</v>
      </c>
    </row>
    <row r="56" spans="2:2" x14ac:dyDescent="0.45">
      <c r="B56">
        <v>647</v>
      </c>
    </row>
    <row r="57" spans="2:2" x14ac:dyDescent="0.45">
      <c r="B57">
        <v>448</v>
      </c>
    </row>
    <row r="58" spans="2:2" x14ac:dyDescent="0.45">
      <c r="B58">
        <v>262</v>
      </c>
    </row>
    <row r="59" spans="2:2" x14ac:dyDescent="0.45">
      <c r="B59">
        <v>108</v>
      </c>
    </row>
    <row r="60" spans="2:2" x14ac:dyDescent="0.45">
      <c r="B60">
        <v>43</v>
      </c>
    </row>
    <row r="61" spans="2:2" x14ac:dyDescent="0.45">
      <c r="B61">
        <v>5</v>
      </c>
    </row>
    <row r="62" spans="2:2" x14ac:dyDescent="0.45">
      <c r="B62">
        <v>1</v>
      </c>
    </row>
    <row r="63" spans="2:2" x14ac:dyDescent="0.45">
      <c r="B63">
        <v>20</v>
      </c>
    </row>
    <row r="64" spans="2:2" x14ac:dyDescent="0.45">
      <c r="B64">
        <v>139</v>
      </c>
    </row>
    <row r="65" spans="2:2" x14ac:dyDescent="0.45">
      <c r="B65">
        <v>362</v>
      </c>
    </row>
    <row r="66" spans="2:2" x14ac:dyDescent="0.45">
      <c r="B66">
        <v>535</v>
      </c>
    </row>
    <row r="67" spans="2:2" x14ac:dyDescent="0.45">
      <c r="B67">
        <v>473</v>
      </c>
    </row>
    <row r="68" spans="2:2" x14ac:dyDescent="0.45">
      <c r="B68">
        <v>276</v>
      </c>
    </row>
    <row r="69" spans="2:2" x14ac:dyDescent="0.45">
      <c r="B69">
        <v>133</v>
      </c>
    </row>
    <row r="70" spans="2:2" x14ac:dyDescent="0.45">
      <c r="B70">
        <v>47</v>
      </c>
    </row>
    <row r="71" spans="2:2" x14ac:dyDescent="0.45">
      <c r="B71">
        <v>13</v>
      </c>
    </row>
    <row r="72" spans="2:2" x14ac:dyDescent="0.45">
      <c r="B72">
        <v>2</v>
      </c>
    </row>
    <row r="73" spans="2:2" x14ac:dyDescent="0.45">
      <c r="B73">
        <v>9</v>
      </c>
    </row>
    <row r="74" spans="2:2" x14ac:dyDescent="0.45">
      <c r="B74">
        <v>61</v>
      </c>
    </row>
    <row r="75" spans="2:2" x14ac:dyDescent="0.45">
      <c r="B75">
        <v>324</v>
      </c>
    </row>
    <row r="76" spans="2:2" x14ac:dyDescent="0.45">
      <c r="B76">
        <v>478</v>
      </c>
    </row>
    <row r="77" spans="2:2" x14ac:dyDescent="0.45">
      <c r="B77">
        <v>552</v>
      </c>
    </row>
    <row r="78" spans="2:2" x14ac:dyDescent="0.45">
      <c r="B78">
        <v>341</v>
      </c>
    </row>
    <row r="79" spans="2:2" x14ac:dyDescent="0.45">
      <c r="B79">
        <v>148</v>
      </c>
    </row>
    <row r="80" spans="2:2" x14ac:dyDescent="0.45">
      <c r="B80">
        <v>70</v>
      </c>
    </row>
    <row r="81" spans="2:2" x14ac:dyDescent="0.45">
      <c r="B81">
        <v>14</v>
      </c>
    </row>
    <row r="82" spans="2:2" x14ac:dyDescent="0.45">
      <c r="B82">
        <v>3</v>
      </c>
    </row>
    <row r="83" spans="2:2" x14ac:dyDescent="0.45">
      <c r="B83">
        <v>7</v>
      </c>
    </row>
    <row r="84" spans="2:2" x14ac:dyDescent="0.45">
      <c r="B84">
        <v>69</v>
      </c>
    </row>
    <row r="85" spans="2:2" x14ac:dyDescent="0.45">
      <c r="B85">
        <v>274</v>
      </c>
    </row>
    <row r="86" spans="2:2" x14ac:dyDescent="0.45">
      <c r="B86">
        <v>529</v>
      </c>
    </row>
    <row r="87" spans="2:2" x14ac:dyDescent="0.45">
      <c r="B87">
        <v>520</v>
      </c>
    </row>
    <row r="88" spans="2:2" x14ac:dyDescent="0.45">
      <c r="B88">
        <v>367</v>
      </c>
    </row>
    <row r="89" spans="2:2" x14ac:dyDescent="0.45">
      <c r="B89">
        <v>155</v>
      </c>
    </row>
    <row r="90" spans="2:2" x14ac:dyDescent="0.45">
      <c r="B90">
        <v>66</v>
      </c>
    </row>
    <row r="91" spans="2:2" x14ac:dyDescent="0.45">
      <c r="B91">
        <v>11</v>
      </c>
    </row>
    <row r="92" spans="2:2" x14ac:dyDescent="0.45">
      <c r="B92">
        <v>2</v>
      </c>
    </row>
    <row r="93" spans="2:2" x14ac:dyDescent="0.45">
      <c r="B93">
        <v>7</v>
      </c>
    </row>
    <row r="94" spans="2:2" x14ac:dyDescent="0.45">
      <c r="B94">
        <v>57</v>
      </c>
    </row>
    <row r="95" spans="2:2" x14ac:dyDescent="0.45">
      <c r="B95">
        <v>266</v>
      </c>
    </row>
    <row r="96" spans="2:2" x14ac:dyDescent="0.45">
      <c r="B96">
        <v>513</v>
      </c>
    </row>
    <row r="97" spans="2:2" x14ac:dyDescent="0.45">
      <c r="B97">
        <v>518</v>
      </c>
    </row>
    <row r="98" spans="2:2" x14ac:dyDescent="0.45">
      <c r="B98">
        <v>371</v>
      </c>
    </row>
    <row r="99" spans="2:2" x14ac:dyDescent="0.45">
      <c r="B99">
        <v>177</v>
      </c>
    </row>
    <row r="100" spans="2:2" x14ac:dyDescent="0.45">
      <c r="B100">
        <v>72</v>
      </c>
    </row>
    <row r="101" spans="2:2" x14ac:dyDescent="0.45">
      <c r="B101">
        <v>16</v>
      </c>
    </row>
    <row r="102" spans="2:2" x14ac:dyDescent="0.45">
      <c r="B102">
        <v>3</v>
      </c>
    </row>
    <row r="103" spans="2:2" x14ac:dyDescent="0.45">
      <c r="B103">
        <v>6</v>
      </c>
    </row>
    <row r="104" spans="2:2" x14ac:dyDescent="0.45">
      <c r="B104">
        <v>65</v>
      </c>
    </row>
    <row r="105" spans="2:2" x14ac:dyDescent="0.45">
      <c r="B105">
        <v>302</v>
      </c>
    </row>
    <row r="106" spans="2:2" x14ac:dyDescent="0.45">
      <c r="B106">
        <v>549</v>
      </c>
    </row>
    <row r="107" spans="2:2" x14ac:dyDescent="0.45">
      <c r="B107">
        <v>542</v>
      </c>
    </row>
    <row r="108" spans="2:2" x14ac:dyDescent="0.45">
      <c r="B108">
        <v>339</v>
      </c>
    </row>
    <row r="109" spans="2:2" x14ac:dyDescent="0.45">
      <c r="B109">
        <v>145</v>
      </c>
    </row>
    <row r="110" spans="2:2" x14ac:dyDescent="0.45">
      <c r="B110">
        <v>42</v>
      </c>
    </row>
    <row r="111" spans="2:2" x14ac:dyDescent="0.45">
      <c r="B111">
        <v>9</v>
      </c>
    </row>
    <row r="112" spans="2:2" x14ac:dyDescent="0.45">
      <c r="B112">
        <v>1</v>
      </c>
    </row>
    <row r="113" spans="2:2" x14ac:dyDescent="0.45">
      <c r="B113">
        <v>7</v>
      </c>
    </row>
    <row r="114" spans="2:2" x14ac:dyDescent="0.45">
      <c r="B114">
        <v>68</v>
      </c>
    </row>
    <row r="115" spans="2:2" x14ac:dyDescent="0.45">
      <c r="B115">
        <v>350</v>
      </c>
    </row>
    <row r="116" spans="2:2" x14ac:dyDescent="0.45">
      <c r="B116">
        <v>527</v>
      </c>
    </row>
    <row r="117" spans="2:2" x14ac:dyDescent="0.45">
      <c r="B117">
        <v>561</v>
      </c>
    </row>
    <row r="118" spans="2:2" x14ac:dyDescent="0.45">
      <c r="B118">
        <v>302</v>
      </c>
    </row>
    <row r="119" spans="2:2" x14ac:dyDescent="0.45">
      <c r="B119">
        <v>145</v>
      </c>
    </row>
    <row r="120" spans="2:2" x14ac:dyDescent="0.45">
      <c r="B120">
        <v>33</v>
      </c>
    </row>
    <row r="121" spans="2:2" x14ac:dyDescent="0.45">
      <c r="B121">
        <v>6</v>
      </c>
    </row>
    <row r="122" spans="2:2" x14ac:dyDescent="0.45">
      <c r="B122">
        <v>1</v>
      </c>
    </row>
    <row r="123" spans="2:2" x14ac:dyDescent="0.45">
      <c r="B123">
        <v>5</v>
      </c>
    </row>
    <row r="124" spans="2:2" x14ac:dyDescent="0.45">
      <c r="B124">
        <v>62</v>
      </c>
    </row>
    <row r="125" spans="2:2" x14ac:dyDescent="0.45">
      <c r="B125">
        <v>285</v>
      </c>
    </row>
    <row r="126" spans="2:2" x14ac:dyDescent="0.45">
      <c r="B126">
        <v>499</v>
      </c>
    </row>
    <row r="127" spans="2:2" x14ac:dyDescent="0.45">
      <c r="B127">
        <v>537</v>
      </c>
    </row>
    <row r="128" spans="2:2" x14ac:dyDescent="0.45">
      <c r="B128">
        <v>361</v>
      </c>
    </row>
    <row r="129" spans="2:2" x14ac:dyDescent="0.45">
      <c r="B129">
        <v>182</v>
      </c>
    </row>
    <row r="130" spans="2:2" x14ac:dyDescent="0.45">
      <c r="B130">
        <v>56</v>
      </c>
    </row>
    <row r="131" spans="2:2" x14ac:dyDescent="0.45">
      <c r="B131">
        <v>11</v>
      </c>
    </row>
    <row r="132" spans="2:2" x14ac:dyDescent="0.45">
      <c r="B132">
        <v>2</v>
      </c>
    </row>
    <row r="133" spans="2:2" x14ac:dyDescent="0.45">
      <c r="B133">
        <v>3</v>
      </c>
    </row>
    <row r="134" spans="2:2" x14ac:dyDescent="0.45">
      <c r="B134">
        <v>36</v>
      </c>
    </row>
    <row r="135" spans="2:2" x14ac:dyDescent="0.45">
      <c r="B135">
        <v>190</v>
      </c>
    </row>
    <row r="136" spans="2:2" x14ac:dyDescent="0.45">
      <c r="B136">
        <v>369</v>
      </c>
    </row>
    <row r="137" spans="2:2" x14ac:dyDescent="0.45">
      <c r="B137">
        <v>498</v>
      </c>
    </row>
    <row r="138" spans="2:2" x14ac:dyDescent="0.45">
      <c r="B138">
        <v>438</v>
      </c>
    </row>
    <row r="139" spans="2:2" x14ac:dyDescent="0.45">
      <c r="B139">
        <v>267</v>
      </c>
    </row>
    <row r="140" spans="2:2" x14ac:dyDescent="0.45">
      <c r="B140">
        <v>137</v>
      </c>
    </row>
    <row r="141" spans="2:2" x14ac:dyDescent="0.45">
      <c r="B141">
        <v>49</v>
      </c>
    </row>
    <row r="142" spans="2:2" x14ac:dyDescent="0.45">
      <c r="B142">
        <v>13</v>
      </c>
    </row>
    <row r="143" spans="2:2" x14ac:dyDescent="0.45">
      <c r="B143">
        <v>2</v>
      </c>
    </row>
    <row r="144" spans="2:2" x14ac:dyDescent="0.45">
      <c r="B144">
        <v>24</v>
      </c>
    </row>
    <row r="145" spans="2:2" x14ac:dyDescent="0.45">
      <c r="B145">
        <v>102</v>
      </c>
    </row>
    <row r="146" spans="2:2" x14ac:dyDescent="0.45">
      <c r="B146">
        <v>284</v>
      </c>
    </row>
    <row r="147" spans="2:2" x14ac:dyDescent="0.45">
      <c r="B147">
        <v>394</v>
      </c>
    </row>
    <row r="148" spans="2:2" x14ac:dyDescent="0.45">
      <c r="B148">
        <v>442</v>
      </c>
    </row>
    <row r="149" spans="2:2" x14ac:dyDescent="0.45">
      <c r="B149">
        <v>368</v>
      </c>
    </row>
    <row r="150" spans="2:2" x14ac:dyDescent="0.45">
      <c r="B150">
        <v>210</v>
      </c>
    </row>
    <row r="151" spans="2:2" x14ac:dyDescent="0.45">
      <c r="B151">
        <v>111</v>
      </c>
    </row>
    <row r="152" spans="2:2" x14ac:dyDescent="0.45">
      <c r="B152">
        <v>63</v>
      </c>
    </row>
    <row r="153" spans="2:2" x14ac:dyDescent="0.45">
      <c r="B153">
        <v>2</v>
      </c>
    </row>
    <row r="154" spans="2:2" x14ac:dyDescent="0.45">
      <c r="B154">
        <v>15</v>
      </c>
    </row>
    <row r="155" spans="2:2" x14ac:dyDescent="0.45">
      <c r="B155">
        <v>77</v>
      </c>
    </row>
    <row r="156" spans="2:2" x14ac:dyDescent="0.45">
      <c r="B156">
        <v>186</v>
      </c>
    </row>
    <row r="157" spans="2:2" x14ac:dyDescent="0.45">
      <c r="B157">
        <v>316</v>
      </c>
    </row>
    <row r="158" spans="2:2" x14ac:dyDescent="0.45">
      <c r="B158">
        <v>397</v>
      </c>
    </row>
    <row r="159" spans="2:2" x14ac:dyDescent="0.45">
      <c r="B159">
        <v>391</v>
      </c>
    </row>
    <row r="160" spans="2:2" x14ac:dyDescent="0.45">
      <c r="B160">
        <v>278</v>
      </c>
    </row>
    <row r="161" spans="2:2" x14ac:dyDescent="0.45">
      <c r="B161">
        <v>184</v>
      </c>
    </row>
    <row r="162" spans="2:2" x14ac:dyDescent="0.45">
      <c r="B162">
        <v>154</v>
      </c>
    </row>
    <row r="163" spans="2:2" x14ac:dyDescent="0.45">
      <c r="B163">
        <v>2</v>
      </c>
    </row>
    <row r="164" spans="2:2" x14ac:dyDescent="0.45">
      <c r="B164">
        <v>8</v>
      </c>
    </row>
    <row r="165" spans="2:2" x14ac:dyDescent="0.45">
      <c r="B165">
        <v>38</v>
      </c>
    </row>
    <row r="166" spans="2:2" x14ac:dyDescent="0.45">
      <c r="B166">
        <v>133</v>
      </c>
    </row>
    <row r="167" spans="2:2" x14ac:dyDescent="0.45">
      <c r="B167">
        <v>238</v>
      </c>
    </row>
    <row r="168" spans="2:2" x14ac:dyDescent="0.45">
      <c r="B168">
        <v>333</v>
      </c>
    </row>
    <row r="169" spans="2:2" x14ac:dyDescent="0.45">
      <c r="B169">
        <v>371</v>
      </c>
    </row>
    <row r="170" spans="2:2" x14ac:dyDescent="0.45">
      <c r="B170">
        <v>323</v>
      </c>
    </row>
    <row r="171" spans="2:2" x14ac:dyDescent="0.45">
      <c r="B171">
        <v>246</v>
      </c>
    </row>
    <row r="172" spans="2:2" x14ac:dyDescent="0.45">
      <c r="B172">
        <v>308</v>
      </c>
    </row>
    <row r="173" spans="2:2" x14ac:dyDescent="0.45">
      <c r="B173">
        <v>2</v>
      </c>
    </row>
    <row r="174" spans="2:2" x14ac:dyDescent="0.45">
      <c r="B174">
        <v>8</v>
      </c>
    </row>
    <row r="175" spans="2:2" x14ac:dyDescent="0.45">
      <c r="B175">
        <v>31</v>
      </c>
    </row>
    <row r="176" spans="2:2" x14ac:dyDescent="0.45">
      <c r="B176">
        <v>93</v>
      </c>
    </row>
    <row r="177" spans="2:2" x14ac:dyDescent="0.45">
      <c r="B177">
        <v>179</v>
      </c>
    </row>
    <row r="178" spans="2:2" x14ac:dyDescent="0.45">
      <c r="B178">
        <v>260</v>
      </c>
    </row>
    <row r="179" spans="2:2" x14ac:dyDescent="0.45">
      <c r="B179">
        <v>320</v>
      </c>
    </row>
    <row r="180" spans="2:2" x14ac:dyDescent="0.45">
      <c r="B180">
        <v>318</v>
      </c>
    </row>
    <row r="181" spans="2:2" x14ac:dyDescent="0.45">
      <c r="B181">
        <v>285</v>
      </c>
    </row>
    <row r="182" spans="2:2" x14ac:dyDescent="0.45">
      <c r="B182">
        <v>504</v>
      </c>
    </row>
    <row r="183" spans="2:2" x14ac:dyDescent="0.45">
      <c r="B183">
        <v>2</v>
      </c>
    </row>
    <row r="184" spans="2:2" x14ac:dyDescent="0.45">
      <c r="B184">
        <v>8</v>
      </c>
    </row>
    <row r="185" spans="2:2" x14ac:dyDescent="0.45">
      <c r="B185">
        <v>25</v>
      </c>
    </row>
    <row r="186" spans="2:2" x14ac:dyDescent="0.45">
      <c r="B186">
        <v>76</v>
      </c>
    </row>
    <row r="187" spans="2:2" x14ac:dyDescent="0.45">
      <c r="B187">
        <v>131</v>
      </c>
    </row>
    <row r="188" spans="2:2" x14ac:dyDescent="0.45">
      <c r="B188">
        <v>212</v>
      </c>
    </row>
    <row r="189" spans="2:2" x14ac:dyDescent="0.45">
      <c r="B189">
        <v>262</v>
      </c>
    </row>
    <row r="190" spans="2:2" x14ac:dyDescent="0.45">
      <c r="B190">
        <v>275</v>
      </c>
    </row>
    <row r="191" spans="2:2" x14ac:dyDescent="0.45">
      <c r="B191">
        <v>306</v>
      </c>
    </row>
    <row r="192" spans="2:2" x14ac:dyDescent="0.45">
      <c r="B192">
        <v>703</v>
      </c>
    </row>
    <row r="193" spans="2:2" x14ac:dyDescent="0.45">
      <c r="B193">
        <v>2</v>
      </c>
    </row>
    <row r="194" spans="2:2" x14ac:dyDescent="0.45">
      <c r="B194">
        <v>6</v>
      </c>
    </row>
    <row r="195" spans="2:2" x14ac:dyDescent="0.45">
      <c r="B195">
        <v>19</v>
      </c>
    </row>
    <row r="196" spans="2:2" x14ac:dyDescent="0.45">
      <c r="B196">
        <v>47</v>
      </c>
    </row>
    <row r="197" spans="2:2" x14ac:dyDescent="0.45">
      <c r="B197">
        <v>108</v>
      </c>
    </row>
    <row r="198" spans="2:2" x14ac:dyDescent="0.45">
      <c r="B198">
        <v>144</v>
      </c>
    </row>
    <row r="199" spans="2:2" x14ac:dyDescent="0.45">
      <c r="B199">
        <v>231</v>
      </c>
    </row>
    <row r="200" spans="2:2" x14ac:dyDescent="0.45">
      <c r="B200">
        <v>245</v>
      </c>
    </row>
    <row r="201" spans="2:2" x14ac:dyDescent="0.45">
      <c r="B201">
        <v>256</v>
      </c>
    </row>
    <row r="202" spans="2:2" x14ac:dyDescent="0.45">
      <c r="B202">
        <v>942</v>
      </c>
    </row>
    <row r="203" spans="2:2" x14ac:dyDescent="0.45">
      <c r="B203">
        <v>2</v>
      </c>
    </row>
    <row r="204" spans="2:2" x14ac:dyDescent="0.45">
      <c r="B204">
        <v>4</v>
      </c>
    </row>
    <row r="205" spans="2:2" x14ac:dyDescent="0.45">
      <c r="B205">
        <v>11</v>
      </c>
    </row>
    <row r="206" spans="2:2" x14ac:dyDescent="0.45">
      <c r="B206">
        <v>34</v>
      </c>
    </row>
    <row r="207" spans="2:2" x14ac:dyDescent="0.45">
      <c r="B207">
        <v>78</v>
      </c>
    </row>
    <row r="208" spans="2:2" x14ac:dyDescent="0.45">
      <c r="B208">
        <v>104</v>
      </c>
    </row>
    <row r="209" spans="2:2" x14ac:dyDescent="0.45">
      <c r="B209">
        <v>176</v>
      </c>
    </row>
    <row r="210" spans="2:2" x14ac:dyDescent="0.45">
      <c r="B210">
        <v>208</v>
      </c>
    </row>
    <row r="211" spans="2:2" x14ac:dyDescent="0.45">
      <c r="B211">
        <v>234</v>
      </c>
    </row>
    <row r="212" spans="2:2" x14ac:dyDescent="0.45">
      <c r="B212">
        <v>1149</v>
      </c>
    </row>
    <row r="213" spans="2:2" x14ac:dyDescent="0.45">
      <c r="B213">
        <v>2</v>
      </c>
    </row>
    <row r="214" spans="2:2" x14ac:dyDescent="0.45">
      <c r="B214">
        <v>7</v>
      </c>
    </row>
    <row r="215" spans="2:2" x14ac:dyDescent="0.45">
      <c r="B215">
        <v>6</v>
      </c>
    </row>
    <row r="216" spans="2:2" x14ac:dyDescent="0.45">
      <c r="B216">
        <v>28</v>
      </c>
    </row>
    <row r="217" spans="2:2" x14ac:dyDescent="0.45">
      <c r="B217">
        <v>58</v>
      </c>
    </row>
    <row r="218" spans="2:2" x14ac:dyDescent="0.45">
      <c r="B218">
        <v>85</v>
      </c>
    </row>
    <row r="219" spans="2:2" x14ac:dyDescent="0.45">
      <c r="B219">
        <v>132</v>
      </c>
    </row>
    <row r="220" spans="2:2" x14ac:dyDescent="0.45">
      <c r="B220">
        <v>165</v>
      </c>
    </row>
    <row r="221" spans="2:2" x14ac:dyDescent="0.45">
      <c r="B221">
        <v>194</v>
      </c>
    </row>
    <row r="222" spans="2:2" x14ac:dyDescent="0.45">
      <c r="B222">
        <v>1323</v>
      </c>
    </row>
    <row r="223" spans="2:2" x14ac:dyDescent="0.45">
      <c r="B223">
        <v>2</v>
      </c>
    </row>
    <row r="224" spans="2:2" x14ac:dyDescent="0.45">
      <c r="B224">
        <v>6</v>
      </c>
    </row>
    <row r="225" spans="2:2" x14ac:dyDescent="0.45">
      <c r="B225">
        <v>6</v>
      </c>
    </row>
    <row r="226" spans="2:2" x14ac:dyDescent="0.45">
      <c r="B226">
        <v>17</v>
      </c>
    </row>
    <row r="227" spans="2:2" x14ac:dyDescent="0.45">
      <c r="B227">
        <v>38</v>
      </c>
    </row>
    <row r="228" spans="2:2" x14ac:dyDescent="0.45">
      <c r="B228">
        <v>71</v>
      </c>
    </row>
    <row r="229" spans="2:2" x14ac:dyDescent="0.45">
      <c r="B229">
        <v>100</v>
      </c>
    </row>
    <row r="230" spans="2:2" x14ac:dyDescent="0.45">
      <c r="B230">
        <v>131</v>
      </c>
    </row>
    <row r="231" spans="2:2" x14ac:dyDescent="0.45">
      <c r="B231">
        <v>146</v>
      </c>
    </row>
    <row r="232" spans="2:2" x14ac:dyDescent="0.45">
      <c r="B232">
        <v>1483</v>
      </c>
    </row>
    <row r="233" spans="2:2" x14ac:dyDescent="0.45">
      <c r="B233">
        <v>2</v>
      </c>
    </row>
    <row r="234" spans="2:2" x14ac:dyDescent="0.45">
      <c r="B234">
        <v>4</v>
      </c>
    </row>
    <row r="235" spans="2:2" x14ac:dyDescent="0.45">
      <c r="B235">
        <v>6</v>
      </c>
    </row>
    <row r="236" spans="2:2" x14ac:dyDescent="0.45">
      <c r="B236">
        <v>10</v>
      </c>
    </row>
    <row r="237" spans="2:2" x14ac:dyDescent="0.45">
      <c r="B237">
        <v>28</v>
      </c>
    </row>
    <row r="238" spans="2:2" x14ac:dyDescent="0.45">
      <c r="B238">
        <v>57</v>
      </c>
    </row>
    <row r="239" spans="2:2" x14ac:dyDescent="0.45">
      <c r="B239">
        <v>66</v>
      </c>
    </row>
    <row r="240" spans="2:2" x14ac:dyDescent="0.45">
      <c r="B240">
        <v>97</v>
      </c>
    </row>
    <row r="241" spans="2:2" x14ac:dyDescent="0.45">
      <c r="B241">
        <v>129</v>
      </c>
    </row>
    <row r="242" spans="2:2" x14ac:dyDescent="0.45">
      <c r="B242">
        <v>1601</v>
      </c>
    </row>
    <row r="243" spans="2:2" x14ac:dyDescent="0.45">
      <c r="B243">
        <v>2</v>
      </c>
    </row>
    <row r="244" spans="2:2" x14ac:dyDescent="0.45">
      <c r="B244">
        <v>3</v>
      </c>
    </row>
    <row r="245" spans="2:2" x14ac:dyDescent="0.45">
      <c r="B245">
        <v>4</v>
      </c>
    </row>
    <row r="246" spans="2:2" x14ac:dyDescent="0.45">
      <c r="B246">
        <v>6</v>
      </c>
    </row>
    <row r="247" spans="2:2" x14ac:dyDescent="0.45">
      <c r="B247">
        <v>22</v>
      </c>
    </row>
    <row r="248" spans="2:2" x14ac:dyDescent="0.45">
      <c r="B248">
        <v>29</v>
      </c>
    </row>
    <row r="249" spans="2:2" x14ac:dyDescent="0.45">
      <c r="B249">
        <v>61</v>
      </c>
    </row>
    <row r="250" spans="2:2" x14ac:dyDescent="0.45">
      <c r="B250">
        <v>63</v>
      </c>
    </row>
    <row r="251" spans="2:2" x14ac:dyDescent="0.45">
      <c r="B251">
        <v>100</v>
      </c>
    </row>
    <row r="252" spans="2:2" x14ac:dyDescent="0.45">
      <c r="B252">
        <v>1710</v>
      </c>
    </row>
    <row r="253" spans="2:2" x14ac:dyDescent="0.45">
      <c r="B253">
        <v>2</v>
      </c>
    </row>
    <row r="254" spans="2:2" x14ac:dyDescent="0.45">
      <c r="B254">
        <v>3</v>
      </c>
    </row>
    <row r="255" spans="2:2" x14ac:dyDescent="0.45">
      <c r="B255">
        <v>4</v>
      </c>
    </row>
    <row r="256" spans="2:2" x14ac:dyDescent="0.45">
      <c r="B256">
        <v>4</v>
      </c>
    </row>
    <row r="257" spans="2:2" x14ac:dyDescent="0.45">
      <c r="B257">
        <v>11</v>
      </c>
    </row>
    <row r="258" spans="2:2" x14ac:dyDescent="0.45">
      <c r="B258">
        <v>19</v>
      </c>
    </row>
    <row r="259" spans="2:2" x14ac:dyDescent="0.45">
      <c r="B259">
        <v>51</v>
      </c>
    </row>
    <row r="260" spans="2:2" x14ac:dyDescent="0.45">
      <c r="B260">
        <v>50</v>
      </c>
    </row>
    <row r="261" spans="2:2" x14ac:dyDescent="0.45">
      <c r="B261">
        <v>68</v>
      </c>
    </row>
    <row r="262" spans="2:2" x14ac:dyDescent="0.45">
      <c r="B262">
        <v>1788</v>
      </c>
    </row>
    <row r="263" spans="2:2" x14ac:dyDescent="0.45">
      <c r="B263">
        <v>2</v>
      </c>
    </row>
    <row r="264" spans="2:2" x14ac:dyDescent="0.45">
      <c r="B264">
        <v>1</v>
      </c>
    </row>
    <row r="265" spans="2:2" x14ac:dyDescent="0.45">
      <c r="B265">
        <v>3</v>
      </c>
    </row>
    <row r="266" spans="2:2" x14ac:dyDescent="0.45">
      <c r="B266">
        <v>4</v>
      </c>
    </row>
    <row r="267" spans="2:2" x14ac:dyDescent="0.45">
      <c r="B267">
        <v>11</v>
      </c>
    </row>
    <row r="268" spans="2:2" x14ac:dyDescent="0.45">
      <c r="B268">
        <v>11</v>
      </c>
    </row>
    <row r="269" spans="2:2" x14ac:dyDescent="0.45">
      <c r="B269">
        <v>20</v>
      </c>
    </row>
    <row r="270" spans="2:2" x14ac:dyDescent="0.45">
      <c r="B270">
        <v>55</v>
      </c>
    </row>
    <row r="271" spans="2:2" x14ac:dyDescent="0.45">
      <c r="B271">
        <v>42</v>
      </c>
    </row>
    <row r="272" spans="2:2" x14ac:dyDescent="0.45">
      <c r="B272">
        <v>1851</v>
      </c>
    </row>
    <row r="273" spans="2:2" x14ac:dyDescent="0.45">
      <c r="B273">
        <v>2</v>
      </c>
    </row>
    <row r="274" spans="2:2" x14ac:dyDescent="0.45">
      <c r="B274">
        <v>0</v>
      </c>
    </row>
    <row r="275" spans="2:2" x14ac:dyDescent="0.45">
      <c r="B275">
        <v>4</v>
      </c>
    </row>
    <row r="276" spans="2:2" x14ac:dyDescent="0.45">
      <c r="B276">
        <v>3</v>
      </c>
    </row>
    <row r="277" spans="2:2" x14ac:dyDescent="0.45">
      <c r="B277">
        <v>7</v>
      </c>
    </row>
    <row r="278" spans="2:2" x14ac:dyDescent="0.45">
      <c r="B278">
        <v>10</v>
      </c>
    </row>
    <row r="279" spans="2:2" x14ac:dyDescent="0.45">
      <c r="B279">
        <v>13</v>
      </c>
    </row>
    <row r="280" spans="2:2" x14ac:dyDescent="0.45">
      <c r="B280">
        <v>32</v>
      </c>
    </row>
    <row r="281" spans="2:2" x14ac:dyDescent="0.45">
      <c r="B281">
        <v>48</v>
      </c>
    </row>
    <row r="282" spans="2:2" x14ac:dyDescent="0.45">
      <c r="B282">
        <v>1881</v>
      </c>
    </row>
    <row r="283" spans="2:2" x14ac:dyDescent="0.45">
      <c r="B283">
        <v>2</v>
      </c>
    </row>
    <row r="284" spans="2:2" x14ac:dyDescent="0.45">
      <c r="B284">
        <v>0</v>
      </c>
    </row>
    <row r="285" spans="2:2" x14ac:dyDescent="0.45">
      <c r="B285">
        <v>1</v>
      </c>
    </row>
    <row r="286" spans="2:2" x14ac:dyDescent="0.45">
      <c r="B286">
        <v>3</v>
      </c>
    </row>
    <row r="287" spans="2:2" x14ac:dyDescent="0.45">
      <c r="B287">
        <v>6</v>
      </c>
    </row>
    <row r="288" spans="2:2" x14ac:dyDescent="0.45">
      <c r="B288">
        <v>7</v>
      </c>
    </row>
    <row r="289" spans="2:2" x14ac:dyDescent="0.45">
      <c r="B289">
        <v>7</v>
      </c>
    </row>
    <row r="290" spans="2:2" x14ac:dyDescent="0.45">
      <c r="B290">
        <v>15</v>
      </c>
    </row>
    <row r="291" spans="2:2" x14ac:dyDescent="0.45">
      <c r="B291">
        <v>37</v>
      </c>
    </row>
    <row r="292" spans="2:2" x14ac:dyDescent="0.45">
      <c r="B292">
        <v>1922</v>
      </c>
    </row>
    <row r="293" spans="2:2" x14ac:dyDescent="0.45">
      <c r="B293">
        <v>2</v>
      </c>
    </row>
    <row r="294" spans="2:2" x14ac:dyDescent="0.45">
      <c r="B294">
        <v>0</v>
      </c>
    </row>
    <row r="295" spans="2:2" x14ac:dyDescent="0.45">
      <c r="B295">
        <v>0</v>
      </c>
    </row>
    <row r="296" spans="2:2" x14ac:dyDescent="0.45">
      <c r="B296">
        <v>4</v>
      </c>
    </row>
    <row r="297" spans="2:2" x14ac:dyDescent="0.45">
      <c r="B297">
        <v>3</v>
      </c>
    </row>
    <row r="298" spans="2:2" x14ac:dyDescent="0.45">
      <c r="B298">
        <v>5</v>
      </c>
    </row>
    <row r="299" spans="2:2" x14ac:dyDescent="0.45">
      <c r="B299">
        <v>7</v>
      </c>
    </row>
    <row r="300" spans="2:2" x14ac:dyDescent="0.45">
      <c r="B300">
        <v>7</v>
      </c>
    </row>
    <row r="301" spans="2:2" x14ac:dyDescent="0.45">
      <c r="B301">
        <v>23</v>
      </c>
    </row>
    <row r="302" spans="2:2" x14ac:dyDescent="0.45">
      <c r="B302">
        <v>1949</v>
      </c>
    </row>
    <row r="303" spans="2:2" x14ac:dyDescent="0.45">
      <c r="B303">
        <v>2</v>
      </c>
    </row>
    <row r="304" spans="2:2" x14ac:dyDescent="0.45">
      <c r="B304">
        <v>0</v>
      </c>
    </row>
    <row r="305" spans="2:2" x14ac:dyDescent="0.45">
      <c r="B305">
        <v>0</v>
      </c>
    </row>
    <row r="306" spans="2:2" x14ac:dyDescent="0.45">
      <c r="B306">
        <v>3</v>
      </c>
    </row>
    <row r="307" spans="2:2" x14ac:dyDescent="0.45">
      <c r="B307">
        <v>3</v>
      </c>
    </row>
    <row r="308" spans="2:2" x14ac:dyDescent="0.45">
      <c r="B308">
        <v>3</v>
      </c>
    </row>
    <row r="309" spans="2:2" x14ac:dyDescent="0.45">
      <c r="B309">
        <v>5</v>
      </c>
    </row>
    <row r="310" spans="2:2" x14ac:dyDescent="0.45">
      <c r="B310">
        <v>6</v>
      </c>
    </row>
    <row r="311" spans="2:2" x14ac:dyDescent="0.45">
      <c r="B311">
        <v>8</v>
      </c>
    </row>
    <row r="312" spans="2:2" x14ac:dyDescent="0.45">
      <c r="B312">
        <v>1970</v>
      </c>
    </row>
    <row r="313" spans="2:2" x14ac:dyDescent="0.45">
      <c r="B313">
        <v>2</v>
      </c>
    </row>
    <row r="314" spans="2:2" x14ac:dyDescent="0.45">
      <c r="B314">
        <v>0</v>
      </c>
    </row>
    <row r="315" spans="2:2" x14ac:dyDescent="0.45">
      <c r="B315">
        <v>0</v>
      </c>
    </row>
    <row r="316" spans="2:2" x14ac:dyDescent="0.45">
      <c r="B316">
        <v>3</v>
      </c>
    </row>
    <row r="317" spans="2:2" x14ac:dyDescent="0.45">
      <c r="B317">
        <v>2</v>
      </c>
    </row>
    <row r="318" spans="2:2" x14ac:dyDescent="0.45">
      <c r="B318">
        <v>2</v>
      </c>
    </row>
    <row r="319" spans="2:2" x14ac:dyDescent="0.45">
      <c r="B319">
        <v>3</v>
      </c>
    </row>
    <row r="320" spans="2:2" x14ac:dyDescent="0.45">
      <c r="B320">
        <v>4</v>
      </c>
    </row>
    <row r="321" spans="2:2" x14ac:dyDescent="0.45">
      <c r="B321">
        <v>7</v>
      </c>
    </row>
    <row r="322" spans="2:2" x14ac:dyDescent="0.45">
      <c r="B322">
        <v>1977</v>
      </c>
    </row>
    <row r="323" spans="2:2" x14ac:dyDescent="0.45">
      <c r="B323">
        <v>2</v>
      </c>
    </row>
    <row r="324" spans="2:2" x14ac:dyDescent="0.45">
      <c r="B324">
        <v>0</v>
      </c>
    </row>
    <row r="325" spans="2:2" x14ac:dyDescent="0.45">
      <c r="B325">
        <v>1</v>
      </c>
    </row>
    <row r="326" spans="2:2" x14ac:dyDescent="0.45">
      <c r="B326">
        <v>2</v>
      </c>
    </row>
    <row r="327" spans="2:2" x14ac:dyDescent="0.45">
      <c r="B327">
        <v>3</v>
      </c>
    </row>
    <row r="328" spans="2:2" x14ac:dyDescent="0.45">
      <c r="B328">
        <v>0</v>
      </c>
    </row>
    <row r="329" spans="2:2" x14ac:dyDescent="0.45">
      <c r="B329">
        <v>3</v>
      </c>
    </row>
    <row r="330" spans="2:2" x14ac:dyDescent="0.45">
      <c r="B330">
        <v>1</v>
      </c>
    </row>
    <row r="331" spans="2:2" x14ac:dyDescent="0.45">
      <c r="B331">
        <v>4</v>
      </c>
    </row>
    <row r="332" spans="2:2" x14ac:dyDescent="0.45">
      <c r="B332">
        <v>1984</v>
      </c>
    </row>
    <row r="333" spans="2:2" x14ac:dyDescent="0.45">
      <c r="B333">
        <v>2</v>
      </c>
    </row>
    <row r="334" spans="2:2" x14ac:dyDescent="0.45">
      <c r="B334">
        <v>0</v>
      </c>
    </row>
    <row r="335" spans="2:2" x14ac:dyDescent="0.45">
      <c r="B335">
        <v>0</v>
      </c>
    </row>
    <row r="336" spans="2:2" x14ac:dyDescent="0.45">
      <c r="B336">
        <v>1</v>
      </c>
    </row>
    <row r="337" spans="2:2" x14ac:dyDescent="0.45">
      <c r="B337">
        <v>2</v>
      </c>
    </row>
    <row r="338" spans="2:2" x14ac:dyDescent="0.45">
      <c r="B338">
        <v>2</v>
      </c>
    </row>
    <row r="339" spans="2:2" x14ac:dyDescent="0.45">
      <c r="B339">
        <v>3</v>
      </c>
    </row>
    <row r="340" spans="2:2" x14ac:dyDescent="0.45">
      <c r="B340">
        <v>0</v>
      </c>
    </row>
    <row r="341" spans="2:2" x14ac:dyDescent="0.45">
      <c r="B341">
        <v>2</v>
      </c>
    </row>
    <row r="342" spans="2:2" x14ac:dyDescent="0.45">
      <c r="B342">
        <v>1988</v>
      </c>
    </row>
    <row r="343" spans="2:2" x14ac:dyDescent="0.45">
      <c r="B343">
        <v>2</v>
      </c>
    </row>
    <row r="344" spans="2:2" x14ac:dyDescent="0.45">
      <c r="B344">
        <v>0</v>
      </c>
    </row>
    <row r="345" spans="2:2" x14ac:dyDescent="0.45">
      <c r="B345">
        <v>0</v>
      </c>
    </row>
    <row r="346" spans="2:2" x14ac:dyDescent="0.45">
      <c r="B346">
        <v>0</v>
      </c>
    </row>
    <row r="347" spans="2:2" x14ac:dyDescent="0.45">
      <c r="B347">
        <v>2</v>
      </c>
    </row>
    <row r="348" spans="2:2" x14ac:dyDescent="0.45">
      <c r="B348">
        <v>2</v>
      </c>
    </row>
    <row r="349" spans="2:2" x14ac:dyDescent="0.45">
      <c r="B349">
        <v>1</v>
      </c>
    </row>
    <row r="350" spans="2:2" x14ac:dyDescent="0.45">
      <c r="B350">
        <v>2</v>
      </c>
    </row>
    <row r="351" spans="2:2" x14ac:dyDescent="0.45">
      <c r="B351">
        <v>2</v>
      </c>
    </row>
    <row r="352" spans="2:2" x14ac:dyDescent="0.45">
      <c r="B352">
        <v>1989</v>
      </c>
    </row>
    <row r="353" spans="2:2" x14ac:dyDescent="0.45">
      <c r="B353">
        <v>2</v>
      </c>
    </row>
    <row r="354" spans="2:2" x14ac:dyDescent="0.45">
      <c r="B354">
        <v>0</v>
      </c>
    </row>
    <row r="355" spans="2:2" x14ac:dyDescent="0.45">
      <c r="B355">
        <v>0</v>
      </c>
    </row>
    <row r="356" spans="2:2" x14ac:dyDescent="0.45">
      <c r="B356">
        <v>0</v>
      </c>
    </row>
    <row r="357" spans="2:2" x14ac:dyDescent="0.45">
      <c r="B357">
        <v>1</v>
      </c>
    </row>
    <row r="358" spans="2:2" x14ac:dyDescent="0.45">
      <c r="B358">
        <v>1</v>
      </c>
    </row>
    <row r="359" spans="2:2" x14ac:dyDescent="0.45">
      <c r="B359">
        <v>2</v>
      </c>
    </row>
    <row r="360" spans="2:2" x14ac:dyDescent="0.45">
      <c r="B360">
        <v>1</v>
      </c>
    </row>
    <row r="361" spans="2:2" x14ac:dyDescent="0.45">
      <c r="B361">
        <v>1</v>
      </c>
    </row>
    <row r="362" spans="2:2" x14ac:dyDescent="0.45">
      <c r="B362">
        <v>1992</v>
      </c>
    </row>
    <row r="363" spans="2:2" x14ac:dyDescent="0.45">
      <c r="B363">
        <v>2</v>
      </c>
    </row>
    <row r="364" spans="2:2" x14ac:dyDescent="0.45">
      <c r="B364">
        <v>0</v>
      </c>
    </row>
    <row r="365" spans="2:2" x14ac:dyDescent="0.45">
      <c r="B365">
        <v>0</v>
      </c>
    </row>
    <row r="366" spans="2:2" x14ac:dyDescent="0.45">
      <c r="B366">
        <v>0</v>
      </c>
    </row>
    <row r="367" spans="2:2" x14ac:dyDescent="0.45">
      <c r="B367">
        <v>0</v>
      </c>
    </row>
    <row r="368" spans="2:2" x14ac:dyDescent="0.45">
      <c r="B368">
        <v>1</v>
      </c>
    </row>
    <row r="369" spans="2:2" x14ac:dyDescent="0.45">
      <c r="B369">
        <v>2</v>
      </c>
    </row>
    <row r="370" spans="2:2" x14ac:dyDescent="0.45">
      <c r="B370">
        <v>1</v>
      </c>
    </row>
    <row r="371" spans="2:2" x14ac:dyDescent="0.45">
      <c r="B371">
        <v>1</v>
      </c>
    </row>
    <row r="372" spans="2:2" x14ac:dyDescent="0.45">
      <c r="B372">
        <v>1993</v>
      </c>
    </row>
    <row r="373" spans="2:2" x14ac:dyDescent="0.45">
      <c r="B373">
        <v>2</v>
      </c>
    </row>
    <row r="374" spans="2:2" x14ac:dyDescent="0.45">
      <c r="B374">
        <v>0</v>
      </c>
    </row>
    <row r="375" spans="2:2" x14ac:dyDescent="0.45">
      <c r="B375">
        <v>0</v>
      </c>
    </row>
    <row r="376" spans="2:2" x14ac:dyDescent="0.45">
      <c r="B376">
        <v>0</v>
      </c>
    </row>
    <row r="377" spans="2:2" x14ac:dyDescent="0.45">
      <c r="B377">
        <v>0</v>
      </c>
    </row>
    <row r="378" spans="2:2" x14ac:dyDescent="0.45">
      <c r="B378">
        <v>0</v>
      </c>
    </row>
    <row r="379" spans="2:2" x14ac:dyDescent="0.45">
      <c r="B379">
        <v>1</v>
      </c>
    </row>
    <row r="380" spans="2:2" x14ac:dyDescent="0.45">
      <c r="B380">
        <v>1</v>
      </c>
    </row>
    <row r="381" spans="2:2" x14ac:dyDescent="0.45">
      <c r="B381">
        <v>1</v>
      </c>
    </row>
    <row r="382" spans="2:2" x14ac:dyDescent="0.45">
      <c r="B382">
        <v>1995</v>
      </c>
    </row>
    <row r="383" spans="2:2" x14ac:dyDescent="0.45">
      <c r="B383">
        <v>1</v>
      </c>
    </row>
    <row r="384" spans="2:2" x14ac:dyDescent="0.45">
      <c r="B384">
        <v>1</v>
      </c>
    </row>
    <row r="385" spans="2:2" x14ac:dyDescent="0.45">
      <c r="B385">
        <v>0</v>
      </c>
    </row>
    <row r="386" spans="2:2" x14ac:dyDescent="0.45">
      <c r="B386">
        <v>0</v>
      </c>
    </row>
    <row r="387" spans="2:2" x14ac:dyDescent="0.45">
      <c r="B387">
        <v>0</v>
      </c>
    </row>
    <row r="388" spans="2:2" x14ac:dyDescent="0.45">
      <c r="B388">
        <v>0</v>
      </c>
    </row>
    <row r="389" spans="2:2" x14ac:dyDescent="0.45">
      <c r="B389">
        <v>0</v>
      </c>
    </row>
    <row r="390" spans="2:2" x14ac:dyDescent="0.45">
      <c r="B390">
        <v>1</v>
      </c>
    </row>
    <row r="391" spans="2:2" x14ac:dyDescent="0.45">
      <c r="B391">
        <v>0</v>
      </c>
    </row>
    <row r="392" spans="2:2" x14ac:dyDescent="0.45">
      <c r="B392">
        <v>1997</v>
      </c>
    </row>
    <row r="393" spans="2:2" x14ac:dyDescent="0.45">
      <c r="B393">
        <v>1</v>
      </c>
    </row>
    <row r="394" spans="2:2" x14ac:dyDescent="0.45">
      <c r="B394">
        <v>1</v>
      </c>
    </row>
    <row r="395" spans="2:2" x14ac:dyDescent="0.45">
      <c r="B395">
        <v>0</v>
      </c>
    </row>
    <row r="396" spans="2:2" x14ac:dyDescent="0.45">
      <c r="B396">
        <v>0</v>
      </c>
    </row>
    <row r="397" spans="2:2" x14ac:dyDescent="0.45">
      <c r="B397">
        <v>0</v>
      </c>
    </row>
    <row r="398" spans="2:2" x14ac:dyDescent="0.45">
      <c r="B398">
        <v>0</v>
      </c>
    </row>
    <row r="399" spans="2:2" x14ac:dyDescent="0.45">
      <c r="B399">
        <v>0</v>
      </c>
    </row>
    <row r="400" spans="2:2" x14ac:dyDescent="0.45">
      <c r="B400">
        <v>0</v>
      </c>
    </row>
    <row r="401" spans="2:2" x14ac:dyDescent="0.45">
      <c r="B401">
        <v>0</v>
      </c>
    </row>
    <row r="402" spans="2:2" x14ac:dyDescent="0.45">
      <c r="B402">
        <v>1998</v>
      </c>
    </row>
    <row r="403" spans="2:2" x14ac:dyDescent="0.45">
      <c r="B403">
        <v>1</v>
      </c>
    </row>
    <row r="404" spans="2:2" x14ac:dyDescent="0.45">
      <c r="B404">
        <v>0</v>
      </c>
    </row>
    <row r="405" spans="2:2" x14ac:dyDescent="0.45">
      <c r="B405">
        <v>0</v>
      </c>
    </row>
    <row r="406" spans="2:2" x14ac:dyDescent="0.45">
      <c r="B406">
        <v>1</v>
      </c>
    </row>
    <row r="407" spans="2:2" x14ac:dyDescent="0.45">
      <c r="B407">
        <v>0</v>
      </c>
    </row>
    <row r="408" spans="2:2" x14ac:dyDescent="0.45">
      <c r="B408">
        <v>0</v>
      </c>
    </row>
    <row r="409" spans="2:2" x14ac:dyDescent="0.45">
      <c r="B409">
        <v>0</v>
      </c>
    </row>
    <row r="410" spans="2:2" x14ac:dyDescent="0.45">
      <c r="B410">
        <v>0</v>
      </c>
    </row>
    <row r="411" spans="2:2" x14ac:dyDescent="0.45">
      <c r="B411">
        <v>0</v>
      </c>
    </row>
    <row r="412" spans="2:2" x14ac:dyDescent="0.45">
      <c r="B412">
        <v>1998</v>
      </c>
    </row>
    <row r="413" spans="2:2" x14ac:dyDescent="0.45">
      <c r="B413">
        <v>1</v>
      </c>
    </row>
    <row r="414" spans="2:2" x14ac:dyDescent="0.45">
      <c r="B414">
        <v>0</v>
      </c>
    </row>
    <row r="415" spans="2:2" x14ac:dyDescent="0.45">
      <c r="B415">
        <v>0</v>
      </c>
    </row>
    <row r="416" spans="2:2" x14ac:dyDescent="0.45">
      <c r="B416">
        <v>0</v>
      </c>
    </row>
    <row r="417" spans="2:2" x14ac:dyDescent="0.45">
      <c r="B417">
        <v>1</v>
      </c>
    </row>
    <row r="418" spans="2:2" x14ac:dyDescent="0.45">
      <c r="B418">
        <v>0</v>
      </c>
    </row>
    <row r="419" spans="2:2" x14ac:dyDescent="0.45">
      <c r="B419">
        <v>0</v>
      </c>
    </row>
    <row r="420" spans="2:2" x14ac:dyDescent="0.45">
      <c r="B420">
        <v>0</v>
      </c>
    </row>
    <row r="421" spans="2:2" x14ac:dyDescent="0.45">
      <c r="B421">
        <v>0</v>
      </c>
    </row>
    <row r="422" spans="2:2" x14ac:dyDescent="0.45">
      <c r="B422">
        <v>1998</v>
      </c>
    </row>
    <row r="423" spans="2:2" x14ac:dyDescent="0.45">
      <c r="B423">
        <v>1</v>
      </c>
    </row>
    <row r="424" spans="2:2" x14ac:dyDescent="0.45">
      <c r="B424">
        <v>0</v>
      </c>
    </row>
    <row r="425" spans="2:2" x14ac:dyDescent="0.45">
      <c r="B425">
        <v>0</v>
      </c>
    </row>
    <row r="426" spans="2:2" x14ac:dyDescent="0.45">
      <c r="B426">
        <v>0</v>
      </c>
    </row>
    <row r="427" spans="2:2" x14ac:dyDescent="0.45">
      <c r="B427">
        <v>0</v>
      </c>
    </row>
    <row r="428" spans="2:2" x14ac:dyDescent="0.45">
      <c r="B428">
        <v>1</v>
      </c>
    </row>
    <row r="429" spans="2:2" x14ac:dyDescent="0.45">
      <c r="B429">
        <v>0</v>
      </c>
    </row>
    <row r="430" spans="2:2" x14ac:dyDescent="0.45">
      <c r="B430">
        <v>0</v>
      </c>
    </row>
    <row r="431" spans="2:2" x14ac:dyDescent="0.45">
      <c r="B431">
        <v>0</v>
      </c>
    </row>
    <row r="432" spans="2:2" x14ac:dyDescent="0.45">
      <c r="B432">
        <v>1998</v>
      </c>
    </row>
    <row r="433" spans="2:2" x14ac:dyDescent="0.45">
      <c r="B433">
        <v>1</v>
      </c>
    </row>
    <row r="434" spans="2:2" x14ac:dyDescent="0.45">
      <c r="B434">
        <v>0</v>
      </c>
    </row>
    <row r="435" spans="2:2" x14ac:dyDescent="0.45">
      <c r="B435">
        <v>0</v>
      </c>
    </row>
    <row r="436" spans="2:2" x14ac:dyDescent="0.45">
      <c r="B436">
        <v>0</v>
      </c>
    </row>
    <row r="437" spans="2:2" x14ac:dyDescent="0.45">
      <c r="B437">
        <v>0</v>
      </c>
    </row>
    <row r="438" spans="2:2" x14ac:dyDescent="0.45">
      <c r="B438">
        <v>0</v>
      </c>
    </row>
    <row r="439" spans="2:2" x14ac:dyDescent="0.45">
      <c r="B439">
        <v>0</v>
      </c>
    </row>
    <row r="440" spans="2:2" x14ac:dyDescent="0.45">
      <c r="B440">
        <v>0</v>
      </c>
    </row>
    <row r="441" spans="2:2" x14ac:dyDescent="0.45">
      <c r="B441">
        <v>0</v>
      </c>
    </row>
    <row r="442" spans="2:2" x14ac:dyDescent="0.45">
      <c r="B442">
        <v>1999</v>
      </c>
    </row>
    <row r="443" spans="2:2" x14ac:dyDescent="0.45">
      <c r="B443">
        <v>1</v>
      </c>
    </row>
    <row r="444" spans="2:2" x14ac:dyDescent="0.45">
      <c r="B444">
        <v>0</v>
      </c>
    </row>
    <row r="445" spans="2:2" x14ac:dyDescent="0.45">
      <c r="B445">
        <v>0</v>
      </c>
    </row>
    <row r="446" spans="2:2" x14ac:dyDescent="0.45">
      <c r="B446">
        <v>0</v>
      </c>
    </row>
    <row r="447" spans="2:2" x14ac:dyDescent="0.45">
      <c r="B447">
        <v>0</v>
      </c>
    </row>
    <row r="448" spans="2:2" x14ac:dyDescent="0.45">
      <c r="B448">
        <v>0</v>
      </c>
    </row>
    <row r="449" spans="2:2" x14ac:dyDescent="0.45">
      <c r="B449">
        <v>0</v>
      </c>
    </row>
    <row r="450" spans="2:2" x14ac:dyDescent="0.45">
      <c r="B450">
        <v>0</v>
      </c>
    </row>
    <row r="451" spans="2:2" x14ac:dyDescent="0.45">
      <c r="B451">
        <v>0</v>
      </c>
    </row>
    <row r="452" spans="2:2" x14ac:dyDescent="0.45">
      <c r="B452">
        <v>1999</v>
      </c>
    </row>
    <row r="453" spans="2:2" x14ac:dyDescent="0.45">
      <c r="B453">
        <v>0</v>
      </c>
    </row>
    <row r="454" spans="2:2" x14ac:dyDescent="0.45">
      <c r="B454">
        <v>0</v>
      </c>
    </row>
    <row r="455" spans="2:2" x14ac:dyDescent="0.45">
      <c r="B455">
        <v>0</v>
      </c>
    </row>
    <row r="456" spans="2:2" x14ac:dyDescent="0.45">
      <c r="B456">
        <v>0</v>
      </c>
    </row>
    <row r="457" spans="2:2" x14ac:dyDescent="0.45">
      <c r="B457">
        <v>0</v>
      </c>
    </row>
    <row r="458" spans="2:2" x14ac:dyDescent="0.45">
      <c r="B458">
        <v>2000</v>
      </c>
    </row>
    <row r="459" spans="2:2" x14ac:dyDescent="0.45">
      <c r="B459">
        <v>0</v>
      </c>
    </row>
    <row r="460" spans="2:2" x14ac:dyDescent="0.45">
      <c r="B460">
        <v>0</v>
      </c>
    </row>
    <row r="461" spans="2:2" x14ac:dyDescent="0.45">
      <c r="B461">
        <v>0</v>
      </c>
    </row>
    <row r="462" spans="2:2" x14ac:dyDescent="0.45">
      <c r="B462">
        <v>0</v>
      </c>
    </row>
    <row r="463" spans="2:2" x14ac:dyDescent="0.45">
      <c r="B463">
        <v>0</v>
      </c>
    </row>
    <row r="464" spans="2:2" x14ac:dyDescent="0.45">
      <c r="B464">
        <v>0</v>
      </c>
    </row>
    <row r="465" spans="2:2" x14ac:dyDescent="0.45">
      <c r="B465">
        <v>0</v>
      </c>
    </row>
    <row r="466" spans="2:2" x14ac:dyDescent="0.45">
      <c r="B466">
        <v>0</v>
      </c>
    </row>
    <row r="467" spans="2:2" x14ac:dyDescent="0.45">
      <c r="B467">
        <v>0</v>
      </c>
    </row>
    <row r="468" spans="2:2" x14ac:dyDescent="0.45">
      <c r="B468">
        <v>2000</v>
      </c>
    </row>
    <row r="469" spans="2:2" x14ac:dyDescent="0.45">
      <c r="B469">
        <v>0</v>
      </c>
    </row>
    <row r="470" spans="2:2" x14ac:dyDescent="0.45">
      <c r="B470">
        <v>0</v>
      </c>
    </row>
    <row r="471" spans="2:2" x14ac:dyDescent="0.45">
      <c r="B471">
        <v>0</v>
      </c>
    </row>
    <row r="472" spans="2:2" x14ac:dyDescent="0.45">
      <c r="B472">
        <v>0</v>
      </c>
    </row>
    <row r="473" spans="2:2" x14ac:dyDescent="0.45">
      <c r="B473">
        <v>0</v>
      </c>
    </row>
    <row r="474" spans="2:2" x14ac:dyDescent="0.45">
      <c r="B474">
        <v>0</v>
      </c>
    </row>
    <row r="475" spans="2:2" x14ac:dyDescent="0.45">
      <c r="B475">
        <v>0</v>
      </c>
    </row>
    <row r="476" spans="2:2" x14ac:dyDescent="0.45">
      <c r="B476">
        <v>0</v>
      </c>
    </row>
    <row r="477" spans="2:2" x14ac:dyDescent="0.45">
      <c r="B477">
        <v>0</v>
      </c>
    </row>
    <row r="478" spans="2:2" x14ac:dyDescent="0.45">
      <c r="B478">
        <v>2000</v>
      </c>
    </row>
    <row r="479" spans="2:2" x14ac:dyDescent="0.45">
      <c r="B479">
        <v>0</v>
      </c>
    </row>
    <row r="480" spans="2:2" x14ac:dyDescent="0.45">
      <c r="B480">
        <v>0</v>
      </c>
    </row>
    <row r="481" spans="2:2" x14ac:dyDescent="0.45">
      <c r="B481">
        <v>0</v>
      </c>
    </row>
    <row r="482" spans="2:2" x14ac:dyDescent="0.45">
      <c r="B482">
        <v>0</v>
      </c>
    </row>
    <row r="483" spans="2:2" x14ac:dyDescent="0.45">
      <c r="B483">
        <v>56</v>
      </c>
    </row>
    <row r="484" spans="2:2" x14ac:dyDescent="0.45">
      <c r="B484">
        <v>465</v>
      </c>
    </row>
    <row r="485" spans="2:2" x14ac:dyDescent="0.45">
      <c r="B485">
        <v>679</v>
      </c>
    </row>
    <row r="486" spans="2:2" x14ac:dyDescent="0.45">
      <c r="B486">
        <v>468</v>
      </c>
    </row>
    <row r="487" spans="2:2" x14ac:dyDescent="0.45">
      <c r="B487">
        <v>215</v>
      </c>
    </row>
    <row r="488" spans="2:2" x14ac:dyDescent="0.45">
      <c r="B488">
        <v>85</v>
      </c>
    </row>
    <row r="489" spans="2:2" x14ac:dyDescent="0.45">
      <c r="B489">
        <v>21</v>
      </c>
    </row>
    <row r="490" spans="2:2" x14ac:dyDescent="0.45">
      <c r="B490">
        <v>7</v>
      </c>
    </row>
    <row r="491" spans="2:2" x14ac:dyDescent="0.45">
      <c r="B491">
        <v>2</v>
      </c>
    </row>
    <row r="492" spans="2:2" x14ac:dyDescent="0.45">
      <c r="B492">
        <v>2</v>
      </c>
    </row>
    <row r="493" spans="2:2" x14ac:dyDescent="0.45">
      <c r="B493">
        <v>52</v>
      </c>
    </row>
    <row r="494" spans="2:2" x14ac:dyDescent="0.45">
      <c r="B494">
        <v>441</v>
      </c>
    </row>
    <row r="495" spans="2:2" x14ac:dyDescent="0.45">
      <c r="B495">
        <v>676</v>
      </c>
    </row>
    <row r="496" spans="2:2" x14ac:dyDescent="0.45">
      <c r="B496">
        <v>471</v>
      </c>
    </row>
    <row r="497" spans="2:2" x14ac:dyDescent="0.45">
      <c r="B497">
        <v>230</v>
      </c>
    </row>
    <row r="498" spans="2:2" x14ac:dyDescent="0.45">
      <c r="B498">
        <v>88</v>
      </c>
    </row>
    <row r="499" spans="2:2" x14ac:dyDescent="0.45">
      <c r="B499">
        <v>30</v>
      </c>
    </row>
    <row r="500" spans="2:2" x14ac:dyDescent="0.45">
      <c r="B500">
        <v>8</v>
      </c>
    </row>
    <row r="501" spans="2:2" x14ac:dyDescent="0.45">
      <c r="B501">
        <v>3</v>
      </c>
    </row>
    <row r="502" spans="2:2" x14ac:dyDescent="0.45">
      <c r="B502">
        <v>1</v>
      </c>
    </row>
    <row r="503" spans="2:2" x14ac:dyDescent="0.45">
      <c r="B503">
        <v>59</v>
      </c>
    </row>
    <row r="504" spans="2:2" x14ac:dyDescent="0.45">
      <c r="B504">
        <v>413</v>
      </c>
    </row>
    <row r="505" spans="2:2" x14ac:dyDescent="0.45">
      <c r="B505">
        <v>608</v>
      </c>
    </row>
    <row r="506" spans="2:2" x14ac:dyDescent="0.45">
      <c r="B506">
        <v>480</v>
      </c>
    </row>
    <row r="507" spans="2:2" x14ac:dyDescent="0.45">
      <c r="B507">
        <v>262</v>
      </c>
    </row>
    <row r="508" spans="2:2" x14ac:dyDescent="0.45">
      <c r="B508">
        <v>118</v>
      </c>
    </row>
    <row r="509" spans="2:2" x14ac:dyDescent="0.45">
      <c r="B509">
        <v>40</v>
      </c>
    </row>
    <row r="510" spans="2:2" x14ac:dyDescent="0.45">
      <c r="B510">
        <v>10</v>
      </c>
    </row>
    <row r="511" spans="2:2" x14ac:dyDescent="0.45">
      <c r="B511">
        <v>7</v>
      </c>
    </row>
    <row r="512" spans="2:2" x14ac:dyDescent="0.45">
      <c r="B512">
        <v>3</v>
      </c>
    </row>
    <row r="513" spans="2:2" x14ac:dyDescent="0.45">
      <c r="B513">
        <v>2</v>
      </c>
    </row>
    <row r="514" spans="2:2" x14ac:dyDescent="0.45">
      <c r="B514">
        <v>8</v>
      </c>
    </row>
    <row r="515" spans="2:2" x14ac:dyDescent="0.45">
      <c r="B515">
        <v>31</v>
      </c>
    </row>
    <row r="516" spans="2:2" x14ac:dyDescent="0.45">
      <c r="B516">
        <v>93</v>
      </c>
    </row>
    <row r="517" spans="2:2" x14ac:dyDescent="0.45">
      <c r="B517">
        <v>179</v>
      </c>
    </row>
    <row r="518" spans="2:2" x14ac:dyDescent="0.45">
      <c r="B518">
        <v>260</v>
      </c>
    </row>
    <row r="519" spans="2:2" x14ac:dyDescent="0.45">
      <c r="B519">
        <v>320</v>
      </c>
    </row>
    <row r="520" spans="2:2" x14ac:dyDescent="0.45">
      <c r="B520">
        <v>318</v>
      </c>
    </row>
    <row r="521" spans="2:2" x14ac:dyDescent="0.45">
      <c r="B521">
        <v>285</v>
      </c>
    </row>
    <row r="522" spans="2:2" x14ac:dyDescent="0.45">
      <c r="B522">
        <v>504</v>
      </c>
    </row>
    <row r="523" spans="2:2" x14ac:dyDescent="0.45">
      <c r="B523">
        <v>1</v>
      </c>
    </row>
    <row r="524" spans="2:2" x14ac:dyDescent="0.45">
      <c r="B524">
        <v>1</v>
      </c>
    </row>
    <row r="525" spans="2:2" x14ac:dyDescent="0.45">
      <c r="B525">
        <v>8</v>
      </c>
    </row>
    <row r="526" spans="2:2" x14ac:dyDescent="0.45">
      <c r="B526">
        <v>26</v>
      </c>
    </row>
    <row r="527" spans="2:2" x14ac:dyDescent="0.45">
      <c r="B527">
        <v>51</v>
      </c>
    </row>
    <row r="528" spans="2:2" x14ac:dyDescent="0.45">
      <c r="B528">
        <v>88</v>
      </c>
    </row>
    <row r="529" spans="2:2" x14ac:dyDescent="0.45">
      <c r="B529">
        <v>135</v>
      </c>
    </row>
    <row r="530" spans="2:2" x14ac:dyDescent="0.45">
      <c r="B530">
        <v>190</v>
      </c>
    </row>
    <row r="531" spans="2:2" x14ac:dyDescent="0.45">
      <c r="B531">
        <v>204</v>
      </c>
    </row>
    <row r="532" spans="2:2" x14ac:dyDescent="0.45">
      <c r="B532">
        <v>1296</v>
      </c>
    </row>
    <row r="533" spans="2:2" x14ac:dyDescent="0.45">
      <c r="B533">
        <v>1</v>
      </c>
    </row>
    <row r="534" spans="2:2" x14ac:dyDescent="0.45">
      <c r="B534">
        <v>1</v>
      </c>
    </row>
    <row r="535" spans="2:2" x14ac:dyDescent="0.45">
      <c r="B535">
        <v>4</v>
      </c>
    </row>
    <row r="536" spans="2:2" x14ac:dyDescent="0.45">
      <c r="B536">
        <v>9</v>
      </c>
    </row>
    <row r="537" spans="2:2" x14ac:dyDescent="0.45">
      <c r="B537">
        <v>13</v>
      </c>
    </row>
    <row r="538" spans="2:2" x14ac:dyDescent="0.45">
      <c r="B538">
        <v>27</v>
      </c>
    </row>
    <row r="539" spans="2:2" x14ac:dyDescent="0.45">
      <c r="B539">
        <v>32</v>
      </c>
    </row>
    <row r="540" spans="2:2" x14ac:dyDescent="0.45">
      <c r="B540">
        <v>61</v>
      </c>
    </row>
    <row r="541" spans="2:2" x14ac:dyDescent="0.45">
      <c r="B541">
        <v>82</v>
      </c>
    </row>
    <row r="542" spans="2:2" x14ac:dyDescent="0.45">
      <c r="B542">
        <v>1770</v>
      </c>
    </row>
    <row r="543" spans="2:2" x14ac:dyDescent="0.45">
      <c r="B543">
        <v>1699</v>
      </c>
    </row>
    <row r="544" spans="2:2" x14ac:dyDescent="0.45">
      <c r="B544">
        <v>0</v>
      </c>
    </row>
    <row r="545" spans="2:2" x14ac:dyDescent="0.45">
      <c r="B545">
        <v>0</v>
      </c>
    </row>
    <row r="546" spans="2:2" x14ac:dyDescent="0.45">
      <c r="B546">
        <v>0</v>
      </c>
    </row>
    <row r="547" spans="2:2" x14ac:dyDescent="0.45">
      <c r="B547">
        <v>0</v>
      </c>
    </row>
    <row r="548" spans="2:2" x14ac:dyDescent="0.45">
      <c r="B548">
        <v>0</v>
      </c>
    </row>
    <row r="549" spans="2:2" x14ac:dyDescent="0.45">
      <c r="B549">
        <v>0</v>
      </c>
    </row>
    <row r="550" spans="2:2" x14ac:dyDescent="0.45">
      <c r="B550">
        <v>0</v>
      </c>
    </row>
    <row r="551" spans="2:2" x14ac:dyDescent="0.45">
      <c r="B551">
        <v>0</v>
      </c>
    </row>
    <row r="552" spans="2:2" x14ac:dyDescent="0.45">
      <c r="B552">
        <v>301</v>
      </c>
    </row>
    <row r="553" spans="2:2" x14ac:dyDescent="0.45">
      <c r="B553">
        <v>930</v>
      </c>
    </row>
    <row r="554" spans="2:2" x14ac:dyDescent="0.45">
      <c r="B554">
        <v>0</v>
      </c>
    </row>
    <row r="555" spans="2:2" x14ac:dyDescent="0.45">
      <c r="B555">
        <v>0</v>
      </c>
    </row>
    <row r="556" spans="2:2" x14ac:dyDescent="0.45">
      <c r="B556">
        <v>0</v>
      </c>
    </row>
    <row r="557" spans="2:2" x14ac:dyDescent="0.45">
      <c r="B557">
        <v>0</v>
      </c>
    </row>
    <row r="558" spans="2:2" x14ac:dyDescent="0.45">
      <c r="B558">
        <v>0</v>
      </c>
    </row>
    <row r="559" spans="2:2" x14ac:dyDescent="0.45">
      <c r="B559">
        <v>0</v>
      </c>
    </row>
    <row r="560" spans="2:2" x14ac:dyDescent="0.45">
      <c r="B560">
        <v>0</v>
      </c>
    </row>
    <row r="561" spans="2:2" x14ac:dyDescent="0.45">
      <c r="B561">
        <v>0</v>
      </c>
    </row>
    <row r="562" spans="2:2" x14ac:dyDescent="0.45">
      <c r="B562">
        <v>1070</v>
      </c>
    </row>
    <row r="563" spans="2:2" x14ac:dyDescent="0.45">
      <c r="B563">
        <v>346</v>
      </c>
    </row>
    <row r="564" spans="2:2" x14ac:dyDescent="0.45">
      <c r="B564">
        <v>0</v>
      </c>
    </row>
    <row r="565" spans="2:2" x14ac:dyDescent="0.45">
      <c r="B565">
        <v>0</v>
      </c>
    </row>
    <row r="566" spans="2:2" x14ac:dyDescent="0.45">
      <c r="B566">
        <v>0</v>
      </c>
    </row>
    <row r="567" spans="2:2" x14ac:dyDescent="0.45">
      <c r="B567">
        <v>0</v>
      </c>
    </row>
    <row r="568" spans="2:2" x14ac:dyDescent="0.45">
      <c r="B568">
        <v>0</v>
      </c>
    </row>
    <row r="569" spans="2:2" x14ac:dyDescent="0.45">
      <c r="B569">
        <v>0</v>
      </c>
    </row>
    <row r="570" spans="2:2" x14ac:dyDescent="0.45">
      <c r="B570">
        <v>0</v>
      </c>
    </row>
    <row r="571" spans="2:2" x14ac:dyDescent="0.45">
      <c r="B571">
        <v>0</v>
      </c>
    </row>
    <row r="572" spans="2:2" x14ac:dyDescent="0.45">
      <c r="B572">
        <v>1654</v>
      </c>
    </row>
    <row r="573" spans="2:2" x14ac:dyDescent="0.45">
      <c r="B573">
        <v>11</v>
      </c>
    </row>
    <row r="574" spans="2:2" x14ac:dyDescent="0.45">
      <c r="B574">
        <v>118</v>
      </c>
    </row>
    <row r="575" spans="2:2" x14ac:dyDescent="0.45">
      <c r="B575">
        <v>332</v>
      </c>
    </row>
    <row r="576" spans="2:2" x14ac:dyDescent="0.45">
      <c r="B576">
        <v>528</v>
      </c>
    </row>
    <row r="577" spans="2:2" x14ac:dyDescent="0.45">
      <c r="B577">
        <v>481</v>
      </c>
    </row>
    <row r="578" spans="2:2" x14ac:dyDescent="0.45">
      <c r="B578">
        <v>307</v>
      </c>
    </row>
    <row r="579" spans="2:2" x14ac:dyDescent="0.45">
      <c r="B579">
        <v>161</v>
      </c>
    </row>
    <row r="580" spans="2:2" x14ac:dyDescent="0.45">
      <c r="B580">
        <v>50</v>
      </c>
    </row>
    <row r="581" spans="2:2" x14ac:dyDescent="0.45">
      <c r="B581">
        <v>10</v>
      </c>
    </row>
    <row r="582" spans="2:2" x14ac:dyDescent="0.45">
      <c r="B582">
        <v>2</v>
      </c>
    </row>
    <row r="583" spans="2:2" x14ac:dyDescent="0.45">
      <c r="B583">
        <v>35</v>
      </c>
    </row>
    <row r="584" spans="2:2" x14ac:dyDescent="0.45">
      <c r="B584">
        <v>136</v>
      </c>
    </row>
    <row r="585" spans="2:2" x14ac:dyDescent="0.45">
      <c r="B585">
        <v>233</v>
      </c>
    </row>
    <row r="586" spans="2:2" x14ac:dyDescent="0.45">
      <c r="B586">
        <v>291</v>
      </c>
    </row>
    <row r="587" spans="2:2" x14ac:dyDescent="0.45">
      <c r="B587">
        <v>373</v>
      </c>
    </row>
    <row r="588" spans="2:2" x14ac:dyDescent="0.45">
      <c r="B588">
        <v>320</v>
      </c>
    </row>
    <row r="589" spans="2:2" x14ac:dyDescent="0.45">
      <c r="B589">
        <v>284</v>
      </c>
    </row>
    <row r="590" spans="2:2" x14ac:dyDescent="0.45">
      <c r="B590">
        <v>195</v>
      </c>
    </row>
    <row r="591" spans="2:2" x14ac:dyDescent="0.45">
      <c r="B591">
        <v>109</v>
      </c>
    </row>
    <row r="592" spans="2:2" x14ac:dyDescent="0.45">
      <c r="B592">
        <v>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EE1BCC94-304A-47FE-A859-9CD495DC353F}">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45</vt:i4>
      </vt:variant>
    </vt:vector>
  </HeadingPairs>
  <TitlesOfParts>
    <vt:vector size="53" baseType="lpstr">
      <vt:lpstr>About</vt:lpstr>
      <vt:lpstr>Inputs</vt:lpstr>
      <vt:lpstr>Sites</vt:lpstr>
      <vt:lpstr>Enrolment</vt:lpstr>
      <vt:lpstr>Results</vt:lpstr>
      <vt:lpstr>ModelRiskDSN</vt:lpstr>
      <vt:lpstr>ModelRiskSYS1</vt:lpstr>
      <vt:lpstr>ModelRiskCharts</vt:lpstr>
      <vt:lpstr>ByDeadline_1</vt:lpstr>
      <vt:lpstr>ByDeadline_2</vt:lpstr>
      <vt:lpstr>ByDeadline_3</vt:lpstr>
      <vt:lpstr>Checks</vt:lpstr>
      <vt:lpstr>Confidence</vt:lpstr>
      <vt:lpstr>Deadline</vt:lpstr>
      <vt:lpstr>FullRate_1</vt:lpstr>
      <vt:lpstr>FullRate_2</vt:lpstr>
      <vt:lpstr>FullRate_3</vt:lpstr>
      <vt:lpstr>FullRate_out</vt:lpstr>
      <vt:lpstr>GShape</vt:lpstr>
      <vt:lpstr>InputMeans</vt:lpstr>
      <vt:lpstr>LastMonth</vt:lpstr>
      <vt:lpstr>Months_1</vt:lpstr>
      <vt:lpstr>Months_2</vt:lpstr>
      <vt:lpstr>Months_3</vt:lpstr>
      <vt:lpstr>OnTime_1</vt:lpstr>
      <vt:lpstr>OnTime_2</vt:lpstr>
      <vt:lpstr>OnTime_3</vt:lpstr>
      <vt:lpstr>Open_Hi</vt:lpstr>
      <vt:lpstr>Open_Lo</vt:lpstr>
      <vt:lpstr>Open_ML</vt:lpstr>
      <vt:lpstr>PerfProb</vt:lpstr>
      <vt:lpstr>PlanMonths_1</vt:lpstr>
      <vt:lpstr>PlanMonths_2</vt:lpstr>
      <vt:lpstr>PlanMonths_3</vt:lpstr>
      <vt:lpstr>Results!Print_Area</vt:lpstr>
      <vt:lpstr>Enrolment!Print_Titles</vt:lpstr>
      <vt:lpstr>Inputs!Print_Titles</vt:lpstr>
      <vt:lpstr>Results!Print_Titles</vt:lpstr>
      <vt:lpstr>Sites!Print_Titles</vt:lpstr>
      <vt:lpstr>RateCV</vt:lpstr>
      <vt:lpstr>RateMean</vt:lpstr>
      <vt:lpstr>RateMean_Hi</vt:lpstr>
      <vt:lpstr>RateMean_Lo</vt:lpstr>
      <vt:lpstr>RateMean_Mean</vt:lpstr>
      <vt:lpstr>RateMean_ML</vt:lpstr>
      <vt:lpstr>Recruits</vt:lpstr>
      <vt:lpstr>SiteNo</vt:lpstr>
      <vt:lpstr>SiteOpen</vt:lpstr>
      <vt:lpstr>SiteRate</vt:lpstr>
      <vt:lpstr>Sites_1</vt:lpstr>
      <vt:lpstr>Sites_2</vt:lpstr>
      <vt:lpstr>Sites_3</vt:lpstr>
      <vt:lpstr>Target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PH-02 Patient Recruitment and Trial Timelines</dc:title>
  <dc:subject>ModelRisk industry example library — Pharmaceuticals and biotech</dc:subject>
  <dc:creator>Vose Software</dc:creator>
  <cp:keywords>ModelRisk; Monte Carlo; Pharmaceuticals and biotech</cp:keywords>
  <dc:description>Poisson–Gamma recruitment across sixty sites: when the last patient is in, the chance of meeting the deadline and the sites needed.</dc:description>
  <cp:lastModifiedBy>Timour Koupeev</cp:lastModifiedBy>
  <cp:lastPrinted>2026-10-05T08:24:41Z</cp:lastPrinted>
  <dcterms:created xsi:type="dcterms:W3CDTF">2026-10-05T08:22:29Z</dcterms:created>
  <dcterms:modified xsi:type="dcterms:W3CDTF">2026-10-05T08:24:43Z</dcterms:modified>
</cp:coreProperties>
</file>