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imourKoupeev\source\repos\ModelRisk-Examples-opt\models\Projects and construction\"/>
    </mc:Choice>
  </mc:AlternateContent>
  <xr:revisionPtr revIDLastSave="0" documentId="8_{DCF8C8B7-B54E-4C73-AA8E-B7247623F577}" xr6:coauthVersionLast="47" xr6:coauthVersionMax="47" xr10:uidLastSave="{00000000-0000-0000-0000-000000000000}"/>
  <bookViews>
    <workbookView xWindow="-98" yWindow="-98" windowWidth="21795" windowHeight="12975" xr2:uid="{00000000-000D-0000-FFFF-FFFF00000000}"/>
  </bookViews>
  <sheets>
    <sheet name="About" sheetId="1" r:id="rId1"/>
    <sheet name="Inputs" sheetId="2" r:id="rId2"/>
    <sheet name="Decisions" sheetId="3" r:id="rId3"/>
    <sheet name="Network" sheetId="4" r:id="rId4"/>
    <sheet name="Results" sheetId="5" r:id="rId5"/>
    <sheet name="ModelRiskOptimizer" sheetId="6" state="veryHidden" r:id="rId6"/>
    <sheet name="ModelRiskDSN" sheetId="8" state="hidden" r:id="rId7"/>
    <sheet name="ModelRiskSYS1" sheetId="9" state="hidden" r:id="rId8"/>
    <sheet name="ModelRiskCharts" sheetId="10" state="hidden" r:id="rId9"/>
  </sheets>
  <definedNames>
    <definedName name="Acc_A">Decisions!$D$11</definedName>
    <definedName name="Acc_A_Start">Decisions!$E$11</definedName>
    <definedName name="Acc_C">Decisions!$D$12</definedName>
    <definedName name="Acc_C_Start">Decisions!$E$12</definedName>
    <definedName name="Acc_D">Decisions!$D$13</definedName>
    <definedName name="Acc_D_Start">Decisions!$E$13</definedName>
    <definedName name="Acc_E">Decisions!$D$14</definedName>
    <definedName name="Acc_E_Start">Decisions!$E$14</definedName>
    <definedName name="Acc_F">Decisions!$D$15</definedName>
    <definedName name="Acc_F_Start">Decisions!$E$15</definedName>
    <definedName name="Acc_K">Decisions!$D$16</definedName>
    <definedName name="Acc_K_Start">Decisions!$E$16</definedName>
    <definedName name="Checks">Network!$E$141:$E$144</definedName>
    <definedName name="ConfTarget">Inputs!$D$13</definedName>
    <definedName name="ContractWeeks">Inputs!$D$12</definedName>
    <definedName name="Cost_A">Inputs!$D$34</definedName>
    <definedName name="Cost_C">Inputs!$D$35</definedName>
    <definedName name="Cost_D">Inputs!$D$36</definedName>
    <definedName name="Cost_E">Inputs!$D$37</definedName>
    <definedName name="Cost_F">Inputs!$D$38</definedName>
    <definedName name="Cost_K">Inputs!$D$39</definedName>
    <definedName name="Crit_Plan_A">Network!$J$70</definedName>
    <definedName name="Crit_Plan_B">Network!$J$71</definedName>
    <definedName name="Crit_Plan_C">Network!$J$72</definedName>
    <definedName name="Crit_Plan_D">Network!$J$73</definedName>
    <definedName name="Crit_Plan_E">Network!$J$74</definedName>
    <definedName name="Crit_Plan_F">Network!$J$75</definedName>
    <definedName name="Crit_Plan_G">Network!$J$76</definedName>
    <definedName name="Crit_Plan_H">Network!$J$77</definedName>
    <definedName name="Crit_Plan_I">Network!$J$78</definedName>
    <definedName name="Crit_Plan_J">Network!$J$79</definedName>
    <definedName name="Crit_Plan_K">Network!$J$80</definedName>
    <definedName name="Crit_Plan_L">Network!$J$81</definedName>
    <definedName name="Crit_Plan_M">Network!$J$82</definedName>
    <definedName name="Crit_Plan_N">Network!$J$83</definedName>
    <definedName name="Crit_Plan_O">Network!$J$84</definedName>
    <definedName name="Crit_Start_A">Network!$J$50</definedName>
    <definedName name="Crit_Start_B">Network!$J$51</definedName>
    <definedName name="Crit_Start_C">Network!$J$52</definedName>
    <definedName name="Crit_Start_D">Network!$J$53</definedName>
    <definedName name="Crit_Start_E">Network!$J$54</definedName>
    <definedName name="Crit_Start_F">Network!$J$55</definedName>
    <definedName name="Crit_Start_G">Network!$J$56</definedName>
    <definedName name="Crit_Start_H">Network!$J$57</definedName>
    <definedName name="Crit_Start_I">Network!$J$58</definedName>
    <definedName name="Crit_Start_J">Network!$J$59</definedName>
    <definedName name="Crit_Start_K">Network!$J$60</definedName>
    <definedName name="Crit_Start_L">Network!$J$61</definedName>
    <definedName name="Crit_Start_M">Network!$J$62</definedName>
    <definedName name="Crit_Start_N">Network!$J$63</definedName>
    <definedName name="Crit_Start_O">Network!$J$64</definedName>
    <definedName name="Det_ML_Plan">Network!$E$137</definedName>
    <definedName name="Det_ML_Start">Network!$E$136</definedName>
    <definedName name="DetCrit">Network!$I$110:$I$124</definedName>
    <definedName name="DurMean_A">Network!$H$10</definedName>
    <definedName name="DurMean_B">Network!$H$11</definedName>
    <definedName name="DurMean_C">Network!$H$12</definedName>
    <definedName name="DurMean_D">Network!$H$13</definedName>
    <definedName name="DurMean_E">Network!$H$14</definedName>
    <definedName name="DurMean_F">Network!$H$15</definedName>
    <definedName name="DurMean_G">Network!$H$16</definedName>
    <definedName name="DurMean_H">Network!$H$17</definedName>
    <definedName name="DurMean_I">Network!$H$18</definedName>
    <definedName name="DurMean_J">Network!$H$19</definedName>
    <definedName name="DurMean_K">Network!$H$20</definedName>
    <definedName name="DurMean_L">Network!$H$21</definedName>
    <definedName name="DurMean_M">Network!$H$22</definedName>
    <definedName name="DurMean_N">Network!$H$23</definedName>
    <definedName name="DurMean_O">Network!$H$24</definedName>
    <definedName name="FinishDate_Plan">Network!$E$135</definedName>
    <definedName name="Flood">Inputs!$D$19</definedName>
    <definedName name="Flood_Hi">Inputs!$H$19</definedName>
    <definedName name="Flood_Lo">Inputs!$F$19</definedName>
    <definedName name="Flood_Mean">Inputs!$I$19</definedName>
    <definedName name="Flood_ML">Inputs!$G$19</definedName>
    <definedName name="InputMeans">Inputs!$I$19:$I$19</definedName>
    <definedName name="M0_c0_cell" hidden="1">Network!$E$132</definedName>
    <definedName name="M0_c0_rhsA" hidden="1">Inputs!$D$13</definedName>
    <definedName name="M0_o0_cell" hidden="1">Network!$E$134</definedName>
    <definedName name="M0_v0_cell" hidden="1">Decisions!$D$11</definedName>
    <definedName name="M0_v1_cell" hidden="1">Decisions!$D$12</definedName>
    <definedName name="M0_v2_cell" hidden="1">Decisions!$D$13</definedName>
    <definedName name="M0_v3_cell" hidden="1">Decisions!$D$14</definedName>
    <definedName name="M0_v4_cell" hidden="1">Decisions!$D$15</definedName>
    <definedName name="M0_v5_cell" hidden="1">Decisions!$D$16</definedName>
    <definedName name="OptRun_Best">Decisions!$D$33</definedName>
    <definedName name="OptRun_Date">Decisions!$D$26</definedName>
    <definedName name="OptRun_Engine">Decisions!$D$27</definedName>
    <definedName name="OptRun_Feasible">Decisions!$D$32</definedName>
    <definedName name="OptRun_Samples">Decisions!$D$29</definedName>
    <definedName name="OptRun_Seconds">Decisions!$D$30</definedName>
    <definedName name="OptRun_Stop">Decisions!$D$31</definedName>
    <definedName name="OptRun_Trials">Decisions!$D$28</definedName>
    <definedName name="Out_Cost_Plan">Network!$E$134</definedName>
    <definedName name="Out_Cost_Start">Network!$E$133</definedName>
    <definedName name="Out_Finish_Plan">Network!$E$130</definedName>
    <definedName name="Out_Finish_Start">Network!$E$129</definedName>
    <definedName name="Out_OnTime_Plan">Network!$E$132</definedName>
    <definedName name="Out_OnTime_Start">Network!$E$131</definedName>
    <definedName name="_xlnm.Print_Area" localSheetId="4">Results!$A$1:$R$57</definedName>
    <definedName name="_xlnm.Print_Titles" localSheetId="2">Decisions!$1:$4</definedName>
    <definedName name="_xlnm.Print_Titles" localSheetId="1">Inputs!$1:$4</definedName>
    <definedName name="_xlnm.Print_Titles" localSheetId="4">Results!$1:$4</definedName>
    <definedName name="Prob_Flood">Inputs!$D$18</definedName>
    <definedName name="Save_A">Inputs!$D$24</definedName>
    <definedName name="Save_C">Inputs!$D$25</definedName>
    <definedName name="Save_D">Inputs!$D$26</definedName>
    <definedName name="Save_E">Inputs!$D$27</definedName>
    <definedName name="Save_F">Inputs!$D$28</definedName>
    <definedName name="Save_K">Inputs!$D$29</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 name="StartDate">Inputs!$D$11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12" i="5" l="1"/>
  <c r="C112" i="5"/>
  <c r="F111" i="5"/>
  <c r="C111" i="5"/>
  <c r="F110" i="5"/>
  <c r="C110" i="5"/>
  <c r="F109" i="5"/>
  <c r="C109" i="5"/>
  <c r="F108" i="5"/>
  <c r="C108" i="5"/>
  <c r="F107" i="5"/>
  <c r="C107" i="5"/>
  <c r="F106" i="5"/>
  <c r="C106" i="5"/>
  <c r="F105" i="5"/>
  <c r="C105" i="5"/>
  <c r="F104" i="5"/>
  <c r="C104" i="5"/>
  <c r="F103" i="5"/>
  <c r="C103" i="5"/>
  <c r="F102" i="5"/>
  <c r="C102" i="5"/>
  <c r="F101" i="5"/>
  <c r="C101" i="5"/>
  <c r="F100" i="5"/>
  <c r="C100" i="5"/>
  <c r="F99" i="5"/>
  <c r="C99" i="5"/>
  <c r="F98" i="5"/>
  <c r="C98" i="5"/>
  <c r="F97" i="5"/>
  <c r="C97" i="5"/>
  <c r="F96" i="5"/>
  <c r="C96" i="5"/>
  <c r="F95" i="5"/>
  <c r="C95" i="5"/>
  <c r="F94" i="5"/>
  <c r="C94" i="5"/>
  <c r="F93" i="5"/>
  <c r="C93" i="5"/>
  <c r="F92" i="5"/>
  <c r="C92" i="5"/>
  <c r="F91" i="5"/>
  <c r="C91" i="5"/>
  <c r="F90" i="5"/>
  <c r="C90" i="5"/>
  <c r="F89" i="5"/>
  <c r="C89" i="5"/>
  <c r="F88" i="5"/>
  <c r="C88" i="5"/>
  <c r="F87" i="5"/>
  <c r="C87" i="5"/>
  <c r="F86" i="5"/>
  <c r="C86" i="5"/>
  <c r="F85" i="5"/>
  <c r="C85" i="5"/>
  <c r="F84" i="5"/>
  <c r="C84" i="5"/>
  <c r="F83" i="5"/>
  <c r="C83" i="5"/>
  <c r="F82" i="5"/>
  <c r="C82" i="5"/>
  <c r="F81" i="5"/>
  <c r="C81" i="5"/>
  <c r="F80" i="5"/>
  <c r="C80" i="5"/>
  <c r="F79" i="5"/>
  <c r="C79" i="5"/>
  <c r="F78" i="5"/>
  <c r="C78" i="5"/>
  <c r="F77" i="5"/>
  <c r="C77" i="5"/>
  <c r="F76" i="5"/>
  <c r="C76" i="5"/>
  <c r="F75" i="5"/>
  <c r="C75" i="5"/>
  <c r="F74" i="5"/>
  <c r="C74" i="5"/>
  <c r="F73" i="5"/>
  <c r="C73" i="5"/>
  <c r="F72" i="5"/>
  <c r="C72" i="5"/>
  <c r="F71" i="5"/>
  <c r="C71" i="5"/>
  <c r="F70" i="5"/>
  <c r="C70" i="5"/>
  <c r="F69" i="5"/>
  <c r="C69" i="5"/>
  <c r="F68" i="5"/>
  <c r="C68" i="5"/>
  <c r="F67" i="5"/>
  <c r="C67" i="5"/>
  <c r="F66" i="5"/>
  <c r="C66" i="5"/>
  <c r="F65" i="5"/>
  <c r="C65" i="5"/>
  <c r="F64" i="5"/>
  <c r="C64" i="5"/>
  <c r="F63" i="5"/>
  <c r="C63" i="5"/>
  <c r="F45" i="5"/>
  <c r="F40" i="5"/>
  <c r="F39" i="5"/>
  <c r="F38" i="5"/>
  <c r="F37" i="5"/>
  <c r="F35" i="5"/>
  <c r="E28" i="5"/>
  <c r="D28" i="5"/>
  <c r="E27" i="5"/>
  <c r="D27" i="5"/>
  <c r="E17" i="5"/>
  <c r="D17" i="5"/>
  <c r="F17" i="5" s="1"/>
  <c r="E16" i="5"/>
  <c r="D16" i="5"/>
  <c r="E15" i="5"/>
  <c r="D15" i="5"/>
  <c r="F15" i="5"/>
  <c r="E14" i="5"/>
  <c r="D14" i="5"/>
  <c r="E13" i="5"/>
  <c r="F13" i="5" s="1"/>
  <c r="D13" i="5"/>
  <c r="E12" i="5"/>
  <c r="D12" i="5"/>
  <c r="E144" i="4"/>
  <c r="E141" i="4"/>
  <c r="E134" i="4"/>
  <c r="E20" i="5"/>
  <c r="E133" i="4"/>
  <c r="D20" i="5" s="1"/>
  <c r="J124" i="4"/>
  <c r="D124" i="4"/>
  <c r="C124" i="4"/>
  <c r="J123" i="4"/>
  <c r="D123" i="4"/>
  <c r="C123" i="4"/>
  <c r="J122" i="4"/>
  <c r="D122" i="4"/>
  <c r="C122" i="4"/>
  <c r="J121" i="4"/>
  <c r="D121" i="4"/>
  <c r="C121" i="4"/>
  <c r="C120" i="4"/>
  <c r="J119" i="4"/>
  <c r="D119" i="4"/>
  <c r="C119" i="4"/>
  <c r="J118" i="4"/>
  <c r="D118" i="4"/>
  <c r="C118" i="4"/>
  <c r="J117" i="4"/>
  <c r="D117" i="4"/>
  <c r="C117" i="4"/>
  <c r="J116" i="4"/>
  <c r="D116" i="4"/>
  <c r="C116" i="4"/>
  <c r="C115" i="4"/>
  <c r="C114" i="4"/>
  <c r="C113" i="4"/>
  <c r="C112" i="4"/>
  <c r="J111" i="4"/>
  <c r="D111" i="4"/>
  <c r="C111" i="4"/>
  <c r="K110" i="4"/>
  <c r="E110" i="4"/>
  <c r="C110" i="4"/>
  <c r="C84" i="4"/>
  <c r="C83" i="4"/>
  <c r="C82" i="4"/>
  <c r="C81" i="4"/>
  <c r="C80" i="4"/>
  <c r="C79" i="4"/>
  <c r="C78" i="4"/>
  <c r="C77" i="4"/>
  <c r="C76" i="4"/>
  <c r="C75" i="4"/>
  <c r="C74" i="4"/>
  <c r="C73" i="4"/>
  <c r="C72" i="4"/>
  <c r="C71" i="4"/>
  <c r="E70" i="4"/>
  <c r="C70" i="4"/>
  <c r="C64" i="4"/>
  <c r="C63" i="4"/>
  <c r="C62" i="4"/>
  <c r="C61" i="4"/>
  <c r="C60" i="4"/>
  <c r="C59" i="4"/>
  <c r="C58" i="4"/>
  <c r="C57" i="4"/>
  <c r="C56" i="4"/>
  <c r="C55" i="4"/>
  <c r="C54" i="4"/>
  <c r="C53" i="4"/>
  <c r="C52" i="4"/>
  <c r="C51" i="4"/>
  <c r="E50" i="4"/>
  <c r="C50" i="4"/>
  <c r="C44" i="4"/>
  <c r="C43" i="4"/>
  <c r="C42" i="4"/>
  <c r="C41" i="4"/>
  <c r="G40" i="4"/>
  <c r="J120" i="4" s="1"/>
  <c r="F40" i="4"/>
  <c r="D120" i="4" s="1"/>
  <c r="C40" i="4"/>
  <c r="C39" i="4"/>
  <c r="C38" i="4"/>
  <c r="C37" i="4"/>
  <c r="C36" i="4"/>
  <c r="G35" i="4"/>
  <c r="J115" i="4" s="1"/>
  <c r="F35" i="4"/>
  <c r="D115" i="4"/>
  <c r="C35" i="4"/>
  <c r="G34" i="4"/>
  <c r="J114" i="4" s="1"/>
  <c r="F34" i="4"/>
  <c r="D114" i="4" s="1"/>
  <c r="C34" i="4"/>
  <c r="G33" i="4"/>
  <c r="J113" i="4" s="1"/>
  <c r="F33" i="4"/>
  <c r="D113" i="4"/>
  <c r="C33" i="4"/>
  <c r="G32" i="4"/>
  <c r="J112" i="4" s="1"/>
  <c r="F32" i="4"/>
  <c r="D112" i="4"/>
  <c r="C32" i="4"/>
  <c r="C31" i="4"/>
  <c r="G30" i="4"/>
  <c r="J110" i="4" s="1"/>
  <c r="F30" i="4"/>
  <c r="D110" i="4" s="1"/>
  <c r="C30" i="4"/>
  <c r="I20" i="4"/>
  <c r="I15" i="4"/>
  <c r="I14" i="4"/>
  <c r="I13" i="4"/>
  <c r="I12" i="4"/>
  <c r="I10" i="4"/>
  <c r="G22" i="3"/>
  <c r="I16" i="3"/>
  <c r="I15" i="3"/>
  <c r="I14" i="3"/>
  <c r="I13" i="3"/>
  <c r="I12" i="3"/>
  <c r="I11" i="3"/>
  <c r="F12" i="5"/>
  <c r="F16" i="5"/>
  <c r="D40" i="4" a="1"/>
  <c r="H14" i="4" a="1"/>
  <c r="D30" i="4" a="1"/>
  <c r="D33" i="4" a="1"/>
  <c r="D38" i="4" a="1"/>
  <c r="D39" i="4" a="1"/>
  <c r="D41" i="4" a="1"/>
  <c r="D32" i="4" a="1"/>
  <c r="H20" i="4" a="1"/>
  <c r="H17" i="4" a="1"/>
  <c r="D43" i="4" a="1"/>
  <c r="D37" i="4" a="1"/>
  <c r="H23" i="4" a="1"/>
  <c r="H13" i="4" a="1"/>
  <c r="H12" i="4" a="1"/>
  <c r="H16" i="4" a="1"/>
  <c r="H24" i="4" a="1"/>
  <c r="H21" i="4" a="1"/>
  <c r="D31" i="4" a="1"/>
  <c r="D42" i="4" a="1"/>
  <c r="H22" i="4" a="1"/>
  <c r="H19" i="4" a="1"/>
  <c r="H10" i="4" a="1"/>
  <c r="H15" i="4" a="1"/>
  <c r="D34" i="4" a="1"/>
  <c r="D44" i="4" a="1"/>
  <c r="H18" i="4" a="1"/>
  <c r="D36" i="4" a="1"/>
  <c r="H11" i="4" a="1"/>
  <c r="D35" i="4" a="1"/>
  <c r="I19" i="2" a="1"/>
  <c r="D19" i="2" a="1"/>
  <c r="F14" i="5" l="1"/>
  <c r="F20" i="5"/>
  <c r="G20" i="5" s="1"/>
  <c r="D35" i="4"/>
  <c r="H11" i="4"/>
  <c r="D36" i="4"/>
  <c r="H18" i="4"/>
  <c r="D44" i="4"/>
  <c r="D34" i="4"/>
  <c r="H15" i="4"/>
  <c r="H10" i="4"/>
  <c r="H19" i="4"/>
  <c r="H22" i="4"/>
  <c r="D42" i="4"/>
  <c r="D31" i="4"/>
  <c r="H21" i="4"/>
  <c r="H24" i="4"/>
  <c r="H16" i="4"/>
  <c r="H12" i="4"/>
  <c r="H13" i="4"/>
  <c r="H23" i="4"/>
  <c r="D37" i="4"/>
  <c r="D43" i="4"/>
  <c r="H17" i="4"/>
  <c r="H20" i="4"/>
  <c r="D32" i="4"/>
  <c r="D41" i="4"/>
  <c r="D39" i="4"/>
  <c r="D38" i="4"/>
  <c r="D33" i="4"/>
  <c r="D30" i="4"/>
  <c r="H14" i="4"/>
  <c r="D40" i="4"/>
  <c r="F110" i="4"/>
  <c r="L110" i="4"/>
  <c r="D19" i="2"/>
  <c r="E35" i="4" s="1"/>
  <c r="I19" i="2"/>
  <c r="E116" i="4" l="1"/>
  <c r="F116" i="4" s="1"/>
  <c r="E111" i="4"/>
  <c r="F111" i="4" s="1"/>
  <c r="H41" i="4"/>
  <c r="D61" i="4" s="1"/>
  <c r="I41" i="4"/>
  <c r="D81" i="4" s="1"/>
  <c r="I32" i="4"/>
  <c r="D72" i="4" s="1"/>
  <c r="H32" i="4"/>
  <c r="D52" i="4" s="1"/>
  <c r="I34" i="4"/>
  <c r="D74" i="4" s="1"/>
  <c r="H34" i="4"/>
  <c r="D54" i="4" s="1"/>
  <c r="I44" i="4"/>
  <c r="D84" i="4" s="1"/>
  <c r="H44" i="4"/>
  <c r="D64" i="4" s="1"/>
  <c r="H30" i="4"/>
  <c r="D50" i="4" s="1"/>
  <c r="F50" i="4" s="1"/>
  <c r="I30" i="4"/>
  <c r="D70" i="4" s="1"/>
  <c r="F70" i="4" s="1"/>
  <c r="I43" i="4"/>
  <c r="D83" i="4" s="1"/>
  <c r="H43" i="4"/>
  <c r="D63" i="4" s="1"/>
  <c r="I31" i="4"/>
  <c r="D71" i="4" s="1"/>
  <c r="H31" i="4"/>
  <c r="D51" i="4" s="1"/>
  <c r="H33" i="4"/>
  <c r="D53" i="4" s="1"/>
  <c r="I33" i="4"/>
  <c r="D73" i="4" s="1"/>
  <c r="I37" i="4"/>
  <c r="D77" i="4" s="1"/>
  <c r="H37" i="4"/>
  <c r="D57" i="4" s="1"/>
  <c r="I42" i="4"/>
  <c r="D82" i="4" s="1"/>
  <c r="H42" i="4"/>
  <c r="D62" i="4" s="1"/>
  <c r="I36" i="4"/>
  <c r="D76" i="4" s="1"/>
  <c r="H36" i="4"/>
  <c r="D56" i="4" s="1"/>
  <c r="H40" i="4"/>
  <c r="D60" i="4" s="1"/>
  <c r="I40" i="4"/>
  <c r="D80" i="4" s="1"/>
  <c r="I38" i="4"/>
  <c r="D78" i="4" s="1"/>
  <c r="H38" i="4"/>
  <c r="D58" i="4" s="1"/>
  <c r="K116" i="4"/>
  <c r="L116" i="4" s="1"/>
  <c r="K111" i="4"/>
  <c r="L111" i="4" s="1"/>
  <c r="I39" i="4"/>
  <c r="D79" i="4" s="1"/>
  <c r="H39" i="4"/>
  <c r="D59" i="4" s="1"/>
  <c r="H35" i="4"/>
  <c r="D55" i="4" s="1"/>
  <c r="I35" i="4"/>
  <c r="D75" i="4" s="1"/>
  <c r="K123" i="4" l="1"/>
  <c r="L123" i="4" s="1"/>
  <c r="K112" i="4"/>
  <c r="L112" i="4" s="1"/>
  <c r="E76" i="4"/>
  <c r="F76" i="4" s="1"/>
  <c r="E71" i="4"/>
  <c r="F71" i="4" s="1"/>
  <c r="E51" i="4"/>
  <c r="F51" i="4" s="1"/>
  <c r="E56" i="4"/>
  <c r="F56" i="4" s="1"/>
  <c r="E112" i="4"/>
  <c r="F112" i="4" s="1"/>
  <c r="E123" i="4"/>
  <c r="F123" i="4" s="1"/>
  <c r="E113" i="4" l="1"/>
  <c r="F113" i="4" s="1"/>
  <c r="E117" i="4" s="1"/>
  <c r="F117" i="4" s="1"/>
  <c r="E114" i="4"/>
  <c r="F114" i="4" s="1"/>
  <c r="E118" i="4" s="1"/>
  <c r="F118" i="4" s="1"/>
  <c r="E115" i="4"/>
  <c r="F115" i="4" s="1"/>
  <c r="E119" i="4" s="1"/>
  <c r="F119" i="4" s="1"/>
  <c r="E120" i="4" s="1"/>
  <c r="F120" i="4" s="1"/>
  <c r="E52" i="4"/>
  <c r="F52" i="4" s="1"/>
  <c r="E63" i="4"/>
  <c r="F63" i="4" s="1"/>
  <c r="E72" i="4"/>
  <c r="F72" i="4" s="1"/>
  <c r="E83" i="4"/>
  <c r="F83" i="4" s="1"/>
  <c r="K114" i="4"/>
  <c r="L114" i="4" s="1"/>
  <c r="K118" i="4" s="1"/>
  <c r="L118" i="4" s="1"/>
  <c r="K113" i="4"/>
  <c r="L113" i="4" s="1"/>
  <c r="K117" i="4" s="1"/>
  <c r="L117" i="4" s="1"/>
  <c r="K115" i="4"/>
  <c r="L115" i="4" s="1"/>
  <c r="E122" i="4" l="1"/>
  <c r="F122" i="4" s="1"/>
  <c r="E121" i="4"/>
  <c r="F121" i="4" s="1"/>
  <c r="E124" i="4" s="1"/>
  <c r="F124" i="4" s="1"/>
  <c r="E73" i="4"/>
  <c r="F73" i="4" s="1"/>
  <c r="E77" i="4" s="1"/>
  <c r="F77" i="4" s="1"/>
  <c r="E75" i="4"/>
  <c r="F75" i="4" s="1"/>
  <c r="E74" i="4"/>
  <c r="F74" i="4" s="1"/>
  <c r="E78" i="4" s="1"/>
  <c r="F78" i="4" s="1"/>
  <c r="E55" i="4"/>
  <c r="F55" i="4" s="1"/>
  <c r="E54" i="4"/>
  <c r="F54" i="4" s="1"/>
  <c r="E58" i="4" s="1"/>
  <c r="F58" i="4" s="1"/>
  <c r="E53" i="4"/>
  <c r="F53" i="4" s="1"/>
  <c r="E57" i="4" s="1"/>
  <c r="F57" i="4" s="1"/>
  <c r="K119" i="4"/>
  <c r="L119" i="4" s="1"/>
  <c r="K120" i="4" s="1"/>
  <c r="L120" i="4" s="1"/>
  <c r="E59" i="4" l="1"/>
  <c r="F59" i="4" s="1"/>
  <c r="E60" i="4" s="1"/>
  <c r="F60" i="4" s="1"/>
  <c r="H124" i="4"/>
  <c r="G124" i="4" s="1"/>
  <c r="E136" i="4"/>
  <c r="D25" i="5" s="1"/>
  <c r="E79" i="4"/>
  <c r="F79" i="4" s="1"/>
  <c r="E80" i="4" s="1"/>
  <c r="F80" i="4" s="1"/>
  <c r="K121" i="4"/>
  <c r="L121" i="4" s="1"/>
  <c r="K122" i="4"/>
  <c r="L122" i="4" s="1"/>
  <c r="K124" i="4" l="1"/>
  <c r="L124" i="4" s="1"/>
  <c r="E137" i="4" s="1"/>
  <c r="E25" i="5" s="1"/>
  <c r="F25" i="5" s="1"/>
  <c r="G25" i="5" s="1"/>
  <c r="H123" i="4"/>
  <c r="G123" i="4" s="1"/>
  <c r="I123" i="4" s="1"/>
  <c r="C48" i="5" s="1"/>
  <c r="H121" i="4"/>
  <c r="G121" i="4" s="1"/>
  <c r="I124" i="4"/>
  <c r="C49" i="5" s="1"/>
  <c r="H122" i="4"/>
  <c r="G122" i="4" s="1"/>
  <c r="I122" i="4" s="1"/>
  <c r="C47" i="5" s="1"/>
  <c r="E81" i="4"/>
  <c r="F81" i="4" s="1"/>
  <c r="E82" i="4"/>
  <c r="F82" i="4" s="1"/>
  <c r="E61" i="4"/>
  <c r="F61" i="4" s="1"/>
  <c r="E62" i="4"/>
  <c r="F62" i="4" s="1"/>
  <c r="E64" i="4" l="1"/>
  <c r="F64" i="4" s="1"/>
  <c r="H64" i="4" s="1"/>
  <c r="G64" i="4" s="1"/>
  <c r="E84" i="4"/>
  <c r="F84" i="4" s="1"/>
  <c r="H84" i="4" s="1"/>
  <c r="G84" i="4" s="1"/>
  <c r="E130" i="4" a="1"/>
  <c r="E130" i="4" s="1"/>
  <c r="I121" i="4"/>
  <c r="C46" i="5" s="1"/>
  <c r="H120" i="4"/>
  <c r="G120" i="4" s="1"/>
  <c r="E129" i="4" a="1"/>
  <c r="E129" i="4" s="1"/>
  <c r="E80" i="5" a="1"/>
  <c r="E83" i="5" a="1"/>
  <c r="E110" i="5" a="1"/>
  <c r="E23" i="5" a="1"/>
  <c r="E65" i="5" a="1"/>
  <c r="E108" i="5" a="1"/>
  <c r="E111" i="5" a="1"/>
  <c r="E93" i="5" a="1"/>
  <c r="E104" i="5" a="1"/>
  <c r="E88" i="5" a="1"/>
  <c r="E72" i="5" a="1"/>
  <c r="E107" i="5" a="1"/>
  <c r="E91" i="5" a="1"/>
  <c r="E75" i="5" a="1"/>
  <c r="E22" i="5" a="1"/>
  <c r="E112" i="5" a="1"/>
  <c r="E64" i="5" a="1"/>
  <c r="E67" i="5" a="1"/>
  <c r="E78" i="5" a="1"/>
  <c r="E97" i="5" a="1"/>
  <c r="E92" i="5" a="1"/>
  <c r="E63" i="5" a="1"/>
  <c r="E106" i="5" a="1"/>
  <c r="E109" i="5" a="1"/>
  <c r="E102" i="5" a="1"/>
  <c r="E86" i="5" a="1"/>
  <c r="E70" i="5" a="1"/>
  <c r="E105" i="5" a="1"/>
  <c r="E89" i="5" a="1"/>
  <c r="E73" i="5" a="1"/>
  <c r="B6" i="5" a="1"/>
  <c r="E76" i="5" a="1"/>
  <c r="E79" i="5" a="1"/>
  <c r="E90" i="5" a="1"/>
  <c r="E77" i="5" a="1"/>
  <c r="E100" i="5" a="1"/>
  <c r="E84" i="5" a="1"/>
  <c r="E68" i="5" a="1"/>
  <c r="E103" i="5" a="1"/>
  <c r="E87" i="5" a="1"/>
  <c r="E71" i="5" a="1"/>
  <c r="E96" i="5" a="1"/>
  <c r="E99" i="5" a="1"/>
  <c r="E94" i="5" a="1"/>
  <c r="E81" i="5" a="1"/>
  <c r="E95" i="5" a="1"/>
  <c r="E74" i="5" a="1"/>
  <c r="E24" i="5" a="1"/>
  <c r="E98" i="5" a="1"/>
  <c r="E82" i="5" a="1"/>
  <c r="E66" i="5" a="1"/>
  <c r="E101" i="5" a="1"/>
  <c r="E85" i="5" a="1"/>
  <c r="E69" i="5" a="1"/>
  <c r="D82" i="5" a="1"/>
  <c r="D79" i="5" a="1"/>
  <c r="D112" i="5" a="1"/>
  <c r="D64" i="5" a="1"/>
  <c r="D110" i="5" a="1"/>
  <c r="D24" i="5" a="1"/>
  <c r="D76" i="5" a="1"/>
  <c r="D93" i="5" a="1"/>
  <c r="D106" i="5" a="1"/>
  <c r="D90" i="5" a="1"/>
  <c r="D74" i="5" a="1"/>
  <c r="D85" i="5" a="1"/>
  <c r="D81" i="5" a="1"/>
  <c r="D107" i="5" a="1"/>
  <c r="D77" i="5" a="1"/>
  <c r="D98" i="5" a="1"/>
  <c r="D73" i="5" a="1"/>
  <c r="D96" i="5" a="1"/>
  <c r="D63" i="5" a="1"/>
  <c r="D67" i="5" a="1"/>
  <c r="D94" i="5" a="1"/>
  <c r="D87" i="5" a="1"/>
  <c r="D108" i="5" a="1"/>
  <c r="D101" i="5" a="1"/>
  <c r="D104" i="5" a="1"/>
  <c r="D88" i="5" a="1"/>
  <c r="D72" i="5" a="1"/>
  <c r="D69" i="5" a="1"/>
  <c r="D65" i="5" a="1"/>
  <c r="D91" i="5" a="1"/>
  <c r="D22" i="5" a="1"/>
  <c r="D23" i="5" a="1"/>
  <c r="D92" i="5" a="1"/>
  <c r="D71" i="5" a="1"/>
  <c r="D102" i="5" a="1"/>
  <c r="D86" i="5" a="1"/>
  <c r="D70" i="5" a="1"/>
  <c r="D111" i="5" a="1"/>
  <c r="D105" i="5" a="1"/>
  <c r="D75" i="5" a="1"/>
  <c r="D66" i="5" a="1"/>
  <c r="D83" i="5" a="1"/>
  <c r="D80" i="5" a="1"/>
  <c r="D103" i="5" a="1"/>
  <c r="D78" i="5" a="1"/>
  <c r="D109" i="5" a="1"/>
  <c r="D97" i="5" a="1"/>
  <c r="D100" i="5" a="1"/>
  <c r="D84" i="5" a="1"/>
  <c r="D68" i="5" a="1"/>
  <c r="D95" i="5" a="1"/>
  <c r="D89" i="5" a="1"/>
  <c r="D99" i="5" a="1"/>
  <c r="D99" i="5" l="1"/>
  <c r="D89" i="5"/>
  <c r="D95" i="5"/>
  <c r="D68" i="5"/>
  <c r="D84" i="5"/>
  <c r="D100" i="5"/>
  <c r="D97" i="5"/>
  <c r="D109" i="5"/>
  <c r="D78" i="5"/>
  <c r="D103" i="5"/>
  <c r="D80" i="5"/>
  <c r="D83" i="5"/>
  <c r="D66" i="5"/>
  <c r="D75" i="5"/>
  <c r="D105" i="5"/>
  <c r="D111" i="5"/>
  <c r="D70" i="5"/>
  <c r="D86" i="5"/>
  <c r="D102" i="5"/>
  <c r="D71" i="5"/>
  <c r="D92" i="5"/>
  <c r="D23" i="5"/>
  <c r="D26" i="5" s="1"/>
  <c r="D22" i="5"/>
  <c r="D91" i="5"/>
  <c r="D65" i="5"/>
  <c r="D69" i="5"/>
  <c r="D72" i="5"/>
  <c r="D88" i="5"/>
  <c r="D104" i="5"/>
  <c r="D101" i="5"/>
  <c r="D108" i="5"/>
  <c r="D87" i="5"/>
  <c r="D94" i="5"/>
  <c r="D67" i="5"/>
  <c r="D63" i="5"/>
  <c r="D96" i="5"/>
  <c r="D73" i="5"/>
  <c r="D98" i="5"/>
  <c r="D77" i="5"/>
  <c r="D107" i="5"/>
  <c r="D81" i="5"/>
  <c r="D85" i="5"/>
  <c r="D74" i="5"/>
  <c r="D90" i="5"/>
  <c r="D106" i="5"/>
  <c r="D93" i="5"/>
  <c r="D76" i="5"/>
  <c r="D24" i="5"/>
  <c r="D110" i="5"/>
  <c r="D64" i="5"/>
  <c r="D112" i="5"/>
  <c r="D79" i="5"/>
  <c r="D82" i="5"/>
  <c r="E69" i="5"/>
  <c r="E85" i="5"/>
  <c r="E101" i="5"/>
  <c r="E66" i="5"/>
  <c r="E82" i="5"/>
  <c r="E98" i="5"/>
  <c r="E24" i="5"/>
  <c r="E74" i="5"/>
  <c r="E95" i="5"/>
  <c r="E81" i="5"/>
  <c r="E94" i="5"/>
  <c r="E99" i="5"/>
  <c r="E96" i="5"/>
  <c r="E71" i="5"/>
  <c r="E87" i="5"/>
  <c r="E103" i="5"/>
  <c r="E68" i="5"/>
  <c r="E84" i="5"/>
  <c r="E100" i="5"/>
  <c r="E77" i="5"/>
  <c r="E90" i="5"/>
  <c r="E79" i="5"/>
  <c r="E76" i="5"/>
  <c r="B6" i="5"/>
  <c r="E73" i="5"/>
  <c r="E89" i="5"/>
  <c r="E105" i="5"/>
  <c r="E70" i="5"/>
  <c r="E86" i="5"/>
  <c r="E102" i="5"/>
  <c r="E109" i="5"/>
  <c r="E106" i="5"/>
  <c r="E63" i="5"/>
  <c r="E92" i="5"/>
  <c r="E97" i="5"/>
  <c r="E78" i="5"/>
  <c r="E67" i="5"/>
  <c r="E64" i="5"/>
  <c r="E112" i="5"/>
  <c r="E22" i="5"/>
  <c r="E75" i="5"/>
  <c r="E91" i="5"/>
  <c r="E107" i="5"/>
  <c r="E72" i="5"/>
  <c r="E88" i="5"/>
  <c r="E104" i="5"/>
  <c r="E93" i="5"/>
  <c r="E111" i="5"/>
  <c r="E108" i="5"/>
  <c r="E65" i="5"/>
  <c r="E23" i="5"/>
  <c r="E110" i="5"/>
  <c r="E83" i="5"/>
  <c r="E80" i="5"/>
  <c r="E131" i="4" a="1"/>
  <c r="E131" i="4" s="1"/>
  <c r="H63" i="4"/>
  <c r="G63" i="4" s="1"/>
  <c r="I63" i="4" s="1"/>
  <c r="J63" i="4" s="1" a="1"/>
  <c r="J63" i="4" s="1"/>
  <c r="H61" i="4"/>
  <c r="G61" i="4" s="1"/>
  <c r="I64" i="4"/>
  <c r="J64" i="4" s="1" a="1"/>
  <c r="J64" i="4" s="1"/>
  <c r="H62" i="4"/>
  <c r="G62" i="4" s="1"/>
  <c r="I62" i="4" s="1"/>
  <c r="J62" i="4" s="1" a="1"/>
  <c r="J62" i="4" s="1"/>
  <c r="I120" i="4"/>
  <c r="C45" i="5" s="1"/>
  <c r="H119" i="4"/>
  <c r="G119" i="4" s="1"/>
  <c r="I84" i="4"/>
  <c r="J84" i="4" s="1" a="1"/>
  <c r="J84" i="4" s="1"/>
  <c r="H82" i="4"/>
  <c r="G82" i="4" s="1"/>
  <c r="I82" i="4" s="1"/>
  <c r="J82" i="4" s="1" a="1"/>
  <c r="J82" i="4" s="1"/>
  <c r="H83" i="4"/>
  <c r="G83" i="4" s="1"/>
  <c r="I83" i="4" s="1"/>
  <c r="J83" i="4" s="1" a="1"/>
  <c r="J83" i="4" s="1"/>
  <c r="H81" i="4"/>
  <c r="G81" i="4" s="1"/>
  <c r="E135" i="4"/>
  <c r="E132" i="4" a="1"/>
  <c r="E132" i="4" s="1"/>
  <c r="D21" i="5" a="1"/>
  <c r="D47" i="5" a="1"/>
  <c r="E47" i="5" a="1"/>
  <c r="E21" i="5" a="1"/>
  <c r="E49" i="5" a="1"/>
  <c r="D48" i="5" a="1"/>
  <c r="E48" i="5" a="1"/>
  <c r="D49" i="5" a="1"/>
  <c r="D49" i="5" l="1"/>
  <c r="E48" i="5"/>
  <c r="D48" i="5"/>
  <c r="E49" i="5"/>
  <c r="E21" i="5"/>
  <c r="E47" i="5"/>
  <c r="D47" i="5"/>
  <c r="D21" i="5"/>
  <c r="F22" i="5"/>
  <c r="G22" i="5" s="1"/>
  <c r="F24" i="5"/>
  <c r="G24" i="5" s="1"/>
  <c r="E26" i="5"/>
  <c r="F23" i="5"/>
  <c r="G23" i="5" s="1"/>
  <c r="H117" i="4"/>
  <c r="G117" i="4" s="1"/>
  <c r="H115" i="4"/>
  <c r="G115" i="4" s="1"/>
  <c r="I115" i="4" s="1"/>
  <c r="C40" i="5" s="1"/>
  <c r="I119" i="4"/>
  <c r="C44" i="5" s="1"/>
  <c r="H118" i="4"/>
  <c r="G118" i="4" s="1"/>
  <c r="H116" i="4"/>
  <c r="G116" i="4" s="1"/>
  <c r="I116" i="4" s="1"/>
  <c r="C41" i="5" s="1"/>
  <c r="E143" i="4"/>
  <c r="H80" i="4"/>
  <c r="G80" i="4" s="1"/>
  <c r="I81" i="4"/>
  <c r="J81" i="4" s="1" a="1"/>
  <c r="J81" i="4" s="1"/>
  <c r="H60" i="4"/>
  <c r="G60" i="4" s="1"/>
  <c r="I61" i="4"/>
  <c r="J61" i="4" s="1" a="1"/>
  <c r="J61" i="4" s="1"/>
  <c r="E46" i="5" a="1"/>
  <c r="D46" i="5" a="1"/>
  <c r="D46" i="5" l="1"/>
  <c r="E46" i="5"/>
  <c r="F21" i="5"/>
  <c r="G21" i="5" s="1"/>
  <c r="H79" i="4"/>
  <c r="G79" i="4" s="1"/>
  <c r="I80" i="4"/>
  <c r="J80" i="4" s="1" a="1"/>
  <c r="J80" i="4" s="1"/>
  <c r="I118" i="4"/>
  <c r="C43" i="5" s="1"/>
  <c r="H114" i="4"/>
  <c r="G114" i="4" s="1"/>
  <c r="I114" i="4" s="1"/>
  <c r="C39" i="5" s="1"/>
  <c r="I60" i="4"/>
  <c r="J60" i="4" s="1" a="1"/>
  <c r="J60" i="4" s="1"/>
  <c r="H59" i="4"/>
  <c r="G59" i="4" s="1"/>
  <c r="H113" i="4"/>
  <c r="G113" i="4" s="1"/>
  <c r="I117" i="4"/>
  <c r="C42" i="5" s="1"/>
  <c r="E45" i="5" a="1"/>
  <c r="D45" i="5" a="1"/>
  <c r="D45" i="5" l="1"/>
  <c r="E45" i="5"/>
  <c r="I113" i="4"/>
  <c r="C38" i="5" s="1"/>
  <c r="H112" i="4"/>
  <c r="G112" i="4" s="1"/>
  <c r="H57" i="4"/>
  <c r="G57" i="4" s="1"/>
  <c r="H58" i="4"/>
  <c r="G58" i="4" s="1"/>
  <c r="H55" i="4"/>
  <c r="G55" i="4" s="1"/>
  <c r="I55" i="4" s="1"/>
  <c r="J55" i="4" s="1" a="1"/>
  <c r="J55" i="4" s="1"/>
  <c r="H56" i="4"/>
  <c r="G56" i="4" s="1"/>
  <c r="I56" i="4" s="1"/>
  <c r="J56" i="4" s="1" a="1"/>
  <c r="J56" i="4" s="1"/>
  <c r="I59" i="4"/>
  <c r="J59" i="4" s="1" a="1"/>
  <c r="J59" i="4" s="1"/>
  <c r="H78" i="4"/>
  <c r="G78" i="4" s="1"/>
  <c r="H75" i="4"/>
  <c r="G75" i="4" s="1"/>
  <c r="I75" i="4" s="1"/>
  <c r="J75" i="4" s="1" a="1"/>
  <c r="J75" i="4" s="1"/>
  <c r="H77" i="4"/>
  <c r="G77" i="4" s="1"/>
  <c r="H76" i="4"/>
  <c r="G76" i="4" s="1"/>
  <c r="I76" i="4" s="1"/>
  <c r="J76" i="4" s="1" a="1"/>
  <c r="J76" i="4" s="1"/>
  <c r="I79" i="4"/>
  <c r="J79" i="4" s="1" a="1"/>
  <c r="J79" i="4" s="1"/>
  <c r="D44" i="5" a="1"/>
  <c r="E40" i="5" a="1"/>
  <c r="E44" i="5" a="1"/>
  <c r="D40" i="5" a="1"/>
  <c r="D41" i="5" a="1"/>
  <c r="E41" i="5" a="1"/>
  <c r="E41" i="5" l="1"/>
  <c r="D41" i="5"/>
  <c r="D40" i="5"/>
  <c r="E44" i="5"/>
  <c r="E40" i="5"/>
  <c r="D44" i="5"/>
  <c r="H53" i="4"/>
  <c r="G53" i="4" s="1"/>
  <c r="I57" i="4"/>
  <c r="J57" i="4" s="1" a="1"/>
  <c r="J57" i="4" s="1"/>
  <c r="I58" i="4"/>
  <c r="J58" i="4" s="1" a="1"/>
  <c r="J58" i="4" s="1"/>
  <c r="H54" i="4"/>
  <c r="G54" i="4" s="1"/>
  <c r="I54" i="4" s="1"/>
  <c r="J54" i="4" s="1" a="1"/>
  <c r="J54" i="4" s="1"/>
  <c r="I77" i="4"/>
  <c r="J77" i="4" s="1" a="1"/>
  <c r="J77" i="4" s="1"/>
  <c r="H73" i="4"/>
  <c r="G73" i="4" s="1"/>
  <c r="H111" i="4"/>
  <c r="G111" i="4" s="1"/>
  <c r="I112" i="4"/>
  <c r="C37" i="5" s="1"/>
  <c r="H74" i="4"/>
  <c r="G74" i="4" s="1"/>
  <c r="I74" i="4" s="1"/>
  <c r="J74" i="4" s="1" a="1"/>
  <c r="J74" i="4" s="1"/>
  <c r="I78" i="4"/>
  <c r="J78" i="4" s="1" a="1"/>
  <c r="J78" i="4" s="1"/>
  <c r="D43" i="5" a="1"/>
  <c r="D42" i="5" a="1"/>
  <c r="D39" i="5" a="1"/>
  <c r="E42" i="5" a="1"/>
  <c r="E43" i="5" a="1"/>
  <c r="E39" i="5" a="1"/>
  <c r="E39" i="5" l="1"/>
  <c r="E43" i="5"/>
  <c r="E42" i="5"/>
  <c r="D39" i="5"/>
  <c r="D42" i="5"/>
  <c r="D43" i="5"/>
  <c r="I111" i="4"/>
  <c r="C36" i="5" s="1"/>
  <c r="H110" i="4"/>
  <c r="G110" i="4" s="1"/>
  <c r="I110" i="4" s="1"/>
  <c r="C35" i="5" s="1"/>
  <c r="I73" i="4"/>
  <c r="J73" i="4" s="1" a="1"/>
  <c r="J73" i="4" s="1"/>
  <c r="H72" i="4"/>
  <c r="G72" i="4" s="1"/>
  <c r="I53" i="4"/>
  <c r="J53" i="4" s="1" a="1"/>
  <c r="J53" i="4" s="1"/>
  <c r="H52" i="4"/>
  <c r="G52" i="4" s="1"/>
  <c r="E38" i="5" a="1"/>
  <c r="D38" i="5" a="1"/>
  <c r="D38" i="5" l="1"/>
  <c r="E38" i="5"/>
  <c r="I52" i="4"/>
  <c r="J52" i="4" s="1" a="1"/>
  <c r="J52" i="4" s="1"/>
  <c r="H51" i="4"/>
  <c r="G51" i="4" s="1"/>
  <c r="I72" i="4"/>
  <c r="J72" i="4" s="1" a="1"/>
  <c r="J72" i="4" s="1"/>
  <c r="H71" i="4"/>
  <c r="G71" i="4" s="1"/>
  <c r="D37" i="5" a="1"/>
  <c r="E37" i="5" a="1"/>
  <c r="E37" i="5" l="1"/>
  <c r="D37" i="5"/>
  <c r="I71" i="4"/>
  <c r="J71" i="4" s="1" a="1"/>
  <c r="J71" i="4" s="1"/>
  <c r="H70" i="4"/>
  <c r="G70" i="4" s="1"/>
  <c r="I70" i="4" s="1"/>
  <c r="J70" i="4" s="1" a="1"/>
  <c r="J70" i="4" s="1"/>
  <c r="I51" i="4"/>
  <c r="J51" i="4" s="1" a="1"/>
  <c r="J51" i="4" s="1"/>
  <c r="H50" i="4"/>
  <c r="G50" i="4" s="1"/>
  <c r="I50" i="4" s="1"/>
  <c r="E36" i="5" a="1"/>
  <c r="D36" i="5" a="1"/>
  <c r="E35" i="5" a="1"/>
  <c r="E35" i="5" l="1"/>
  <c r="D36" i="5"/>
  <c r="E36" i="5"/>
  <c r="J50" i="4" a="1"/>
  <c r="J50" i="4" s="1"/>
  <c r="E142" i="4"/>
  <c r="B7" i="5" s="1"/>
  <c r="D35" i="5" a="1"/>
  <c r="D35" i="5"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<sst xmlns="http://schemas.openxmlformats.org/spreadsheetml/2006/main" count="662" uniqueCount="384">
  <si>
    <t>Schedule Acceleration Chosen by the Optimizer</t>
  </si>
  <si>
    <t>ModelRisk example  ·  Projects and construction  ·  PC-10</t>
  </si>
  <si>
    <t>Which activities should be accelerated, at least cost, for an 80% chance of opening the bridge within the contract?</t>
  </si>
  <si>
    <t>Next:  Inputs  ▸</t>
  </si>
  <si>
    <t>Model card</t>
  </si>
  <si>
    <t>Industry</t>
  </si>
  <si>
    <t>Projects and construction</t>
  </si>
  <si>
    <t>Difficulty</t>
  </si>
  <si>
    <t>★★★★☆   A 15-activity network scheduled forwards and backwards for two plans in every iteration; six yes-or-no accelerations chosen by the ModelRisk Optimizer, at least cost, for a required chance of finishing on time.</t>
  </si>
  <si>
    <t>Business question</t>
  </si>
  <si>
    <t>The replacement of a road bridge is planned at 40 weeks with most likely durations, and the contract allows 44, but the chance of finishing within 44 weeks is under 60%. Six activities can be accelerated, each at a price. Which ones should be, at the lowest cost, to give at least an 80% chance of finishing within the contract?</t>
  </si>
  <si>
    <t>Who it is for</t>
  </si>
  <si>
    <t>Planners, project managers and contractors who prepare, review or recover programmes.</t>
  </si>
  <si>
    <t>Main outputs</t>
  </si>
  <si>
    <t>The Optimizer's choice of accelerations against a starting plan with none (PC-03's programme) · for both plans: the cost of the accelerations, the chance of finishing within the contract, P50 and P80 completion and the programme with most likely durations · each activity's criticality index under both plans · the completion S-curves.</t>
  </si>
  <si>
    <t>ModelRisk techniques</t>
  </si>
  <si>
    <t>The ModelRisk Optimizer: six yes-or-no decisions, the cost of the accelerations minimised (a value that does not vary between samples), a probability constraint (the chance of finishing within the contract) · PERT durations and a flood risk event · forward and backward pass of both plans on the same draws · criticality index.</t>
  </si>
  <si>
    <t>File</t>
  </si>
  <si>
    <t>PC-10 Schedule acceleration chosen by the Optimizer  ·  Version 1.0  ·  October 2026  ·  built with ModelRisk 10</t>
  </si>
  <si>
    <t>The business question</t>
  </si>
  <si>
    <t>A council's road bridge replacement takes 40 weeks with most likely durations, and the contract allows 44. But durations run long and parallel paths merge, so the chance of finishing on time is under 60% (PC-03). Six activities can be accelerated at a price: more designers, extra railway possessions, a second piling rig at either abutment, pre-cast pier units or pre-cast deck units. Which are worth buying?</t>
  </si>
  <si>
    <t>How the model works</t>
  </si>
  <si>
    <t>Four sheets after this one, read from left to right. Each one feeds the next.</t>
  </si>
  <si>
    <t>1  Inputs</t>
  </si>
  <si>
    <t>The start date, the contract duration and the chance of meeting it that is required; the flood risk to the river pier; and for each of six activities, the share of its duration that accelerating it saves and what that costs.</t>
  </si>
  <si>
    <t>2  Decisions</t>
  </si>
  <si>
    <t>The six cells the Optimizer changes, one per activity that can be accelerated: 1 to accelerate it, 0 not to. The starting plan accelerates nothing. The goal is the least cost of the accelerations; the limit is the chance of finishing within the contract.</t>
  </si>
  <si>
    <t>3  Network</t>
  </si>
  <si>
    <t>Each iteration draws every duration once. Both plans use the same draws, shortened by their own accelerations, and each is scheduled forwards and backwards: its completion, whether it meets the contract and which activities are critical are outputs. Both plans' programmes with most likely durations are calculated too.</t>
  </si>
  <si>
    <t>4  Results</t>
  </si>
  <si>
    <t>Both plans on the same simulated projects: the cost, the chance of finishing within the contract, P50 and P80 completion, the S-curves, and how often each activity is critical under each plan.</t>
  </si>
  <si>
    <t>How to use it</t>
  </si>
  <si>
    <t>Step 1</t>
  </si>
  <si>
    <t>Enter your durations on the Network sheet, and your contract, the chance required, the flood risk and your acceleration options on the Inputs sheet.</t>
  </si>
  <si>
    <t>Step 2</t>
  </si>
  <si>
    <t>On the ModelRisk ribbon, open the Optimizer: the task is saved in this workbook. Press Start. When it finishes, apply the best solution: the 1s and 0s on the Decisions sheet change.</t>
  </si>
  <si>
    <t>Step 3</t>
  </si>
  <si>
    <t>Run a simulation from the ModelRisk ribbon (10,000 samples with a fixed seed are set) to compare the new plan with the starting plan on the Results sheet.</t>
  </si>
  <si>
    <t>Step 4</t>
  </si>
  <si>
    <t>To watch the search from the beginning, copy the starting plan onto the plan in use first. To see why the 40-week critical path misleads, accelerate only the two pilings and simulate.</t>
  </si>
  <si>
    <t>Workbook map</t>
  </si>
  <si>
    <t>Inputs</t>
  </si>
  <si>
    <t>Start date, contract, chance required, flood risk; the time saved and cost of each acceleration.</t>
  </si>
  <si>
    <t>Decisions</t>
  </si>
  <si>
    <t>The plan in use, the starting plan, the goal and the limit, and the Optimizer's last run.</t>
  </si>
  <si>
    <t>Network</t>
  </si>
  <si>
    <t>Activities; both plans' durations and schedules in this iteration; Gantt chart; the programmes with most likely durations; outputs and checks.</t>
  </si>
  <si>
    <t>Results</t>
  </si>
  <si>
    <t>The plan in use against the starting plan; completion S-curves; the criticality index of both plans.</t>
  </si>
  <si>
    <t>Colour key</t>
  </si>
  <si>
    <t>Input</t>
  </si>
  <si>
    <t>An assumption you may change. Only these cells are inputs.</t>
  </si>
  <si>
    <t>Uncertain variable</t>
  </si>
  <si>
    <t>A ModelRisk distribution: a new random value is drawn at every recalculation (F9) and every simulation sample.</t>
  </si>
  <si>
    <t>Decision</t>
  </si>
  <si>
    <t>A cell the ModelRisk Optimizer changes: it tries values within the bounds and keeps the best plan found.</t>
  </si>
  <si>
    <t>Calculation</t>
  </si>
  <si>
    <t>A formula. Do not overwrite.</t>
  </si>
  <si>
    <t>Key output</t>
  </si>
  <si>
    <t>Marked with VoseOutput; its full distribution is recorded when you simulate.</t>
  </si>
  <si>
    <t>Simulation result</t>
  </si>
  <si>
    <t>A VoseSim… function: a statistic of the last simulation, filled in automatically.</t>
  </si>
  <si>
    <t>Units and conventions</t>
  </si>
  <si>
    <t>Time</t>
  </si>
  <si>
    <t>Weeks from the start of the project; dates are the start date plus whole weeks.</t>
  </si>
  <si>
    <t>Money</t>
  </si>
  <si>
    <t>US$ thousand (US$k): the extra cost of each acceleration over the normal method.</t>
  </si>
  <si>
    <t>Accelerate</t>
  </si>
  <si>
    <t>1 = the activity is accelerated, 0 = it is done the normal way. Accelerating saves a fixed share of the activity's duration, whatever that duration turns out to be.</t>
  </si>
  <si>
    <t>Critical</t>
  </si>
  <si>
    <t>An activity is critical in an iteration if it has no float; its criticality index is the share of iterations in which it is critical.</t>
  </si>
  <si>
    <t>Programme</t>
  </si>
  <si>
    <t>The schedule with most likely durations and no flood: the deterministic programme a planner would draw.</t>
  </si>
  <si>
    <t>Key assumptions and limitations</t>
  </si>
  <si>
    <t>Logic</t>
  </si>
  <si>
    <t>Finish-to-start links only, no lags; resources are not limited; accelerating one activity does not slow another.</t>
  </si>
  <si>
    <t>Acceleration</t>
  </si>
  <si>
    <t>Each saves a fixed share of its activity's duration for a fixed cost, paid whether or not it turns out to be needed. It does not shorten the flood delay.</t>
  </si>
  <si>
    <t>Independence</t>
  </si>
  <si>
    <t>Durations are independent of each other; in practice common causes (productivity, weather) can link them.</t>
  </si>
  <si>
    <t>Optimizer</t>
  </si>
  <si>
    <t>Each plan the Optimizer tries is judged on the same 10,000 simulated projects (common random numbers, seed 1) as the simulation on the Results sheet, so plans are compared fairly and the limit the Optimizer met holds on the Results sheet too.</t>
  </si>
  <si>
    <t>Data</t>
  </si>
  <si>
    <t>The project, the durations and the acceleration options are invented for this example.</t>
  </si>
  <si>
    <t>ModelRisk functions used</t>
  </si>
  <si>
    <t>ModelRisk Optimizer</t>
  </si>
  <si>
    <t>Chooses which activities to accelerate: least cost of the accelerations, with the chance of finishing within the contract at least the chance required.</t>
  </si>
  <si>
    <t>VosePERT</t>
  </si>
  <si>
    <t>Each activity's duration from its low, most likely and high estimates.</t>
  </si>
  <si>
    <t>VoseRiskEvent, VosePERTObject</t>
  </si>
  <si>
    <t>The flood: no delay, or a PERT number of weeks.</t>
  </si>
  <si>
    <t>VoseInput, VoseOutput</t>
  </si>
  <si>
    <t>Name the durations and the outputs of both plans, including whether each activity is critical.</t>
  </si>
  <si>
    <t>VoseSimProbability, VoseSimPercentile</t>
  </si>
  <si>
    <t>The chance of finishing on time and the completion percentiles of both plans.</t>
  </si>
  <si>
    <t>VoseSimMean</t>
  </si>
  <si>
    <t>The mean completion and each activity's criticality index under both plans.</t>
  </si>
  <si>
    <t>Further reading</t>
  </si>
  <si>
    <t>Schedule risk</t>
  </si>
  <si>
    <t>Hulett, D. T. (2009). Practical Schedule Risk Analysis. Gower.</t>
  </si>
  <si>
    <t>Time–cost trade-off</t>
  </si>
  <si>
    <t>Kelley, J. E. (1961). Critical-path planning and scheduling: mathematical basis. Operations Research 9(3), 296–320.</t>
  </si>
  <si>
    <t>Companion model</t>
  </si>
  <si>
    <t>PC-03 Schedule risk on a project network: the same bridge and network, with the criticality index and merge bias explained.</t>
  </si>
  <si>
    <t>© 2026 Vose Software   ·   www.vosesoftware.com   ·   An illustrative example: the figures are invented for teaching and do not describe a real company, project or asset.</t>
  </si>
  <si>
    <t>INPUTS   ·   Start date, contract and the chance of meeting it required; the flood risk; the acceleration options. The activities' durations are on the Network sheet. Change only the yellow cells.</t>
  </si>
  <si>
    <t>◂  About</t>
  </si>
  <si>
    <t>Next:  Decisions  ▸</t>
  </si>
  <si>
    <t>How to read this sheet:  yellow cells are inputs.  Orange cells hold ModelRisk distributions and show the current random sample (press F9 to draw again).  Low / Most likely / High are the minimum, most likely and maximum for PERT.  Mean is the distribution's average (VoseMean); it shows ✗ if a range is out of order.</t>
  </si>
  <si>
    <t>1   Programme and target</t>
  </si>
  <si>
    <t>When the work starts, what the contract allows, and how sure the council wants to be.</t>
  </si>
  <si>
    <t>Assumption</t>
  </si>
  <si>
    <t>Unit</t>
  </si>
  <si>
    <t>Value in model</t>
  </si>
  <si>
    <t>Uncertainty</t>
  </si>
  <si>
    <t>Basis / source (illustrative)</t>
  </si>
  <si>
    <t>Start date</t>
  </si>
  <si>
    <t>date</t>
  </si>
  <si>
    <t>Fixed</t>
  </si>
  <si>
    <t>Notice to proceed (1 March 2027).</t>
  </si>
  <si>
    <t>Contract duration</t>
  </si>
  <si>
    <t>weeks</t>
  </si>
  <si>
    <t>Completion date in the contract: 44 weeks after the start.</t>
  </si>
  <si>
    <t>On-time chance required</t>
  </si>
  <si>
    <t>chance</t>
  </si>
  <si>
    <t>The chance of finishing within the contract that the Optimizer must reach: the council wants P80 or better.</t>
  </si>
  <si>
    <t>2   Risk event</t>
  </si>
  <si>
    <t>A flood stops work in the river until the water level drops.</t>
  </si>
  <si>
    <t>Low</t>
  </si>
  <si>
    <t>Most likely</t>
  </si>
  <si>
    <t>High</t>
  </si>
  <si>
    <t>Mean</t>
  </si>
  <si>
    <t>Chance of a flood during the pier works</t>
  </si>
  <si>
    <t>Gauge records: one flood in four winters over the cofferdam's design level.</t>
  </si>
  <si>
    <t>Delay to the river pier from a flood</t>
  </si>
  <si>
    <t>Risk event  · PERT</t>
  </si>
  <si>
    <t>Pumping out, inspection and repair of the cofferdam.</t>
  </si>
  <si>
    <t>3   Acceleration: time saved</t>
  </si>
  <si>
    <t>The share of the activity's duration saved if it is accelerated, whatever the duration turns out to be.</t>
  </si>
  <si>
    <t>Design: a second design team</t>
  </si>
  <si>
    <t>of its duration</t>
  </si>
  <si>
    <t>More designers, and fortnightly reviews with the highway authority instead of one at the end.</t>
  </si>
  <si>
    <t>Demolition: extra railway possessions</t>
  </si>
  <si>
    <t>Two more night possessions a week; the railway charges for each one.</t>
  </si>
  <si>
    <t>North abutment piling: a second piling rig</t>
  </si>
  <si>
    <t>Two rigs share the piles; mobilisation and pile testing take as long as before.</t>
  </si>
  <si>
    <t>South abutment piling: a second piling rig</t>
  </si>
  <si>
    <t>A heavier second rig for the softer ground near the river bank.</t>
  </si>
  <si>
    <t>River pier: pre-cast pier units</t>
  </si>
  <si>
    <t>Pier shafts cast off site and lifted into the cofferdam. A flood delays the work as much as before.</t>
  </si>
  <si>
    <t>Deck slab: pre-cast deck units</t>
  </si>
  <si>
    <t>Pre-cast planks as permanent formwork: less concrete poured and cured on site.</t>
  </si>
  <si>
    <t>4   Acceleration: cost</t>
  </si>
  <si>
    <t>The extra cost of each acceleration, paid if it is chosen.</t>
  </si>
  <si>
    <t>US$ thousand</t>
  </si>
  <si>
    <t>Two more designers through the design period, and the extra reviews.</t>
  </si>
  <si>
    <t>Possession fees and night-time rates.</t>
  </si>
  <si>
    <t>Second rig and crew: mobilisation, hire and operators.</t>
  </si>
  <si>
    <t>A heavier rig: higher mobilisation and hire.</t>
  </si>
  <si>
    <t>Casting yard, transport and a larger crane, less the work saved in the river.</t>
  </si>
  <si>
    <t>Planks, transport and a larger crane, less the formwork saved.</t>
  </si>
  <si>
    <t>DECISIONS   ·   The cells the ModelRisk Optimizer changes, the plan they are compared with, and what the Optimizer is asked to do.</t>
  </si>
  <si>
    <t>◂  Inputs</t>
  </si>
  <si>
    <t>Next:  Network  ▸</t>
  </si>
  <si>
    <t>How to read this sheet:  the blue cells are the plan in use — the cells the Optimizer changes. The yellow Starting plan is the plan it is compared with on the Results sheet; Lowest and Highest bound the search.  To watch the Optimizer search from the starting plan, copy the Starting plan column onto Plan in use (Paste Values), then ModelRisk ▸ Optimizer ▸ Start.</t>
  </si>
  <si>
    <t>1   Activities to accelerate</t>
  </si>
  <si>
    <t>The Optimizer changes the blue cells: 1 accelerates the activity, 0 does it the normal way. The starting plan accelerates nothing: PC-03's programme.</t>
  </si>
  <si>
    <t>Plan in use</t>
  </si>
  <si>
    <t>Starting plan</t>
  </si>
  <si>
    <t>Lowest</t>
  </si>
  <si>
    <t>Highest</t>
  </si>
  <si>
    <t>Kind</t>
  </si>
  <si>
    <t>Notes</t>
  </si>
  <si>
    <t>A  Design: second design team</t>
  </si>
  <si>
    <t>1 = yes</t>
  </si>
  <si>
    <t>Yes (1) / no (0)</t>
  </si>
  <si>
    <t>C  Demolition: extra possessions</t>
  </si>
  <si>
    <t>D  North piling: second piling rig</t>
  </si>
  <si>
    <t>E  South piling: second piling rig</t>
  </si>
  <si>
    <t>F  River pier: pre-cast pier units</t>
  </si>
  <si>
    <t>K  Deck slab: pre-cast deck units</t>
  </si>
  <si>
    <t>2   Goal and limits</t>
  </si>
  <si>
    <t>What the Optimizer is asked to do. It judges every plan it tries by these statistics of a simulation of that plan.</t>
  </si>
  <si>
    <t>Statistic</t>
  </si>
  <si>
    <t>Limit</t>
  </si>
  <si>
    <t>Output cell</t>
  </si>
  <si>
    <t>Minimise:  Cost of the accelerations</t>
  </si>
  <si>
    <t>the value</t>
  </si>
  <si>
    <t>Network!E134</t>
  </si>
  <si>
    <t>Keep:  Chance of finishing on time  at least</t>
  </si>
  <si>
    <t>the chance of finishing on time  ·  the input On-time chance required</t>
  </si>
  <si>
    <t>Network!E132</t>
  </si>
  <si>
    <t>3   The Optimizer's run</t>
  </si>
  <si>
    <t>Recorded when this workbook was built: the run that chose the plan in use. A run of your own shows its results in the Optimizer window instead.</t>
  </si>
  <si>
    <t>Run on</t>
  </si>
  <si>
    <t>–</t>
  </si>
  <si>
    <t>Method the Optimizer chose</t>
  </si>
  <si>
    <t>Plans tried  (one simulation each)</t>
  </si>
  <si>
    <t>Samples in each trial</t>
  </si>
  <si>
    <t>Run time, seconds</t>
  </si>
  <si>
    <t>Why it stopped</t>
  </si>
  <si>
    <t>Every limit met by the best plan</t>
  </si>
  <si>
    <t>Goal at the best plan, during the run</t>
  </si>
  <si>
    <t>NETWORK   ·   Fifteen activities: durations of both plans, forward and backward pass, float and the critical path (weeks).</t>
  </si>
  <si>
    <t>◂  Decisions</t>
  </si>
  <si>
    <t>Next:  Results  ▸</t>
  </si>
  <si>
    <t>1   Activities</t>
  </si>
  <si>
    <t>Yellow cells are inputs. Predecessors is a label only: the logic is written into the Start formulas of sections 3 and 4. Option: the share of the duration an acceleration saves (Inputs sheet).</t>
  </si>
  <si>
    <t>ID</t>
  </si>
  <si>
    <t>Activity</t>
  </si>
  <si>
    <t>Predecessors</t>
  </si>
  <si>
    <t>Duration  (weeks)</t>
  </si>
  <si>
    <t>Option</t>
  </si>
  <si>
    <t>Note</t>
  </si>
  <si>
    <t>label only</t>
  </si>
  <si>
    <t>PERT</t>
  </si>
  <si>
    <t>saves</t>
  </si>
  <si>
    <t>A</t>
  </si>
  <si>
    <t>Design and approvals</t>
  </si>
  <si>
    <t>Detailed design, approval by the highway authority</t>
  </si>
  <si>
    <t>B</t>
  </si>
  <si>
    <t>Site set-up and traffic management</t>
  </si>
  <si>
    <t>Diversion route signed and opened</t>
  </si>
  <si>
    <t>C</t>
  </si>
  <si>
    <t>Demolish the old bridge</t>
  </si>
  <si>
    <t>Night possessions of the railway below</t>
  </si>
  <si>
    <t>D</t>
  </si>
  <si>
    <t>North abutment piling</t>
  </si>
  <si>
    <t>Bored piles; ground conditions known from boreholes</t>
  </si>
  <si>
    <t>E</t>
  </si>
  <si>
    <t>South abutment piling</t>
  </si>
  <si>
    <t>Softer ground near the river bank</t>
  </si>
  <si>
    <t>F</t>
  </si>
  <si>
    <t>River pier</t>
  </si>
  <si>
    <t>Cofferdam in the river; the flood risk is added in section 2</t>
  </si>
  <si>
    <t>G</t>
  </si>
  <si>
    <t>Fabricate steel girders (off site)</t>
  </si>
  <si>
    <t>Fabricator's slot booked after design approval</t>
  </si>
  <si>
    <t>H</t>
  </si>
  <si>
    <t>North abutment walls</t>
  </si>
  <si>
    <t>I</t>
  </si>
  <si>
    <t>South abutment walls</t>
  </si>
  <si>
    <t>J</t>
  </si>
  <si>
    <t>Deliver and erect girders</t>
  </si>
  <si>
    <t>F, G, H, I</t>
  </si>
  <si>
    <t>Needs both abutments, the pier and the girders</t>
  </si>
  <si>
    <t>K</t>
  </si>
  <si>
    <t>Deck slab</t>
  </si>
  <si>
    <t>L</t>
  </si>
  <si>
    <t>Waterproofing and surfacing</t>
  </si>
  <si>
    <t>M</t>
  </si>
  <si>
    <t>Parapets and finishes</t>
  </si>
  <si>
    <t>N</t>
  </si>
  <si>
    <t>Approach road tie-ins</t>
  </si>
  <si>
    <t>Independent of the bridge itself</t>
  </si>
  <si>
    <t>O</t>
  </si>
  <si>
    <t>Testing and opening</t>
  </si>
  <si>
    <t>L, M, N</t>
  </si>
  <si>
    <t>Load test and safety audit</t>
  </si>
  <si>
    <t>2   Durations in this iteration</t>
  </si>
  <si>
    <t>One draw of each duration, shared by both plans; each plan shortens the activities it accelerates. Press F9 for another iteration.</t>
  </si>
  <si>
    <t>Sampled</t>
  </si>
  <si>
    <t>Flood</t>
  </si>
  <si>
    <t>Saved</t>
  </si>
  <si>
    <t>Duration</t>
  </si>
  <si>
    <t>How it is calculated</t>
  </si>
  <si>
    <t>delay</t>
  </si>
  <si>
    <t>starting</t>
  </si>
  <si>
    <t>in use</t>
  </si>
  <si>
    <t>Sampled: this iteration's PERT duration (a VoseInput)</t>
  </si>
  <si>
    <t>Saved: the option's share if the plan accelerates it</t>
  </si>
  <si>
    <t>Duration = sampled × (1 − saved), + flood for the pier</t>
  </si>
  <si>
    <t>A flood delays the pier work whichever way it is built</t>
  </si>
  <si>
    <t>3   Schedule of the starting plan in this iteration</t>
  </si>
  <si>
    <t>Start = latest finish of the predecessors. Late finish = earliest late start of the successors.</t>
  </si>
  <si>
    <t>Start</t>
  </si>
  <si>
    <t>Finish</t>
  </si>
  <si>
    <t>Late start</t>
  </si>
  <si>
    <t>Late finish</t>
  </si>
  <si>
    <t>Float</t>
  </si>
  <si>
    <t>Critical?</t>
  </si>
  <si>
    <t>section 2</t>
  </si>
  <si>
    <t>Start: the finish of the predecessor, or the latest finish if there are several (forward pass)</t>
  </si>
  <si>
    <t>Late finish: the late start of the successor, or the earliest if there are several (backward pass)</t>
  </si>
  <si>
    <t>Float = late start − start;  critical if the float is zero</t>
  </si>
  <si>
    <t>4   Schedule of the plan in use in this iteration</t>
  </si>
  <si>
    <t>The same network and logic, with the plan in use's durations</t>
  </si>
  <si>
    <t>5   The plan in use in this iteration, as a Gantt chart</t>
  </si>
  <si>
    <t>Section 4 drawn to scale. Press F9 to see another possible programme.</t>
  </si>
  <si>
    <t>6   Programmes with most likely durations</t>
  </si>
  <si>
    <t>The deterministic programme of each plan: most likely durations, no flood. Critical in the starting plan's programme: no float.</t>
  </si>
  <si>
    <t>starting plan</t>
  </si>
  <si>
    <t>plan in use</t>
  </si>
  <si>
    <t>Duration = most likely × (1 − the plan's saved share)</t>
  </si>
  <si>
    <t>Starting plan: forward and backward pass; critical if no float</t>
  </si>
  <si>
    <t>Plan in use: forward pass only, for its finish</t>
  </si>
  <si>
    <t>7   Value in this iteration</t>
  </si>
  <si>
    <t>Key outputs, recorded by ModelRisk at every sample (VoseOutput). Their statistics appear on the Results sheet.</t>
  </si>
  <si>
    <t>Output</t>
  </si>
  <si>
    <t>Value</t>
  </si>
  <si>
    <t>Meaning</t>
  </si>
  <si>
    <t>Completion, starting plan</t>
  </si>
  <si>
    <t>Finish of the last activity in this iteration.</t>
  </si>
  <si>
    <t>Completion, plan in use</t>
  </si>
  <si>
    <t>On time, starting plan  (1 = yes)</t>
  </si>
  <si>
    <t>1 / 0</t>
  </si>
  <si>
    <t>Its share of the iterations is the chance of finishing on time.</t>
  </si>
  <si>
    <t>On time, plan in use  (1 = yes)</t>
  </si>
  <si>
    <t>Acceleration cost, starting plan</t>
  </si>
  <si>
    <t>The cost of each option chosen: the same in every iteration.</t>
  </si>
  <si>
    <t>Acceleration cost, plan in use</t>
  </si>
  <si>
    <t>Completion date, plan in use</t>
  </si>
  <si>
    <t>Start date + weeks × 7 days.</t>
  </si>
  <si>
    <t>Programme, starting plan</t>
  </si>
  <si>
    <t>Most likely durations, no flood (section 6).</t>
  </si>
  <si>
    <t>Programme, plan in use</t>
  </si>
  <si>
    <t>The same with the plan in use's accelerations.</t>
  </si>
  <si>
    <t>8   Model checks</t>
  </si>
  <si>
    <t>Should all read OK. A CHECK means an input has been set outside the range the model is built for.</t>
  </si>
  <si>
    <t>Durations: Low ≤ Most likely ≤ High</t>
  </si>
  <si>
    <t>No negative float in either plan</t>
  </si>
  <si>
    <t>The last activity is critical in both plans</t>
  </si>
  <si>
    <t>Every decision is 1 or 0 in both plans</t>
  </si>
  <si>
    <t>RESULTS   ·   Filled in automatically from the last simulation. Run a simulation after changing any input.</t>
  </si>
  <si>
    <t>◂  Network</t>
  </si>
  <si>
    <t>1   The plan in use against the starting plan</t>
  </si>
  <si>
    <t>Completion — S-curves</t>
  </si>
  <si>
    <t>The accelerations of the two plans, and how each performs on the same simulated projects.</t>
  </si>
  <si>
    <t>Change</t>
  </si>
  <si>
    <t>Measure</t>
  </si>
  <si>
    <t>Cost of the accelerations</t>
  </si>
  <si>
    <t>US$k</t>
  </si>
  <si>
    <t>Chance of finishing within the contract</t>
  </si>
  <si>
    <t>Completion, P50</t>
  </si>
  <si>
    <t>Completion, P80</t>
  </si>
  <si>
    <t>Completion, mean</t>
  </si>
  <si>
    <t>Programme with most likely durations</t>
  </si>
  <si>
    <t>P80 completion date</t>
  </si>
  <si>
    <t>On-time chance required  (Inputs sheet)</t>
  </si>
  <si>
    <t>Programme: most likely durations and no flood, the deterministic schedule (Network sheet, section 6).</t>
  </si>
  <si>
    <t>2   Which activities are critical</t>
  </si>
  <si>
    <t>Criticality index — starting plan and plan in use</t>
  </si>
  <si>
    <t>Criticality index: how often the activity is on the critical path in the simulation, under each plan.</t>
  </si>
  <si>
    <t>Accelerated</t>
  </si>
  <si>
    <t>critical</t>
  </si>
  <si>
    <t>criticality</t>
  </si>
  <si>
    <t>in the plan</t>
  </si>
  <si>
    <t>A  Design and approvals</t>
  </si>
  <si>
    <t>B  Site set-up and traffic management</t>
  </si>
  <si>
    <t>C  Demolish the old bridge</t>
  </si>
  <si>
    <t>D  North abutment piling</t>
  </si>
  <si>
    <t>E  South abutment piling</t>
  </si>
  <si>
    <t>F  River pier</t>
  </si>
  <si>
    <t>G  Fabricate steel girders (off site)</t>
  </si>
  <si>
    <t>H  North abutment walls</t>
  </si>
  <si>
    <t>I  South abutment walls</t>
  </si>
  <si>
    <t>J  Deliver and erect girders</t>
  </si>
  <si>
    <t>K  Deck slab</t>
  </si>
  <si>
    <t>L  Waterproofing and surfacing</t>
  </si>
  <si>
    <t>M  Parapets and finishes</t>
  </si>
  <si>
    <t>N  Approach road tie-ins</t>
  </si>
  <si>
    <t>O  Testing and opening</t>
  </si>
  <si>
    <t>Programme: critical in the starting plan's programme.  Accelerated: in the plan in use (– = not an option).</t>
  </si>
  <si>
    <t>3   How to read these results</t>
  </si>
  <si>
    <t>•  The starting plan — PC-03's programme, with nothing accelerated — finishes within the 44-week contract in under 60% of the simulated projects, well short of the 80% required.</t>
  </si>
  <si>
    <t>•  The Optimizer buys a second piling rig at each abutment and pre-cast units for the river pier, for about US$190k. The chance of finishing on time rises to a little over 80%, and P80 completion falls by about two weeks, to within the contract.</t>
  </si>
  <si>
    <t>•  The pier is not on the 40-week critical path, and on paper its pre-cast units save nothing: the programme is the same with or without them. Accelerate only the pilings and the chance stalls at about three in four, because the pier, with its flood risk, then sets the pace in over a third of the projects. With all three accelerated, it does so in about one in ten.</t>
  </si>
  <si>
    <t>•  Design, demolition and the deck lie on every path, so time saved there counts in full; but each saves only about a week, for US$140k–160k, and no plan that uses them reaches 80% for less.</t>
  </si>
  <si>
    <t>•  Try a 90% requirement on the Inputs sheet and run the Optimizer again: it adds the pre-cast deck units as well, and the cost rises by about three-quarters.</t>
  </si>
  <si>
    <t>Chart data</t>
  </si>
  <si>
    <t>Statistics of the last simulation behind the charts and the ranking above. Grouped: click + in the left margin to show them.</t>
  </si>
  <si>
    <t>Cumulative probability</t>
  </si>
  <si>
    <t>Exceedance</t>
  </si>
  <si>
    <t>Out_Finish_Start</t>
  </si>
  <si>
    <t>Out_Finish_Plan</t>
  </si>
  <si>
    <t>line at ContractWeeks</t>
  </si>
  <si>
    <t>MROPTREPO/2.0</t>
  </si>
  <si>
    <t>{"format_version":"1.0","model":"Schedule acceleration: which activities to accelerate","settings":{"engineKind":0,"optimizationType":0,"useTurboSimulation":true,"gaPopulation":0,"gaProbCrossover":0.8,"gaProbMutation":0.1,"gaSelection":0,"gaTournamentSize":3,"gaElitism":2,"cmaSigma":0.3,"cmaPopulation":0,"cmaUseIPOP":true,"cmaPolishDampStart":0.7,"cmaPolishDampGrowth":0.15,"nelderMeadTol":1e-06,"nelderMeadInitStep":0.05,"bfgsGradH":1e-06,"bfgsStepConvergence":true,"brentTol":1e-13,"projGradConvergenceTol":0.0001,"projGradConvergenceWindow":5,"useCRN":true,"crnSeed":1,"useRandomSeed":false,"useFixedTwister":false,"finalFullMcConfirm":false,"gaProjectLinearConstraints":false,"pathfinderRobust":false,"pathfinderSurrogate":true,"pathfinderGradient":true,"pathfinderCheapExplore":false,"pathfinderFeasGate":true,"pathfinderLeanDescent":true,"pathfinderSoftConstraint":false,"adaptScheme":2,"repMin":200,"repMax":5000,"repFinalTopN":5,"varianceTrancheEpsPct":0.02,"varianceTrancheThreshold":0.8,"varianceTrancheMinK":5,"preFlightEnabled":true,"deterministicSamples":1,"samplingType":3,"userSamples":10000,"conDefType":0,"conDefPenaltyKind":0,"conDefWeight":1.0,"conDefEvalTime":0,"conDefPrecision":0.0,"macroAtOptStart":"","macroBeforeTrial":"","macroAfterTrial":"","macroAtOptEnd":"","useMacroAtOptStart":false,"useMacroBeforeTrial":false,"useMacroAfterTrial":false,"useMacroAtOptEnd":false},"stop":{"maxIterations":150,"maxTimeSeconds":900.0,"parameterTolerance":1.0,"toleranceUnit":1,"stagnationTrials":70,"stagnationDeviation":1e-06,"stagnationUnit":0,"stopOnError":false,"stopFormulaEnabled":false,"stopFormulaRef":""},"adj":{"variables":[{"cell":{"sheet":"Decisions","row":10,"col":3},"type":3,"min":0.0,"max":1.0,"groupIndex":-1,"label":"A  Design: second design team","discreteSet":[]},{"cell":{"sheet":"Decisions","row":11,"col":3},"type":3,"min":0.0,"max":1.0,"groupIndex":-1,"label":"C  Demolition: extra possessions","discreteSet":[]},{"cell":{"sheet":"Decisions","row":12,"col":3},"type":3,"min":0.0,"max":1.0,"groupIndex":-1,"label":"D  North piling: second piling rig","discreteSet":[]},{"cell":{"sheet":"Decisions","row":13,"col":3},"type":3,"min":0.0,"max":1.0,"groupIndex":-1,"label":"E  South piling: second piling rig","discreteSet":[]},{"cell":{"sheet":"Decisions","row":14,"col":3},"type":3,"min":0.0,"max":1.0,"groupIndex":-1,"label":"F  River pier: pre-cast pier units","discreteSet":[]},{"cell":{"sheet":"Decisions","row":15,"col":3},"type":3,"min":0.0,"max":1.0,"groupIndex":-1,"label":"K  Deck slab: pre-cast deck units","discreteSet":[]}],"groups":[]},"objectives":[{"name":"Cost of the accelerations","cell":{"sheet":"Network","row":133,"col":4},"stat":{"kind":22,"param1":0.0,"param2":0.0},"mode":1,"targetValue":0.0}],"constraints":[{"name":"Chance of finishing on time","cell":{"sheet":"Network","row":131,"col":4},"type":0,"softWeight":1.0,"penaltyKind":0,"sixSigma":0,"precision":0.0,"stat":{"kind":23,"param1":0.5,"param2":0.0},"op":1,"rhsA":0.8,"rhsB":0.0,"formulaCellRef":"","evalTime":2,"rhsACell":{"sheet":"Inputs","row":12,"col":3}}],"frontier":{"sweptIndex":-1,"lo":0.0,"hi":0.0,"nPoints":5}}</t>
  </si>
  <si>
    <t>Base scenario</t>
  </si>
  <si>
    <t>trial budget used</t>
  </si>
  <si>
    <t>Yes</t>
  </si>
  <si>
    <t>Vertex Detector</t>
  </si>
  <si>
    <t>2026-10-13</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</si>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</sst>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d\ mmm\ yyyy"/>
    <numFmt numFmtId="165" formatCode="#,##0.0_);\(#,##0.0\);&quot;–&quot;_)"/>
    <numFmt numFmtId="166" formatCode="#,##0_);\(#,##0\);&quot;–&quot;_)"/>
    <numFmt numFmtId="167" formatCode="#,##0.0"/>
    <numFmt numFmtId="169" formatCode="&quot;yes&quot;;;&quot;–&quot;"/>
    <numFmt numFmtId="170" formatCode="&quot;added&quot;;&quot;dropped&quot;;&quot;–&quot;"/>
    <numFmt numFmtId="171" formatCode="#,##0;\-#,##0;#,##0;&quot;–&quot;"/>
    <numFmt numFmtId="172" formatCode="0.0%;\-0.0%;0.0%;&quot;–&quot;"/>
    <numFmt numFmtId="173" formatCode="#,##0.0_);\(#,##0.0\);&quot;–&quot;_);&quot;–&quot;"/>
    <numFmt numFmtId="174" formatCode="0%;\-0%;0%;&quot;–&quot;"/>
  </numFmts>
  <fonts count="25" x14ac:knownFonts="1">
    <font>
      <sz val="11"/>
      <color theme="1"/>
      <name val="Calibri"/>
      <family val="2"/>
      <scheme val="minor"/>
    </font>
    <font>
      <sz val="10"/>
      <color rgb="FF0E4F92"/>
      <name val="Calibri"/>
      <family val="2"/>
      <charset val="204"/>
    </font>
    <font>
      <sz val="10"/>
      <color rgb="FF9A3412"/>
      <name val="Calibri"/>
      <family val="2"/>
      <charset val="204"/>
    </font>
    <font>
      <sz val="10"/>
      <color rgb="FF0F2A47"/>
      <name val="Calibri"/>
      <family val="2"/>
      <charset val="204"/>
    </font>
    <font>
      <b/>
      <sz val="10"/>
      <color rgb="FF14532D"/>
      <name val="Calibri"/>
      <family val="2"/>
      <charset val="204"/>
    </font>
    <font>
      <b/>
      <sz val="10"/>
      <color rgb="FF0E4F92"/>
      <name val="Calibri"/>
      <family val="2"/>
      <charset val="204"/>
    </font>
    <font>
      <b/>
      <sz val="16"/>
      <color rgb="FFFFFFFF"/>
      <name val="Calibri"/>
      <family val="2"/>
      <charset val="204"/>
    </font>
    <font>
      <sz val="10"/>
      <color rgb="FFD6E2F0"/>
      <name val="Calibri"/>
      <family val="2"/>
      <charset val="204"/>
    </font>
    <font>
      <sz val="9"/>
      <color rgb="FFD6E2F0"/>
      <name val="Calibri"/>
      <family val="2"/>
      <charset val="204"/>
    </font>
    <font>
      <u/>
      <sz val="9"/>
      <color rgb="FF0E4F92"/>
      <name val="Calibri"/>
      <family val="2"/>
      <charset val="204"/>
    </font>
    <font>
      <b/>
      <sz val="20"/>
      <color rgb="FFFFFFFF"/>
      <name val="Calibri"/>
      <family val="2"/>
      <charset val="204"/>
    </font>
    <font>
      <b/>
      <sz val="12"/>
      <color rgb="FF0E4F92"/>
      <name val="Calibri"/>
      <family val="2"/>
      <charset val="204"/>
    </font>
    <font>
      <b/>
      <sz val="10"/>
      <color rgb="FF3F5876"/>
      <name val="Calibri"/>
      <family val="2"/>
      <charset val="204"/>
    </font>
    <font>
      <b/>
      <sz val="10"/>
      <color rgb="FF0F2A47"/>
      <name val="Calibri"/>
      <family val="2"/>
      <charset val="204"/>
    </font>
    <font>
      <i/>
      <sz val="9"/>
      <color rgb="FF3F5876"/>
      <name val="Calibri"/>
      <family val="2"/>
      <charset val="204"/>
    </font>
    <font>
      <u/>
      <sz val="10"/>
      <color rgb="FF0E4F92"/>
      <name val="Calibri"/>
      <family val="2"/>
      <charset val="204"/>
    </font>
    <font>
      <i/>
      <sz val="9"/>
      <color rgb="FF8AA0BA"/>
      <name val="Calibri"/>
      <family val="2"/>
      <charset val="204"/>
    </font>
    <font>
      <b/>
      <sz val="9"/>
      <color rgb="FF3F5876"/>
      <name val="Calibri"/>
      <family val="2"/>
      <charset val="204"/>
    </font>
    <font>
      <sz val="9"/>
      <color rgb="FF3F5876"/>
      <name val="Calibri"/>
      <family val="2"/>
      <charset val="204"/>
    </font>
    <font>
      <sz val="8"/>
      <color rgb="FF3F5876"/>
      <name val="Calibri"/>
      <family val="2"/>
      <charset val="204"/>
    </font>
    <font>
      <sz val="9"/>
      <color rgb="FF8AA0BA"/>
      <name val="Calibri"/>
      <family val="2"/>
      <charset val="204"/>
    </font>
    <font>
      <b/>
      <sz val="10"/>
      <color rgb="FF15803D"/>
      <name val="Calibri"/>
      <family val="2"/>
      <charset val="204"/>
    </font>
    <font>
      <b/>
      <sz val="9"/>
      <color rgb="FF15803D"/>
      <name val="Calibri"/>
      <family val="2"/>
      <charset val="204"/>
    </font>
    <font>
      <b/>
      <sz val="9"/>
      <color rgb="FF0E4F92"/>
      <name val="Calibri"/>
      <family val="2"/>
      <charset val="204"/>
    </font>
    <font>
      <b/>
      <sz val="11"/>
      <color rgb="FF0E4F92"/>
      <name val="Calibri"/>
      <family val="2"/>
      <charset val="204"/>
    </font>
  </fonts>
  <fills count="9">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8EEF7"/>
        <bgColor rgb="FFE8EEF7"/>
      </patternFill>
    </fill>
    <fill>
      <patternFill patternType="solid">
        <fgColor rgb="FFDBEAFE"/>
        <bgColor rgb="FFDBEAFE"/>
      </patternFill>
    </fill>
    <fill>
      <patternFill patternType="solid">
        <fgColor rgb="FF0E4F92"/>
        <bgColor rgb="FF0E4F92"/>
      </patternFill>
    </fill>
    <fill>
      <patternFill patternType="solid">
        <fgColor rgb="FFEEF1F5"/>
        <bgColor rgb="FFEEF1F5"/>
      </patternFill>
    </fill>
  </fills>
  <borders count="13">
    <border>
      <left/>
      <right/>
      <top/>
      <bottom/>
      <diagonal/>
    </border>
    <border>
      <left style="thin">
        <color rgb="FFC6D1DF"/>
      </left>
      <right style="thin">
        <color rgb="FFC6D1DF"/>
      </right>
      <top style="thin">
        <color rgb="FFC6D1DF"/>
      </top>
      <bottom style="thin">
        <color rgb="FFC6D1DF"/>
      </bottom>
      <diagonal/>
    </border>
    <border>
      <left/>
      <right/>
      <top/>
      <bottom/>
      <diagonal/>
    </border>
    <border>
      <left style="thin">
        <color rgb="FF15803D"/>
      </left>
      <right style="thin">
        <color rgb="FF15803D"/>
      </right>
      <top style="thin">
        <color rgb="FF15803D"/>
      </top>
      <bottom style="thin">
        <color rgb="FF15803D"/>
      </bottom>
      <diagonal/>
    </border>
    <border>
      <left style="thin">
        <color rgb="FF0E4F92"/>
      </left>
      <right style="thin">
        <color rgb="FF0E4F92"/>
      </right>
      <top style="thin">
        <color rgb="FF0E4F92"/>
      </top>
      <bottom style="thin">
        <color rgb="FF0E4F92"/>
      </bottom>
      <diagonal/>
    </border>
    <border>
      <left/>
      <right/>
      <top/>
      <bottom style="thin">
        <color rgb="FFC6D1DF"/>
      </bottom>
      <diagonal/>
    </border>
    <border>
      <left/>
      <right/>
      <top/>
      <bottom style="medium">
        <color rgb="FF0E4F92"/>
      </bottom>
      <diagonal/>
    </border>
    <border>
      <left/>
      <right/>
      <top/>
      <bottom style="thin">
        <color rgb="FFE4E9F0"/>
      </bottom>
      <diagonal/>
    </border>
    <border>
      <left style="thin">
        <color rgb="FFC6D1DF"/>
      </left>
      <right style="thin">
        <color rgb="FFC6D1DF"/>
      </right>
      <top style="thin">
        <color rgb="FFC6D1DF"/>
      </top>
      <bottom style="thin">
        <color rgb="FFE4E9F0"/>
      </bottom>
      <diagonal/>
    </border>
    <border>
      <left/>
      <right/>
      <top/>
      <bottom style="thin">
        <color rgb="FFE4E9F0"/>
      </bottom>
      <diagonal/>
    </border>
    <border>
      <left style="thin">
        <color rgb="FF0E4F92"/>
      </left>
      <right style="thin">
        <color rgb="FF0E4F92"/>
      </right>
      <top style="thin">
        <color rgb="FF0E4F92"/>
      </top>
      <bottom style="thin">
        <color rgb="FFE4E9F0"/>
      </bottom>
      <diagonal/>
    </border>
    <border>
      <left style="thin">
        <color rgb="FF15803D"/>
      </left>
      <right style="thin">
        <color rgb="FF15803D"/>
      </right>
      <top style="thin">
        <color rgb="FF15803D"/>
      </top>
      <bottom style="thin">
        <color rgb="FFE4E9F0"/>
      </bottom>
      <diagonal/>
    </border>
    <border>
      <left/>
      <right/>
      <top style="thin">
        <color rgb="FFC6D1DF"/>
      </top>
      <bottom style="thin">
        <color rgb="FFC6D1DF"/>
      </bottom>
      <diagonal/>
    </border>
  </borders>
  <cellStyleXfs count="7">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xf numFmtId="0" fontId="5" fillId="6" borderId="4">
      <alignment horizontal="right" vertical="center"/>
    </xf>
  </cellStyleXfs>
  <cellXfs count="88">
    <xf numFmtId="0" fontId="0" fillId="0" borderId="0" xfId="0"/>
    <xf numFmtId="0" fontId="0" fillId="7" borderId="0" xfId="0" applyFill="1"/>
    <xf numFmtId="0" fontId="10" fillId="7" borderId="0" xfId="0" applyFont="1" applyFill="1" applyAlignment="1">
      <alignment vertical="center"/>
    </xf>
    <xf numFmtId="0" fontId="8" fillId="7" borderId="0" xfId="0" applyFont="1" applyFill="1" applyAlignment="1">
      <alignment horizontal="right" vertical="center"/>
    </xf>
    <xf numFmtId="0" fontId="7" fillId="7" borderId="0" xfId="0" applyFont="1" applyFill="1" applyAlignment="1">
      <alignment vertical="center"/>
    </xf>
    <xf numFmtId="0" fontId="0" fillId="8" borderId="5" xfId="0" applyFill="1" applyBorder="1"/>
    <xf numFmtId="0" fontId="9" fillId="8" borderId="5" xfId="0" applyFont="1" applyFill="1" applyBorder="1" applyAlignment="1">
      <alignment horizontal="right" vertical="center"/>
    </xf>
    <xf numFmtId="0" fontId="11" fillId="0" borderId="6" xfId="0" applyFont="1" applyBorder="1"/>
    <xf numFmtId="0" fontId="0" fillId="0" borderId="6" xfId="0" applyBorder="1"/>
    <xf numFmtId="0" fontId="12" fillId="0" borderId="7" xfId="0" applyFont="1" applyBorder="1" applyAlignment="1">
      <alignment horizontal="left" vertical="top" indent="1"/>
    </xf>
    <xf numFmtId="0" fontId="3" fillId="0" borderId="7" xfId="0" applyFont="1" applyBorder="1" applyAlignment="1">
      <alignment horizontal="left" vertical="top" wrapText="1" indent="1"/>
    </xf>
    <xf numFmtId="0" fontId="13" fillId="0" borderId="7" xfId="0" applyFont="1" applyBorder="1" applyAlignment="1">
      <alignment horizontal="left" vertical="top" wrapText="1" indent="1"/>
    </xf>
    <xf numFmtId="0" fontId="3" fillId="0" borderId="0" xfId="0" applyFont="1" applyAlignment="1">
      <alignment horizontal="left" vertical="top" wrapText="1" indent="1"/>
    </xf>
    <xf numFmtId="0" fontId="14" fillId="0" borderId="0" xfId="0" applyFont="1" applyAlignment="1">
      <alignment vertical="center"/>
    </xf>
    <xf numFmtId="0" fontId="15" fillId="0" borderId="7"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5" fillId="6" borderId="4" xfId="6"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5" fillId="0" borderId="7" xfId="0" applyFont="1" applyBorder="1" applyAlignment="1">
      <alignment horizontal="left" vertical="top" wrapText="1" indent="1"/>
    </xf>
    <xf numFmtId="0" fontId="6" fillId="7" borderId="0" xfId="0" applyFont="1" applyFill="1" applyAlignment="1">
      <alignment vertical="center"/>
    </xf>
    <xf numFmtId="0" fontId="9" fillId="8" borderId="5" xfId="0" applyFont="1" applyFill="1" applyBorder="1" applyAlignment="1">
      <alignment vertical="center"/>
    </xf>
    <xf numFmtId="0" fontId="17" fillId="8" borderId="5" xfId="0" applyFont="1" applyFill="1" applyBorder="1" applyAlignment="1">
      <alignment horizontal="left" vertical="center" wrapText="1" indent="1"/>
    </xf>
    <xf numFmtId="0" fontId="17" fillId="8" borderId="5" xfId="0" applyFont="1" applyFill="1" applyBorder="1" applyAlignment="1">
      <alignment horizontal="right" vertical="center" wrapText="1"/>
    </xf>
    <xf numFmtId="0" fontId="3" fillId="0" borderId="7" xfId="0" applyFont="1" applyBorder="1" applyAlignment="1">
      <alignment horizontal="left" vertical="center" indent="1"/>
    </xf>
    <xf numFmtId="0" fontId="18" fillId="0" borderId="7" xfId="0" applyFont="1" applyBorder="1" applyAlignment="1">
      <alignment horizontal="left" vertical="center" indent="1"/>
    </xf>
    <xf numFmtId="164" fontId="1" fillId="2" borderId="8" xfId="1" applyNumberFormat="1" applyBorder="1">
      <alignment horizontal="right" vertical="center"/>
    </xf>
    <xf numFmtId="0" fontId="0" fillId="0" borderId="7" xfId="0" applyBorder="1"/>
    <xf numFmtId="0" fontId="18" fillId="0" borderId="7" xfId="0" applyFont="1" applyBorder="1" applyAlignment="1">
      <alignment horizontal="left" vertical="center" wrapText="1" indent="1"/>
    </xf>
    <xf numFmtId="1" fontId="1" fillId="2" borderId="8" xfId="1" applyNumberFormat="1" applyBorder="1">
      <alignment horizontal="right" vertical="center"/>
    </xf>
    <xf numFmtId="9" fontId="1" fillId="2" borderId="8" xfId="1" applyNumberFormat="1" applyBorder="1">
      <alignment horizontal="right" vertical="center"/>
    </xf>
    <xf numFmtId="165" fontId="2" fillId="3" borderId="8" xfId="2" applyNumberFormat="1" applyBorder="1">
      <alignment horizontal="right" vertical="center"/>
    </xf>
    <xf numFmtId="165" fontId="1" fillId="2" borderId="8" xfId="1" applyNumberFormat="1" applyBorder="1">
      <alignment horizontal="right" vertical="center"/>
    </xf>
    <xf numFmtId="165" fontId="3" fillId="0" borderId="9" xfId="3" applyNumberFormat="1" applyBorder="1">
      <alignment horizontal="right" vertical="center"/>
    </xf>
    <xf numFmtId="166" fontId="1" fillId="2" borderId="8" xfId="1" applyNumberFormat="1" applyBorder="1">
      <alignment horizontal="right" vertical="center"/>
    </xf>
    <xf numFmtId="0" fontId="17" fillId="8" borderId="5" xfId="0" applyFont="1" applyFill="1" applyBorder="1" applyAlignment="1">
      <alignment horizontal="left" vertical="center" indent="1"/>
    </xf>
    <xf numFmtId="0" fontId="17" fillId="8" borderId="5" xfId="0" applyFont="1" applyFill="1" applyBorder="1" applyAlignment="1">
      <alignment horizontal="right" vertical="center"/>
    </xf>
    <xf numFmtId="1" fontId="5" fillId="6" borderId="10" xfId="6" applyNumberFormat="1" applyBorder="1">
      <alignment horizontal="right" vertical="center"/>
    </xf>
    <xf numFmtId="1" fontId="3" fillId="0" borderId="9" xfId="3" applyNumberFormat="1" applyBorder="1">
      <alignment horizontal="right" vertical="center"/>
    </xf>
    <xf numFmtId="0" fontId="13" fillId="0" borderId="7" xfId="0" applyFont="1" applyBorder="1" applyAlignment="1">
      <alignment horizontal="left" vertical="center" indent="1"/>
    </xf>
    <xf numFmtId="9" fontId="3" fillId="0" borderId="9" xfId="3" applyNumberFormat="1" applyBorder="1">
      <alignment horizontal="right" vertical="center"/>
    </xf>
    <xf numFmtId="0" fontId="3" fillId="0" borderId="9" xfId="3" applyBorder="1">
      <alignment horizontal="right" vertical="center"/>
    </xf>
    <xf numFmtId="3" fontId="3" fillId="0" borderId="9" xfId="3" applyNumberFormat="1" applyBorder="1">
      <alignment horizontal="right" vertical="center"/>
    </xf>
    <xf numFmtId="167" fontId="3" fillId="0" borderId="9" xfId="3" applyNumberFormat="1" applyBorder="1">
      <alignment horizontal="right" vertical="center"/>
    </xf>
    <xf numFmtId="4" fontId="3" fillId="0" borderId="9" xfId="3" applyNumberFormat="1" applyBorder="1">
      <alignment horizontal="right" vertical="center"/>
    </xf>
    <xf numFmtId="0" fontId="17" fillId="8" borderId="2" xfId="0" applyFont="1" applyFill="1" applyBorder="1" applyAlignment="1">
      <alignment horizontal="left" vertical="center" indent="1"/>
    </xf>
    <xf numFmtId="0" fontId="0" fillId="8" borderId="2" xfId="0" applyFill="1" applyBorder="1"/>
    <xf numFmtId="0" fontId="17" fillId="8" borderId="2" xfId="0" applyFont="1" applyFill="1" applyBorder="1" applyAlignment="1">
      <alignment horizontal="right" vertical="center"/>
    </xf>
    <xf numFmtId="0" fontId="19" fillId="8" borderId="5" xfId="0" applyFont="1" applyFill="1" applyBorder="1" applyAlignment="1">
      <alignment horizontal="right" vertical="center"/>
    </xf>
    <xf numFmtId="0" fontId="20" fillId="0" borderId="7" xfId="0" applyFont="1" applyBorder="1" applyAlignment="1">
      <alignment horizontal="right" vertical="center"/>
    </xf>
    <xf numFmtId="1" fontId="4" fillId="4" borderId="11" xfId="4" applyNumberFormat="1" applyBorder="1">
      <alignment horizontal="right" vertical="center"/>
    </xf>
    <xf numFmtId="165" fontId="4" fillId="4" borderId="11" xfId="4" applyNumberFormat="1" applyBorder="1">
      <alignment horizontal="right" vertical="center"/>
    </xf>
    <xf numFmtId="166" fontId="3" fillId="0" borderId="9" xfId="3" applyNumberFormat="1" applyBorder="1">
      <alignment horizontal="right" vertical="center"/>
    </xf>
    <xf numFmtId="164" fontId="3" fillId="0" borderId="9" xfId="3" applyNumberFormat="1" applyBorder="1">
      <alignment horizontal="right" vertical="center"/>
    </xf>
    <xf numFmtId="0" fontId="21" fillId="0" borderId="7" xfId="0" applyFont="1" applyBorder="1" applyAlignment="1">
      <alignment horizontal="center" vertical="center"/>
    </xf>
    <xf numFmtId="0" fontId="5" fillId="5" borderId="12" xfId="0" applyFont="1" applyFill="1" applyBorder="1" applyAlignment="1">
      <alignment horizontal="left" vertical="center" indent="1"/>
    </xf>
    <xf numFmtId="0" fontId="0" fillId="5" borderId="12" xfId="0" applyFill="1" applyBorder="1"/>
    <xf numFmtId="0" fontId="18" fillId="0" borderId="0" xfId="0" applyFont="1" applyAlignment="1">
      <alignment horizontal="left" vertical="center" indent="1"/>
    </xf>
    <xf numFmtId="0" fontId="24" fillId="0" borderId="6" xfId="0" applyFont="1" applyBorder="1"/>
    <xf numFmtId="169" fontId="3" fillId="0" borderId="9" xfId="3" applyNumberFormat="1" applyBorder="1">
      <alignment horizontal="right" vertical="center"/>
    </xf>
    <xf numFmtId="169" fontId="5" fillId="0" borderId="9" xfId="3" applyNumberFormat="1" applyFont="1" applyBorder="1">
      <alignment horizontal="right" vertical="center"/>
    </xf>
    <xf numFmtId="170" fontId="3" fillId="0" borderId="9" xfId="3" applyNumberFormat="1" applyBorder="1">
      <alignment horizontal="right" vertical="center"/>
    </xf>
    <xf numFmtId="171" fontId="1" fillId="5" borderId="8" xfId="5" applyNumberFormat="1" applyBorder="1">
      <alignment horizontal="right" vertical="center"/>
    </xf>
    <xf numFmtId="171" fontId="3" fillId="0" borderId="9" xfId="3" applyNumberFormat="1" applyBorder="1">
      <alignment horizontal="right" vertical="center"/>
    </xf>
    <xf numFmtId="0" fontId="22" fillId="0" borderId="7" xfId="0" applyFont="1" applyBorder="1" applyAlignment="1">
      <alignment horizontal="right" vertical="center"/>
    </xf>
    <xf numFmtId="172" fontId="1" fillId="5" borderId="8" xfId="5" applyNumberFormat="1" applyBorder="1">
      <alignment horizontal="right" vertical="center"/>
    </xf>
    <xf numFmtId="172" fontId="3" fillId="0" borderId="9" xfId="3" applyNumberFormat="1" applyBorder="1">
      <alignment horizontal="right" vertical="center"/>
    </xf>
    <xf numFmtId="173" fontId="1" fillId="5" borderId="8" xfId="5" applyNumberFormat="1" applyBorder="1">
      <alignment horizontal="right" vertical="center"/>
    </xf>
    <xf numFmtId="173" fontId="3" fillId="0" borderId="9" xfId="3" applyNumberFormat="1" applyBorder="1">
      <alignment horizontal="right" vertical="center"/>
    </xf>
    <xf numFmtId="0" fontId="14" fillId="0" borderId="0" xfId="0" applyFont="1" applyAlignment="1">
      <alignment horizontal="left" vertical="center" indent="1"/>
    </xf>
    <xf numFmtId="0" fontId="17" fillId="8" borderId="2" xfId="0" applyFont="1" applyFill="1" applyBorder="1" applyAlignment="1">
      <alignment horizontal="left" vertical="center" wrapText="1" indent="1"/>
    </xf>
    <xf numFmtId="0" fontId="17" fillId="8" borderId="2" xfId="0" applyFont="1" applyFill="1" applyBorder="1" applyAlignment="1">
      <alignment horizontal="right" vertical="center" wrapText="1"/>
    </xf>
    <xf numFmtId="0" fontId="18" fillId="0" borderId="7" xfId="0" applyFont="1" applyBorder="1" applyAlignment="1">
      <alignment horizontal="right" vertical="center"/>
    </xf>
    <xf numFmtId="174" fontId="1" fillId="5" borderId="8" xfId="5" applyNumberFormat="1" applyBorder="1">
      <alignment horizontal="right" vertical="center"/>
    </xf>
    <xf numFmtId="0" fontId="23" fillId="0" borderId="7" xfId="0" applyFont="1" applyBorder="1" applyAlignment="1">
      <alignment horizontal="right" vertical="center"/>
    </xf>
    <xf numFmtId="9" fontId="3" fillId="0" borderId="2" xfId="3" applyNumberFormat="1">
      <alignment horizontal="right" vertical="center"/>
    </xf>
    <xf numFmtId="4" fontId="3" fillId="0" borderId="2" xfId="3" applyNumberFormat="1">
      <alignment horizontal="right" vertical="center"/>
    </xf>
    <xf numFmtId="49" fontId="0" fillId="0" borderId="0" xfId="0" applyNumberFormat="1"/>
    <xf numFmtId="0" fontId="16" fillId="0" borderId="0" xfId="0" applyFont="1"/>
    <xf numFmtId="0" fontId="0" fillId="0" borderId="0" xfId="0"/>
    <xf numFmtId="0" fontId="3" fillId="0" borderId="0" xfId="0" applyFont="1" applyAlignment="1">
      <alignment horizontal="left" vertical="top" wrapText="1" indent="1"/>
    </xf>
    <xf numFmtId="0" fontId="14" fillId="0" borderId="0" xfId="0" applyFont="1" applyAlignment="1">
      <alignment horizontal="left" vertical="center" wrapText="1" indent="1"/>
    </xf>
    <xf numFmtId="0" fontId="18" fillId="0" borderId="7" xfId="0" applyFont="1" applyBorder="1" applyAlignment="1">
      <alignment horizontal="left" vertical="center" indent="1"/>
    </xf>
    <xf numFmtId="0" fontId="0" fillId="0" borderId="7" xfId="0" applyBorder="1"/>
    <xf numFmtId="0" fontId="3" fillId="0" borderId="9" xfId="3" quotePrefix="1" applyBorder="1">
      <alignment horizontal="right" vertical="center"/>
    </xf>
    <xf numFmtId="0" fontId="0" fillId="0" borderId="0" xfId="0" applyAlignment="1"/>
  </cellXfs>
  <cellStyles count="7">
    <cellStyle name="Normal" xfId="0" builtinId="0"/>
    <cellStyle name="Vose Calculation" xfId="3" xr:uid="{00000000-0005-0000-0000-000003000000}"/>
    <cellStyle name="Vose Decision" xfId="6" xr:uid="{00000000-0005-0000-0000-000006000000}"/>
    <cellStyle name="Vose Input" xfId="1" xr:uid="{00000000-0005-0000-0000-000001000000}"/>
    <cellStyle name="Vose Output" xfId="4" xr:uid="{00000000-0005-0000-0000-000004000000}"/>
    <cellStyle name="Vose Sim Result" xfId="5" xr:uid="{00000000-0005-0000-0000-000005000000}"/>
    <cellStyle name="Vose Uncertain" xfId="2" xr:uid="{00000000-0005-0000-0000-000002000000}"/>
  </cellStyles>
  <dxfs count="9">
    <dxf>
      <fill>
        <patternFill patternType="solid">
          <fgColor rgb="FFDBEAFE"/>
          <bgColor rgb="FFDBEAFE"/>
        </patternFill>
      </fill>
    </dxf>
    <dxf>
      <font>
        <color rgb="FF8AA0BA"/>
      </font>
    </dxf>
    <dxf>
      <font>
        <color rgb="FFB45309"/>
      </font>
      <fill>
        <patternFill patternType="solid">
          <fgColor rgb="FFFEF3C7"/>
          <bgColor rgb="FFFEF3C7"/>
        </patternFill>
      </fill>
    </dxf>
    <dxf>
      <font>
        <b/>
        <color rgb="FFB91C1C"/>
      </font>
    </dxf>
    <dxf>
      <font>
        <b/>
        <color rgb="FFB91C1C"/>
      </font>
      <fill>
        <patternFill patternType="solid">
          <fgColor rgb="FFFEE2E2"/>
          <bgColor rgb="FFFEE2E2"/>
        </patternFill>
      </fill>
    </dxf>
    <dxf>
      <fill>
        <patternFill patternType="solid">
          <fgColor rgb="FFFEE2E2"/>
          <bgColor rgb="FFFEE2E2"/>
        </patternFill>
      </fill>
    </dxf>
    <dxf>
      <fill>
        <patternFill patternType="solid">
          <fgColor rgb="FFFEE2E2"/>
          <bgColor rgb="FFFEE2E2"/>
        </patternFill>
      </fill>
    </dxf>
    <dxf>
      <fill>
        <patternFill patternType="solid">
          <fgColor rgb="FFFEE2E2"/>
          <bgColor rgb="FFFEE2E2"/>
        </patternFill>
      </fill>
    </dxf>
    <dxf>
      <font>
        <b/>
        <color rgb="FFB91C1C"/>
      </font>
      <fill>
        <patternFill patternType="solid">
          <fgColor rgb="FFFEE2E2"/>
          <b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bar"/>
        <c:grouping val="stacked"/>
        <c:varyColors val="0"/>
        <c:ser>
          <c:idx val="0"/>
          <c:order val="0"/>
          <c:tx>
            <c:v>Start</c:v>
          </c:tx>
          <c:spPr>
            <a:noFill/>
            <a:ln>
              <a:noFill/>
              <a:prstDash val="solid"/>
            </a:ln>
          </c:spPr>
          <c:invertIfNegative val="1"/>
          <c:cat>
            <c:strRef>
              <c:f>Network!$C$70:$C$84</c:f>
              <c:strCache>
                <c:ptCount val="15"/>
                <c:pt idx="0">
                  <c:v>Design and approvals</c:v>
                </c:pt>
                <c:pt idx="1">
                  <c:v>Site set-up and traffic management</c:v>
                </c:pt>
                <c:pt idx="2">
                  <c:v>Demolish the old bridge</c:v>
                </c:pt>
                <c:pt idx="3">
                  <c:v>North abutment piling</c:v>
                </c:pt>
                <c:pt idx="4">
                  <c:v>South abutment piling</c:v>
                </c:pt>
                <c:pt idx="5">
                  <c:v>River pier</c:v>
                </c:pt>
                <c:pt idx="6">
                  <c:v>Fabricate steel girders (off site)</c:v>
                </c:pt>
                <c:pt idx="7">
                  <c:v>North abutment walls</c:v>
                </c:pt>
                <c:pt idx="8">
                  <c:v>South abutment walls</c:v>
                </c:pt>
                <c:pt idx="9">
                  <c:v>Deliver and erect girders</c:v>
                </c:pt>
                <c:pt idx="10">
                  <c:v>Deck slab</c:v>
                </c:pt>
                <c:pt idx="11">
                  <c:v>Waterproofing and surfacing</c:v>
                </c:pt>
                <c:pt idx="12">
                  <c:v>Parapets and finishes</c:v>
                </c:pt>
                <c:pt idx="13">
                  <c:v>Approach road tie-ins</c:v>
                </c:pt>
                <c:pt idx="14">
                  <c:v>Testing and opening</c:v>
                </c:pt>
              </c:strCache>
            </c:strRef>
          </c:cat>
          <c:val>
            <c:numRef>
              <c:f>Network!$E$70:$E$84</c:f>
              <c:numCache>
                <c:formatCode>#,##0.0_);\(#,##0.0\);"–"_)</c:formatCode>
                <c:ptCount val="15"/>
                <c:pt idx="0">
                  <c:v>0</c:v>
                </c:pt>
                <c:pt idx="1">
                  <c:v>12.326358652286181</c:v>
                </c:pt>
                <c:pt idx="2">
                  <c:v>15.11594231064057</c:v>
                </c:pt>
                <c:pt idx="3">
                  <c:v>19.691999989351693</c:v>
                </c:pt>
                <c:pt idx="4">
                  <c:v>19.691999989351693</c:v>
                </c:pt>
                <c:pt idx="5">
                  <c:v>19.691999989351693</c:v>
                </c:pt>
                <c:pt idx="6">
                  <c:v>12.326358652286181</c:v>
                </c:pt>
                <c:pt idx="7">
                  <c:v>26.126937406292438</c:v>
                </c:pt>
                <c:pt idx="8">
                  <c:v>24.901084467145608</c:v>
                </c:pt>
                <c:pt idx="9">
                  <c:v>30.468478430584589</c:v>
                </c:pt>
                <c:pt idx="10">
                  <c:v>33.209096767288912</c:v>
                </c:pt>
                <c:pt idx="11">
                  <c:v>38.956909743785694</c:v>
                </c:pt>
                <c:pt idx="12">
                  <c:v>38.956909743785694</c:v>
                </c:pt>
                <c:pt idx="13">
                  <c:v>15.11594231064057</c:v>
                </c:pt>
                <c:pt idx="14">
                  <c:v>43.49844710471281</c:v>
                </c:pt>
              </c:numCache>
            </c:numRef>
          </c:val>
          <c:extLst>
            <c:ext xmlns:c16="http://schemas.microsoft.com/office/drawing/2014/chart" uri="{C3380CC4-5D6E-409C-BE32-E72D297353CC}">
              <c16:uniqueId val="{00000000-0430-4BB6-BF82-E0F028A7134B}"/>
            </c:ext>
          </c:extLst>
        </c:ser>
        <c:ser>
          <c:idx val="1"/>
          <c:order val="1"/>
          <c:tx>
            <c:v>Duration (weeks)</c:v>
          </c:tx>
          <c:spPr>
            <a:solidFill>
              <a:srgbClr val="0E4F92"/>
            </a:solidFill>
            <a:ln>
              <a:noFill/>
              <a:prstDash val="solid"/>
            </a:ln>
          </c:spPr>
          <c:invertIfNegative val="1"/>
          <c:cat>
            <c:strRef>
              <c:f>Network!$C$70:$C$84</c:f>
              <c:strCache>
                <c:ptCount val="15"/>
                <c:pt idx="0">
                  <c:v>Design and approvals</c:v>
                </c:pt>
                <c:pt idx="1">
                  <c:v>Site set-up and traffic management</c:v>
                </c:pt>
                <c:pt idx="2">
                  <c:v>Demolish the old bridge</c:v>
                </c:pt>
                <c:pt idx="3">
                  <c:v>North abutment piling</c:v>
                </c:pt>
                <c:pt idx="4">
                  <c:v>South abutment piling</c:v>
                </c:pt>
                <c:pt idx="5">
                  <c:v>River pier</c:v>
                </c:pt>
                <c:pt idx="6">
                  <c:v>Fabricate steel girders (off site)</c:v>
                </c:pt>
                <c:pt idx="7">
                  <c:v>North abutment walls</c:v>
                </c:pt>
                <c:pt idx="8">
                  <c:v>South abutment walls</c:v>
                </c:pt>
                <c:pt idx="9">
                  <c:v>Deliver and erect girders</c:v>
                </c:pt>
                <c:pt idx="10">
                  <c:v>Deck slab</c:v>
                </c:pt>
                <c:pt idx="11">
                  <c:v>Waterproofing and surfacing</c:v>
                </c:pt>
                <c:pt idx="12">
                  <c:v>Parapets and finishes</c:v>
                </c:pt>
                <c:pt idx="13">
                  <c:v>Approach road tie-ins</c:v>
                </c:pt>
                <c:pt idx="14">
                  <c:v>Testing and opening</c:v>
                </c:pt>
              </c:strCache>
            </c:strRef>
          </c:cat>
          <c:val>
            <c:numRef>
              <c:f>Network!$D$70:$D$84</c:f>
              <c:numCache>
                <c:formatCode>#,##0.0_);\(#,##0.0\);"–"_)</c:formatCode>
                <c:ptCount val="15"/>
                <c:pt idx="0">
                  <c:v>12.326358652286181</c:v>
                </c:pt>
                <c:pt idx="1">
                  <c:v>2.7895836583543887</c:v>
                </c:pt>
                <c:pt idx="2">
                  <c:v>4.5760576787111216</c:v>
                </c:pt>
                <c:pt idx="3">
                  <c:v>6.4349374169407447</c:v>
                </c:pt>
                <c:pt idx="4">
                  <c:v>5.2090844777939154</c:v>
                </c:pt>
                <c:pt idx="5">
                  <c:v>8.9637551287323411</c:v>
                </c:pt>
                <c:pt idx="6">
                  <c:v>13.095710786326626</c:v>
                </c:pt>
                <c:pt idx="7">
                  <c:v>3.4824663034523606</c:v>
                </c:pt>
                <c:pt idx="8">
                  <c:v>5.5673939634389829</c:v>
                </c:pt>
                <c:pt idx="9">
                  <c:v>2.7406183367043262</c:v>
                </c:pt>
                <c:pt idx="10">
                  <c:v>5.7478129764967836</c:v>
                </c:pt>
                <c:pt idx="11">
                  <c:v>4.5415373609271192</c:v>
                </c:pt>
                <c:pt idx="12">
                  <c:v>2.3140441767507154</c:v>
                </c:pt>
                <c:pt idx="13">
                  <c:v>4.2094818105923002</c:v>
                </c:pt>
                <c:pt idx="14">
                  <c:v>1.3646453883113394</c:v>
                </c:pt>
              </c:numCache>
            </c:numRef>
          </c:val>
          <c:extLst>
            <c:ext xmlns:c14="http://schemas.microsoft.com/office/drawing/2007/8/2/chart" uri="{6F2FDCE9-48DA-4B69-8628-5D25D57E5C99}">
              <c14:invertSolidFillFmt>
                <c14:spPr xmlns:c14="http://schemas.microsoft.com/office/drawing/2007/8/2/chart">
                  <a:solidFill>
                    <a:srgbClr val="FFFFFF"/>
                  </a:solidFill>
                  <a:ln>
                    <a:noFill/>
                    <a:prstDash val="solid"/>
                  </a:ln>
                </c14:spPr>
              </c14:invertSolidFillFmt>
            </c:ext>
            <c:ext xmlns:c16="http://schemas.microsoft.com/office/drawing/2014/chart" uri="{C3380CC4-5D6E-409C-BE32-E72D297353CC}">
              <c16:uniqueId val="{00000001-0430-4BB6-BF82-E0F028A7134B}"/>
            </c:ext>
          </c:extLst>
        </c:ser>
        <c:dLbls>
          <c:showLegendKey val="0"/>
          <c:showVal val="0"/>
          <c:showCatName val="0"/>
          <c:showSerName val="0"/>
          <c:showPercent val="0"/>
          <c:showBubbleSize val="0"/>
        </c:dLbls>
        <c:gapWidth val="40"/>
        <c:overlap val="100"/>
        <c:axId val="10"/>
        <c:axId val="100"/>
      </c:barChart>
      <c:catAx>
        <c:axId val="10"/>
        <c:scaling>
          <c:orientation val="maxMin"/>
        </c:scaling>
        <c:delete val="0"/>
        <c:axPos val="l"/>
        <c:numFmt formatCode="General" sourceLinked="1"/>
        <c:majorTickMark val="none"/>
        <c:minorTickMark val="none"/>
        <c:tickLblPos val="nextTo"/>
        <c:crossAx val="100"/>
        <c:crosses val="autoZero"/>
        <c:auto val="1"/>
        <c:lblAlgn val="ctr"/>
        <c:lblOffset val="100"/>
        <c:noMultiLvlLbl val="1"/>
      </c:catAx>
      <c:valAx>
        <c:axId val="100"/>
        <c:scaling>
          <c:orientation val="minMax"/>
        </c:scaling>
        <c:delete val="0"/>
        <c:axPos val="b"/>
        <c:majorGridlines>
          <c:spPr>
            <a:ln>
              <a:solidFill>
                <a:srgbClr val="E4E9F0"/>
              </a:solidFill>
              <a:prstDash val="solid"/>
            </a:ln>
          </c:spPr>
        </c:majorGridlines>
        <c:title>
          <c:tx>
            <c:rich>
              <a:bodyPr/>
              <a:lstStyle/>
              <a:p>
                <a:pPr>
                  <a:defRPr/>
                </a:pPr>
                <a:r>
                  <a:t>Weeks from the start</a:t>
                </a:r>
              </a:p>
            </c:rich>
          </c:tx>
          <c:overlay val="0"/>
        </c:title>
        <c:numFmt formatCode="0" sourceLinked="0"/>
        <c:majorTickMark val="none"/>
        <c:minorTickMark val="none"/>
        <c:tickLblPos val="nextTo"/>
        <c:crossAx val="10"/>
        <c:crosses val="max"/>
        <c:crossBetween val="between"/>
      </c:valAx>
    </c:plotArea>
    <c:plotVisOnly val="1"/>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bar"/>
        <c:grouping val="clustered"/>
        <c:varyColors val="0"/>
        <c:ser>
          <c:idx val="0"/>
          <c:order val="0"/>
          <c:tx>
            <c:v>Starting plan</c:v>
          </c:tx>
          <c:spPr>
            <a:solidFill>
              <a:srgbClr val="8AA0BA"/>
            </a:solidFill>
            <a:ln>
              <a:noFill/>
              <a:prstDash val="solid"/>
            </a:ln>
          </c:spPr>
          <c:invertIfNegative val="1"/>
          <c:cat>
            <c:strRef>
              <c:f>Results!$B$35:$B$49</c:f>
              <c:strCache>
                <c:ptCount val="15"/>
                <c:pt idx="0">
                  <c:v>A  Design and approvals</c:v>
                </c:pt>
                <c:pt idx="1">
                  <c:v>B  Site set-up and traffic management</c:v>
                </c:pt>
                <c:pt idx="2">
                  <c:v>C  Demolish the old bridge</c:v>
                </c:pt>
                <c:pt idx="3">
                  <c:v>D  North abutment piling</c:v>
                </c:pt>
                <c:pt idx="4">
                  <c:v>E  South abutment piling</c:v>
                </c:pt>
                <c:pt idx="5">
                  <c:v>F  River pier</c:v>
                </c:pt>
                <c:pt idx="6">
                  <c:v>G  Fabricate steel girders (off site)</c:v>
                </c:pt>
                <c:pt idx="7">
                  <c:v>H  North abutment walls</c:v>
                </c:pt>
                <c:pt idx="8">
                  <c:v>I  South abutment walls</c:v>
                </c:pt>
                <c:pt idx="9">
                  <c:v>J  Deliver and erect girders</c:v>
                </c:pt>
                <c:pt idx="10">
                  <c:v>K  Deck slab</c:v>
                </c:pt>
                <c:pt idx="11">
                  <c:v>L  Waterproofing and surfacing</c:v>
                </c:pt>
                <c:pt idx="12">
                  <c:v>M  Parapets and finishes</c:v>
                </c:pt>
                <c:pt idx="13">
                  <c:v>N  Approach road tie-ins</c:v>
                </c:pt>
                <c:pt idx="14">
                  <c:v>O  Testing and opening</c:v>
                </c:pt>
              </c:strCache>
            </c:strRef>
          </c:cat>
          <c:val>
            <c:numRef>
              <c:f>Results!$D$35:$D$49</c:f>
              <c:numCache>
                <c:formatCode>0%;\-0%;0%;"–"</c:formatCode>
                <c:ptCount val="15"/>
                <c:pt idx="0">
                  <c:v>1</c:v>
                </c:pt>
                <c:pt idx="1">
                  <c:v>0.99309999999999998</c:v>
                </c:pt>
                <c:pt idx="2">
                  <c:v>0.99309999999999998</c:v>
                </c:pt>
                <c:pt idx="3">
                  <c:v>0.37909999999999999</c:v>
                </c:pt>
                <c:pt idx="4">
                  <c:v>0.4274</c:v>
                </c:pt>
                <c:pt idx="5">
                  <c:v>0.1867</c:v>
                </c:pt>
                <c:pt idx="6">
                  <c:v>6.8999999999999999E-3</c:v>
                </c:pt>
                <c:pt idx="7">
                  <c:v>0.37909999999999999</c:v>
                </c:pt>
                <c:pt idx="8">
                  <c:v>0.4274</c:v>
                </c:pt>
                <c:pt idx="9">
                  <c:v>1</c:v>
                </c:pt>
                <c:pt idx="10">
                  <c:v>1</c:v>
                </c:pt>
                <c:pt idx="11">
                  <c:v>0.91710000000000003</c:v>
                </c:pt>
                <c:pt idx="12">
                  <c:v>8.2900000000000001E-2</c:v>
                </c:pt>
                <c:pt idx="13">
                  <c:v>0</c:v>
                </c:pt>
                <c:pt idx="14">
                  <c:v>1</c:v>
                </c:pt>
              </c:numCache>
            </c:numRef>
          </c:val>
          <c:extLst>
            <c:ext xmlns:c14="http://schemas.microsoft.com/office/drawing/2007/8/2/chart" uri="{6F2FDCE9-48DA-4B69-8628-5D25D57E5C99}">
              <c14:invertSolidFillFmt>
                <c14:spPr xmlns:c14="http://schemas.microsoft.com/office/drawing/2007/8/2/chart">
                  <a:solidFill>
                    <a:srgbClr val="FFFFFF"/>
                  </a:solidFill>
                  <a:ln>
                    <a:noFill/>
                    <a:prstDash val="solid"/>
                  </a:ln>
                </c14:spPr>
              </c14:invertSolidFillFmt>
            </c:ext>
            <c:ext xmlns:c16="http://schemas.microsoft.com/office/drawing/2014/chart" uri="{C3380CC4-5D6E-409C-BE32-E72D297353CC}">
              <c16:uniqueId val="{00000000-73E4-478F-BD36-61120C76599B}"/>
            </c:ext>
          </c:extLst>
        </c:ser>
        <c:ser>
          <c:idx val="1"/>
          <c:order val="1"/>
          <c:tx>
            <c:v>Plan in use</c:v>
          </c:tx>
          <c:spPr>
            <a:solidFill>
              <a:srgbClr val="0E4F92"/>
            </a:solidFill>
            <a:ln>
              <a:noFill/>
              <a:prstDash val="solid"/>
            </a:ln>
          </c:spPr>
          <c:invertIfNegative val="1"/>
          <c:cat>
            <c:strRef>
              <c:f>Results!$B$35:$B$49</c:f>
              <c:strCache>
                <c:ptCount val="15"/>
                <c:pt idx="0">
                  <c:v>A  Design and approvals</c:v>
                </c:pt>
                <c:pt idx="1">
                  <c:v>B  Site set-up and traffic management</c:v>
                </c:pt>
                <c:pt idx="2">
                  <c:v>C  Demolish the old bridge</c:v>
                </c:pt>
                <c:pt idx="3">
                  <c:v>D  North abutment piling</c:v>
                </c:pt>
                <c:pt idx="4">
                  <c:v>E  South abutment piling</c:v>
                </c:pt>
                <c:pt idx="5">
                  <c:v>F  River pier</c:v>
                </c:pt>
                <c:pt idx="6">
                  <c:v>G  Fabricate steel girders (off site)</c:v>
                </c:pt>
                <c:pt idx="7">
                  <c:v>H  North abutment walls</c:v>
                </c:pt>
                <c:pt idx="8">
                  <c:v>I  South abutment walls</c:v>
                </c:pt>
                <c:pt idx="9">
                  <c:v>J  Deliver and erect girders</c:v>
                </c:pt>
                <c:pt idx="10">
                  <c:v>K  Deck slab</c:v>
                </c:pt>
                <c:pt idx="11">
                  <c:v>L  Waterproofing and surfacing</c:v>
                </c:pt>
                <c:pt idx="12">
                  <c:v>M  Parapets and finishes</c:v>
                </c:pt>
                <c:pt idx="13">
                  <c:v>N  Approach road tie-ins</c:v>
                </c:pt>
                <c:pt idx="14">
                  <c:v>O  Testing and opening</c:v>
                </c:pt>
              </c:strCache>
            </c:strRef>
          </c:cat>
          <c:val>
            <c:numRef>
              <c:f>Results!$E$35:$E$49</c:f>
              <c:numCache>
                <c:formatCode>0%;\-0%;0%;"–"</c:formatCode>
                <c:ptCount val="15"/>
                <c:pt idx="0">
                  <c:v>1</c:v>
                </c:pt>
                <c:pt idx="1">
                  <c:v>0.95650000000000002</c:v>
                </c:pt>
                <c:pt idx="2">
                  <c:v>0.95650000000000002</c:v>
                </c:pt>
                <c:pt idx="3">
                  <c:v>0.40379999999999999</c:v>
                </c:pt>
                <c:pt idx="4">
                  <c:v>0.44919999999999999</c:v>
                </c:pt>
                <c:pt idx="5">
                  <c:v>0.10349999999999999</c:v>
                </c:pt>
                <c:pt idx="6">
                  <c:v>4.3499999999999997E-2</c:v>
                </c:pt>
                <c:pt idx="7">
                  <c:v>0.40379999999999999</c:v>
                </c:pt>
                <c:pt idx="8">
                  <c:v>0.44919999999999999</c:v>
                </c:pt>
                <c:pt idx="9">
                  <c:v>1</c:v>
                </c:pt>
                <c:pt idx="10">
                  <c:v>1</c:v>
                </c:pt>
                <c:pt idx="11">
                  <c:v>0.91710000000000003</c:v>
                </c:pt>
                <c:pt idx="12">
                  <c:v>8.2900000000000001E-2</c:v>
                </c:pt>
                <c:pt idx="13">
                  <c:v>0</c:v>
                </c:pt>
                <c:pt idx="14">
                  <c:v>1</c:v>
                </c:pt>
              </c:numCache>
            </c:numRef>
          </c:val>
          <c:extLst>
            <c:ext xmlns:c14="http://schemas.microsoft.com/office/drawing/2007/8/2/chart" uri="{6F2FDCE9-48DA-4B69-8628-5D25D57E5C99}">
              <c14:invertSolidFillFmt>
                <c14:spPr xmlns:c14="http://schemas.microsoft.com/office/drawing/2007/8/2/chart">
                  <a:solidFill>
                    <a:srgbClr val="FFFFFF"/>
                  </a:solidFill>
                  <a:ln>
                    <a:noFill/>
                    <a:prstDash val="solid"/>
                  </a:ln>
                </c14:spPr>
              </c14:invertSolidFillFmt>
            </c:ext>
            <c:ext xmlns:c16="http://schemas.microsoft.com/office/drawing/2014/chart" uri="{C3380CC4-5D6E-409C-BE32-E72D297353CC}">
              <c16:uniqueId val="{00000001-73E4-478F-BD36-61120C76599B}"/>
            </c:ext>
          </c:extLst>
        </c:ser>
        <c:dLbls>
          <c:showLegendKey val="0"/>
          <c:showVal val="0"/>
          <c:showCatName val="0"/>
          <c:showSerName val="0"/>
          <c:showPercent val="0"/>
          <c:showBubbleSize val="0"/>
        </c:dLbls>
        <c:gapWidth val="45"/>
        <c:axId val="10"/>
        <c:axId val="100"/>
      </c:barChart>
      <c:catAx>
        <c:axId val="10"/>
        <c:scaling>
          <c:orientation val="maxMin"/>
        </c:scaling>
        <c:delete val="0"/>
        <c:axPos val="l"/>
        <c:numFmt formatCode="General" sourceLinked="1"/>
        <c:majorTickMark val="none"/>
        <c:minorTickMark val="none"/>
        <c:tickLblPos val="nextTo"/>
        <c:crossAx val="100"/>
        <c:crosses val="autoZero"/>
        <c:auto val="1"/>
        <c:lblAlgn val="ctr"/>
        <c:lblOffset val="100"/>
        <c:noMultiLvlLbl val="1"/>
      </c:catAx>
      <c:valAx>
        <c:axId val="100"/>
        <c:scaling>
          <c:orientation val="minMax"/>
          <c:max val="1"/>
          <c:min val="0"/>
        </c:scaling>
        <c:delete val="0"/>
        <c:axPos val="b"/>
        <c:majorGridlines>
          <c:spPr>
            <a:ln>
              <a:solidFill>
                <a:srgbClr val="E4E9F0"/>
              </a:solidFill>
              <a:prstDash val="solid"/>
            </a:ln>
          </c:spPr>
        </c:majorGridlines>
        <c:numFmt formatCode="0%" sourceLinked="0"/>
        <c:majorTickMark val="none"/>
        <c:minorTickMark val="none"/>
        <c:tickLblPos val="nextTo"/>
        <c:crossAx val="10"/>
        <c:crosses val="max"/>
        <c:crossBetween val="between"/>
      </c:valAx>
    </c:plotArea>
    <c:legend>
      <c:legendPos val="b"/>
      <c:overlay val="0"/>
    </c:legend>
    <c:plotVisOnly val="1"/>
    <c:dispBlanksAs val="gap"/>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Starting plan</c:v>
          </c:tx>
          <c:spPr>
            <a:ln w="25400">
              <a:solidFill>
                <a:srgbClr val="0E4F92"/>
              </a:solidFill>
              <a:prstDash val="solid"/>
            </a:ln>
          </c:spPr>
          <c:marker>
            <c:symbol val="none"/>
          </c:marker>
          <c:xVal>
            <c:numRef>
              <c:f>Results!$D$63:$D$112</c:f>
              <c:numCache>
                <c:formatCode>#,##0.00</c:formatCode>
                <c:ptCount val="50"/>
                <c:pt idx="0">
                  <c:v>38.633225078891307</c:v>
                </c:pt>
                <c:pt idx="1">
                  <c:v>39.49622616696233</c:v>
                </c:pt>
                <c:pt idx="2">
                  <c:v>39.909508998751726</c:v>
                </c:pt>
                <c:pt idx="3">
                  <c:v>40.26569739084831</c:v>
                </c:pt>
                <c:pt idx="4">
                  <c:v>40.528312173982293</c:v>
                </c:pt>
                <c:pt idx="5">
                  <c:v>40.760771519310239</c:v>
                </c:pt>
                <c:pt idx="6">
                  <c:v>40.975892771000439</c:v>
                </c:pt>
                <c:pt idx="7">
                  <c:v>41.167679882056525</c:v>
                </c:pt>
                <c:pt idx="8">
                  <c:v>41.338105507686194</c:v>
                </c:pt>
                <c:pt idx="9">
                  <c:v>41.510051859753226</c:v>
                </c:pt>
                <c:pt idx="10">
                  <c:v>41.677298355162392</c:v>
                </c:pt>
                <c:pt idx="11">
                  <c:v>41.817169677964593</c:v>
                </c:pt>
                <c:pt idx="12">
                  <c:v>41.965648616620157</c:v>
                </c:pt>
                <c:pt idx="13">
                  <c:v>42.115030156492438</c:v>
                </c:pt>
                <c:pt idx="14">
                  <c:v>42.257263898323863</c:v>
                </c:pt>
                <c:pt idx="15">
                  <c:v>42.402400967558833</c:v>
                </c:pt>
                <c:pt idx="16">
                  <c:v>42.52899473015303</c:v>
                </c:pt>
                <c:pt idx="17">
                  <c:v>42.643554676663541</c:v>
                </c:pt>
                <c:pt idx="18">
                  <c:v>42.777109520576644</c:v>
                </c:pt>
                <c:pt idx="19">
                  <c:v>42.888948563704218</c:v>
                </c:pt>
                <c:pt idx="20">
                  <c:v>43.011475106090849</c:v>
                </c:pt>
                <c:pt idx="21">
                  <c:v>43.126367118884637</c:v>
                </c:pt>
                <c:pt idx="22">
                  <c:v>43.250135646735217</c:v>
                </c:pt>
                <c:pt idx="23">
                  <c:v>43.371747812391391</c:v>
                </c:pt>
                <c:pt idx="24">
                  <c:v>43.493689005106191</c:v>
                </c:pt>
                <c:pt idx="25">
                  <c:v>43.60186247204652</c:v>
                </c:pt>
                <c:pt idx="26">
                  <c:v>43.704032931608715</c:v>
                </c:pt>
                <c:pt idx="27">
                  <c:v>43.836033548618758</c:v>
                </c:pt>
                <c:pt idx="28">
                  <c:v>43.955470531107387</c:v>
                </c:pt>
                <c:pt idx="29">
                  <c:v>44.074827007916795</c:v>
                </c:pt>
                <c:pt idx="30">
                  <c:v>44.206697489680536</c:v>
                </c:pt>
                <c:pt idx="31">
                  <c:v>44.333631475530566</c:v>
                </c:pt>
                <c:pt idx="32">
                  <c:v>44.470604581727862</c:v>
                </c:pt>
                <c:pt idx="33">
                  <c:v>44.610379658717896</c:v>
                </c:pt>
                <c:pt idx="34">
                  <c:v>44.758618490827679</c:v>
                </c:pt>
                <c:pt idx="35">
                  <c:v>44.895707732484773</c:v>
                </c:pt>
                <c:pt idx="36">
                  <c:v>45.025379793839463</c:v>
                </c:pt>
                <c:pt idx="37">
                  <c:v>45.177987786239505</c:v>
                </c:pt>
                <c:pt idx="38">
                  <c:v>45.342890278419155</c:v>
                </c:pt>
                <c:pt idx="39">
                  <c:v>45.500882080098528</c:v>
                </c:pt>
                <c:pt idx="40">
                  <c:v>45.672238314703769</c:v>
                </c:pt>
                <c:pt idx="41">
                  <c:v>45.856587048725707</c:v>
                </c:pt>
                <c:pt idx="42">
                  <c:v>46.078629332543841</c:v>
                </c:pt>
                <c:pt idx="43">
                  <c:v>46.321485119263222</c:v>
                </c:pt>
                <c:pt idx="44">
                  <c:v>46.58147737384116</c:v>
                </c:pt>
                <c:pt idx="45">
                  <c:v>46.823117874498493</c:v>
                </c:pt>
                <c:pt idx="46">
                  <c:v>47.144157304596867</c:v>
                </c:pt>
                <c:pt idx="47">
                  <c:v>47.5644957609965</c:v>
                </c:pt>
                <c:pt idx="48">
                  <c:v>48.262906585188738</c:v>
                </c:pt>
                <c:pt idx="49">
                  <c:v>49.330180422173733</c:v>
                </c:pt>
              </c:numCache>
            </c:numRef>
          </c:xVal>
          <c:yVal>
            <c:numRef>
              <c:f>Results!$B$63:$B$112</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0-183A-4D9D-AF14-DA8880705148}"/>
            </c:ext>
          </c:extLst>
        </c:ser>
        <c:ser>
          <c:idx val="1"/>
          <c:order val="1"/>
          <c:tx>
            <c:v>Plan in use</c:v>
          </c:tx>
          <c:spPr>
            <a:ln w="25400">
              <a:solidFill>
                <a:srgbClr val="B45309"/>
              </a:solidFill>
              <a:prstDash val="dash"/>
            </a:ln>
          </c:spPr>
          <c:marker>
            <c:symbol val="none"/>
          </c:marker>
          <c:xVal>
            <c:numRef>
              <c:f>Results!$E$63:$E$112</c:f>
              <c:numCache>
                <c:formatCode>#,##0.00</c:formatCode>
                <c:ptCount val="50"/>
                <c:pt idx="0">
                  <c:v>37.29419727741633</c:v>
                </c:pt>
                <c:pt idx="1">
                  <c:v>38.000840203311256</c:v>
                </c:pt>
                <c:pt idx="2">
                  <c:v>38.386208920419456</c:v>
                </c:pt>
                <c:pt idx="3">
                  <c:v>38.713442181885085</c:v>
                </c:pt>
                <c:pt idx="4">
                  <c:v>38.9896691202689</c:v>
                </c:pt>
                <c:pt idx="5">
                  <c:v>39.210931048990787</c:v>
                </c:pt>
                <c:pt idx="6">
                  <c:v>39.396645143131281</c:v>
                </c:pt>
                <c:pt idx="7">
                  <c:v>39.583587236100058</c:v>
                </c:pt>
                <c:pt idx="8">
                  <c:v>39.736053639293097</c:v>
                </c:pt>
                <c:pt idx="9">
                  <c:v>39.886810382472426</c:v>
                </c:pt>
                <c:pt idx="10">
                  <c:v>40.04511912321567</c:v>
                </c:pt>
                <c:pt idx="11">
                  <c:v>40.191004235176031</c:v>
                </c:pt>
                <c:pt idx="12">
                  <c:v>40.328632365473354</c:v>
                </c:pt>
                <c:pt idx="13">
                  <c:v>40.465317500798477</c:v>
                </c:pt>
                <c:pt idx="14">
                  <c:v>40.597836871929324</c:v>
                </c:pt>
                <c:pt idx="15">
                  <c:v>40.724327584307588</c:v>
                </c:pt>
                <c:pt idx="16">
                  <c:v>40.839818228264441</c:v>
                </c:pt>
                <c:pt idx="17">
                  <c:v>40.948224499711849</c:v>
                </c:pt>
                <c:pt idx="18">
                  <c:v>41.066412751128041</c:v>
                </c:pt>
                <c:pt idx="19">
                  <c:v>41.186364360929382</c:v>
                </c:pt>
                <c:pt idx="20">
                  <c:v>41.307148172120428</c:v>
                </c:pt>
                <c:pt idx="21">
                  <c:v>41.425163474403192</c:v>
                </c:pt>
                <c:pt idx="22">
                  <c:v>41.531786340035197</c:v>
                </c:pt>
                <c:pt idx="23">
                  <c:v>41.638176657758379</c:v>
                </c:pt>
                <c:pt idx="24">
                  <c:v>41.74906679402104</c:v>
                </c:pt>
                <c:pt idx="25">
                  <c:v>41.854699907848904</c:v>
                </c:pt>
                <c:pt idx="26">
                  <c:v>41.978286453694977</c:v>
                </c:pt>
                <c:pt idx="27">
                  <c:v>42.092882547022697</c:v>
                </c:pt>
                <c:pt idx="28">
                  <c:v>42.20538253199647</c:v>
                </c:pt>
                <c:pt idx="29">
                  <c:v>42.32592835659063</c:v>
                </c:pt>
                <c:pt idx="30">
                  <c:v>42.435256629074445</c:v>
                </c:pt>
                <c:pt idx="31">
                  <c:v>42.545742442273777</c:v>
                </c:pt>
                <c:pt idx="32">
                  <c:v>42.66091139950327</c:v>
                </c:pt>
                <c:pt idx="33">
                  <c:v>42.805076472256438</c:v>
                </c:pt>
                <c:pt idx="34">
                  <c:v>42.943663549259561</c:v>
                </c:pt>
                <c:pt idx="35">
                  <c:v>43.087415981134292</c:v>
                </c:pt>
                <c:pt idx="36">
                  <c:v>43.226339376943926</c:v>
                </c:pt>
                <c:pt idx="37">
                  <c:v>43.372325316447323</c:v>
                </c:pt>
                <c:pt idx="38">
                  <c:v>43.518194127994057</c:v>
                </c:pt>
                <c:pt idx="39">
                  <c:v>43.675314659862423</c:v>
                </c:pt>
                <c:pt idx="40">
                  <c:v>43.851115433197613</c:v>
                </c:pt>
                <c:pt idx="41">
                  <c:v>44.019657899317124</c:v>
                </c:pt>
                <c:pt idx="42">
                  <c:v>44.207991722061941</c:v>
                </c:pt>
                <c:pt idx="43">
                  <c:v>44.425224236132188</c:v>
                </c:pt>
                <c:pt idx="44">
                  <c:v>44.669273459483748</c:v>
                </c:pt>
                <c:pt idx="45">
                  <c:v>44.921806003797208</c:v>
                </c:pt>
                <c:pt idx="46">
                  <c:v>45.250225223238338</c:v>
                </c:pt>
                <c:pt idx="47">
                  <c:v>45.630990235072666</c:v>
                </c:pt>
                <c:pt idx="48">
                  <c:v>46.239512504922416</c:v>
                </c:pt>
                <c:pt idx="49">
                  <c:v>47.298914545962518</c:v>
                </c:pt>
              </c:numCache>
            </c:numRef>
          </c:xVal>
          <c:yVal>
            <c:numRef>
              <c:f>Results!$B$63:$B$112</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1-183A-4D9D-AF14-DA8880705148}"/>
            </c:ext>
          </c:extLst>
        </c:ser>
        <c:ser>
          <c:idx val="2"/>
          <c:order val="2"/>
          <c:tx>
            <c:v>Contract duration</c:v>
          </c:tx>
          <c:spPr>
            <a:ln w="19050">
              <a:solidFill>
                <a:srgbClr val="B91C1C"/>
              </a:solidFill>
              <a:prstDash val="sysDash"/>
            </a:ln>
          </c:spPr>
          <c:marker>
            <c:symbol val="none"/>
          </c:marker>
          <c:xVal>
            <c:numRef>
              <c:f>Results!$F$63:$F$112</c:f>
              <c:numCache>
                <c:formatCode>#,##0.00</c:formatCode>
                <c:ptCount val="50"/>
                <c:pt idx="0">
                  <c:v>44</c:v>
                </c:pt>
                <c:pt idx="1">
                  <c:v>44</c:v>
                </c:pt>
                <c:pt idx="2">
                  <c:v>44</c:v>
                </c:pt>
                <c:pt idx="3">
                  <c:v>44</c:v>
                </c:pt>
                <c:pt idx="4">
                  <c:v>44</c:v>
                </c:pt>
                <c:pt idx="5">
                  <c:v>44</c:v>
                </c:pt>
                <c:pt idx="6">
                  <c:v>44</c:v>
                </c:pt>
                <c:pt idx="7">
                  <c:v>44</c:v>
                </c:pt>
                <c:pt idx="8">
                  <c:v>44</c:v>
                </c:pt>
                <c:pt idx="9">
                  <c:v>44</c:v>
                </c:pt>
                <c:pt idx="10">
                  <c:v>44</c:v>
                </c:pt>
                <c:pt idx="11">
                  <c:v>44</c:v>
                </c:pt>
                <c:pt idx="12">
                  <c:v>44</c:v>
                </c:pt>
                <c:pt idx="13">
                  <c:v>44</c:v>
                </c:pt>
                <c:pt idx="14">
                  <c:v>44</c:v>
                </c:pt>
                <c:pt idx="15">
                  <c:v>44</c:v>
                </c:pt>
                <c:pt idx="16">
                  <c:v>44</c:v>
                </c:pt>
                <c:pt idx="17">
                  <c:v>44</c:v>
                </c:pt>
                <c:pt idx="18">
                  <c:v>44</c:v>
                </c:pt>
                <c:pt idx="19">
                  <c:v>44</c:v>
                </c:pt>
                <c:pt idx="20">
                  <c:v>44</c:v>
                </c:pt>
                <c:pt idx="21">
                  <c:v>44</c:v>
                </c:pt>
                <c:pt idx="22">
                  <c:v>44</c:v>
                </c:pt>
                <c:pt idx="23">
                  <c:v>44</c:v>
                </c:pt>
                <c:pt idx="24">
                  <c:v>44</c:v>
                </c:pt>
                <c:pt idx="25">
                  <c:v>44</c:v>
                </c:pt>
                <c:pt idx="26">
                  <c:v>44</c:v>
                </c:pt>
                <c:pt idx="27">
                  <c:v>44</c:v>
                </c:pt>
                <c:pt idx="28">
                  <c:v>44</c:v>
                </c:pt>
                <c:pt idx="29">
                  <c:v>44</c:v>
                </c:pt>
                <c:pt idx="30">
                  <c:v>44</c:v>
                </c:pt>
                <c:pt idx="31">
                  <c:v>44</c:v>
                </c:pt>
                <c:pt idx="32">
                  <c:v>44</c:v>
                </c:pt>
                <c:pt idx="33">
                  <c:v>44</c:v>
                </c:pt>
                <c:pt idx="34">
                  <c:v>44</c:v>
                </c:pt>
                <c:pt idx="35">
                  <c:v>44</c:v>
                </c:pt>
                <c:pt idx="36">
                  <c:v>44</c:v>
                </c:pt>
                <c:pt idx="37">
                  <c:v>44</c:v>
                </c:pt>
                <c:pt idx="38">
                  <c:v>44</c:v>
                </c:pt>
                <c:pt idx="39">
                  <c:v>44</c:v>
                </c:pt>
                <c:pt idx="40">
                  <c:v>44</c:v>
                </c:pt>
                <c:pt idx="41">
                  <c:v>44</c:v>
                </c:pt>
                <c:pt idx="42">
                  <c:v>44</c:v>
                </c:pt>
                <c:pt idx="43">
                  <c:v>44</c:v>
                </c:pt>
                <c:pt idx="44">
                  <c:v>44</c:v>
                </c:pt>
                <c:pt idx="45">
                  <c:v>44</c:v>
                </c:pt>
                <c:pt idx="46">
                  <c:v>44</c:v>
                </c:pt>
                <c:pt idx="47">
                  <c:v>44</c:v>
                </c:pt>
                <c:pt idx="48">
                  <c:v>44</c:v>
                </c:pt>
                <c:pt idx="49">
                  <c:v>44</c:v>
                </c:pt>
              </c:numCache>
            </c:numRef>
          </c:xVal>
          <c:yVal>
            <c:numRef>
              <c:f>Results!$B$63:$B$112</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2-183A-4D9D-AF14-DA8880705148}"/>
            </c:ext>
          </c:extLst>
        </c:ser>
        <c:dLbls>
          <c:showLegendKey val="0"/>
          <c:showVal val="0"/>
          <c:showCatName val="0"/>
          <c:showSerName val="0"/>
          <c:showPercent val="0"/>
          <c:showBubbleSize val="0"/>
        </c:dLbls>
        <c:axId val="10"/>
        <c:axId val="20"/>
      </c:scatterChart>
      <c:valAx>
        <c:axId val="10"/>
        <c:scaling>
          <c:orientation val="minMax"/>
          <c:min val="34"/>
        </c:scaling>
        <c:delete val="0"/>
        <c:axPos val="b"/>
        <c:title>
          <c:tx>
            <c:rich>
              <a:bodyPr/>
              <a:lstStyle/>
              <a:p>
                <a:pPr>
                  <a:defRPr/>
                </a:pPr>
                <a:r>
                  <a:rPr lang="en-US"/>
                  <a:t>Weeks from the start</a:t>
                </a:r>
              </a:p>
            </c:rich>
          </c:tx>
          <c:overlay val="0"/>
        </c:title>
        <c:numFmt formatCode="#,##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4E9F0"/>
              </a:solidFill>
              <a:prstDash val="solid"/>
            </a:ln>
          </c:spPr>
        </c:majorGridlines>
        <c:title>
          <c:tx>
            <c:rich>
              <a:bodyPr/>
              <a:lstStyle/>
              <a:p>
                <a:pPr>
                  <a:defRPr/>
                </a:pPr>
                <a:r>
                  <a:rPr lang="en-US"/>
                  <a:t>Cumulative probability</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2</xdr:col>
      <xdr:colOff>0</xdr:colOff>
      <xdr:row>87</xdr:row>
      <xdr:rowOff>0</xdr:rowOff>
    </xdr:from>
    <xdr:ext cx="8640000" cy="3060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3.xml><?xml version="1.0" encoding="utf-8"?>
<xdr:wsDr xmlns:xdr="http://schemas.openxmlformats.org/drawingml/2006/spreadsheetDrawing" xmlns:a="http://schemas.openxmlformats.org/drawingml/2006/main">
  <xdr:oneCellAnchor>
    <xdr:from>
      <xdr:col>8</xdr:col>
      <xdr:colOff>0</xdr:colOff>
      <xdr:row>31</xdr:row>
      <xdr:rowOff>0</xdr:rowOff>
    </xdr:from>
    <xdr:ext cx="6263999" cy="3311999"/>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9</xdr:row>
      <xdr:rowOff>0</xdr:rowOff>
    </xdr:from>
    <xdr:ext cx="6263999" cy="2664000"/>
    <xdr:graphicFrame macro="">
      <xdr:nvGraphicFramePr>
        <xdr:cNvPr id="3" name="Chart 2">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E4F92"/>
    <pageSetUpPr fitToPage="1"/>
  </sheetPr>
  <dimension ref="A1:D80"/>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6"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ht="26.25" x14ac:dyDescent="0.45">
      <c r="B8" s="9" t="s">
        <v>7</v>
      </c>
      <c r="C8" s="10" t="s">
        <v>8</v>
      </c>
    </row>
    <row r="9" spans="1:4" ht="39.4" x14ac:dyDescent="0.45">
      <c r="B9" s="9" t="s">
        <v>9</v>
      </c>
      <c r="C9" s="11" t="s">
        <v>10</v>
      </c>
    </row>
    <row r="10" spans="1:4" x14ac:dyDescent="0.45">
      <c r="B10" s="9" t="s">
        <v>11</v>
      </c>
      <c r="C10" s="10" t="s">
        <v>12</v>
      </c>
    </row>
    <row r="11" spans="1:4" ht="39.4" x14ac:dyDescent="0.45">
      <c r="B11" s="9" t="s">
        <v>13</v>
      </c>
      <c r="C11" s="10" t="s">
        <v>14</v>
      </c>
    </row>
    <row r="12" spans="1:4" ht="39.4" x14ac:dyDescent="0.45">
      <c r="B12" s="9" t="s">
        <v>15</v>
      </c>
      <c r="C12" s="10" t="s">
        <v>16</v>
      </c>
    </row>
    <row r="13" spans="1:4" x14ac:dyDescent="0.45">
      <c r="B13" s="9" t="s">
        <v>17</v>
      </c>
      <c r="C13" s="10" t="s">
        <v>18</v>
      </c>
    </row>
    <row r="14" spans="1:4" ht="12" customHeight="1" x14ac:dyDescent="0.45"/>
    <row r="15" spans="1:4" ht="22.05" customHeight="1" x14ac:dyDescent="0.5">
      <c r="B15" s="7" t="s">
        <v>19</v>
      </c>
      <c r="C15" s="8"/>
    </row>
    <row r="16" spans="1:4" ht="44" customHeight="1" x14ac:dyDescent="0.45">
      <c r="B16" s="82" t="s">
        <v>20</v>
      </c>
      <c r="C16" s="81"/>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ht="26.25" x14ac:dyDescent="0.45">
      <c r="B28" s="9" t="s">
        <v>23</v>
      </c>
      <c r="C28" s="10" t="s">
        <v>24</v>
      </c>
    </row>
    <row r="29" spans="2:3" ht="26.25" x14ac:dyDescent="0.45">
      <c r="B29" s="9" t="s">
        <v>25</v>
      </c>
      <c r="C29" s="10" t="s">
        <v>26</v>
      </c>
    </row>
    <row r="30" spans="2:3" ht="39.4" x14ac:dyDescent="0.45">
      <c r="B30" s="9" t="s">
        <v>27</v>
      </c>
      <c r="C30" s="10" t="s">
        <v>28</v>
      </c>
    </row>
    <row r="31" spans="2:3" ht="26.25" x14ac:dyDescent="0.45">
      <c r="B31" s="9" t="s">
        <v>29</v>
      </c>
      <c r="C31" s="10" t="s">
        <v>30</v>
      </c>
    </row>
    <row r="32" spans="2:3" ht="12" customHeight="1" x14ac:dyDescent="0.45"/>
    <row r="33" spans="2:3" ht="22.05" customHeight="1" x14ac:dyDescent="0.5">
      <c r="B33" s="7" t="s">
        <v>31</v>
      </c>
      <c r="C33" s="8"/>
    </row>
    <row r="34" spans="2:3" x14ac:dyDescent="0.45">
      <c r="B34" s="9" t="s">
        <v>32</v>
      </c>
      <c r="C34" s="10" t="s">
        <v>33</v>
      </c>
    </row>
    <row r="35" spans="2:3" ht="26.25" x14ac:dyDescent="0.45">
      <c r="B35" s="9" t="s">
        <v>34</v>
      </c>
      <c r="C35" s="10" t="s">
        <v>35</v>
      </c>
    </row>
    <row r="36" spans="2:3" ht="26.25" x14ac:dyDescent="0.45">
      <c r="B36" s="9" t="s">
        <v>36</v>
      </c>
      <c r="C36" s="10" t="s">
        <v>37</v>
      </c>
    </row>
    <row r="37" spans="2:3" ht="26.25" x14ac:dyDescent="0.45">
      <c r="B37" s="9" t="s">
        <v>38</v>
      </c>
      <c r="C37" s="10" t="s">
        <v>39</v>
      </c>
    </row>
    <row r="38" spans="2:3" ht="12" customHeight="1" x14ac:dyDescent="0.45"/>
    <row r="39" spans="2:3" ht="22.05" customHeight="1" x14ac:dyDescent="0.5">
      <c r="B39" s="7" t="s">
        <v>40</v>
      </c>
      <c r="C39" s="8"/>
    </row>
    <row r="40" spans="2:3" x14ac:dyDescent="0.45">
      <c r="B40" s="14" t="s">
        <v>41</v>
      </c>
      <c r="C40" s="10" t="s">
        <v>42</v>
      </c>
    </row>
    <row r="41" spans="2:3" x14ac:dyDescent="0.45">
      <c r="B41" s="14" t="s">
        <v>43</v>
      </c>
      <c r="C41" s="10" t="s">
        <v>44</v>
      </c>
    </row>
    <row r="42" spans="2:3" x14ac:dyDescent="0.45">
      <c r="B42" s="14" t="s">
        <v>45</v>
      </c>
      <c r="C42" s="10" t="s">
        <v>46</v>
      </c>
    </row>
    <row r="43" spans="2:3" x14ac:dyDescent="0.45">
      <c r="B43" s="14" t="s">
        <v>47</v>
      </c>
      <c r="C43" s="10" t="s">
        <v>48</v>
      </c>
    </row>
    <row r="44" spans="2:3" ht="12" customHeight="1" x14ac:dyDescent="0.45"/>
    <row r="45" spans="2:3" ht="22.05" customHeight="1" x14ac:dyDescent="0.5">
      <c r="B45" s="7" t="s">
        <v>49</v>
      </c>
      <c r="C45" s="8"/>
    </row>
    <row r="46" spans="2:3" x14ac:dyDescent="0.45">
      <c r="B46" s="15" t="s">
        <v>50</v>
      </c>
      <c r="C46" s="12" t="s">
        <v>51</v>
      </c>
    </row>
    <row r="47" spans="2:3" x14ac:dyDescent="0.45">
      <c r="B47" s="16" t="s">
        <v>52</v>
      </c>
      <c r="C47" s="12" t="s">
        <v>53</v>
      </c>
    </row>
    <row r="48" spans="2:3" x14ac:dyDescent="0.45">
      <c r="B48" s="17" t="s">
        <v>54</v>
      </c>
      <c r="C48" s="12" t="s">
        <v>55</v>
      </c>
    </row>
    <row r="49" spans="2:3" x14ac:dyDescent="0.45">
      <c r="B49" s="18" t="s">
        <v>56</v>
      </c>
      <c r="C49" s="12" t="s">
        <v>57</v>
      </c>
    </row>
    <row r="50" spans="2:3" x14ac:dyDescent="0.45">
      <c r="B50" s="19" t="s">
        <v>58</v>
      </c>
      <c r="C50" s="12" t="s">
        <v>59</v>
      </c>
    </row>
    <row r="51" spans="2:3" x14ac:dyDescent="0.45">
      <c r="B51" s="20" t="s">
        <v>60</v>
      </c>
      <c r="C51" s="12" t="s">
        <v>61</v>
      </c>
    </row>
    <row r="52" spans="2:3" ht="12" customHeight="1" x14ac:dyDescent="0.45"/>
    <row r="53" spans="2:3" ht="22.05" customHeight="1" x14ac:dyDescent="0.5">
      <c r="B53" s="7" t="s">
        <v>62</v>
      </c>
      <c r="C53" s="8"/>
    </row>
    <row r="54" spans="2:3" x14ac:dyDescent="0.45">
      <c r="B54" s="9" t="s">
        <v>63</v>
      </c>
      <c r="C54" s="10" t="s">
        <v>64</v>
      </c>
    </row>
    <row r="55" spans="2:3" x14ac:dyDescent="0.45">
      <c r="B55" s="9" t="s">
        <v>65</v>
      </c>
      <c r="C55" s="10" t="s">
        <v>66</v>
      </c>
    </row>
    <row r="56" spans="2:3" ht="26.25" x14ac:dyDescent="0.45">
      <c r="B56" s="9" t="s">
        <v>67</v>
      </c>
      <c r="C56" s="10" t="s">
        <v>68</v>
      </c>
    </row>
    <row r="57" spans="2:3" x14ac:dyDescent="0.45">
      <c r="B57" s="9" t="s">
        <v>69</v>
      </c>
      <c r="C57" s="10" t="s">
        <v>70</v>
      </c>
    </row>
    <row r="58" spans="2:3" x14ac:dyDescent="0.45">
      <c r="B58" s="9" t="s">
        <v>71</v>
      </c>
      <c r="C58" s="10" t="s">
        <v>72</v>
      </c>
    </row>
    <row r="59" spans="2:3" ht="12" customHeight="1" x14ac:dyDescent="0.45"/>
    <row r="60" spans="2:3" ht="22.05" customHeight="1" x14ac:dyDescent="0.5">
      <c r="B60" s="7" t="s">
        <v>73</v>
      </c>
      <c r="C60" s="8"/>
    </row>
    <row r="61" spans="2:3" x14ac:dyDescent="0.45">
      <c r="B61" s="9" t="s">
        <v>74</v>
      </c>
      <c r="C61" s="10" t="s">
        <v>75</v>
      </c>
    </row>
    <row r="62" spans="2:3" x14ac:dyDescent="0.45">
      <c r="B62" s="9" t="s">
        <v>76</v>
      </c>
      <c r="C62" s="10" t="s">
        <v>77</v>
      </c>
    </row>
    <row r="63" spans="2:3" x14ac:dyDescent="0.45">
      <c r="B63" s="9" t="s">
        <v>78</v>
      </c>
      <c r="C63" s="10" t="s">
        <v>79</v>
      </c>
    </row>
    <row r="64" spans="2:3" ht="26.25" x14ac:dyDescent="0.45">
      <c r="B64" s="9" t="s">
        <v>80</v>
      </c>
      <c r="C64" s="10" t="s">
        <v>81</v>
      </c>
    </row>
    <row r="65" spans="2:3" x14ac:dyDescent="0.45">
      <c r="B65" s="9" t="s">
        <v>82</v>
      </c>
      <c r="C65" s="10" t="s">
        <v>83</v>
      </c>
    </row>
    <row r="66" spans="2:3" ht="12" customHeight="1" x14ac:dyDescent="0.45"/>
    <row r="67" spans="2:3" ht="22.05" customHeight="1" x14ac:dyDescent="0.5">
      <c r="B67" s="7" t="s">
        <v>84</v>
      </c>
      <c r="C67" s="8"/>
    </row>
    <row r="68" spans="2:3" x14ac:dyDescent="0.45">
      <c r="B68" s="21" t="s">
        <v>85</v>
      </c>
      <c r="C68" s="10" t="s">
        <v>86</v>
      </c>
    </row>
    <row r="69" spans="2:3" x14ac:dyDescent="0.45">
      <c r="B69" s="21" t="s">
        <v>87</v>
      </c>
      <c r="C69" s="10" t="s">
        <v>88</v>
      </c>
    </row>
    <row r="70" spans="2:3" ht="26.25" x14ac:dyDescent="0.45">
      <c r="B70" s="21" t="s">
        <v>89</v>
      </c>
      <c r="C70" s="10" t="s">
        <v>90</v>
      </c>
    </row>
    <row r="71" spans="2:3" x14ac:dyDescent="0.45">
      <c r="B71" s="21" t="s">
        <v>91</v>
      </c>
      <c r="C71" s="10" t="s">
        <v>92</v>
      </c>
    </row>
    <row r="72" spans="2:3" ht="26.25" x14ac:dyDescent="0.45">
      <c r="B72" s="21" t="s">
        <v>93</v>
      </c>
      <c r="C72" s="10" t="s">
        <v>94</v>
      </c>
    </row>
    <row r="73" spans="2:3" x14ac:dyDescent="0.45">
      <c r="B73" s="21" t="s">
        <v>95</v>
      </c>
      <c r="C73" s="10" t="s">
        <v>96</v>
      </c>
    </row>
    <row r="74" spans="2:3" ht="12" customHeight="1" x14ac:dyDescent="0.45"/>
    <row r="75" spans="2:3" ht="22.05" customHeight="1" x14ac:dyDescent="0.5">
      <c r="B75" s="7" t="s">
        <v>97</v>
      </c>
      <c r="C75" s="8"/>
    </row>
    <row r="76" spans="2:3" x14ac:dyDescent="0.45">
      <c r="B76" s="9" t="s">
        <v>98</v>
      </c>
      <c r="C76" s="10" t="s">
        <v>99</v>
      </c>
    </row>
    <row r="77" spans="2:3" x14ac:dyDescent="0.45">
      <c r="B77" s="9" t="s">
        <v>100</v>
      </c>
      <c r="C77" s="10" t="s">
        <v>101</v>
      </c>
    </row>
    <row r="78" spans="2:3" x14ac:dyDescent="0.45">
      <c r="B78" s="9" t="s">
        <v>102</v>
      </c>
      <c r="C78" s="10" t="s">
        <v>103</v>
      </c>
    </row>
    <row r="79" spans="2:3" ht="16.05" customHeight="1" x14ac:dyDescent="0.45"/>
    <row r="80" spans="2:3" x14ac:dyDescent="0.45">
      <c r="B80" s="80" t="s">
        <v>104</v>
      </c>
      <c r="C80" s="81"/>
    </row>
  </sheetData>
  <mergeCells count="2">
    <mergeCell ref="B80:C80"/>
    <mergeCell ref="B16:C16"/>
  </mergeCells>
  <hyperlinks>
    <hyperlink ref="D4" location="'Inputs'!A1" display="Next:  Inputs  ▸" xr:uid="{00000000-0004-0000-0000-000000000000}"/>
    <hyperlink ref="B40" location="'Inputs'!A1" display="Inputs" xr:uid="{00000000-0004-0000-0000-000001000000}"/>
    <hyperlink ref="B41" location="'Decisions'!A1" display="Decisions" xr:uid="{00000000-0004-0000-0000-000002000000}"/>
    <hyperlink ref="B42" location="'Network'!A1" display="Network" xr:uid="{00000000-0004-0000-0000-000003000000}"/>
    <hyperlink ref="B43" location="'Results'!A1" display="Results" xr:uid="{00000000-0004-0000-0000-000004000000}"/>
  </hyperlinks>
  <printOptions horizontalCentered="1"/>
  <pageMargins left="0.4" right="0.4" top="0.5" bottom="0.6" header="0.25" footer="0.25"/>
  <pageSetup paperSize="9" fitToHeight="0" orientation="portrait"/>
  <headerFooter>
    <oddFooter>&amp;L&amp;K3F5876&amp;8&amp;F · &amp;A&amp;R&amp;K3F5876&amp;8Page &amp;P of &amp;N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A800"/>
    <pageSetUpPr fitToPage="1"/>
  </sheetPr>
  <dimension ref="A1:J40"/>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2" t="s">
        <v>0</v>
      </c>
      <c r="C2" s="1"/>
      <c r="D2" s="1"/>
      <c r="E2" s="1"/>
      <c r="F2" s="1"/>
      <c r="G2" s="1"/>
      <c r="H2" s="1"/>
      <c r="I2" s="1"/>
      <c r="J2" s="3" t="s">
        <v>1</v>
      </c>
    </row>
    <row r="3" spans="1:10" ht="20" customHeight="1" x14ac:dyDescent="0.45">
      <c r="A3" s="1"/>
      <c r="B3" s="4" t="s">
        <v>105</v>
      </c>
      <c r="C3" s="1"/>
      <c r="D3" s="1"/>
      <c r="E3" s="1"/>
      <c r="F3" s="1"/>
      <c r="G3" s="1"/>
      <c r="H3" s="1"/>
      <c r="I3" s="1"/>
      <c r="J3" s="1"/>
    </row>
    <row r="4" spans="1:10" ht="20" customHeight="1" x14ac:dyDescent="0.45">
      <c r="A4" s="5"/>
      <c r="B4" s="23" t="s">
        <v>106</v>
      </c>
      <c r="C4" s="5"/>
      <c r="D4" s="5"/>
      <c r="E4" s="5"/>
      <c r="F4" s="5"/>
      <c r="G4" s="5"/>
      <c r="H4" s="5"/>
      <c r="I4" s="5"/>
      <c r="J4" s="6" t="s">
        <v>107</v>
      </c>
    </row>
    <row r="5" spans="1:10" ht="8" customHeight="1" x14ac:dyDescent="0.45"/>
    <row r="6" spans="1:10" ht="30" customHeight="1" x14ac:dyDescent="0.45">
      <c r="B6" s="83" t="s">
        <v>108</v>
      </c>
      <c r="C6" s="81"/>
      <c r="D6" s="81"/>
      <c r="E6" s="81"/>
      <c r="F6" s="81"/>
      <c r="G6" s="81"/>
      <c r="H6" s="81"/>
      <c r="I6" s="81"/>
      <c r="J6" s="81"/>
    </row>
    <row r="7" spans="1:10" ht="6" customHeight="1" x14ac:dyDescent="0.45"/>
    <row r="8" spans="1:10" ht="22.05" customHeight="1" x14ac:dyDescent="0.5">
      <c r="B8" s="7" t="s">
        <v>109</v>
      </c>
      <c r="C8" s="8"/>
      <c r="D8" s="8"/>
      <c r="E8" s="8"/>
      <c r="F8" s="8"/>
      <c r="G8" s="8"/>
      <c r="H8" s="8"/>
      <c r="I8" s="8"/>
      <c r="J8" s="8"/>
    </row>
    <row r="9" spans="1:10" ht="18" customHeight="1" x14ac:dyDescent="0.45">
      <c r="B9" s="13" t="s">
        <v>110</v>
      </c>
    </row>
    <row r="10" spans="1:10" ht="18" customHeight="1" x14ac:dyDescent="0.45">
      <c r="B10" s="24" t="s">
        <v>111</v>
      </c>
      <c r="C10" s="24" t="s">
        <v>112</v>
      </c>
      <c r="D10" s="25" t="s">
        <v>113</v>
      </c>
      <c r="E10" s="24" t="s">
        <v>114</v>
      </c>
      <c r="F10" s="5"/>
      <c r="G10" s="5"/>
      <c r="H10" s="5"/>
      <c r="I10" s="5"/>
      <c r="J10" s="24" t="s">
        <v>115</v>
      </c>
    </row>
    <row r="11" spans="1:10" x14ac:dyDescent="0.45">
      <c r="B11" s="26" t="s">
        <v>116</v>
      </c>
      <c r="C11" s="27" t="s">
        <v>117</v>
      </c>
      <c r="D11" s="28">
        <v>46447</v>
      </c>
      <c r="E11" s="27" t="s">
        <v>118</v>
      </c>
      <c r="F11" s="29"/>
      <c r="G11" s="29"/>
      <c r="H11" s="29"/>
      <c r="I11" s="29"/>
      <c r="J11" s="30" t="s">
        <v>119</v>
      </c>
    </row>
    <row r="12" spans="1:10" x14ac:dyDescent="0.45">
      <c r="B12" s="26" t="s">
        <v>120</v>
      </c>
      <c r="C12" s="27" t="s">
        <v>121</v>
      </c>
      <c r="D12" s="31">
        <v>44</v>
      </c>
      <c r="E12" s="27" t="s">
        <v>118</v>
      </c>
      <c r="F12" s="29"/>
      <c r="G12" s="29"/>
      <c r="H12" s="29"/>
      <c r="I12" s="29"/>
      <c r="J12" s="30" t="s">
        <v>122</v>
      </c>
    </row>
    <row r="13" spans="1:10" ht="23.25" x14ac:dyDescent="0.45">
      <c r="B13" s="26" t="s">
        <v>123</v>
      </c>
      <c r="C13" s="27" t="s">
        <v>124</v>
      </c>
      <c r="D13" s="32">
        <v>0.8</v>
      </c>
      <c r="E13" s="27" t="s">
        <v>118</v>
      </c>
      <c r="F13" s="29"/>
      <c r="G13" s="29"/>
      <c r="H13" s="29"/>
      <c r="I13" s="29"/>
      <c r="J13" s="30" t="s">
        <v>125</v>
      </c>
    </row>
    <row r="14" spans="1:10" ht="8" customHeight="1" x14ac:dyDescent="0.45"/>
    <row r="15" spans="1:10" ht="22.05" customHeight="1" x14ac:dyDescent="0.5">
      <c r="B15" s="7" t="s">
        <v>126</v>
      </c>
      <c r="C15" s="8"/>
      <c r="D15" s="8"/>
      <c r="E15" s="8"/>
      <c r="F15" s="8"/>
      <c r="G15" s="8"/>
      <c r="H15" s="8"/>
      <c r="I15" s="8"/>
      <c r="J15" s="8"/>
    </row>
    <row r="16" spans="1:10" ht="18" customHeight="1" x14ac:dyDescent="0.45">
      <c r="B16" s="13" t="s">
        <v>127</v>
      </c>
    </row>
    <row r="17" spans="2:10" ht="18" customHeight="1" x14ac:dyDescent="0.45">
      <c r="B17" s="24" t="s">
        <v>111</v>
      </c>
      <c r="C17" s="24" t="s">
        <v>112</v>
      </c>
      <c r="D17" s="25" t="s">
        <v>113</v>
      </c>
      <c r="E17" s="24" t="s">
        <v>114</v>
      </c>
      <c r="F17" s="25" t="s">
        <v>128</v>
      </c>
      <c r="G17" s="25" t="s">
        <v>129</v>
      </c>
      <c r="H17" s="25" t="s">
        <v>130</v>
      </c>
      <c r="I17" s="25" t="s">
        <v>131</v>
      </c>
      <c r="J17" s="24" t="s">
        <v>115</v>
      </c>
    </row>
    <row r="18" spans="2:10" x14ac:dyDescent="0.45">
      <c r="B18" s="26" t="s">
        <v>132</v>
      </c>
      <c r="C18" s="27" t="s">
        <v>124</v>
      </c>
      <c r="D18" s="32">
        <v>0.25</v>
      </c>
      <c r="E18" s="27" t="s">
        <v>118</v>
      </c>
      <c r="F18" s="29"/>
      <c r="G18" s="29"/>
      <c r="H18" s="29"/>
      <c r="I18" s="29"/>
      <c r="J18" s="30" t="s">
        <v>133</v>
      </c>
    </row>
    <row r="19" spans="2:10" x14ac:dyDescent="0.45">
      <c r="B19" s="26" t="s">
        <v>134</v>
      </c>
      <c r="C19" s="27" t="s">
        <v>121</v>
      </c>
      <c r="D19" s="33" cm="1">
        <f t="array" aca="1" ref="D19" ca="1">_xll.VoseInput("Flood delay","weeks")+_xll.VoseRiskEvent(Prob_Flood,_xll.VosePERTObject(F19,G19,H19))</f>
        <v>2.9065408967230804</v>
      </c>
      <c r="E19" s="27" t="s">
        <v>135</v>
      </c>
      <c r="F19" s="34">
        <v>2</v>
      </c>
      <c r="G19" s="34">
        <v>3</v>
      </c>
      <c r="H19" s="34">
        <v>6</v>
      </c>
      <c r="I19" s="35" cm="1">
        <f t="array" ref="I19">IF(AND(F19&lt;=G19,G19&lt;=H19,F19&lt;H19),_xll.VoseMean(_xll.VoseRiskEventObject(Prob_Flood,_xll.VosePERTObject(F19,G19,H19))),"✗ range")</f>
        <v>0.83333333333333337</v>
      </c>
      <c r="J19" s="30" t="s">
        <v>136</v>
      </c>
    </row>
    <row r="20" spans="2:10" ht="8" customHeight="1" x14ac:dyDescent="0.45"/>
    <row r="21" spans="2:10" ht="22.05" customHeight="1" x14ac:dyDescent="0.5">
      <c r="B21" s="7" t="s">
        <v>137</v>
      </c>
      <c r="C21" s="8"/>
      <c r="D21" s="8"/>
      <c r="E21" s="8"/>
      <c r="F21" s="8"/>
      <c r="G21" s="8"/>
      <c r="H21" s="8"/>
      <c r="I21" s="8"/>
      <c r="J21" s="8"/>
    </row>
    <row r="22" spans="2:10" ht="18" customHeight="1" x14ac:dyDescent="0.45">
      <c r="B22" s="13" t="s">
        <v>138</v>
      </c>
    </row>
    <row r="23" spans="2:10" ht="18" customHeight="1" x14ac:dyDescent="0.45">
      <c r="B23" s="24" t="s">
        <v>111</v>
      </c>
      <c r="C23" s="24" t="s">
        <v>112</v>
      </c>
      <c r="D23" s="25" t="s">
        <v>113</v>
      </c>
      <c r="E23" s="24" t="s">
        <v>114</v>
      </c>
      <c r="F23" s="5"/>
      <c r="G23" s="5"/>
      <c r="H23" s="5"/>
      <c r="I23" s="5"/>
      <c r="J23" s="24" t="s">
        <v>115</v>
      </c>
    </row>
    <row r="24" spans="2:10" ht="23.25" x14ac:dyDescent="0.45">
      <c r="B24" s="26" t="s">
        <v>139</v>
      </c>
      <c r="C24" s="27" t="s">
        <v>140</v>
      </c>
      <c r="D24" s="32">
        <v>0.1</v>
      </c>
      <c r="E24" s="27" t="s">
        <v>118</v>
      </c>
      <c r="F24" s="29"/>
      <c r="G24" s="29"/>
      <c r="H24" s="29"/>
      <c r="I24" s="29"/>
      <c r="J24" s="30" t="s">
        <v>141</v>
      </c>
    </row>
    <row r="25" spans="2:10" x14ac:dyDescent="0.45">
      <c r="B25" s="26" t="s">
        <v>142</v>
      </c>
      <c r="C25" s="27" t="s">
        <v>140</v>
      </c>
      <c r="D25" s="32">
        <v>0.25</v>
      </c>
      <c r="E25" s="27" t="s">
        <v>118</v>
      </c>
      <c r="F25" s="29"/>
      <c r="G25" s="29"/>
      <c r="H25" s="29"/>
      <c r="I25" s="29"/>
      <c r="J25" s="30" t="s">
        <v>143</v>
      </c>
    </row>
    <row r="26" spans="2:10" x14ac:dyDescent="0.45">
      <c r="B26" s="26" t="s">
        <v>144</v>
      </c>
      <c r="C26" s="27" t="s">
        <v>140</v>
      </c>
      <c r="D26" s="32">
        <v>0.2</v>
      </c>
      <c r="E26" s="27" t="s">
        <v>118</v>
      </c>
      <c r="F26" s="29"/>
      <c r="G26" s="29"/>
      <c r="H26" s="29"/>
      <c r="I26" s="29"/>
      <c r="J26" s="30" t="s">
        <v>145</v>
      </c>
    </row>
    <row r="27" spans="2:10" x14ac:dyDescent="0.45">
      <c r="B27" s="26" t="s">
        <v>146</v>
      </c>
      <c r="C27" s="27" t="s">
        <v>140</v>
      </c>
      <c r="D27" s="32">
        <v>0.2</v>
      </c>
      <c r="E27" s="27" t="s">
        <v>118</v>
      </c>
      <c r="F27" s="29"/>
      <c r="G27" s="29"/>
      <c r="H27" s="29"/>
      <c r="I27" s="29"/>
      <c r="J27" s="30" t="s">
        <v>147</v>
      </c>
    </row>
    <row r="28" spans="2:10" ht="23.25" x14ac:dyDescent="0.45">
      <c r="B28" s="26" t="s">
        <v>148</v>
      </c>
      <c r="C28" s="27" t="s">
        <v>140</v>
      </c>
      <c r="D28" s="32">
        <v>0.25</v>
      </c>
      <c r="E28" s="27" t="s">
        <v>118</v>
      </c>
      <c r="F28" s="29"/>
      <c r="G28" s="29"/>
      <c r="H28" s="29"/>
      <c r="I28" s="29"/>
      <c r="J28" s="30" t="s">
        <v>149</v>
      </c>
    </row>
    <row r="29" spans="2:10" x14ac:dyDescent="0.45">
      <c r="B29" s="26" t="s">
        <v>150</v>
      </c>
      <c r="C29" s="27" t="s">
        <v>140</v>
      </c>
      <c r="D29" s="32">
        <v>0.2</v>
      </c>
      <c r="E29" s="27" t="s">
        <v>118</v>
      </c>
      <c r="F29" s="29"/>
      <c r="G29" s="29"/>
      <c r="H29" s="29"/>
      <c r="I29" s="29"/>
      <c r="J29" s="30" t="s">
        <v>151</v>
      </c>
    </row>
    <row r="30" spans="2:10" ht="8" customHeight="1" x14ac:dyDescent="0.45"/>
    <row r="31" spans="2:10" ht="22.05" customHeight="1" x14ac:dyDescent="0.5">
      <c r="B31" s="7" t="s">
        <v>152</v>
      </c>
      <c r="C31" s="8"/>
      <c r="D31" s="8"/>
      <c r="E31" s="8"/>
      <c r="F31" s="8"/>
      <c r="G31" s="8"/>
      <c r="H31" s="8"/>
      <c r="I31" s="8"/>
      <c r="J31" s="8"/>
    </row>
    <row r="32" spans="2:10" ht="18" customHeight="1" x14ac:dyDescent="0.45">
      <c r="B32" s="13" t="s">
        <v>153</v>
      </c>
    </row>
    <row r="33" spans="2:10" ht="18" customHeight="1" x14ac:dyDescent="0.45">
      <c r="B33" s="24" t="s">
        <v>111</v>
      </c>
      <c r="C33" s="24" t="s">
        <v>112</v>
      </c>
      <c r="D33" s="25" t="s">
        <v>113</v>
      </c>
      <c r="E33" s="24" t="s">
        <v>114</v>
      </c>
      <c r="F33" s="5"/>
      <c r="G33" s="5"/>
      <c r="H33" s="5"/>
      <c r="I33" s="5"/>
      <c r="J33" s="24" t="s">
        <v>115</v>
      </c>
    </row>
    <row r="34" spans="2:10" x14ac:dyDescent="0.45">
      <c r="B34" s="26" t="s">
        <v>139</v>
      </c>
      <c r="C34" s="27" t="s">
        <v>154</v>
      </c>
      <c r="D34" s="36">
        <v>160</v>
      </c>
      <c r="E34" s="27" t="s">
        <v>118</v>
      </c>
      <c r="F34" s="29"/>
      <c r="G34" s="29"/>
      <c r="H34" s="29"/>
      <c r="I34" s="29"/>
      <c r="J34" s="30" t="s">
        <v>155</v>
      </c>
    </row>
    <row r="35" spans="2:10" x14ac:dyDescent="0.45">
      <c r="B35" s="26" t="s">
        <v>142</v>
      </c>
      <c r="C35" s="27" t="s">
        <v>154</v>
      </c>
      <c r="D35" s="36">
        <v>150</v>
      </c>
      <c r="E35" s="27" t="s">
        <v>118</v>
      </c>
      <c r="F35" s="29"/>
      <c r="G35" s="29"/>
      <c r="H35" s="29"/>
      <c r="I35" s="29"/>
      <c r="J35" s="30" t="s">
        <v>156</v>
      </c>
    </row>
    <row r="36" spans="2:10" x14ac:dyDescent="0.45">
      <c r="B36" s="26" t="s">
        <v>144</v>
      </c>
      <c r="C36" s="27" t="s">
        <v>154</v>
      </c>
      <c r="D36" s="36">
        <v>65</v>
      </c>
      <c r="E36" s="27" t="s">
        <v>118</v>
      </c>
      <c r="F36" s="29"/>
      <c r="G36" s="29"/>
      <c r="H36" s="29"/>
      <c r="I36" s="29"/>
      <c r="J36" s="30" t="s">
        <v>157</v>
      </c>
    </row>
    <row r="37" spans="2:10" x14ac:dyDescent="0.45">
      <c r="B37" s="26" t="s">
        <v>146</v>
      </c>
      <c r="C37" s="27" t="s">
        <v>154</v>
      </c>
      <c r="D37" s="36">
        <v>70</v>
      </c>
      <c r="E37" s="27" t="s">
        <v>118</v>
      </c>
      <c r="F37" s="29"/>
      <c r="G37" s="29"/>
      <c r="H37" s="29"/>
      <c r="I37" s="29"/>
      <c r="J37" s="30" t="s">
        <v>158</v>
      </c>
    </row>
    <row r="38" spans="2:10" x14ac:dyDescent="0.45">
      <c r="B38" s="26" t="s">
        <v>148</v>
      </c>
      <c r="C38" s="27" t="s">
        <v>154</v>
      </c>
      <c r="D38" s="36">
        <v>55</v>
      </c>
      <c r="E38" s="27" t="s">
        <v>118</v>
      </c>
      <c r="F38" s="29"/>
      <c r="G38" s="29"/>
      <c r="H38" s="29"/>
      <c r="I38" s="29"/>
      <c r="J38" s="30" t="s">
        <v>159</v>
      </c>
    </row>
    <row r="39" spans="2:10" x14ac:dyDescent="0.45">
      <c r="B39" s="26" t="s">
        <v>150</v>
      </c>
      <c r="C39" s="27" t="s">
        <v>154</v>
      </c>
      <c r="D39" s="36">
        <v>140</v>
      </c>
      <c r="E39" s="27" t="s">
        <v>118</v>
      </c>
      <c r="F39" s="29"/>
      <c r="G39" s="29"/>
      <c r="H39" s="29"/>
      <c r="I39" s="29"/>
      <c r="J39" s="30" t="s">
        <v>160</v>
      </c>
    </row>
    <row r="40" spans="2:10" ht="8" customHeight="1" x14ac:dyDescent="0.45"/>
  </sheetData>
  <mergeCells count="1">
    <mergeCell ref="B6:J6"/>
  </mergeCells>
  <conditionalFormatting sqref="I19">
    <cfRule type="expression" dxfId="8" priority="1">
      <formula>LEFT($I19,1)="✗"</formula>
    </cfRule>
  </conditionalFormatting>
  <dataValidations count="4">
    <dataValidation type="whole" showErrorMessage="1" errorTitle="Whole number" error="Enter a whole number." sqref="D12" xr:uid="{00000000-0002-0000-0100-000000000000}">
      <formula1>0</formula1>
      <formula2>1000000</formula2>
    </dataValidation>
    <dataValidation type="decimal" showErrorMessage="1" errorTitle="Probability" error="Enter a value between 0% and 100%." sqref="D13 D24:D29 D18" xr:uid="{00000000-0002-0000-0100-000001000000}">
      <formula1>0</formula1>
      <formula2>1</formula2>
    </dataValidation>
    <dataValidation type="custom" showErrorMessage="1" errorTitle="PERT range" error="Low must be below High, with Most likely between them." sqref="F19:H19" xr:uid="{00000000-0002-0000-0100-000003000000}">
      <formula1>AND($F19&lt;=$G19,$G19&lt;=$H19,$F19&lt;$H19)</formula1>
    </dataValidation>
    <dataValidation type="decimal" operator="greaterThan" showErrorMessage="1" errorTitle="Positive value" error="Enter a value greater than zero." sqref="D34:D39" xr:uid="{00000000-0002-0000-0100-00000A000000}">
      <formula1>0</formula1>
    </dataValidation>
  </dataValidations>
  <hyperlinks>
    <hyperlink ref="B4" location="'About'!A1" display="◂  About" xr:uid="{00000000-0004-0000-0100-000000000000}"/>
    <hyperlink ref="J4" location="'Decisions'!A1" display="Next:  Decisions  ▸" xr:uid="{00000000-0004-0000-0100-000001000000}"/>
  </hyperlinks>
  <printOptions horizontalCentered="1"/>
  <pageMargins left="0.4" right="0.4" top="0.5" bottom="0.6" header="0.25" footer="0.25"/>
  <pageSetup paperSize="9" fitToHeight="0" orientation="landscape"/>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E0A800"/>
    <pageSetUpPr fitToPage="1"/>
  </sheetPr>
  <dimension ref="A1:I34"/>
  <sheetViews>
    <sheetView showGridLines="0" workbookViewId="0">
      <pane ySplit="5" topLeftCell="A6" activePane="bottomLeft" state="frozen"/>
      <selection pane="bottomLeft"/>
    </sheetView>
  </sheetViews>
  <sheetFormatPr defaultRowHeight="14.25" x14ac:dyDescent="0.45"/>
  <cols>
    <col min="1" max="1" width="2" customWidth="1"/>
    <col min="2" max="2" width="42" customWidth="1"/>
    <col min="3" max="3" width="16" customWidth="1"/>
    <col min="4" max="5" width="13" customWidth="1"/>
    <col min="6" max="7" width="11" customWidth="1"/>
    <col min="8" max="8" width="15" customWidth="1"/>
    <col min="9" max="9" width="52" customWidth="1"/>
    <col min="11" max="11" width="9.06640625" customWidth="1"/>
  </cols>
  <sheetData>
    <row r="1" spans="1:9" ht="6" customHeight="1" x14ac:dyDescent="0.45"/>
    <row r="2" spans="1:9" ht="30" customHeight="1" x14ac:dyDescent="0.45">
      <c r="A2" s="1"/>
      <c r="B2" s="22" t="s">
        <v>0</v>
      </c>
      <c r="C2" s="1"/>
      <c r="D2" s="1"/>
      <c r="E2" s="1"/>
      <c r="F2" s="1"/>
      <c r="G2" s="1"/>
      <c r="H2" s="1"/>
      <c r="I2" s="3" t="s">
        <v>1</v>
      </c>
    </row>
    <row r="3" spans="1:9" ht="20" customHeight="1" x14ac:dyDescent="0.45">
      <c r="A3" s="1"/>
      <c r="B3" s="4" t="s">
        <v>161</v>
      </c>
      <c r="C3" s="1"/>
      <c r="D3" s="1"/>
      <c r="E3" s="1"/>
      <c r="F3" s="1"/>
      <c r="G3" s="1"/>
      <c r="H3" s="1"/>
      <c r="I3" s="1"/>
    </row>
    <row r="4" spans="1:9" ht="20" customHeight="1" x14ac:dyDescent="0.45">
      <c r="A4" s="5"/>
      <c r="B4" s="23" t="s">
        <v>162</v>
      </c>
      <c r="C4" s="5"/>
      <c r="D4" s="5"/>
      <c r="E4" s="5"/>
      <c r="F4" s="5"/>
      <c r="G4" s="5"/>
      <c r="H4" s="5"/>
      <c r="I4" s="6" t="s">
        <v>163</v>
      </c>
    </row>
    <row r="5" spans="1:9" ht="8" customHeight="1" x14ac:dyDescent="0.45"/>
    <row r="6" spans="1:9" ht="30" customHeight="1" x14ac:dyDescent="0.45">
      <c r="B6" s="83" t="s">
        <v>164</v>
      </c>
      <c r="C6" s="81"/>
      <c r="D6" s="81"/>
      <c r="E6" s="81"/>
      <c r="F6" s="81"/>
      <c r="G6" s="81"/>
      <c r="H6" s="81"/>
      <c r="I6" s="81"/>
    </row>
    <row r="7" spans="1:9" ht="6" customHeight="1" x14ac:dyDescent="0.45"/>
    <row r="8" spans="1:9" ht="22.05" customHeight="1" x14ac:dyDescent="0.5">
      <c r="B8" s="7" t="s">
        <v>165</v>
      </c>
      <c r="C8" s="8"/>
      <c r="D8" s="8"/>
      <c r="E8" s="8"/>
      <c r="F8" s="8"/>
      <c r="G8" s="8"/>
      <c r="H8" s="8"/>
      <c r="I8" s="8"/>
    </row>
    <row r="9" spans="1:9" ht="18" customHeight="1" x14ac:dyDescent="0.45">
      <c r="B9" s="13" t="s">
        <v>166</v>
      </c>
    </row>
    <row r="10" spans="1:9" ht="18" customHeight="1" x14ac:dyDescent="0.45">
      <c r="B10" s="37" t="s">
        <v>54</v>
      </c>
      <c r="C10" s="37" t="s">
        <v>112</v>
      </c>
      <c r="D10" s="38" t="s">
        <v>167</v>
      </c>
      <c r="E10" s="38" t="s">
        <v>168</v>
      </c>
      <c r="F10" s="38" t="s">
        <v>169</v>
      </c>
      <c r="G10" s="38" t="s">
        <v>170</v>
      </c>
      <c r="H10" s="37" t="s">
        <v>171</v>
      </c>
      <c r="I10" s="37" t="s">
        <v>172</v>
      </c>
    </row>
    <row r="11" spans="1:9" x14ac:dyDescent="0.45">
      <c r="B11" s="26" t="s">
        <v>173</v>
      </c>
      <c r="C11" s="27" t="s">
        <v>174</v>
      </c>
      <c r="D11" s="39">
        <v>0</v>
      </c>
      <c r="E11" s="31">
        <v>0</v>
      </c>
      <c r="F11" s="40">
        <v>0</v>
      </c>
      <c r="G11" s="40">
        <v>1</v>
      </c>
      <c r="H11" s="27" t="s">
        <v>175</v>
      </c>
      <c r="I11" s="27" t="str">
        <f>"Saves "&amp;TEXT(Save_A,"0%")&amp;" of the design time, for US$"&amp;TEXT(Cost_A,"#,##0")&amp;"k  (Inputs sheet)"</f>
        <v>Saves 10% of the design time, for US$160k  (Inputs sheet)</v>
      </c>
    </row>
    <row r="12" spans="1:9" x14ac:dyDescent="0.45">
      <c r="B12" s="26" t="s">
        <v>176</v>
      </c>
      <c r="C12" s="27" t="s">
        <v>174</v>
      </c>
      <c r="D12" s="39">
        <v>0</v>
      </c>
      <c r="E12" s="31">
        <v>0</v>
      </c>
      <c r="F12" s="40">
        <v>0</v>
      </c>
      <c r="G12" s="40">
        <v>1</v>
      </c>
      <c r="H12" s="27" t="s">
        <v>175</v>
      </c>
      <c r="I12" s="27" t="str">
        <f>"Saves "&amp;TEXT(Save_C,"0%")&amp;" of the demolition time, for US$"&amp;TEXT(Cost_C,"#,##0")&amp;"k  (Inputs sheet)"</f>
        <v>Saves 25% of the demolition time, for US$150k  (Inputs sheet)</v>
      </c>
    </row>
    <row r="13" spans="1:9" x14ac:dyDescent="0.45">
      <c r="B13" s="26" t="s">
        <v>177</v>
      </c>
      <c r="C13" s="27" t="s">
        <v>174</v>
      </c>
      <c r="D13" s="39">
        <v>1</v>
      </c>
      <c r="E13" s="31">
        <v>0</v>
      </c>
      <c r="F13" s="40">
        <v>0</v>
      </c>
      <c r="G13" s="40">
        <v>1</v>
      </c>
      <c r="H13" s="27" t="s">
        <v>175</v>
      </c>
      <c r="I13" s="27" t="str">
        <f>"Saves "&amp;TEXT(Save_D,"0%")&amp;" of the piling time, for US$"&amp;TEXT(Cost_D,"#,##0")&amp;"k  (Inputs sheet)"</f>
        <v>Saves 20% of the piling time, for US$65k  (Inputs sheet)</v>
      </c>
    </row>
    <row r="14" spans="1:9" x14ac:dyDescent="0.45">
      <c r="B14" s="26" t="s">
        <v>178</v>
      </c>
      <c r="C14" s="27" t="s">
        <v>174</v>
      </c>
      <c r="D14" s="39">
        <v>1</v>
      </c>
      <c r="E14" s="31">
        <v>0</v>
      </c>
      <c r="F14" s="40">
        <v>0</v>
      </c>
      <c r="G14" s="40">
        <v>1</v>
      </c>
      <c r="H14" s="27" t="s">
        <v>175</v>
      </c>
      <c r="I14" s="27" t="str">
        <f>"Saves "&amp;TEXT(Save_E,"0%")&amp;" of the piling time, for US$"&amp;TEXT(Cost_E,"#,##0")&amp;"k  (Inputs sheet)"</f>
        <v>Saves 20% of the piling time, for US$70k  (Inputs sheet)</v>
      </c>
    </row>
    <row r="15" spans="1:9" x14ac:dyDescent="0.45">
      <c r="B15" s="26" t="s">
        <v>179</v>
      </c>
      <c r="C15" s="27" t="s">
        <v>174</v>
      </c>
      <c r="D15" s="39">
        <v>1</v>
      </c>
      <c r="E15" s="31">
        <v>0</v>
      </c>
      <c r="F15" s="40">
        <v>0</v>
      </c>
      <c r="G15" s="40">
        <v>1</v>
      </c>
      <c r="H15" s="27" t="s">
        <v>175</v>
      </c>
      <c r="I15" s="27" t="str">
        <f>"Saves "&amp;TEXT(Save_F,"0%")&amp;" of the pier work, for US$"&amp;TEXT(Cost_F,"#,##0")&amp;"k  (Inputs sheet)"</f>
        <v>Saves 25% of the pier work, for US$55k  (Inputs sheet)</v>
      </c>
    </row>
    <row r="16" spans="1:9" x14ac:dyDescent="0.45">
      <c r="B16" s="26" t="s">
        <v>180</v>
      </c>
      <c r="C16" s="27" t="s">
        <v>174</v>
      </c>
      <c r="D16" s="39">
        <v>0</v>
      </c>
      <c r="E16" s="31">
        <v>0</v>
      </c>
      <c r="F16" s="40">
        <v>0</v>
      </c>
      <c r="G16" s="40">
        <v>1</v>
      </c>
      <c r="H16" s="27" t="s">
        <v>175</v>
      </c>
      <c r="I16" s="27" t="str">
        <f>"Saves "&amp;TEXT(Save_K,"0%")&amp;" of the deck work, for US$"&amp;TEXT(Cost_K,"#,##0")&amp;"k  (Inputs sheet)"</f>
        <v>Saves 20% of the deck work, for US$140k  (Inputs sheet)</v>
      </c>
    </row>
    <row r="17" spans="2:9" ht="8" customHeight="1" x14ac:dyDescent="0.45"/>
    <row r="18" spans="2:9" ht="22.05" customHeight="1" x14ac:dyDescent="0.5">
      <c r="B18" s="7" t="s">
        <v>181</v>
      </c>
      <c r="C18" s="8"/>
      <c r="D18" s="8"/>
      <c r="E18" s="8"/>
      <c r="F18" s="8"/>
      <c r="G18" s="8"/>
      <c r="H18" s="8"/>
      <c r="I18" s="8"/>
    </row>
    <row r="19" spans="2:9" ht="18" customHeight="1" x14ac:dyDescent="0.45">
      <c r="B19" s="13" t="s">
        <v>182</v>
      </c>
    </row>
    <row r="20" spans="2:9" ht="18" customHeight="1" x14ac:dyDescent="0.45">
      <c r="B20" s="37"/>
      <c r="C20" s="37" t="s">
        <v>183</v>
      </c>
      <c r="D20" s="5"/>
      <c r="E20" s="5"/>
      <c r="F20" s="5"/>
      <c r="G20" s="38" t="s">
        <v>184</v>
      </c>
      <c r="H20" s="5"/>
      <c r="I20" s="37" t="s">
        <v>185</v>
      </c>
    </row>
    <row r="21" spans="2:9" x14ac:dyDescent="0.45">
      <c r="B21" s="41" t="s">
        <v>186</v>
      </c>
      <c r="C21" s="84" t="s">
        <v>187</v>
      </c>
      <c r="D21" s="85"/>
      <c r="E21" s="85"/>
      <c r="F21" s="85"/>
      <c r="G21" s="29"/>
      <c r="H21" s="29"/>
      <c r="I21" s="27" t="s">
        <v>188</v>
      </c>
    </row>
    <row r="22" spans="2:9" x14ac:dyDescent="0.45">
      <c r="B22" s="26" t="s">
        <v>189</v>
      </c>
      <c r="C22" s="84" t="s">
        <v>190</v>
      </c>
      <c r="D22" s="85"/>
      <c r="E22" s="85"/>
      <c r="F22" s="85"/>
      <c r="G22" s="42">
        <f>ConfTarget</f>
        <v>0.8</v>
      </c>
      <c r="H22" s="29"/>
      <c r="I22" s="27" t="s">
        <v>191</v>
      </c>
    </row>
    <row r="23" spans="2:9" ht="8" customHeight="1" x14ac:dyDescent="0.45"/>
    <row r="24" spans="2:9" ht="22.05" customHeight="1" x14ac:dyDescent="0.5">
      <c r="B24" s="7" t="s">
        <v>192</v>
      </c>
      <c r="C24" s="8"/>
      <c r="D24" s="8"/>
      <c r="E24" s="8"/>
      <c r="F24" s="8"/>
      <c r="G24" s="8"/>
      <c r="H24" s="8"/>
      <c r="I24" s="8"/>
    </row>
    <row r="25" spans="2:9" ht="18" customHeight="1" x14ac:dyDescent="0.45">
      <c r="B25" s="13" t="s">
        <v>193</v>
      </c>
    </row>
    <row r="26" spans="2:9" x14ac:dyDescent="0.45">
      <c r="B26" s="26" t="s">
        <v>194</v>
      </c>
      <c r="C26" s="29"/>
      <c r="D26" s="86" t="s">
        <v>382</v>
      </c>
      <c r="E26" s="29"/>
      <c r="F26" s="29"/>
      <c r="G26" s="29"/>
      <c r="H26" s="29"/>
      <c r="I26" s="29"/>
    </row>
    <row r="27" spans="2:9" x14ac:dyDescent="0.45">
      <c r="B27" s="26" t="s">
        <v>196</v>
      </c>
      <c r="C27" s="29"/>
      <c r="D27" s="43" t="s">
        <v>381</v>
      </c>
      <c r="E27" s="29"/>
      <c r="F27" s="29"/>
      <c r="G27" s="29"/>
      <c r="H27" s="29"/>
      <c r="I27" s="29"/>
    </row>
    <row r="28" spans="2:9" x14ac:dyDescent="0.45">
      <c r="B28" s="26" t="s">
        <v>197</v>
      </c>
      <c r="C28" s="29"/>
      <c r="D28" s="44">
        <v>64</v>
      </c>
      <c r="E28" s="29"/>
      <c r="F28" s="29"/>
      <c r="G28" s="29"/>
      <c r="H28" s="29"/>
      <c r="I28" s="29"/>
    </row>
    <row r="29" spans="2:9" x14ac:dyDescent="0.45">
      <c r="B29" s="26" t="s">
        <v>198</v>
      </c>
      <c r="C29" s="29"/>
      <c r="D29" s="44">
        <v>10000</v>
      </c>
      <c r="E29" s="29"/>
      <c r="F29" s="29"/>
      <c r="G29" s="29"/>
      <c r="H29" s="29"/>
      <c r="I29" s="29"/>
    </row>
    <row r="30" spans="2:9" x14ac:dyDescent="0.45">
      <c r="B30" s="26" t="s">
        <v>199</v>
      </c>
      <c r="C30" s="29"/>
      <c r="D30" s="45">
        <v>8</v>
      </c>
      <c r="E30" s="29"/>
      <c r="F30" s="29"/>
      <c r="G30" s="29"/>
      <c r="H30" s="29"/>
      <c r="I30" s="29"/>
    </row>
    <row r="31" spans="2:9" x14ac:dyDescent="0.45">
      <c r="B31" s="26" t="s">
        <v>200</v>
      </c>
      <c r="C31" s="29"/>
      <c r="D31" s="43" t="s">
        <v>379</v>
      </c>
      <c r="E31" s="29"/>
      <c r="F31" s="29"/>
      <c r="G31" s="29"/>
      <c r="H31" s="29"/>
      <c r="I31" s="29"/>
    </row>
    <row r="32" spans="2:9" x14ac:dyDescent="0.45">
      <c r="B32" s="26" t="s">
        <v>201</v>
      </c>
      <c r="C32" s="29"/>
      <c r="D32" s="43" t="s">
        <v>380</v>
      </c>
      <c r="E32" s="29"/>
      <c r="F32" s="29"/>
      <c r="G32" s="29"/>
      <c r="H32" s="29"/>
      <c r="I32" s="29"/>
    </row>
    <row r="33" spans="2:9" x14ac:dyDescent="0.45">
      <c r="B33" s="26" t="s">
        <v>202</v>
      </c>
      <c r="C33" s="29"/>
      <c r="D33" s="46">
        <v>190</v>
      </c>
      <c r="E33" s="29"/>
      <c r="F33" s="29"/>
      <c r="G33" s="29"/>
      <c r="H33" s="29"/>
      <c r="I33" s="29"/>
    </row>
    <row r="34" spans="2:9" ht="14" customHeight="1" x14ac:dyDescent="0.45"/>
  </sheetData>
  <mergeCells count="3">
    <mergeCell ref="C22:F22"/>
    <mergeCell ref="C21:F21"/>
    <mergeCell ref="B6:I6"/>
  </mergeCells>
  <dataValidations count="1">
    <dataValidation type="whole" showErrorMessage="1" errorTitle="Decision" error="Enter a whole number from 0 to 1." sqref="D11:E16" xr:uid="{00000000-0002-0000-0200-000000000000}">
      <formula1>0</formula1>
      <formula2>1</formula2>
    </dataValidation>
  </dataValidations>
  <hyperlinks>
    <hyperlink ref="B4" location="'Inputs'!A1" display="◂  Inputs" xr:uid="{00000000-0004-0000-0200-000000000000}"/>
    <hyperlink ref="I4" location="'Network'!A1" display="Next:  Network  ▸" xr:uid="{00000000-0004-0000-0200-000001000000}"/>
  </hyperlinks>
  <printOptions horizontalCentered="1"/>
  <pageMargins left="0.4" right="0.4" top="0.5" bottom="0.6" header="0.25" footer="0.25"/>
  <pageSetup paperSize="9" fitToHeight="0" orientation="landscape"/>
  <headerFooter>
    <oddFooter>&amp;L&amp;K3F5876&amp;8&amp;F · &amp;A&amp;R&amp;K3F5876&amp;8Page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8AA0BA"/>
    <pageSetUpPr fitToPage="1"/>
  </sheetPr>
  <dimension ref="A1:O145"/>
  <sheetViews>
    <sheetView showGridLines="0" workbookViewId="0"/>
  </sheetViews>
  <sheetFormatPr defaultRowHeight="14.25" x14ac:dyDescent="0.45"/>
  <cols>
    <col min="1" max="1" width="2" customWidth="1"/>
    <col min="2" max="2" width="5" customWidth="1"/>
    <col min="3" max="3" width="36" customWidth="1"/>
    <col min="4" max="4" width="11" customWidth="1"/>
    <col min="5" max="5" width="10.46484375" customWidth="1"/>
    <col min="6" max="10" width="9" customWidth="1"/>
    <col min="11" max="13" width="8" customWidth="1"/>
    <col min="14" max="14" width="2" customWidth="1"/>
    <col min="15" max="15" width="52" customWidth="1"/>
  </cols>
  <sheetData>
    <row r="1" spans="1:15" ht="6" customHeight="1" x14ac:dyDescent="0.45"/>
    <row r="2" spans="1:15" ht="30" customHeight="1" x14ac:dyDescent="0.45">
      <c r="A2" s="1"/>
      <c r="B2" s="22" t="s">
        <v>0</v>
      </c>
      <c r="C2" s="1"/>
      <c r="D2" s="1"/>
      <c r="E2" s="1"/>
      <c r="F2" s="1"/>
      <c r="G2" s="1"/>
      <c r="H2" s="1"/>
      <c r="I2" s="1"/>
      <c r="J2" s="1"/>
      <c r="K2" s="1"/>
      <c r="L2" s="1"/>
      <c r="M2" s="1"/>
      <c r="N2" s="1"/>
      <c r="O2" s="3" t="s">
        <v>1</v>
      </c>
    </row>
    <row r="3" spans="1:15" ht="20" customHeight="1" x14ac:dyDescent="0.45">
      <c r="A3" s="1"/>
      <c r="B3" s="4" t="s">
        <v>203</v>
      </c>
      <c r="C3" s="1"/>
      <c r="D3" s="1"/>
      <c r="E3" s="1"/>
      <c r="F3" s="1"/>
      <c r="G3" s="1"/>
      <c r="H3" s="1"/>
      <c r="I3" s="1"/>
      <c r="J3" s="1"/>
      <c r="K3" s="1"/>
      <c r="L3" s="1"/>
      <c r="M3" s="1"/>
      <c r="N3" s="1"/>
      <c r="O3" s="1"/>
    </row>
    <row r="4" spans="1:15" ht="20" customHeight="1" x14ac:dyDescent="0.45">
      <c r="A4" s="5"/>
      <c r="B4" s="23" t="s">
        <v>204</v>
      </c>
      <c r="C4" s="5"/>
      <c r="D4" s="5"/>
      <c r="E4" s="5"/>
      <c r="F4" s="5"/>
      <c r="G4" s="5"/>
      <c r="H4" s="5"/>
      <c r="I4" s="5"/>
      <c r="J4" s="5"/>
      <c r="K4" s="5"/>
      <c r="L4" s="5"/>
      <c r="M4" s="5"/>
      <c r="N4" s="5"/>
      <c r="O4" s="6" t="s">
        <v>205</v>
      </c>
    </row>
    <row r="5" spans="1:15" ht="8" customHeight="1" x14ac:dyDescent="0.45"/>
    <row r="6" spans="1:15" ht="22.05" customHeight="1" x14ac:dyDescent="0.5">
      <c r="B6" s="7" t="s">
        <v>206</v>
      </c>
      <c r="C6" s="8"/>
      <c r="D6" s="8"/>
      <c r="E6" s="8"/>
      <c r="F6" s="8"/>
      <c r="G6" s="8"/>
      <c r="H6" s="8"/>
      <c r="I6" s="8"/>
      <c r="J6" s="8"/>
      <c r="K6" s="8"/>
      <c r="L6" s="8"/>
      <c r="M6" s="8"/>
      <c r="N6" s="8"/>
      <c r="O6" s="8"/>
    </row>
    <row r="7" spans="1:15" ht="18" customHeight="1" x14ac:dyDescent="0.45">
      <c r="B7" s="13" t="s">
        <v>207</v>
      </c>
    </row>
    <row r="8" spans="1:15" ht="18" customHeight="1" x14ac:dyDescent="0.45">
      <c r="B8" s="47" t="s">
        <v>208</v>
      </c>
      <c r="C8" s="47" t="s">
        <v>209</v>
      </c>
      <c r="D8" s="47" t="s">
        <v>210</v>
      </c>
      <c r="E8" s="47" t="s">
        <v>211</v>
      </c>
      <c r="F8" s="48"/>
      <c r="G8" s="48"/>
      <c r="H8" s="49" t="s">
        <v>131</v>
      </c>
      <c r="I8" s="49" t="s">
        <v>212</v>
      </c>
      <c r="J8" s="48"/>
      <c r="K8" s="48"/>
      <c r="L8" s="48"/>
      <c r="M8" s="48"/>
      <c r="N8" s="48"/>
      <c r="O8" s="47" t="s">
        <v>213</v>
      </c>
    </row>
    <row r="9" spans="1:15" x14ac:dyDescent="0.45">
      <c r="B9" s="50"/>
      <c r="C9" s="50"/>
      <c r="D9" s="50" t="s">
        <v>214</v>
      </c>
      <c r="E9" s="50" t="s">
        <v>128</v>
      </c>
      <c r="F9" s="50" t="s">
        <v>129</v>
      </c>
      <c r="G9" s="50" t="s">
        <v>130</v>
      </c>
      <c r="H9" s="50" t="s">
        <v>215</v>
      </c>
      <c r="I9" s="50" t="s">
        <v>216</v>
      </c>
      <c r="J9" s="50"/>
      <c r="K9" s="50"/>
      <c r="L9" s="50"/>
      <c r="M9" s="50"/>
      <c r="N9" s="50"/>
      <c r="O9" s="50"/>
    </row>
    <row r="10" spans="1:15" x14ac:dyDescent="0.45">
      <c r="B10" s="41" t="s">
        <v>217</v>
      </c>
      <c r="C10" s="26" t="s">
        <v>218</v>
      </c>
      <c r="D10" s="27" t="s">
        <v>195</v>
      </c>
      <c r="E10" s="36">
        <v>8</v>
      </c>
      <c r="F10" s="36">
        <v>10</v>
      </c>
      <c r="G10" s="36">
        <v>16</v>
      </c>
      <c r="H10" s="35" cm="1">
        <f t="array" ref="H10">_xll.VoseMean(_xll.VosePERTObject(E10,F10,G10))</f>
        <v>10.666666666666666</v>
      </c>
      <c r="I10" s="42">
        <f>Save_A</f>
        <v>0.1</v>
      </c>
      <c r="J10" s="29"/>
      <c r="K10" s="29"/>
      <c r="L10" s="29"/>
      <c r="M10" s="29"/>
      <c r="N10" s="29"/>
      <c r="O10" s="27" t="s">
        <v>219</v>
      </c>
    </row>
    <row r="11" spans="1:15" x14ac:dyDescent="0.45">
      <c r="B11" s="41" t="s">
        <v>220</v>
      </c>
      <c r="C11" s="26" t="s">
        <v>221</v>
      </c>
      <c r="D11" s="27" t="s">
        <v>217</v>
      </c>
      <c r="E11" s="36">
        <v>2</v>
      </c>
      <c r="F11" s="36">
        <v>3</v>
      </c>
      <c r="G11" s="36">
        <v>5</v>
      </c>
      <c r="H11" s="35" cm="1">
        <f t="array" ref="H11">_xll.VoseMean(_xll.VosePERTObject(E11,F11,G11))</f>
        <v>3.1666666666666665</v>
      </c>
      <c r="I11" s="51" t="s">
        <v>195</v>
      </c>
      <c r="J11" s="29"/>
      <c r="K11" s="29"/>
      <c r="L11" s="29"/>
      <c r="M11" s="29"/>
      <c r="N11" s="29"/>
      <c r="O11" s="27" t="s">
        <v>222</v>
      </c>
    </row>
    <row r="12" spans="1:15" x14ac:dyDescent="0.45">
      <c r="B12" s="41" t="s">
        <v>223</v>
      </c>
      <c r="C12" s="26" t="s">
        <v>224</v>
      </c>
      <c r="D12" s="27" t="s">
        <v>220</v>
      </c>
      <c r="E12" s="36">
        <v>3</v>
      </c>
      <c r="F12" s="36">
        <v>4</v>
      </c>
      <c r="G12" s="36">
        <v>7</v>
      </c>
      <c r="H12" s="35" cm="1">
        <f t="array" ref="H12">_xll.VoseMean(_xll.VosePERTObject(E12,F12,G12))</f>
        <v>4.333333333333333</v>
      </c>
      <c r="I12" s="42">
        <f>Save_C</f>
        <v>0.25</v>
      </c>
      <c r="J12" s="29"/>
      <c r="K12" s="29"/>
      <c r="L12" s="29"/>
      <c r="M12" s="29"/>
      <c r="N12" s="29"/>
      <c r="O12" s="27" t="s">
        <v>225</v>
      </c>
    </row>
    <row r="13" spans="1:15" x14ac:dyDescent="0.45">
      <c r="B13" s="41" t="s">
        <v>226</v>
      </c>
      <c r="C13" s="26" t="s">
        <v>227</v>
      </c>
      <c r="D13" s="27" t="s">
        <v>223</v>
      </c>
      <c r="E13" s="36">
        <v>5</v>
      </c>
      <c r="F13" s="36">
        <v>7</v>
      </c>
      <c r="G13" s="36">
        <v>11</v>
      </c>
      <c r="H13" s="35" cm="1">
        <f t="array" ref="H13">_xll.VoseMean(_xll.VosePERTObject(E13,F13,G13))</f>
        <v>7.333333333333333</v>
      </c>
      <c r="I13" s="42">
        <f>Save_D</f>
        <v>0.2</v>
      </c>
      <c r="J13" s="29"/>
      <c r="K13" s="29"/>
      <c r="L13" s="29"/>
      <c r="M13" s="29"/>
      <c r="N13" s="29"/>
      <c r="O13" s="27" t="s">
        <v>228</v>
      </c>
    </row>
    <row r="14" spans="1:15" x14ac:dyDescent="0.45">
      <c r="B14" s="41" t="s">
        <v>229</v>
      </c>
      <c r="C14" s="26" t="s">
        <v>230</v>
      </c>
      <c r="D14" s="27" t="s">
        <v>223</v>
      </c>
      <c r="E14" s="36">
        <v>5</v>
      </c>
      <c r="F14" s="36">
        <v>7</v>
      </c>
      <c r="G14" s="36">
        <v>12</v>
      </c>
      <c r="H14" s="35" cm="1">
        <f t="array" ref="H14">_xll.VoseMean(_xll.VosePERTObject(E14,F14,G14))</f>
        <v>7.5</v>
      </c>
      <c r="I14" s="42">
        <f>Save_E</f>
        <v>0.2</v>
      </c>
      <c r="J14" s="29"/>
      <c r="K14" s="29"/>
      <c r="L14" s="29"/>
      <c r="M14" s="29"/>
      <c r="N14" s="29"/>
      <c r="O14" s="27" t="s">
        <v>231</v>
      </c>
    </row>
    <row r="15" spans="1:15" x14ac:dyDescent="0.45">
      <c r="B15" s="41" t="s">
        <v>232</v>
      </c>
      <c r="C15" s="26" t="s">
        <v>233</v>
      </c>
      <c r="D15" s="27" t="s">
        <v>223</v>
      </c>
      <c r="E15" s="36">
        <v>6</v>
      </c>
      <c r="F15" s="36">
        <v>9</v>
      </c>
      <c r="G15" s="36">
        <v>14</v>
      </c>
      <c r="H15" s="35" cm="1">
        <f t="array" ref="H15">_xll.VoseMean(_xll.VosePERTObject(E15,F15,G15))</f>
        <v>9.3333333333333339</v>
      </c>
      <c r="I15" s="42">
        <f>Save_F</f>
        <v>0.25</v>
      </c>
      <c r="J15" s="29"/>
      <c r="K15" s="29"/>
      <c r="L15" s="29"/>
      <c r="M15" s="29"/>
      <c r="N15" s="29"/>
      <c r="O15" s="27" t="s">
        <v>234</v>
      </c>
    </row>
    <row r="16" spans="1:15" x14ac:dyDescent="0.45">
      <c r="B16" s="41" t="s">
        <v>235</v>
      </c>
      <c r="C16" s="26" t="s">
        <v>236</v>
      </c>
      <c r="D16" s="27" t="s">
        <v>217</v>
      </c>
      <c r="E16" s="36">
        <v>10</v>
      </c>
      <c r="F16" s="36">
        <v>14</v>
      </c>
      <c r="G16" s="36">
        <v>20</v>
      </c>
      <c r="H16" s="35" cm="1">
        <f t="array" ref="H16">_xll.VoseMean(_xll.VosePERTObject(E16,F16,G16))</f>
        <v>14.333333333333334</v>
      </c>
      <c r="I16" s="51" t="s">
        <v>195</v>
      </c>
      <c r="J16" s="29"/>
      <c r="K16" s="29"/>
      <c r="L16" s="29"/>
      <c r="M16" s="29"/>
      <c r="N16" s="29"/>
      <c r="O16" s="27" t="s">
        <v>237</v>
      </c>
    </row>
    <row r="17" spans="2:15" x14ac:dyDescent="0.45">
      <c r="B17" s="41" t="s">
        <v>238</v>
      </c>
      <c r="C17" s="26" t="s">
        <v>239</v>
      </c>
      <c r="D17" s="27" t="s">
        <v>226</v>
      </c>
      <c r="E17" s="36">
        <v>3</v>
      </c>
      <c r="F17" s="36">
        <v>4</v>
      </c>
      <c r="G17" s="36">
        <v>6</v>
      </c>
      <c r="H17" s="35" cm="1">
        <f t="array" ref="H17">_xll.VoseMean(_xll.VosePERTObject(E17,F17,G17))</f>
        <v>4.166666666666667</v>
      </c>
      <c r="I17" s="51" t="s">
        <v>195</v>
      </c>
      <c r="J17" s="29"/>
      <c r="K17" s="29"/>
      <c r="L17" s="29"/>
      <c r="M17" s="29"/>
      <c r="N17" s="29"/>
      <c r="O17" s="27"/>
    </row>
    <row r="18" spans="2:15" x14ac:dyDescent="0.45">
      <c r="B18" s="41" t="s">
        <v>240</v>
      </c>
      <c r="C18" s="26" t="s">
        <v>241</v>
      </c>
      <c r="D18" s="27" t="s">
        <v>229</v>
      </c>
      <c r="E18" s="36">
        <v>3</v>
      </c>
      <c r="F18" s="36">
        <v>4</v>
      </c>
      <c r="G18" s="36">
        <v>6</v>
      </c>
      <c r="H18" s="35" cm="1">
        <f t="array" ref="H18">_xll.VoseMean(_xll.VosePERTObject(E18,F18,G18))</f>
        <v>4.166666666666667</v>
      </c>
      <c r="I18" s="51" t="s">
        <v>195</v>
      </c>
      <c r="J18" s="29"/>
      <c r="K18" s="29"/>
      <c r="L18" s="29"/>
      <c r="M18" s="29"/>
      <c r="N18" s="29"/>
      <c r="O18" s="27"/>
    </row>
    <row r="19" spans="2:15" x14ac:dyDescent="0.45">
      <c r="B19" s="41" t="s">
        <v>242</v>
      </c>
      <c r="C19" s="26" t="s">
        <v>243</v>
      </c>
      <c r="D19" s="27" t="s">
        <v>244</v>
      </c>
      <c r="E19" s="36">
        <v>2</v>
      </c>
      <c r="F19" s="36">
        <v>3</v>
      </c>
      <c r="G19" s="36">
        <v>5</v>
      </c>
      <c r="H19" s="35" cm="1">
        <f t="array" ref="H19">_xll.VoseMean(_xll.VosePERTObject(E19,F19,G19))</f>
        <v>3.1666666666666665</v>
      </c>
      <c r="I19" s="51" t="s">
        <v>195</v>
      </c>
      <c r="J19" s="29"/>
      <c r="K19" s="29"/>
      <c r="L19" s="29"/>
      <c r="M19" s="29"/>
      <c r="N19" s="29"/>
      <c r="O19" s="27" t="s">
        <v>245</v>
      </c>
    </row>
    <row r="20" spans="2:15" x14ac:dyDescent="0.45">
      <c r="B20" s="41" t="s">
        <v>246</v>
      </c>
      <c r="C20" s="26" t="s">
        <v>247</v>
      </c>
      <c r="D20" s="27" t="s">
        <v>242</v>
      </c>
      <c r="E20" s="36">
        <v>4</v>
      </c>
      <c r="F20" s="36">
        <v>5</v>
      </c>
      <c r="G20" s="36">
        <v>8</v>
      </c>
      <c r="H20" s="35" cm="1">
        <f t="array" ref="H20">_xll.VoseMean(_xll.VosePERTObject(E20,F20,G20))</f>
        <v>5.333333333333333</v>
      </c>
      <c r="I20" s="42">
        <f>Save_K</f>
        <v>0.2</v>
      </c>
      <c r="J20" s="29"/>
      <c r="K20" s="29"/>
      <c r="L20" s="29"/>
      <c r="M20" s="29"/>
      <c r="N20" s="29"/>
      <c r="O20" s="27"/>
    </row>
    <row r="21" spans="2:15" x14ac:dyDescent="0.45">
      <c r="B21" s="41" t="s">
        <v>248</v>
      </c>
      <c r="C21" s="26" t="s">
        <v>249</v>
      </c>
      <c r="D21" s="27" t="s">
        <v>246</v>
      </c>
      <c r="E21" s="36">
        <v>2</v>
      </c>
      <c r="F21" s="36">
        <v>3</v>
      </c>
      <c r="G21" s="36">
        <v>5</v>
      </c>
      <c r="H21" s="35" cm="1">
        <f t="array" ref="H21">_xll.VoseMean(_xll.VosePERTObject(E21,F21,G21))</f>
        <v>3.1666666666666665</v>
      </c>
      <c r="I21" s="51" t="s">
        <v>195</v>
      </c>
      <c r="J21" s="29"/>
      <c r="K21" s="29"/>
      <c r="L21" s="29"/>
      <c r="M21" s="29"/>
      <c r="N21" s="29"/>
      <c r="O21" s="27"/>
    </row>
    <row r="22" spans="2:15" x14ac:dyDescent="0.45">
      <c r="B22" s="41" t="s">
        <v>250</v>
      </c>
      <c r="C22" s="26" t="s">
        <v>251</v>
      </c>
      <c r="D22" s="27" t="s">
        <v>246</v>
      </c>
      <c r="E22" s="36">
        <v>2</v>
      </c>
      <c r="F22" s="36">
        <v>2</v>
      </c>
      <c r="G22" s="36">
        <v>4</v>
      </c>
      <c r="H22" s="35" cm="1">
        <f t="array" ref="H22">_xll.VoseMean(_xll.VosePERTObject(E22,F22,G22))</f>
        <v>2.3333333333333335</v>
      </c>
      <c r="I22" s="51" t="s">
        <v>195</v>
      </c>
      <c r="J22" s="29"/>
      <c r="K22" s="29"/>
      <c r="L22" s="29"/>
      <c r="M22" s="29"/>
      <c r="N22" s="29"/>
      <c r="O22" s="27"/>
    </row>
    <row r="23" spans="2:15" x14ac:dyDescent="0.45">
      <c r="B23" s="41" t="s">
        <v>252</v>
      </c>
      <c r="C23" s="26" t="s">
        <v>253</v>
      </c>
      <c r="D23" s="27" t="s">
        <v>220</v>
      </c>
      <c r="E23" s="36">
        <v>3</v>
      </c>
      <c r="F23" s="36">
        <v>4</v>
      </c>
      <c r="G23" s="36">
        <v>6</v>
      </c>
      <c r="H23" s="35" cm="1">
        <f t="array" ref="H23">_xll.VoseMean(_xll.VosePERTObject(E23,F23,G23))</f>
        <v>4.166666666666667</v>
      </c>
      <c r="I23" s="51" t="s">
        <v>195</v>
      </c>
      <c r="J23" s="29"/>
      <c r="K23" s="29"/>
      <c r="L23" s="29"/>
      <c r="M23" s="29"/>
      <c r="N23" s="29"/>
      <c r="O23" s="27" t="s">
        <v>254</v>
      </c>
    </row>
    <row r="24" spans="2:15" x14ac:dyDescent="0.45">
      <c r="B24" s="41" t="s">
        <v>255</v>
      </c>
      <c r="C24" s="26" t="s">
        <v>256</v>
      </c>
      <c r="D24" s="27" t="s">
        <v>257</v>
      </c>
      <c r="E24" s="36">
        <v>1</v>
      </c>
      <c r="F24" s="36">
        <v>1</v>
      </c>
      <c r="G24" s="36">
        <v>2</v>
      </c>
      <c r="H24" s="35" cm="1">
        <f t="array" ref="H24">_xll.VoseMean(_xll.VosePERTObject(E24,F24,G24))</f>
        <v>1.1666666666666667</v>
      </c>
      <c r="I24" s="51" t="s">
        <v>195</v>
      </c>
      <c r="J24" s="29"/>
      <c r="K24" s="29"/>
      <c r="L24" s="29"/>
      <c r="M24" s="29"/>
      <c r="N24" s="29"/>
      <c r="O24" s="27" t="s">
        <v>258</v>
      </c>
    </row>
    <row r="25" spans="2:15" ht="8" customHeight="1" x14ac:dyDescent="0.45"/>
    <row r="26" spans="2:15" ht="22.05" customHeight="1" x14ac:dyDescent="0.5">
      <c r="B26" s="7" t="s">
        <v>259</v>
      </c>
      <c r="C26" s="8"/>
      <c r="D26" s="8"/>
      <c r="E26" s="8"/>
      <c r="F26" s="8"/>
      <c r="G26" s="8"/>
      <c r="H26" s="8"/>
      <c r="I26" s="8"/>
      <c r="J26" s="8"/>
      <c r="K26" s="8"/>
      <c r="L26" s="8"/>
      <c r="M26" s="8"/>
      <c r="N26" s="8"/>
      <c r="O26" s="8"/>
    </row>
    <row r="27" spans="2:15" ht="18" customHeight="1" x14ac:dyDescent="0.45">
      <c r="B27" s="13" t="s">
        <v>260</v>
      </c>
    </row>
    <row r="28" spans="2:15" ht="18" customHeight="1" x14ac:dyDescent="0.45">
      <c r="B28" s="47" t="s">
        <v>208</v>
      </c>
      <c r="C28" s="47" t="s">
        <v>209</v>
      </c>
      <c r="D28" s="49" t="s">
        <v>261</v>
      </c>
      <c r="E28" s="49" t="s">
        <v>262</v>
      </c>
      <c r="F28" s="49" t="s">
        <v>263</v>
      </c>
      <c r="G28" s="49" t="s">
        <v>263</v>
      </c>
      <c r="H28" s="49" t="s">
        <v>264</v>
      </c>
      <c r="I28" s="49" t="s">
        <v>264</v>
      </c>
      <c r="J28" s="48"/>
      <c r="K28" s="48"/>
      <c r="L28" s="48"/>
      <c r="M28" s="48"/>
      <c r="N28" s="48"/>
      <c r="O28" s="47" t="s">
        <v>265</v>
      </c>
    </row>
    <row r="29" spans="2:15" x14ac:dyDescent="0.45">
      <c r="B29" s="50"/>
      <c r="C29" s="50"/>
      <c r="D29" s="50" t="s">
        <v>215</v>
      </c>
      <c r="E29" s="50" t="s">
        <v>266</v>
      </c>
      <c r="F29" s="50" t="s">
        <v>267</v>
      </c>
      <c r="G29" s="50" t="s">
        <v>268</v>
      </c>
      <c r="H29" s="50" t="s">
        <v>267</v>
      </c>
      <c r="I29" s="50" t="s">
        <v>268</v>
      </c>
      <c r="J29" s="50"/>
      <c r="K29" s="50"/>
      <c r="L29" s="50"/>
      <c r="M29" s="50"/>
      <c r="N29" s="50"/>
      <c r="O29" s="50"/>
    </row>
    <row r="30" spans="2:15" x14ac:dyDescent="0.45">
      <c r="B30" s="41" t="s">
        <v>217</v>
      </c>
      <c r="C30" s="26" t="str">
        <f t="shared" ref="C30:C44" si="0">C10</f>
        <v>Design and approvals</v>
      </c>
      <c r="D30" s="33" cm="1">
        <f t="array" aca="1" ref="D30" ca="1">_xll.VoseInput("A  Design and approvals","weeks")+_xll.VosePERT(E10,F10,G10)</f>
        <v>12.326358652286181</v>
      </c>
      <c r="E30" s="51" t="s">
        <v>195</v>
      </c>
      <c r="F30" s="42">
        <f>Save_A*Acc_A_Start</f>
        <v>0</v>
      </c>
      <c r="G30" s="42">
        <f>Save_A*Acc_A</f>
        <v>0</v>
      </c>
      <c r="H30" s="35">
        <f ca="1">D30*(1-F30)</f>
        <v>12.326358652286181</v>
      </c>
      <c r="I30" s="35">
        <f ca="1">D30*(1-G30)</f>
        <v>12.326358652286181</v>
      </c>
      <c r="J30" s="29"/>
      <c r="K30" s="29"/>
      <c r="L30" s="29"/>
      <c r="M30" s="29"/>
      <c r="N30" s="29"/>
      <c r="O30" s="27" t="s">
        <v>269</v>
      </c>
    </row>
    <row r="31" spans="2:15" x14ac:dyDescent="0.45">
      <c r="B31" s="41" t="s">
        <v>220</v>
      </c>
      <c r="C31" s="26" t="str">
        <f t="shared" si="0"/>
        <v>Site set-up and traffic management</v>
      </c>
      <c r="D31" s="33" cm="1">
        <f t="array" aca="1" ref="D31" ca="1">_xll.VoseInput("B  Site set-up and traffic management","weeks")+_xll.VosePERT(E11,F11,G11)</f>
        <v>2.7895836583543887</v>
      </c>
      <c r="E31" s="51" t="s">
        <v>195</v>
      </c>
      <c r="F31" s="51" t="s">
        <v>195</v>
      </c>
      <c r="G31" s="51" t="s">
        <v>195</v>
      </c>
      <c r="H31" s="35">
        <f ca="1">D31</f>
        <v>2.7895836583543887</v>
      </c>
      <c r="I31" s="35">
        <f ca="1">D31</f>
        <v>2.7895836583543887</v>
      </c>
      <c r="J31" s="29"/>
      <c r="K31" s="29"/>
      <c r="L31" s="29"/>
      <c r="M31" s="29"/>
      <c r="N31" s="29"/>
      <c r="O31" s="27" t="s">
        <v>270</v>
      </c>
    </row>
    <row r="32" spans="2:15" x14ac:dyDescent="0.45">
      <c r="B32" s="41" t="s">
        <v>223</v>
      </c>
      <c r="C32" s="26" t="str">
        <f t="shared" si="0"/>
        <v>Demolish the old bridge</v>
      </c>
      <c r="D32" s="33" cm="1">
        <f t="array" aca="1" ref="D32" ca="1">_xll.VoseInput("C  Demolish the old bridge","weeks")+_xll.VosePERT(E12,F12,G12)</f>
        <v>4.5760576787111216</v>
      </c>
      <c r="E32" s="51" t="s">
        <v>195</v>
      </c>
      <c r="F32" s="42">
        <f>Save_C*Acc_C_Start</f>
        <v>0</v>
      </c>
      <c r="G32" s="42">
        <f>Save_C*Acc_C</f>
        <v>0</v>
      </c>
      <c r="H32" s="35">
        <f ca="1">D32*(1-F32)</f>
        <v>4.5760576787111216</v>
      </c>
      <c r="I32" s="35">
        <f ca="1">D32*(1-G32)</f>
        <v>4.5760576787111216</v>
      </c>
      <c r="J32" s="29"/>
      <c r="K32" s="29"/>
      <c r="L32" s="29"/>
      <c r="M32" s="29"/>
      <c r="N32" s="29"/>
      <c r="O32" s="27" t="s">
        <v>271</v>
      </c>
    </row>
    <row r="33" spans="2:15" x14ac:dyDescent="0.45">
      <c r="B33" s="41" t="s">
        <v>226</v>
      </c>
      <c r="C33" s="26" t="str">
        <f t="shared" si="0"/>
        <v>North abutment piling</v>
      </c>
      <c r="D33" s="33" cm="1">
        <f t="array" aca="1" ref="D33" ca="1">_xll.VoseInput("D  North abutment piling","weeks")+_xll.VosePERT(E13,F13,G13)</f>
        <v>8.04367177117593</v>
      </c>
      <c r="E33" s="51" t="s">
        <v>195</v>
      </c>
      <c r="F33" s="42">
        <f>Save_D*Acc_D_Start</f>
        <v>0</v>
      </c>
      <c r="G33" s="42">
        <f>Save_D*Acc_D</f>
        <v>0.2</v>
      </c>
      <c r="H33" s="35">
        <f ca="1">D33*(1-F33)</f>
        <v>8.04367177117593</v>
      </c>
      <c r="I33" s="35">
        <f ca="1">D33*(1-G33)</f>
        <v>6.4349374169407447</v>
      </c>
      <c r="J33" s="29"/>
      <c r="K33" s="29"/>
      <c r="L33" s="29"/>
      <c r="M33" s="29"/>
      <c r="N33" s="29"/>
      <c r="O33" s="29"/>
    </row>
    <row r="34" spans="2:15" x14ac:dyDescent="0.45">
      <c r="B34" s="41" t="s">
        <v>229</v>
      </c>
      <c r="C34" s="26" t="str">
        <f t="shared" si="0"/>
        <v>South abutment piling</v>
      </c>
      <c r="D34" s="33" cm="1">
        <f t="array" aca="1" ref="D34" ca="1">_xll.VoseInput("E  South abutment piling","weeks")+_xll.VosePERT(E14,F14,G14)</f>
        <v>6.5113555972423942</v>
      </c>
      <c r="E34" s="51" t="s">
        <v>195</v>
      </c>
      <c r="F34" s="42">
        <f>Save_E*Acc_E_Start</f>
        <v>0</v>
      </c>
      <c r="G34" s="42">
        <f>Save_E*Acc_E</f>
        <v>0.2</v>
      </c>
      <c r="H34" s="35">
        <f ca="1">D34*(1-F34)</f>
        <v>6.5113555972423942</v>
      </c>
      <c r="I34" s="35">
        <f ca="1">D34*(1-G34)</f>
        <v>5.2090844777939154</v>
      </c>
      <c r="J34" s="29"/>
      <c r="K34" s="29"/>
      <c r="L34" s="29"/>
      <c r="M34" s="29"/>
      <c r="N34" s="29"/>
      <c r="O34" s="29"/>
    </row>
    <row r="35" spans="2:15" x14ac:dyDescent="0.45">
      <c r="B35" s="41" t="s">
        <v>232</v>
      </c>
      <c r="C35" s="26" t="str">
        <f t="shared" si="0"/>
        <v>River pier</v>
      </c>
      <c r="D35" s="33" cm="1">
        <f t="array" aca="1" ref="D35" ca="1">_xll.VoseInput("F  River pier","weeks")+_xll.VosePERT(E15,F15,G15)</f>
        <v>8.0762856426790162</v>
      </c>
      <c r="E35" s="35">
        <f ca="1">Flood</f>
        <v>2.9065408967230804</v>
      </c>
      <c r="F35" s="42">
        <f>Save_F*Acc_F_Start</f>
        <v>0</v>
      </c>
      <c r="G35" s="42">
        <f>Save_F*Acc_F</f>
        <v>0.25</v>
      </c>
      <c r="H35" s="35">
        <f ca="1">D35*(1-F35)+E35</f>
        <v>10.982826539402097</v>
      </c>
      <c r="I35" s="35">
        <f ca="1">D35*(1-G35)+E35</f>
        <v>8.9637551287323411</v>
      </c>
      <c r="J35" s="29"/>
      <c r="K35" s="29"/>
      <c r="L35" s="29"/>
      <c r="M35" s="29"/>
      <c r="N35" s="29"/>
      <c r="O35" s="27" t="s">
        <v>272</v>
      </c>
    </row>
    <row r="36" spans="2:15" x14ac:dyDescent="0.45">
      <c r="B36" s="41" t="s">
        <v>235</v>
      </c>
      <c r="C36" s="26" t="str">
        <f t="shared" si="0"/>
        <v>Fabricate steel girders (off site)</v>
      </c>
      <c r="D36" s="33" cm="1">
        <f t="array" aca="1" ref="D36" ca="1">_xll.VoseInput("G  Fabricate steel girders (off site)","weeks")+_xll.VosePERT(E16,F16,G16)</f>
        <v>13.095710786326626</v>
      </c>
      <c r="E36" s="51" t="s">
        <v>195</v>
      </c>
      <c r="F36" s="51" t="s">
        <v>195</v>
      </c>
      <c r="G36" s="51" t="s">
        <v>195</v>
      </c>
      <c r="H36" s="35">
        <f ca="1">D36</f>
        <v>13.095710786326626</v>
      </c>
      <c r="I36" s="35">
        <f ca="1">D36</f>
        <v>13.095710786326626</v>
      </c>
      <c r="J36" s="29"/>
      <c r="K36" s="29"/>
      <c r="L36" s="29"/>
      <c r="M36" s="29"/>
      <c r="N36" s="29"/>
      <c r="O36" s="29"/>
    </row>
    <row r="37" spans="2:15" x14ac:dyDescent="0.45">
      <c r="B37" s="41" t="s">
        <v>238</v>
      </c>
      <c r="C37" s="26" t="str">
        <f t="shared" si="0"/>
        <v>North abutment walls</v>
      </c>
      <c r="D37" s="33" cm="1">
        <f t="array" aca="1" ref="D37" ca="1">_xll.VoseInput("H  North abutment walls","weeks")+_xll.VosePERT(E17,F17,G17)</f>
        <v>3.4824663034523606</v>
      </c>
      <c r="E37" s="51" t="s">
        <v>195</v>
      </c>
      <c r="F37" s="51" t="s">
        <v>195</v>
      </c>
      <c r="G37" s="51" t="s">
        <v>195</v>
      </c>
      <c r="H37" s="35">
        <f ca="1">D37</f>
        <v>3.4824663034523606</v>
      </c>
      <c r="I37" s="35">
        <f ca="1">D37</f>
        <v>3.4824663034523606</v>
      </c>
      <c r="J37" s="29"/>
      <c r="K37" s="29"/>
      <c r="L37" s="29"/>
      <c r="M37" s="29"/>
      <c r="N37" s="29"/>
      <c r="O37" s="29"/>
    </row>
    <row r="38" spans="2:15" x14ac:dyDescent="0.45">
      <c r="B38" s="41" t="s">
        <v>240</v>
      </c>
      <c r="C38" s="26" t="str">
        <f t="shared" si="0"/>
        <v>South abutment walls</v>
      </c>
      <c r="D38" s="33" cm="1">
        <f t="array" aca="1" ref="D38" ca="1">_xll.VoseInput("I  South abutment walls","weeks")+_xll.VosePERT(E18,F18,G18)</f>
        <v>5.5673939634389829</v>
      </c>
      <c r="E38" s="51" t="s">
        <v>195</v>
      </c>
      <c r="F38" s="51" t="s">
        <v>195</v>
      </c>
      <c r="G38" s="51" t="s">
        <v>195</v>
      </c>
      <c r="H38" s="35">
        <f ca="1">D38</f>
        <v>5.5673939634389829</v>
      </c>
      <c r="I38" s="35">
        <f ca="1">D38</f>
        <v>5.5673939634389829</v>
      </c>
      <c r="J38" s="29"/>
      <c r="K38" s="29"/>
      <c r="L38" s="29"/>
      <c r="M38" s="29"/>
      <c r="N38" s="29"/>
      <c r="O38" s="29"/>
    </row>
    <row r="39" spans="2:15" x14ac:dyDescent="0.45">
      <c r="B39" s="41" t="s">
        <v>242</v>
      </c>
      <c r="C39" s="26" t="str">
        <f t="shared" si="0"/>
        <v>Deliver and erect girders</v>
      </c>
      <c r="D39" s="33" cm="1">
        <f t="array" aca="1" ref="D39" ca="1">_xll.VoseInput("J  Deliver and erect girders","weeks")+_xll.VosePERT(E19,F19,G19)</f>
        <v>2.7406183367043262</v>
      </c>
      <c r="E39" s="51" t="s">
        <v>195</v>
      </c>
      <c r="F39" s="51" t="s">
        <v>195</v>
      </c>
      <c r="G39" s="51" t="s">
        <v>195</v>
      </c>
      <c r="H39" s="35">
        <f ca="1">D39</f>
        <v>2.7406183367043262</v>
      </c>
      <c r="I39" s="35">
        <f ca="1">D39</f>
        <v>2.7406183367043262</v>
      </c>
      <c r="J39" s="29"/>
      <c r="K39" s="29"/>
      <c r="L39" s="29"/>
      <c r="M39" s="29"/>
      <c r="N39" s="29"/>
      <c r="O39" s="29"/>
    </row>
    <row r="40" spans="2:15" x14ac:dyDescent="0.45">
      <c r="B40" s="41" t="s">
        <v>246</v>
      </c>
      <c r="C40" s="26" t="str">
        <f t="shared" si="0"/>
        <v>Deck slab</v>
      </c>
      <c r="D40" s="33" cm="1">
        <f t="array" aca="1" ref="D40" ca="1">_xll.VoseInput("K  Deck slab","weeks")+_xll.VosePERT(E20,F20,G20)</f>
        <v>5.7478129764967836</v>
      </c>
      <c r="E40" s="51" t="s">
        <v>195</v>
      </c>
      <c r="F40" s="42">
        <f>Save_K*Acc_K_Start</f>
        <v>0</v>
      </c>
      <c r="G40" s="42">
        <f>Save_K*Acc_K</f>
        <v>0</v>
      </c>
      <c r="H40" s="35">
        <f ca="1">D40*(1-F40)</f>
        <v>5.7478129764967836</v>
      </c>
      <c r="I40" s="35">
        <f ca="1">D40*(1-G40)</f>
        <v>5.7478129764967836</v>
      </c>
      <c r="J40" s="29"/>
      <c r="K40" s="29"/>
      <c r="L40" s="29"/>
      <c r="M40" s="29"/>
      <c r="N40" s="29"/>
      <c r="O40" s="29"/>
    </row>
    <row r="41" spans="2:15" x14ac:dyDescent="0.45">
      <c r="B41" s="41" t="s">
        <v>248</v>
      </c>
      <c r="C41" s="26" t="str">
        <f t="shared" si="0"/>
        <v>Waterproofing and surfacing</v>
      </c>
      <c r="D41" s="33" cm="1">
        <f t="array" aca="1" ref="D41" ca="1">_xll.VoseInput("L  Waterproofing and surfacing","weeks")+_xll.VosePERT(E21,F21,G21)</f>
        <v>4.5415373609271192</v>
      </c>
      <c r="E41" s="51" t="s">
        <v>195</v>
      </c>
      <c r="F41" s="51" t="s">
        <v>195</v>
      </c>
      <c r="G41" s="51" t="s">
        <v>195</v>
      </c>
      <c r="H41" s="35">
        <f ca="1">D41</f>
        <v>4.5415373609271192</v>
      </c>
      <c r="I41" s="35">
        <f ca="1">D41</f>
        <v>4.5415373609271192</v>
      </c>
      <c r="J41" s="29"/>
      <c r="K41" s="29"/>
      <c r="L41" s="29"/>
      <c r="M41" s="29"/>
      <c r="N41" s="29"/>
      <c r="O41" s="29"/>
    </row>
    <row r="42" spans="2:15" x14ac:dyDescent="0.45">
      <c r="B42" s="41" t="s">
        <v>250</v>
      </c>
      <c r="C42" s="26" t="str">
        <f t="shared" si="0"/>
        <v>Parapets and finishes</v>
      </c>
      <c r="D42" s="33" cm="1">
        <f t="array" aca="1" ref="D42" ca="1">_xll.VoseInput("M  Parapets and finishes","weeks")+_xll.VosePERT(E22,F22,G22)</f>
        <v>2.3140441767507154</v>
      </c>
      <c r="E42" s="51" t="s">
        <v>195</v>
      </c>
      <c r="F42" s="51" t="s">
        <v>195</v>
      </c>
      <c r="G42" s="51" t="s">
        <v>195</v>
      </c>
      <c r="H42" s="35">
        <f ca="1">D42</f>
        <v>2.3140441767507154</v>
      </c>
      <c r="I42" s="35">
        <f ca="1">D42</f>
        <v>2.3140441767507154</v>
      </c>
      <c r="J42" s="29"/>
      <c r="K42" s="29"/>
      <c r="L42" s="29"/>
      <c r="M42" s="29"/>
      <c r="N42" s="29"/>
      <c r="O42" s="29"/>
    </row>
    <row r="43" spans="2:15" x14ac:dyDescent="0.45">
      <c r="B43" s="41" t="s">
        <v>252</v>
      </c>
      <c r="C43" s="26" t="str">
        <f t="shared" si="0"/>
        <v>Approach road tie-ins</v>
      </c>
      <c r="D43" s="33" cm="1">
        <f t="array" aca="1" ref="D43" ca="1">_xll.VoseInput("N  Approach road tie-ins","weeks")+_xll.VosePERT(E23,F23,G23)</f>
        <v>4.2094818105923002</v>
      </c>
      <c r="E43" s="51" t="s">
        <v>195</v>
      </c>
      <c r="F43" s="51" t="s">
        <v>195</v>
      </c>
      <c r="G43" s="51" t="s">
        <v>195</v>
      </c>
      <c r="H43" s="35">
        <f ca="1">D43</f>
        <v>4.2094818105923002</v>
      </c>
      <c r="I43" s="35">
        <f ca="1">D43</f>
        <v>4.2094818105923002</v>
      </c>
      <c r="J43" s="29"/>
      <c r="K43" s="29"/>
      <c r="L43" s="29"/>
      <c r="M43" s="29"/>
      <c r="N43" s="29"/>
      <c r="O43" s="29"/>
    </row>
    <row r="44" spans="2:15" x14ac:dyDescent="0.45">
      <c r="B44" s="41" t="s">
        <v>255</v>
      </c>
      <c r="C44" s="26" t="str">
        <f t="shared" si="0"/>
        <v>Testing and opening</v>
      </c>
      <c r="D44" s="33" cm="1">
        <f t="array" aca="1" ref="D44" ca="1">_xll.VoseInput("O  Testing and opening","weeks")+_xll.VosePERT(E24,F24,G24)</f>
        <v>1.3646453883113394</v>
      </c>
      <c r="E44" s="51" t="s">
        <v>195</v>
      </c>
      <c r="F44" s="51" t="s">
        <v>195</v>
      </c>
      <c r="G44" s="51" t="s">
        <v>195</v>
      </c>
      <c r="H44" s="35">
        <f ca="1">D44</f>
        <v>1.3646453883113394</v>
      </c>
      <c r="I44" s="35">
        <f ca="1">D44</f>
        <v>1.3646453883113394</v>
      </c>
      <c r="J44" s="29"/>
      <c r="K44" s="29"/>
      <c r="L44" s="29"/>
      <c r="M44" s="29"/>
      <c r="N44" s="29"/>
      <c r="O44" s="29"/>
    </row>
    <row r="45" spans="2:15" ht="8" customHeight="1" x14ac:dyDescent="0.45"/>
    <row r="46" spans="2:15" ht="22.05" customHeight="1" x14ac:dyDescent="0.5">
      <c r="B46" s="7" t="s">
        <v>273</v>
      </c>
      <c r="C46" s="8"/>
      <c r="D46" s="8"/>
      <c r="E46" s="8"/>
      <c r="F46" s="8"/>
      <c r="G46" s="8"/>
      <c r="H46" s="8"/>
      <c r="I46" s="8"/>
      <c r="J46" s="8"/>
      <c r="K46" s="8"/>
      <c r="L46" s="8"/>
      <c r="M46" s="8"/>
      <c r="N46" s="8"/>
      <c r="O46" s="8"/>
    </row>
    <row r="47" spans="2:15" ht="18" customHeight="1" x14ac:dyDescent="0.45">
      <c r="B47" s="13" t="s">
        <v>274</v>
      </c>
    </row>
    <row r="48" spans="2:15" ht="18" customHeight="1" x14ac:dyDescent="0.45">
      <c r="B48" s="47" t="s">
        <v>208</v>
      </c>
      <c r="C48" s="47" t="s">
        <v>209</v>
      </c>
      <c r="D48" s="49" t="s">
        <v>264</v>
      </c>
      <c r="E48" s="49" t="s">
        <v>275</v>
      </c>
      <c r="F48" s="49" t="s">
        <v>276</v>
      </c>
      <c r="G48" s="49" t="s">
        <v>277</v>
      </c>
      <c r="H48" s="49" t="s">
        <v>278</v>
      </c>
      <c r="I48" s="49" t="s">
        <v>279</v>
      </c>
      <c r="J48" s="49" t="s">
        <v>280</v>
      </c>
      <c r="K48" s="48"/>
      <c r="L48" s="48"/>
      <c r="M48" s="48"/>
      <c r="N48" s="48"/>
      <c r="O48" s="47" t="s">
        <v>265</v>
      </c>
    </row>
    <row r="49" spans="2:15" x14ac:dyDescent="0.45">
      <c r="B49" s="50"/>
      <c r="C49" s="50"/>
      <c r="D49" s="50" t="s">
        <v>281</v>
      </c>
      <c r="E49" s="50"/>
      <c r="F49" s="50"/>
      <c r="G49" s="50"/>
      <c r="H49" s="50"/>
      <c r="I49" s="50"/>
      <c r="J49" s="50" t="s">
        <v>174</v>
      </c>
      <c r="K49" s="50"/>
      <c r="L49" s="50"/>
      <c r="M49" s="50"/>
      <c r="N49" s="50"/>
      <c r="O49" s="50"/>
    </row>
    <row r="50" spans="2:15" x14ac:dyDescent="0.45">
      <c r="B50" s="41" t="s">
        <v>217</v>
      </c>
      <c r="C50" s="26" t="str">
        <f t="shared" ref="C50:C64" si="1">C10</f>
        <v>Design and approvals</v>
      </c>
      <c r="D50" s="35">
        <f t="shared" ref="D50:D64" ca="1" si="2">H30</f>
        <v>12.326358652286181</v>
      </c>
      <c r="E50" s="35">
        <f>0</f>
        <v>0</v>
      </c>
      <c r="F50" s="35">
        <f t="shared" ref="F50:F64" ca="1" si="3">E50+D50</f>
        <v>12.326358652286181</v>
      </c>
      <c r="G50" s="35">
        <f t="shared" ref="G50:G64" ca="1" si="4">H50-D50</f>
        <v>0</v>
      </c>
      <c r="H50" s="35">
        <f ca="1">MIN(G51,G56)</f>
        <v>12.326358652286169</v>
      </c>
      <c r="I50" s="35">
        <f t="shared" ref="I50:I64" ca="1" si="5">G50-E50</f>
        <v>0</v>
      </c>
      <c r="J50" s="52" cm="1">
        <f t="array" aca="1" ref="J50" ca="1">_xll.VoseOutput("Critical A, starting plan","1 = yes")+IF(I50&lt;0.0001,1,0)</f>
        <v>1</v>
      </c>
      <c r="K50" s="29"/>
      <c r="L50" s="29"/>
      <c r="M50" s="29"/>
      <c r="N50" s="29"/>
      <c r="O50" s="27" t="s">
        <v>282</v>
      </c>
    </row>
    <row r="51" spans="2:15" x14ac:dyDescent="0.45">
      <c r="B51" s="41" t="s">
        <v>220</v>
      </c>
      <c r="C51" s="26" t="str">
        <f t="shared" si="1"/>
        <v>Site set-up and traffic management</v>
      </c>
      <c r="D51" s="35">
        <f t="shared" ca="1" si="2"/>
        <v>2.7895836583543887</v>
      </c>
      <c r="E51" s="35">
        <f ca="1">F50</f>
        <v>12.326358652286181</v>
      </c>
      <c r="F51" s="35">
        <f t="shared" ca="1" si="3"/>
        <v>15.11594231064057</v>
      </c>
      <c r="G51" s="35">
        <f t="shared" ca="1" si="4"/>
        <v>12.326358652286169</v>
      </c>
      <c r="H51" s="35">
        <f ca="1">MIN(G52,G63)</f>
        <v>15.115942310640557</v>
      </c>
      <c r="I51" s="35">
        <f t="shared" ca="1" si="5"/>
        <v>0</v>
      </c>
      <c r="J51" s="52" cm="1">
        <f t="array" aca="1" ref="J51" ca="1">_xll.VoseOutput("Critical B, starting plan","1 = yes")+IF(I51&lt;0.0001,1,0)</f>
        <v>1</v>
      </c>
      <c r="K51" s="29"/>
      <c r="L51" s="29"/>
      <c r="M51" s="29"/>
      <c r="N51" s="29"/>
      <c r="O51" s="27" t="s">
        <v>283</v>
      </c>
    </row>
    <row r="52" spans="2:15" x14ac:dyDescent="0.45">
      <c r="B52" s="41" t="s">
        <v>223</v>
      </c>
      <c r="C52" s="26" t="str">
        <f t="shared" si="1"/>
        <v>Demolish the old bridge</v>
      </c>
      <c r="D52" s="35">
        <f t="shared" ca="1" si="2"/>
        <v>4.5760576787111216</v>
      </c>
      <c r="E52" s="35">
        <f ca="1">F51</f>
        <v>15.11594231064057</v>
      </c>
      <c r="F52" s="35">
        <f t="shared" ca="1" si="3"/>
        <v>19.691999989351693</v>
      </c>
      <c r="G52" s="35">
        <f t="shared" ca="1" si="4"/>
        <v>15.115942310640557</v>
      </c>
      <c r="H52" s="35">
        <f ca="1">MIN(G53,G54,G55)</f>
        <v>19.691999989351679</v>
      </c>
      <c r="I52" s="35">
        <f t="shared" ca="1" si="5"/>
        <v>0</v>
      </c>
      <c r="J52" s="52" cm="1">
        <f t="array" aca="1" ref="J52" ca="1">_xll.VoseOutput("Critical C, starting plan","1 = yes")+IF(I52&lt;0.0001,1,0)</f>
        <v>1</v>
      </c>
      <c r="K52" s="29"/>
      <c r="L52" s="29"/>
      <c r="M52" s="29"/>
      <c r="N52" s="29"/>
      <c r="O52" s="27" t="s">
        <v>284</v>
      </c>
    </row>
    <row r="53" spans="2:15" x14ac:dyDescent="0.45">
      <c r="B53" s="41" t="s">
        <v>226</v>
      </c>
      <c r="C53" s="26" t="str">
        <f t="shared" si="1"/>
        <v>North abutment piling</v>
      </c>
      <c r="D53" s="35">
        <f t="shared" ca="1" si="2"/>
        <v>8.04367177117593</v>
      </c>
      <c r="E53" s="35">
        <f ca="1">F52</f>
        <v>19.691999989351693</v>
      </c>
      <c r="F53" s="35">
        <f t="shared" ca="1" si="3"/>
        <v>27.735671760527623</v>
      </c>
      <c r="G53" s="35">
        <f t="shared" ca="1" si="4"/>
        <v>20.244611475404767</v>
      </c>
      <c r="H53" s="35">
        <f ca="1">G57</f>
        <v>28.288283246580697</v>
      </c>
      <c r="I53" s="35">
        <f t="shared" ca="1" si="5"/>
        <v>0.55261148605307397</v>
      </c>
      <c r="J53" s="52" cm="1">
        <f t="array" aca="1" ref="J53" ca="1">_xll.VoseOutput("Critical D, starting plan","1 = yes")+IF(I53&lt;0.0001,1,0)</f>
        <v>0</v>
      </c>
      <c r="K53" s="29"/>
      <c r="L53" s="29"/>
      <c r="M53" s="29"/>
      <c r="N53" s="29"/>
      <c r="O53" s="29"/>
    </row>
    <row r="54" spans="2:15" x14ac:dyDescent="0.45">
      <c r="B54" s="41" t="s">
        <v>229</v>
      </c>
      <c r="C54" s="26" t="str">
        <f t="shared" si="1"/>
        <v>South abutment piling</v>
      </c>
      <c r="D54" s="35">
        <f t="shared" ca="1" si="2"/>
        <v>6.5113555972423942</v>
      </c>
      <c r="E54" s="35">
        <f ca="1">F52</f>
        <v>19.691999989351693</v>
      </c>
      <c r="F54" s="35">
        <f t="shared" ca="1" si="3"/>
        <v>26.203355586594085</v>
      </c>
      <c r="G54" s="35">
        <f t="shared" ca="1" si="4"/>
        <v>19.691999989351679</v>
      </c>
      <c r="H54" s="35">
        <f ca="1">G58</f>
        <v>26.203355586594071</v>
      </c>
      <c r="I54" s="35">
        <f t="shared" ca="1" si="5"/>
        <v>0</v>
      </c>
      <c r="J54" s="52" cm="1">
        <f t="array" aca="1" ref="J54" ca="1">_xll.VoseOutput("Critical E, starting plan","1 = yes")+IF(I54&lt;0.0001,1,0)</f>
        <v>1</v>
      </c>
      <c r="K54" s="29"/>
      <c r="L54" s="29"/>
      <c r="M54" s="29"/>
      <c r="N54" s="29"/>
      <c r="O54" s="29"/>
    </row>
    <row r="55" spans="2:15" x14ac:dyDescent="0.45">
      <c r="B55" s="41" t="s">
        <v>232</v>
      </c>
      <c r="C55" s="26" t="str">
        <f t="shared" si="1"/>
        <v>River pier</v>
      </c>
      <c r="D55" s="35">
        <f t="shared" ca="1" si="2"/>
        <v>10.982826539402097</v>
      </c>
      <c r="E55" s="35">
        <f ca="1">F52</f>
        <v>19.691999989351693</v>
      </c>
      <c r="F55" s="35">
        <f t="shared" ca="1" si="3"/>
        <v>30.67482652875379</v>
      </c>
      <c r="G55" s="35">
        <f t="shared" ca="1" si="4"/>
        <v>20.787923010630958</v>
      </c>
      <c r="H55" s="35">
        <f ca="1">G59</f>
        <v>31.770749550033056</v>
      </c>
      <c r="I55" s="35">
        <f t="shared" ca="1" si="5"/>
        <v>1.0959230212792654</v>
      </c>
      <c r="J55" s="52" cm="1">
        <f t="array" aca="1" ref="J55" ca="1">_xll.VoseOutput("Critical F, starting plan","1 = yes")+IF(I55&lt;0.0001,1,0)</f>
        <v>0</v>
      </c>
      <c r="K55" s="29"/>
      <c r="L55" s="29"/>
      <c r="M55" s="29"/>
      <c r="N55" s="29"/>
      <c r="O55" s="29"/>
    </row>
    <row r="56" spans="2:15" x14ac:dyDescent="0.45">
      <c r="B56" s="41" t="s">
        <v>235</v>
      </c>
      <c r="C56" s="26" t="str">
        <f t="shared" si="1"/>
        <v>Fabricate steel girders (off site)</v>
      </c>
      <c r="D56" s="35">
        <f t="shared" ca="1" si="2"/>
        <v>13.095710786326626</v>
      </c>
      <c r="E56" s="35">
        <f ca="1">F50</f>
        <v>12.326358652286181</v>
      </c>
      <c r="F56" s="35">
        <f t="shared" ca="1" si="3"/>
        <v>25.422069438612809</v>
      </c>
      <c r="G56" s="35">
        <f t="shared" ca="1" si="4"/>
        <v>18.675038763706432</v>
      </c>
      <c r="H56" s="35">
        <f ca="1">G59</f>
        <v>31.770749550033056</v>
      </c>
      <c r="I56" s="35">
        <f t="shared" ca="1" si="5"/>
        <v>6.3486801114202507</v>
      </c>
      <c r="J56" s="52" cm="1">
        <f t="array" aca="1" ref="J56" ca="1">_xll.VoseOutput("Critical G, starting plan","1 = yes")+IF(I56&lt;0.0001,1,0)</f>
        <v>0</v>
      </c>
      <c r="K56" s="29"/>
      <c r="L56" s="29"/>
      <c r="M56" s="29"/>
      <c r="N56" s="29"/>
      <c r="O56" s="29"/>
    </row>
    <row r="57" spans="2:15" x14ac:dyDescent="0.45">
      <c r="B57" s="41" t="s">
        <v>238</v>
      </c>
      <c r="C57" s="26" t="str">
        <f t="shared" si="1"/>
        <v>North abutment walls</v>
      </c>
      <c r="D57" s="35">
        <f t="shared" ca="1" si="2"/>
        <v>3.4824663034523606</v>
      </c>
      <c r="E57" s="35">
        <f ca="1">F53</f>
        <v>27.735671760527623</v>
      </c>
      <c r="F57" s="35">
        <f t="shared" ca="1" si="3"/>
        <v>31.218138063979985</v>
      </c>
      <c r="G57" s="35">
        <f t="shared" ca="1" si="4"/>
        <v>28.288283246580697</v>
      </c>
      <c r="H57" s="35">
        <f ca="1">G59</f>
        <v>31.770749550033056</v>
      </c>
      <c r="I57" s="35">
        <f t="shared" ca="1" si="5"/>
        <v>0.55261148605307397</v>
      </c>
      <c r="J57" s="52" cm="1">
        <f t="array" aca="1" ref="J57" ca="1">_xll.VoseOutput("Critical H, starting plan","1 = yes")+IF(I57&lt;0.0001,1,0)</f>
        <v>0</v>
      </c>
      <c r="K57" s="29"/>
      <c r="L57" s="29"/>
      <c r="M57" s="29"/>
      <c r="N57" s="29"/>
      <c r="O57" s="29"/>
    </row>
    <row r="58" spans="2:15" x14ac:dyDescent="0.45">
      <c r="B58" s="41" t="s">
        <v>240</v>
      </c>
      <c r="C58" s="26" t="str">
        <f t="shared" si="1"/>
        <v>South abutment walls</v>
      </c>
      <c r="D58" s="35">
        <f t="shared" ca="1" si="2"/>
        <v>5.5673939634389829</v>
      </c>
      <c r="E58" s="35">
        <f ca="1">F54</f>
        <v>26.203355586594085</v>
      </c>
      <c r="F58" s="35">
        <f t="shared" ca="1" si="3"/>
        <v>31.770749550033067</v>
      </c>
      <c r="G58" s="35">
        <f t="shared" ca="1" si="4"/>
        <v>26.203355586594071</v>
      </c>
      <c r="H58" s="35">
        <f ca="1">G59</f>
        <v>31.770749550033056</v>
      </c>
      <c r="I58" s="35">
        <f t="shared" ca="1" si="5"/>
        <v>0</v>
      </c>
      <c r="J58" s="52" cm="1">
        <f t="array" aca="1" ref="J58" ca="1">_xll.VoseOutput("Critical I, starting plan","1 = yes")+IF(I58&lt;0.0001,1,0)</f>
        <v>1</v>
      </c>
      <c r="K58" s="29"/>
      <c r="L58" s="29"/>
      <c r="M58" s="29"/>
      <c r="N58" s="29"/>
      <c r="O58" s="29"/>
    </row>
    <row r="59" spans="2:15" x14ac:dyDescent="0.45">
      <c r="B59" s="41" t="s">
        <v>242</v>
      </c>
      <c r="C59" s="26" t="str">
        <f t="shared" si="1"/>
        <v>Deliver and erect girders</v>
      </c>
      <c r="D59" s="35">
        <f t="shared" ca="1" si="2"/>
        <v>2.7406183367043262</v>
      </c>
      <c r="E59" s="35">
        <f ca="1">MAX(F55,F56,F57,F58)</f>
        <v>31.770749550033067</v>
      </c>
      <c r="F59" s="35">
        <f t="shared" ca="1" si="3"/>
        <v>34.511367886737389</v>
      </c>
      <c r="G59" s="35">
        <f t="shared" ca="1" si="4"/>
        <v>31.770749550033056</v>
      </c>
      <c r="H59" s="35">
        <f ca="1">G60</f>
        <v>34.511367886737382</v>
      </c>
      <c r="I59" s="35">
        <f t="shared" ca="1" si="5"/>
        <v>0</v>
      </c>
      <c r="J59" s="52" cm="1">
        <f t="array" aca="1" ref="J59" ca="1">_xll.VoseOutput("Critical J, starting plan","1 = yes")+IF(I59&lt;0.0001,1,0)</f>
        <v>1</v>
      </c>
      <c r="K59" s="29"/>
      <c r="L59" s="29"/>
      <c r="M59" s="29"/>
      <c r="N59" s="29"/>
      <c r="O59" s="29"/>
    </row>
    <row r="60" spans="2:15" x14ac:dyDescent="0.45">
      <c r="B60" s="41" t="s">
        <v>246</v>
      </c>
      <c r="C60" s="26" t="str">
        <f t="shared" si="1"/>
        <v>Deck slab</v>
      </c>
      <c r="D60" s="35">
        <f t="shared" ca="1" si="2"/>
        <v>5.7478129764967836</v>
      </c>
      <c r="E60" s="35">
        <f ca="1">F59</f>
        <v>34.511367886737389</v>
      </c>
      <c r="F60" s="35">
        <f t="shared" ca="1" si="3"/>
        <v>40.259180863234171</v>
      </c>
      <c r="G60" s="35">
        <f t="shared" ca="1" si="4"/>
        <v>34.511367886737382</v>
      </c>
      <c r="H60" s="35">
        <f ca="1">MIN(G61,G62)</f>
        <v>40.259180863234164</v>
      </c>
      <c r="I60" s="35">
        <f t="shared" ca="1" si="5"/>
        <v>0</v>
      </c>
      <c r="J60" s="52" cm="1">
        <f t="array" aca="1" ref="J60" ca="1">_xll.VoseOutput("Critical K, starting plan","1 = yes")+IF(I60&lt;0.0001,1,0)</f>
        <v>1</v>
      </c>
      <c r="K60" s="29"/>
      <c r="L60" s="29"/>
      <c r="M60" s="29"/>
      <c r="N60" s="29"/>
      <c r="O60" s="29"/>
    </row>
    <row r="61" spans="2:15" x14ac:dyDescent="0.45">
      <c r="B61" s="41" t="s">
        <v>248</v>
      </c>
      <c r="C61" s="26" t="str">
        <f t="shared" si="1"/>
        <v>Waterproofing and surfacing</v>
      </c>
      <c r="D61" s="35">
        <f t="shared" ca="1" si="2"/>
        <v>4.5415373609271192</v>
      </c>
      <c r="E61" s="35">
        <f ca="1">F60</f>
        <v>40.259180863234171</v>
      </c>
      <c r="F61" s="35">
        <f t="shared" ca="1" si="3"/>
        <v>44.800718224161287</v>
      </c>
      <c r="G61" s="35">
        <f t="shared" ca="1" si="4"/>
        <v>40.259180863234164</v>
      </c>
      <c r="H61" s="35">
        <f ca="1">G64</f>
        <v>44.800718224161287</v>
      </c>
      <c r="I61" s="35">
        <f t="shared" ca="1" si="5"/>
        <v>0</v>
      </c>
      <c r="J61" s="52" cm="1">
        <f t="array" aca="1" ref="J61" ca="1">_xll.VoseOutput("Critical L, starting plan","1 = yes")+IF(I61&lt;0.0001,1,0)</f>
        <v>1</v>
      </c>
      <c r="K61" s="29"/>
      <c r="L61" s="29"/>
      <c r="M61" s="29"/>
      <c r="N61" s="29"/>
      <c r="O61" s="29"/>
    </row>
    <row r="62" spans="2:15" x14ac:dyDescent="0.45">
      <c r="B62" s="41" t="s">
        <v>250</v>
      </c>
      <c r="C62" s="26" t="str">
        <f t="shared" si="1"/>
        <v>Parapets and finishes</v>
      </c>
      <c r="D62" s="35">
        <f t="shared" ca="1" si="2"/>
        <v>2.3140441767507154</v>
      </c>
      <c r="E62" s="35">
        <f ca="1">F60</f>
        <v>40.259180863234171</v>
      </c>
      <c r="F62" s="35">
        <f t="shared" ca="1" si="3"/>
        <v>42.573225039984884</v>
      </c>
      <c r="G62" s="35">
        <f t="shared" ca="1" si="4"/>
        <v>42.486674047410574</v>
      </c>
      <c r="H62" s="35">
        <f ca="1">G64</f>
        <v>44.800718224161287</v>
      </c>
      <c r="I62" s="35">
        <f t="shared" ca="1" si="5"/>
        <v>2.227493184176403</v>
      </c>
      <c r="J62" s="52" cm="1">
        <f t="array" aca="1" ref="J62" ca="1">_xll.VoseOutput("Critical M, starting plan","1 = yes")+IF(I62&lt;0.0001,1,0)</f>
        <v>0</v>
      </c>
      <c r="K62" s="29"/>
      <c r="L62" s="29"/>
      <c r="M62" s="29"/>
      <c r="N62" s="29"/>
      <c r="O62" s="29"/>
    </row>
    <row r="63" spans="2:15" x14ac:dyDescent="0.45">
      <c r="B63" s="41" t="s">
        <v>252</v>
      </c>
      <c r="C63" s="26" t="str">
        <f t="shared" si="1"/>
        <v>Approach road tie-ins</v>
      </c>
      <c r="D63" s="35">
        <f t="shared" ca="1" si="2"/>
        <v>4.2094818105923002</v>
      </c>
      <c r="E63" s="35">
        <f ca="1">F51</f>
        <v>15.11594231064057</v>
      </c>
      <c r="F63" s="35">
        <f t="shared" ca="1" si="3"/>
        <v>19.325424121232871</v>
      </c>
      <c r="G63" s="35">
        <f t="shared" ca="1" si="4"/>
        <v>40.591236413568986</v>
      </c>
      <c r="H63" s="35">
        <f ca="1">G64</f>
        <v>44.800718224161287</v>
      </c>
      <c r="I63" s="35">
        <f t="shared" ca="1" si="5"/>
        <v>25.475294102928416</v>
      </c>
      <c r="J63" s="52" cm="1">
        <f t="array" aca="1" ref="J63" ca="1">_xll.VoseOutput("Critical N, starting plan","1 = yes")+IF(I63&lt;0.0001,1,0)</f>
        <v>0</v>
      </c>
      <c r="K63" s="29"/>
      <c r="L63" s="29"/>
      <c r="M63" s="29"/>
      <c r="N63" s="29"/>
      <c r="O63" s="29"/>
    </row>
    <row r="64" spans="2:15" x14ac:dyDescent="0.45">
      <c r="B64" s="41" t="s">
        <v>255</v>
      </c>
      <c r="C64" s="26" t="str">
        <f t="shared" si="1"/>
        <v>Testing and opening</v>
      </c>
      <c r="D64" s="35">
        <f t="shared" ca="1" si="2"/>
        <v>1.3646453883113394</v>
      </c>
      <c r="E64" s="35">
        <f ca="1">MAX(F61,F62,F63)</f>
        <v>44.800718224161287</v>
      </c>
      <c r="F64" s="35">
        <f t="shared" ca="1" si="3"/>
        <v>46.165363612472625</v>
      </c>
      <c r="G64" s="35">
        <f t="shared" ca="1" si="4"/>
        <v>44.800718224161287</v>
      </c>
      <c r="H64" s="35">
        <f ca="1">F64</f>
        <v>46.165363612472625</v>
      </c>
      <c r="I64" s="35">
        <f t="shared" ca="1" si="5"/>
        <v>0</v>
      </c>
      <c r="J64" s="52" cm="1">
        <f t="array" aca="1" ref="J64" ca="1">_xll.VoseOutput("Critical O, starting plan","1 = yes")+IF(I64&lt;0.0001,1,0)</f>
        <v>1</v>
      </c>
      <c r="K64" s="29"/>
      <c r="L64" s="29"/>
      <c r="M64" s="29"/>
      <c r="N64" s="29"/>
      <c r="O64" s="29"/>
    </row>
    <row r="65" spans="2:15" ht="8" customHeight="1" x14ac:dyDescent="0.45"/>
    <row r="66" spans="2:15" ht="22.05" customHeight="1" x14ac:dyDescent="0.5">
      <c r="B66" s="7" t="s">
        <v>285</v>
      </c>
      <c r="C66" s="8"/>
      <c r="D66" s="8"/>
      <c r="E66" s="8"/>
      <c r="F66" s="8"/>
      <c r="G66" s="8"/>
      <c r="H66" s="8"/>
      <c r="I66" s="8"/>
      <c r="J66" s="8"/>
      <c r="K66" s="8"/>
      <c r="L66" s="8"/>
      <c r="M66" s="8"/>
      <c r="N66" s="8"/>
      <c r="O66" s="8"/>
    </row>
    <row r="67" spans="2:15" ht="18" customHeight="1" x14ac:dyDescent="0.45">
      <c r="B67" s="13" t="s">
        <v>274</v>
      </c>
    </row>
    <row r="68" spans="2:15" ht="18" customHeight="1" x14ac:dyDescent="0.45">
      <c r="B68" s="47" t="s">
        <v>208</v>
      </c>
      <c r="C68" s="47" t="s">
        <v>209</v>
      </c>
      <c r="D68" s="49" t="s">
        <v>264</v>
      </c>
      <c r="E68" s="49" t="s">
        <v>275</v>
      </c>
      <c r="F68" s="49" t="s">
        <v>276</v>
      </c>
      <c r="G68" s="49" t="s">
        <v>277</v>
      </c>
      <c r="H68" s="49" t="s">
        <v>278</v>
      </c>
      <c r="I68" s="49" t="s">
        <v>279</v>
      </c>
      <c r="J68" s="49" t="s">
        <v>280</v>
      </c>
      <c r="K68" s="48"/>
      <c r="L68" s="48"/>
      <c r="M68" s="48"/>
      <c r="N68" s="48"/>
      <c r="O68" s="47" t="s">
        <v>265</v>
      </c>
    </row>
    <row r="69" spans="2:15" x14ac:dyDescent="0.45">
      <c r="B69" s="50"/>
      <c r="C69" s="50"/>
      <c r="D69" s="50" t="s">
        <v>281</v>
      </c>
      <c r="E69" s="50"/>
      <c r="F69" s="50"/>
      <c r="G69" s="50"/>
      <c r="H69" s="50"/>
      <c r="I69" s="50"/>
      <c r="J69" s="50" t="s">
        <v>174</v>
      </c>
      <c r="K69" s="50"/>
      <c r="L69" s="50"/>
      <c r="M69" s="50"/>
      <c r="N69" s="50"/>
      <c r="O69" s="50"/>
    </row>
    <row r="70" spans="2:15" x14ac:dyDescent="0.45">
      <c r="B70" s="41" t="s">
        <v>217</v>
      </c>
      <c r="C70" s="26" t="str">
        <f t="shared" ref="C70:C84" si="6">C10</f>
        <v>Design and approvals</v>
      </c>
      <c r="D70" s="35">
        <f t="shared" ref="D70:D84" ca="1" si="7">I30</f>
        <v>12.326358652286181</v>
      </c>
      <c r="E70" s="35">
        <f>0</f>
        <v>0</v>
      </c>
      <c r="F70" s="35">
        <f t="shared" ref="F70:F84" ca="1" si="8">E70+D70</f>
        <v>12.326358652286181</v>
      </c>
      <c r="G70" s="35">
        <f t="shared" ref="G70:G84" ca="1" si="9">H70-D70</f>
        <v>0</v>
      </c>
      <c r="H70" s="35">
        <f ca="1">MIN(G71,G76)</f>
        <v>12.326358652286169</v>
      </c>
      <c r="I70" s="35">
        <f t="shared" ref="I70:I84" ca="1" si="10">G70-E70</f>
        <v>0</v>
      </c>
      <c r="J70" s="52" cm="1">
        <f t="array" aca="1" ref="J70" ca="1">_xll.VoseOutput("Critical A, plan in use","1 = yes")+IF(I70&lt;0.0001,1,0)</f>
        <v>1</v>
      </c>
      <c r="K70" s="29"/>
      <c r="L70" s="29"/>
      <c r="M70" s="29"/>
      <c r="N70" s="29"/>
      <c r="O70" s="27" t="s">
        <v>286</v>
      </c>
    </row>
    <row r="71" spans="2:15" x14ac:dyDescent="0.45">
      <c r="B71" s="41" t="s">
        <v>220</v>
      </c>
      <c r="C71" s="26" t="str">
        <f t="shared" si="6"/>
        <v>Site set-up and traffic management</v>
      </c>
      <c r="D71" s="35">
        <f t="shared" ca="1" si="7"/>
        <v>2.7895836583543887</v>
      </c>
      <c r="E71" s="35">
        <f ca="1">F70</f>
        <v>12.326358652286181</v>
      </c>
      <c r="F71" s="35">
        <f t="shared" ca="1" si="8"/>
        <v>15.11594231064057</v>
      </c>
      <c r="G71" s="35">
        <f t="shared" ca="1" si="9"/>
        <v>12.326358652286169</v>
      </c>
      <c r="H71" s="35">
        <f ca="1">MIN(G72,G83)</f>
        <v>15.115942310640557</v>
      </c>
      <c r="I71" s="35">
        <f t="shared" ca="1" si="10"/>
        <v>0</v>
      </c>
      <c r="J71" s="52" cm="1">
        <f t="array" aca="1" ref="J71" ca="1">_xll.VoseOutput("Critical B, plan in use","1 = yes")+IF(I71&lt;0.0001,1,0)</f>
        <v>1</v>
      </c>
      <c r="K71" s="29"/>
      <c r="L71" s="29"/>
      <c r="M71" s="29"/>
      <c r="N71" s="29"/>
      <c r="O71" s="29"/>
    </row>
    <row r="72" spans="2:15" x14ac:dyDescent="0.45">
      <c r="B72" s="41" t="s">
        <v>223</v>
      </c>
      <c r="C72" s="26" t="str">
        <f t="shared" si="6"/>
        <v>Demolish the old bridge</v>
      </c>
      <c r="D72" s="35">
        <f t="shared" ca="1" si="7"/>
        <v>4.5760576787111216</v>
      </c>
      <c r="E72" s="35">
        <f ca="1">F71</f>
        <v>15.11594231064057</v>
      </c>
      <c r="F72" s="35">
        <f t="shared" ca="1" si="8"/>
        <v>19.691999989351693</v>
      </c>
      <c r="G72" s="35">
        <f t="shared" ca="1" si="9"/>
        <v>15.115942310640557</v>
      </c>
      <c r="H72" s="35">
        <f ca="1">MIN(G73,G74,G75)</f>
        <v>19.691999989351679</v>
      </c>
      <c r="I72" s="35">
        <f t="shared" ca="1" si="10"/>
        <v>0</v>
      </c>
      <c r="J72" s="52" cm="1">
        <f t="array" aca="1" ref="J72" ca="1">_xll.VoseOutput("Critical C, plan in use","1 = yes")+IF(I72&lt;0.0001,1,0)</f>
        <v>1</v>
      </c>
      <c r="K72" s="29"/>
      <c r="L72" s="29"/>
      <c r="M72" s="29"/>
      <c r="N72" s="29"/>
      <c r="O72" s="29"/>
    </row>
    <row r="73" spans="2:15" x14ac:dyDescent="0.45">
      <c r="B73" s="41" t="s">
        <v>226</v>
      </c>
      <c r="C73" s="26" t="str">
        <f t="shared" si="6"/>
        <v>North abutment piling</v>
      </c>
      <c r="D73" s="35">
        <f t="shared" ca="1" si="7"/>
        <v>6.4349374169407447</v>
      </c>
      <c r="E73" s="35">
        <f ca="1">F72</f>
        <v>19.691999989351693</v>
      </c>
      <c r="F73" s="35">
        <f t="shared" ca="1" si="8"/>
        <v>26.126937406292438</v>
      </c>
      <c r="G73" s="35">
        <f t="shared" ca="1" si="9"/>
        <v>20.551074710191475</v>
      </c>
      <c r="H73" s="35">
        <f ca="1">G77</f>
        <v>26.98601212713222</v>
      </c>
      <c r="I73" s="35">
        <f t="shared" ca="1" si="10"/>
        <v>0.8590747208397822</v>
      </c>
      <c r="J73" s="52" cm="1">
        <f t="array" aca="1" ref="J73" ca="1">_xll.VoseOutput("Critical D, plan in use","1 = yes")+IF(I73&lt;0.0001,1,0)</f>
        <v>0</v>
      </c>
      <c r="K73" s="29"/>
      <c r="L73" s="29"/>
      <c r="M73" s="29"/>
      <c r="N73" s="29"/>
      <c r="O73" s="29"/>
    </row>
    <row r="74" spans="2:15" x14ac:dyDescent="0.45">
      <c r="B74" s="41" t="s">
        <v>229</v>
      </c>
      <c r="C74" s="26" t="str">
        <f t="shared" si="6"/>
        <v>South abutment piling</v>
      </c>
      <c r="D74" s="35">
        <f t="shared" ca="1" si="7"/>
        <v>5.2090844777939154</v>
      </c>
      <c r="E74" s="35">
        <f ca="1">F72</f>
        <v>19.691999989351693</v>
      </c>
      <c r="F74" s="35">
        <f t="shared" ca="1" si="8"/>
        <v>24.901084467145608</v>
      </c>
      <c r="G74" s="35">
        <f t="shared" ca="1" si="9"/>
        <v>19.691999989351679</v>
      </c>
      <c r="H74" s="35">
        <f ca="1">G78</f>
        <v>24.901084467145594</v>
      </c>
      <c r="I74" s="35">
        <f t="shared" ca="1" si="10"/>
        <v>0</v>
      </c>
      <c r="J74" s="52" cm="1">
        <f t="array" aca="1" ref="J74" ca="1">_xll.VoseOutput("Critical E, plan in use","1 = yes")+IF(I74&lt;0.0001,1,0)</f>
        <v>1</v>
      </c>
      <c r="K74" s="29"/>
      <c r="L74" s="29"/>
      <c r="M74" s="29"/>
      <c r="N74" s="29"/>
      <c r="O74" s="29"/>
    </row>
    <row r="75" spans="2:15" x14ac:dyDescent="0.45">
      <c r="B75" s="41" t="s">
        <v>232</v>
      </c>
      <c r="C75" s="26" t="str">
        <f t="shared" si="6"/>
        <v>River pier</v>
      </c>
      <c r="D75" s="35">
        <f t="shared" ca="1" si="7"/>
        <v>8.9637551287323411</v>
      </c>
      <c r="E75" s="35">
        <f ca="1">F72</f>
        <v>19.691999989351693</v>
      </c>
      <c r="F75" s="35">
        <f t="shared" ca="1" si="8"/>
        <v>28.655755118084034</v>
      </c>
      <c r="G75" s="35">
        <f t="shared" ca="1" si="9"/>
        <v>21.504723301852238</v>
      </c>
      <c r="H75" s="35">
        <f ca="1">G79</f>
        <v>30.468478430584579</v>
      </c>
      <c r="I75" s="35">
        <f t="shared" ca="1" si="10"/>
        <v>1.8127233125005446</v>
      </c>
      <c r="J75" s="52" cm="1">
        <f t="array" aca="1" ref="J75" ca="1">_xll.VoseOutput("Critical F, plan in use","1 = yes")+IF(I75&lt;0.0001,1,0)</f>
        <v>0</v>
      </c>
      <c r="K75" s="29"/>
      <c r="L75" s="29"/>
      <c r="M75" s="29"/>
      <c r="N75" s="29"/>
      <c r="O75" s="29"/>
    </row>
    <row r="76" spans="2:15" x14ac:dyDescent="0.45">
      <c r="B76" s="41" t="s">
        <v>235</v>
      </c>
      <c r="C76" s="26" t="str">
        <f t="shared" si="6"/>
        <v>Fabricate steel girders (off site)</v>
      </c>
      <c r="D76" s="35">
        <f t="shared" ca="1" si="7"/>
        <v>13.095710786326626</v>
      </c>
      <c r="E76" s="35">
        <f ca="1">F70</f>
        <v>12.326358652286181</v>
      </c>
      <c r="F76" s="35">
        <f t="shared" ca="1" si="8"/>
        <v>25.422069438612809</v>
      </c>
      <c r="G76" s="35">
        <f t="shared" ca="1" si="9"/>
        <v>17.372767644257955</v>
      </c>
      <c r="H76" s="35">
        <f ca="1">G79</f>
        <v>30.468478430584579</v>
      </c>
      <c r="I76" s="35">
        <f t="shared" ca="1" si="10"/>
        <v>5.0464089919717736</v>
      </c>
      <c r="J76" s="52" cm="1">
        <f t="array" aca="1" ref="J76" ca="1">_xll.VoseOutput("Critical G, plan in use","1 = yes")+IF(I76&lt;0.0001,1,0)</f>
        <v>0</v>
      </c>
      <c r="K76" s="29"/>
      <c r="L76" s="29"/>
      <c r="M76" s="29"/>
      <c r="N76" s="29"/>
      <c r="O76" s="29"/>
    </row>
    <row r="77" spans="2:15" x14ac:dyDescent="0.45">
      <c r="B77" s="41" t="s">
        <v>238</v>
      </c>
      <c r="C77" s="26" t="str">
        <f t="shared" si="6"/>
        <v>North abutment walls</v>
      </c>
      <c r="D77" s="35">
        <f t="shared" ca="1" si="7"/>
        <v>3.4824663034523606</v>
      </c>
      <c r="E77" s="35">
        <f ca="1">F73</f>
        <v>26.126937406292438</v>
      </c>
      <c r="F77" s="35">
        <f t="shared" ca="1" si="8"/>
        <v>29.609403709744797</v>
      </c>
      <c r="G77" s="35">
        <f t="shared" ca="1" si="9"/>
        <v>26.98601212713222</v>
      </c>
      <c r="H77" s="35">
        <f ca="1">G79</f>
        <v>30.468478430584579</v>
      </c>
      <c r="I77" s="35">
        <f t="shared" ca="1" si="10"/>
        <v>0.8590747208397822</v>
      </c>
      <c r="J77" s="52" cm="1">
        <f t="array" aca="1" ref="J77" ca="1">_xll.VoseOutput("Critical H, plan in use","1 = yes")+IF(I77&lt;0.0001,1,0)</f>
        <v>0</v>
      </c>
      <c r="K77" s="29"/>
      <c r="L77" s="29"/>
      <c r="M77" s="29"/>
      <c r="N77" s="29"/>
      <c r="O77" s="29"/>
    </row>
    <row r="78" spans="2:15" x14ac:dyDescent="0.45">
      <c r="B78" s="41" t="s">
        <v>240</v>
      </c>
      <c r="C78" s="26" t="str">
        <f t="shared" si="6"/>
        <v>South abutment walls</v>
      </c>
      <c r="D78" s="35">
        <f t="shared" ca="1" si="7"/>
        <v>5.5673939634389829</v>
      </c>
      <c r="E78" s="35">
        <f ca="1">F74</f>
        <v>24.901084467145608</v>
      </c>
      <c r="F78" s="35">
        <f t="shared" ca="1" si="8"/>
        <v>30.468478430584589</v>
      </c>
      <c r="G78" s="35">
        <f t="shared" ca="1" si="9"/>
        <v>24.901084467145594</v>
      </c>
      <c r="H78" s="35">
        <f ca="1">G79</f>
        <v>30.468478430584579</v>
      </c>
      <c r="I78" s="35">
        <f t="shared" ca="1" si="10"/>
        <v>0</v>
      </c>
      <c r="J78" s="52" cm="1">
        <f t="array" aca="1" ref="J78" ca="1">_xll.VoseOutput("Critical I, plan in use","1 = yes")+IF(I78&lt;0.0001,1,0)</f>
        <v>1</v>
      </c>
      <c r="K78" s="29"/>
      <c r="L78" s="29"/>
      <c r="M78" s="29"/>
      <c r="N78" s="29"/>
      <c r="O78" s="29"/>
    </row>
    <row r="79" spans="2:15" x14ac:dyDescent="0.45">
      <c r="B79" s="41" t="s">
        <v>242</v>
      </c>
      <c r="C79" s="26" t="str">
        <f t="shared" si="6"/>
        <v>Deliver and erect girders</v>
      </c>
      <c r="D79" s="35">
        <f t="shared" ca="1" si="7"/>
        <v>2.7406183367043262</v>
      </c>
      <c r="E79" s="35">
        <f ca="1">MAX(F75,F76,F77,F78)</f>
        <v>30.468478430584589</v>
      </c>
      <c r="F79" s="35">
        <f t="shared" ca="1" si="8"/>
        <v>33.209096767288912</v>
      </c>
      <c r="G79" s="35">
        <f t="shared" ca="1" si="9"/>
        <v>30.468478430584579</v>
      </c>
      <c r="H79" s="35">
        <f ca="1">G80</f>
        <v>33.209096767288905</v>
      </c>
      <c r="I79" s="35">
        <f t="shared" ca="1" si="10"/>
        <v>0</v>
      </c>
      <c r="J79" s="52" cm="1">
        <f t="array" aca="1" ref="J79" ca="1">_xll.VoseOutput("Critical J, plan in use","1 = yes")+IF(I79&lt;0.0001,1,0)</f>
        <v>1</v>
      </c>
      <c r="K79" s="29"/>
      <c r="L79" s="29"/>
      <c r="M79" s="29"/>
      <c r="N79" s="29"/>
      <c r="O79" s="29"/>
    </row>
    <row r="80" spans="2:15" x14ac:dyDescent="0.45">
      <c r="B80" s="41" t="s">
        <v>246</v>
      </c>
      <c r="C80" s="26" t="str">
        <f t="shared" si="6"/>
        <v>Deck slab</v>
      </c>
      <c r="D80" s="35">
        <f t="shared" ca="1" si="7"/>
        <v>5.7478129764967836</v>
      </c>
      <c r="E80" s="35">
        <f ca="1">F79</f>
        <v>33.209096767288912</v>
      </c>
      <c r="F80" s="35">
        <f t="shared" ca="1" si="8"/>
        <v>38.956909743785694</v>
      </c>
      <c r="G80" s="35">
        <f t="shared" ca="1" si="9"/>
        <v>33.209096767288905</v>
      </c>
      <c r="H80" s="35">
        <f ca="1">MIN(G81,G82)</f>
        <v>38.956909743785687</v>
      </c>
      <c r="I80" s="35">
        <f t="shared" ca="1" si="10"/>
        <v>0</v>
      </c>
      <c r="J80" s="52" cm="1">
        <f t="array" aca="1" ref="J80" ca="1">_xll.VoseOutput("Critical K, plan in use","1 = yes")+IF(I80&lt;0.0001,1,0)</f>
        <v>1</v>
      </c>
      <c r="K80" s="29"/>
      <c r="L80" s="29"/>
      <c r="M80" s="29"/>
      <c r="N80" s="29"/>
      <c r="O80" s="29"/>
    </row>
    <row r="81" spans="2:15" x14ac:dyDescent="0.45">
      <c r="B81" s="41" t="s">
        <v>248</v>
      </c>
      <c r="C81" s="26" t="str">
        <f t="shared" si="6"/>
        <v>Waterproofing and surfacing</v>
      </c>
      <c r="D81" s="35">
        <f t="shared" ca="1" si="7"/>
        <v>4.5415373609271192</v>
      </c>
      <c r="E81" s="35">
        <f ca="1">F80</f>
        <v>38.956909743785694</v>
      </c>
      <c r="F81" s="35">
        <f t="shared" ca="1" si="8"/>
        <v>43.49844710471281</v>
      </c>
      <c r="G81" s="35">
        <f t="shared" ca="1" si="9"/>
        <v>38.956909743785687</v>
      </c>
      <c r="H81" s="35">
        <f ca="1">G84</f>
        <v>43.49844710471281</v>
      </c>
      <c r="I81" s="35">
        <f t="shared" ca="1" si="10"/>
        <v>0</v>
      </c>
      <c r="J81" s="52" cm="1">
        <f t="array" aca="1" ref="J81" ca="1">_xll.VoseOutput("Critical L, plan in use","1 = yes")+IF(I81&lt;0.0001,1,0)</f>
        <v>1</v>
      </c>
      <c r="K81" s="29"/>
      <c r="L81" s="29"/>
      <c r="M81" s="29"/>
      <c r="N81" s="29"/>
      <c r="O81" s="29"/>
    </row>
    <row r="82" spans="2:15" x14ac:dyDescent="0.45">
      <c r="B82" s="41" t="s">
        <v>250</v>
      </c>
      <c r="C82" s="26" t="str">
        <f t="shared" si="6"/>
        <v>Parapets and finishes</v>
      </c>
      <c r="D82" s="35">
        <f t="shared" ca="1" si="7"/>
        <v>2.3140441767507154</v>
      </c>
      <c r="E82" s="35">
        <f ca="1">F80</f>
        <v>38.956909743785694</v>
      </c>
      <c r="F82" s="35">
        <f t="shared" ca="1" si="8"/>
        <v>41.270953920536407</v>
      </c>
      <c r="G82" s="35">
        <f t="shared" ca="1" si="9"/>
        <v>41.184402927962097</v>
      </c>
      <c r="H82" s="35">
        <f ca="1">G84</f>
        <v>43.49844710471281</v>
      </c>
      <c r="I82" s="35">
        <f t="shared" ca="1" si="10"/>
        <v>2.227493184176403</v>
      </c>
      <c r="J82" s="52" cm="1">
        <f t="array" aca="1" ref="J82" ca="1">_xll.VoseOutput("Critical M, plan in use","1 = yes")+IF(I82&lt;0.0001,1,0)</f>
        <v>0</v>
      </c>
      <c r="K82" s="29"/>
      <c r="L82" s="29"/>
      <c r="M82" s="29"/>
      <c r="N82" s="29"/>
      <c r="O82" s="29"/>
    </row>
    <row r="83" spans="2:15" x14ac:dyDescent="0.45">
      <c r="B83" s="41" t="s">
        <v>252</v>
      </c>
      <c r="C83" s="26" t="str">
        <f t="shared" si="6"/>
        <v>Approach road tie-ins</v>
      </c>
      <c r="D83" s="35">
        <f t="shared" ca="1" si="7"/>
        <v>4.2094818105923002</v>
      </c>
      <c r="E83" s="35">
        <f ca="1">F71</f>
        <v>15.11594231064057</v>
      </c>
      <c r="F83" s="35">
        <f t="shared" ca="1" si="8"/>
        <v>19.325424121232871</v>
      </c>
      <c r="G83" s="35">
        <f t="shared" ca="1" si="9"/>
        <v>39.288965294120509</v>
      </c>
      <c r="H83" s="35">
        <f ca="1">G84</f>
        <v>43.49844710471281</v>
      </c>
      <c r="I83" s="35">
        <f t="shared" ca="1" si="10"/>
        <v>24.173022983479939</v>
      </c>
      <c r="J83" s="52" cm="1">
        <f t="array" aca="1" ref="J83" ca="1">_xll.VoseOutput("Critical N, plan in use","1 = yes")+IF(I83&lt;0.0001,1,0)</f>
        <v>0</v>
      </c>
      <c r="K83" s="29"/>
      <c r="L83" s="29"/>
      <c r="M83" s="29"/>
      <c r="N83" s="29"/>
      <c r="O83" s="29"/>
    </row>
    <row r="84" spans="2:15" x14ac:dyDescent="0.45">
      <c r="B84" s="41" t="s">
        <v>255</v>
      </c>
      <c r="C84" s="26" t="str">
        <f t="shared" si="6"/>
        <v>Testing and opening</v>
      </c>
      <c r="D84" s="35">
        <f t="shared" ca="1" si="7"/>
        <v>1.3646453883113394</v>
      </c>
      <c r="E84" s="35">
        <f ca="1">MAX(F81,F82,F83)</f>
        <v>43.49844710471281</v>
      </c>
      <c r="F84" s="35">
        <f t="shared" ca="1" si="8"/>
        <v>44.863092493024148</v>
      </c>
      <c r="G84" s="35">
        <f t="shared" ca="1" si="9"/>
        <v>43.49844710471281</v>
      </c>
      <c r="H84" s="35">
        <f ca="1">F84</f>
        <v>44.863092493024148</v>
      </c>
      <c r="I84" s="35">
        <f t="shared" ca="1" si="10"/>
        <v>0</v>
      </c>
      <c r="J84" s="52" cm="1">
        <f t="array" aca="1" ref="J84" ca="1">_xll.VoseOutput("Critical O, plan in use","1 = yes")+IF(I84&lt;0.0001,1,0)</f>
        <v>1</v>
      </c>
      <c r="K84" s="29"/>
      <c r="L84" s="29"/>
      <c r="M84" s="29"/>
      <c r="N84" s="29"/>
      <c r="O84" s="29"/>
    </row>
    <row r="85" spans="2:15" ht="8" customHeight="1" x14ac:dyDescent="0.45"/>
    <row r="86" spans="2:15" ht="22.05" customHeight="1" x14ac:dyDescent="0.5">
      <c r="B86" s="7" t="s">
        <v>287</v>
      </c>
      <c r="C86" s="8"/>
      <c r="D86" s="8"/>
      <c r="E86" s="8"/>
      <c r="F86" s="8"/>
      <c r="G86" s="8"/>
      <c r="H86" s="8"/>
      <c r="I86" s="8"/>
      <c r="J86" s="8"/>
      <c r="K86" s="8"/>
      <c r="L86" s="8"/>
      <c r="M86" s="8"/>
      <c r="N86" s="8"/>
      <c r="O86" s="8"/>
    </row>
    <row r="87" spans="2:15" ht="18" customHeight="1" x14ac:dyDescent="0.45">
      <c r="B87" s="13" t="s">
        <v>288</v>
      </c>
    </row>
    <row r="106" spans="2:15" ht="22.05" customHeight="1" x14ac:dyDescent="0.5">
      <c r="B106" s="7" t="s">
        <v>289</v>
      </c>
      <c r="C106" s="8"/>
      <c r="D106" s="8"/>
      <c r="E106" s="8"/>
      <c r="F106" s="8"/>
      <c r="G106" s="8"/>
      <c r="H106" s="8"/>
      <c r="I106" s="8"/>
      <c r="J106" s="8"/>
      <c r="K106" s="8"/>
      <c r="L106" s="8"/>
      <c r="M106" s="8"/>
      <c r="N106" s="8"/>
      <c r="O106" s="8"/>
    </row>
    <row r="107" spans="2:15" ht="18" customHeight="1" x14ac:dyDescent="0.45">
      <c r="B107" s="13" t="s">
        <v>290</v>
      </c>
    </row>
    <row r="108" spans="2:15" ht="18" customHeight="1" x14ac:dyDescent="0.45">
      <c r="B108" s="47" t="s">
        <v>208</v>
      </c>
      <c r="C108" s="47" t="s">
        <v>209</v>
      </c>
      <c r="D108" s="49" t="s">
        <v>264</v>
      </c>
      <c r="E108" s="49" t="s">
        <v>275</v>
      </c>
      <c r="F108" s="49" t="s">
        <v>276</v>
      </c>
      <c r="G108" s="49" t="s">
        <v>277</v>
      </c>
      <c r="H108" s="49" t="s">
        <v>278</v>
      </c>
      <c r="I108" s="49" t="s">
        <v>280</v>
      </c>
      <c r="J108" s="49" t="s">
        <v>264</v>
      </c>
      <c r="K108" s="49" t="s">
        <v>275</v>
      </c>
      <c r="L108" s="49" t="s">
        <v>276</v>
      </c>
      <c r="M108" s="48"/>
      <c r="N108" s="48"/>
      <c r="O108" s="47" t="s">
        <v>265</v>
      </c>
    </row>
    <row r="109" spans="2:15" x14ac:dyDescent="0.45">
      <c r="B109" s="50"/>
      <c r="C109" s="50"/>
      <c r="D109" s="50" t="s">
        <v>291</v>
      </c>
      <c r="E109" s="50"/>
      <c r="F109" s="50"/>
      <c r="G109" s="50"/>
      <c r="H109" s="50"/>
      <c r="I109" s="50" t="s">
        <v>174</v>
      </c>
      <c r="J109" s="50" t="s">
        <v>292</v>
      </c>
      <c r="K109" s="50"/>
      <c r="L109" s="50"/>
      <c r="M109" s="50"/>
      <c r="N109" s="50"/>
      <c r="O109" s="50"/>
    </row>
    <row r="110" spans="2:15" x14ac:dyDescent="0.45">
      <c r="B110" s="41" t="s">
        <v>217</v>
      </c>
      <c r="C110" s="26" t="str">
        <f t="shared" ref="C110:C124" si="11">C10</f>
        <v>Design and approvals</v>
      </c>
      <c r="D110" s="35">
        <f>F10*(1-F30)</f>
        <v>10</v>
      </c>
      <c r="E110" s="35">
        <f>0</f>
        <v>0</v>
      </c>
      <c r="F110" s="35">
        <f t="shared" ref="F110:F124" si="12">E110+D110</f>
        <v>10</v>
      </c>
      <c r="G110" s="35">
        <f t="shared" ref="G110:G124" si="13">H110-D110</f>
        <v>0</v>
      </c>
      <c r="H110" s="35">
        <f>MIN(G111,G116)</f>
        <v>10</v>
      </c>
      <c r="I110" s="40">
        <f t="shared" ref="I110:I124" si="14">IF(G110-E110&lt;0.0001,1,0)</f>
        <v>1</v>
      </c>
      <c r="J110" s="35">
        <f>F10*(1-G30)</f>
        <v>10</v>
      </c>
      <c r="K110" s="35">
        <f>0</f>
        <v>0</v>
      </c>
      <c r="L110" s="35">
        <f t="shared" ref="L110:L124" si="15">K110+J110</f>
        <v>10</v>
      </c>
      <c r="M110" s="29"/>
      <c r="N110" s="29"/>
      <c r="O110" s="27" t="s">
        <v>293</v>
      </c>
    </row>
    <row r="111" spans="2:15" x14ac:dyDescent="0.45">
      <c r="B111" s="41" t="s">
        <v>220</v>
      </c>
      <c r="C111" s="26" t="str">
        <f t="shared" si="11"/>
        <v>Site set-up and traffic management</v>
      </c>
      <c r="D111" s="35">
        <f>F11</f>
        <v>3</v>
      </c>
      <c r="E111" s="35">
        <f>F110</f>
        <v>10</v>
      </c>
      <c r="F111" s="35">
        <f t="shared" si="12"/>
        <v>13</v>
      </c>
      <c r="G111" s="35">
        <f t="shared" si="13"/>
        <v>10</v>
      </c>
      <c r="H111" s="35">
        <f>MIN(G112,G123)</f>
        <v>13</v>
      </c>
      <c r="I111" s="40">
        <f t="shared" si="14"/>
        <v>1</v>
      </c>
      <c r="J111" s="35">
        <f>F11</f>
        <v>3</v>
      </c>
      <c r="K111" s="35">
        <f>L110</f>
        <v>10</v>
      </c>
      <c r="L111" s="35">
        <f t="shared" si="15"/>
        <v>13</v>
      </c>
      <c r="M111" s="29"/>
      <c r="N111" s="29"/>
      <c r="O111" s="27" t="s">
        <v>294</v>
      </c>
    </row>
    <row r="112" spans="2:15" x14ac:dyDescent="0.45">
      <c r="B112" s="41" t="s">
        <v>223</v>
      </c>
      <c r="C112" s="26" t="str">
        <f t="shared" si="11"/>
        <v>Demolish the old bridge</v>
      </c>
      <c r="D112" s="35">
        <f>F12*(1-F32)</f>
        <v>4</v>
      </c>
      <c r="E112" s="35">
        <f>F111</f>
        <v>13</v>
      </c>
      <c r="F112" s="35">
        <f t="shared" si="12"/>
        <v>17</v>
      </c>
      <c r="G112" s="35">
        <f t="shared" si="13"/>
        <v>13</v>
      </c>
      <c r="H112" s="35">
        <f>MIN(G113,G114,G115)</f>
        <v>17</v>
      </c>
      <c r="I112" s="40">
        <f t="shared" si="14"/>
        <v>1</v>
      </c>
      <c r="J112" s="35">
        <f>F12*(1-G32)</f>
        <v>4</v>
      </c>
      <c r="K112" s="35">
        <f>L111</f>
        <v>13</v>
      </c>
      <c r="L112" s="35">
        <f t="shared" si="15"/>
        <v>17</v>
      </c>
      <c r="M112" s="29"/>
      <c r="N112" s="29"/>
      <c r="O112" s="27" t="s">
        <v>295</v>
      </c>
    </row>
    <row r="113" spans="2:15" x14ac:dyDescent="0.45">
      <c r="B113" s="41" t="s">
        <v>226</v>
      </c>
      <c r="C113" s="26" t="str">
        <f t="shared" si="11"/>
        <v>North abutment piling</v>
      </c>
      <c r="D113" s="35">
        <f>F13*(1-F33)</f>
        <v>7</v>
      </c>
      <c r="E113" s="35">
        <f>F112</f>
        <v>17</v>
      </c>
      <c r="F113" s="35">
        <f t="shared" si="12"/>
        <v>24</v>
      </c>
      <c r="G113" s="35">
        <f t="shared" si="13"/>
        <v>17</v>
      </c>
      <c r="H113" s="35">
        <f>G117</f>
        <v>24</v>
      </c>
      <c r="I113" s="40">
        <f t="shared" si="14"/>
        <v>1</v>
      </c>
      <c r="J113" s="35">
        <f>F13*(1-G33)</f>
        <v>5.6000000000000005</v>
      </c>
      <c r="K113" s="35">
        <f>L112</f>
        <v>17</v>
      </c>
      <c r="L113" s="35">
        <f t="shared" si="15"/>
        <v>22.6</v>
      </c>
      <c r="M113" s="29"/>
      <c r="N113" s="29"/>
      <c r="O113" s="29"/>
    </row>
    <row r="114" spans="2:15" x14ac:dyDescent="0.45">
      <c r="B114" s="41" t="s">
        <v>229</v>
      </c>
      <c r="C114" s="26" t="str">
        <f t="shared" si="11"/>
        <v>South abutment piling</v>
      </c>
      <c r="D114" s="35">
        <f>F14*(1-F34)</f>
        <v>7</v>
      </c>
      <c r="E114" s="35">
        <f>F112</f>
        <v>17</v>
      </c>
      <c r="F114" s="35">
        <f t="shared" si="12"/>
        <v>24</v>
      </c>
      <c r="G114" s="35">
        <f t="shared" si="13"/>
        <v>17</v>
      </c>
      <c r="H114" s="35">
        <f>G118</f>
        <v>24</v>
      </c>
      <c r="I114" s="40">
        <f t="shared" si="14"/>
        <v>1</v>
      </c>
      <c r="J114" s="35">
        <f>F14*(1-G34)</f>
        <v>5.6000000000000005</v>
      </c>
      <c r="K114" s="35">
        <f>L112</f>
        <v>17</v>
      </c>
      <c r="L114" s="35">
        <f t="shared" si="15"/>
        <v>22.6</v>
      </c>
      <c r="M114" s="29"/>
      <c r="N114" s="29"/>
      <c r="O114" s="29"/>
    </row>
    <row r="115" spans="2:15" x14ac:dyDescent="0.45">
      <c r="B115" s="41" t="s">
        <v>232</v>
      </c>
      <c r="C115" s="26" t="str">
        <f t="shared" si="11"/>
        <v>River pier</v>
      </c>
      <c r="D115" s="35">
        <f>F15*(1-F35)</f>
        <v>9</v>
      </c>
      <c r="E115" s="35">
        <f>F112</f>
        <v>17</v>
      </c>
      <c r="F115" s="35">
        <f t="shared" si="12"/>
        <v>26</v>
      </c>
      <c r="G115" s="35">
        <f t="shared" si="13"/>
        <v>19</v>
      </c>
      <c r="H115" s="35">
        <f>G119</f>
        <v>28</v>
      </c>
      <c r="I115" s="40">
        <f t="shared" si="14"/>
        <v>0</v>
      </c>
      <c r="J115" s="35">
        <f>F15*(1-G35)</f>
        <v>6.75</v>
      </c>
      <c r="K115" s="35">
        <f>L112</f>
        <v>17</v>
      </c>
      <c r="L115" s="35">
        <f t="shared" si="15"/>
        <v>23.75</v>
      </c>
      <c r="M115" s="29"/>
      <c r="N115" s="29"/>
      <c r="O115" s="29"/>
    </row>
    <row r="116" spans="2:15" x14ac:dyDescent="0.45">
      <c r="B116" s="41" t="s">
        <v>235</v>
      </c>
      <c r="C116" s="26" t="str">
        <f t="shared" si="11"/>
        <v>Fabricate steel girders (off site)</v>
      </c>
      <c r="D116" s="35">
        <f>F16</f>
        <v>14</v>
      </c>
      <c r="E116" s="35">
        <f>F110</f>
        <v>10</v>
      </c>
      <c r="F116" s="35">
        <f t="shared" si="12"/>
        <v>24</v>
      </c>
      <c r="G116" s="35">
        <f t="shared" si="13"/>
        <v>14</v>
      </c>
      <c r="H116" s="35">
        <f>G119</f>
        <v>28</v>
      </c>
      <c r="I116" s="40">
        <f t="shared" si="14"/>
        <v>0</v>
      </c>
      <c r="J116" s="35">
        <f>F16</f>
        <v>14</v>
      </c>
      <c r="K116" s="35">
        <f>L110</f>
        <v>10</v>
      </c>
      <c r="L116" s="35">
        <f t="shared" si="15"/>
        <v>24</v>
      </c>
      <c r="M116" s="29"/>
      <c r="N116" s="29"/>
      <c r="O116" s="29"/>
    </row>
    <row r="117" spans="2:15" x14ac:dyDescent="0.45">
      <c r="B117" s="41" t="s">
        <v>238</v>
      </c>
      <c r="C117" s="26" t="str">
        <f t="shared" si="11"/>
        <v>North abutment walls</v>
      </c>
      <c r="D117" s="35">
        <f>F17</f>
        <v>4</v>
      </c>
      <c r="E117" s="35">
        <f>F113</f>
        <v>24</v>
      </c>
      <c r="F117" s="35">
        <f t="shared" si="12"/>
        <v>28</v>
      </c>
      <c r="G117" s="35">
        <f t="shared" si="13"/>
        <v>24</v>
      </c>
      <c r="H117" s="35">
        <f>G119</f>
        <v>28</v>
      </c>
      <c r="I117" s="40">
        <f t="shared" si="14"/>
        <v>1</v>
      </c>
      <c r="J117" s="35">
        <f>F17</f>
        <v>4</v>
      </c>
      <c r="K117" s="35">
        <f>L113</f>
        <v>22.6</v>
      </c>
      <c r="L117" s="35">
        <f t="shared" si="15"/>
        <v>26.6</v>
      </c>
      <c r="M117" s="29"/>
      <c r="N117" s="29"/>
      <c r="O117" s="29"/>
    </row>
    <row r="118" spans="2:15" x14ac:dyDescent="0.45">
      <c r="B118" s="41" t="s">
        <v>240</v>
      </c>
      <c r="C118" s="26" t="str">
        <f t="shared" si="11"/>
        <v>South abutment walls</v>
      </c>
      <c r="D118" s="35">
        <f>F18</f>
        <v>4</v>
      </c>
      <c r="E118" s="35">
        <f>F114</f>
        <v>24</v>
      </c>
      <c r="F118" s="35">
        <f t="shared" si="12"/>
        <v>28</v>
      </c>
      <c r="G118" s="35">
        <f t="shared" si="13"/>
        <v>24</v>
      </c>
      <c r="H118" s="35">
        <f>G119</f>
        <v>28</v>
      </c>
      <c r="I118" s="40">
        <f t="shared" si="14"/>
        <v>1</v>
      </c>
      <c r="J118" s="35">
        <f>F18</f>
        <v>4</v>
      </c>
      <c r="K118" s="35">
        <f>L114</f>
        <v>22.6</v>
      </c>
      <c r="L118" s="35">
        <f t="shared" si="15"/>
        <v>26.6</v>
      </c>
      <c r="M118" s="29"/>
      <c r="N118" s="29"/>
      <c r="O118" s="29"/>
    </row>
    <row r="119" spans="2:15" x14ac:dyDescent="0.45">
      <c r="B119" s="41" t="s">
        <v>242</v>
      </c>
      <c r="C119" s="26" t="str">
        <f t="shared" si="11"/>
        <v>Deliver and erect girders</v>
      </c>
      <c r="D119" s="35">
        <f>F19</f>
        <v>3</v>
      </c>
      <c r="E119" s="35">
        <f>MAX(F115,F116,F117,F118)</f>
        <v>28</v>
      </c>
      <c r="F119" s="35">
        <f t="shared" si="12"/>
        <v>31</v>
      </c>
      <c r="G119" s="35">
        <f t="shared" si="13"/>
        <v>28</v>
      </c>
      <c r="H119" s="35">
        <f>G120</f>
        <v>31</v>
      </c>
      <c r="I119" s="40">
        <f t="shared" si="14"/>
        <v>1</v>
      </c>
      <c r="J119" s="35">
        <f>F19</f>
        <v>3</v>
      </c>
      <c r="K119" s="35">
        <f>MAX(L115,L116,L117,L118)</f>
        <v>26.6</v>
      </c>
      <c r="L119" s="35">
        <f t="shared" si="15"/>
        <v>29.6</v>
      </c>
      <c r="M119" s="29"/>
      <c r="N119" s="29"/>
      <c r="O119" s="29"/>
    </row>
    <row r="120" spans="2:15" x14ac:dyDescent="0.45">
      <c r="B120" s="41" t="s">
        <v>246</v>
      </c>
      <c r="C120" s="26" t="str">
        <f t="shared" si="11"/>
        <v>Deck slab</v>
      </c>
      <c r="D120" s="35">
        <f>F20*(1-F40)</f>
        <v>5</v>
      </c>
      <c r="E120" s="35">
        <f>F119</f>
        <v>31</v>
      </c>
      <c r="F120" s="35">
        <f t="shared" si="12"/>
        <v>36</v>
      </c>
      <c r="G120" s="35">
        <f t="shared" si="13"/>
        <v>31</v>
      </c>
      <c r="H120" s="35">
        <f>MIN(G121,G122)</f>
        <v>36</v>
      </c>
      <c r="I120" s="40">
        <f t="shared" si="14"/>
        <v>1</v>
      </c>
      <c r="J120" s="35">
        <f>F20*(1-G40)</f>
        <v>5</v>
      </c>
      <c r="K120" s="35">
        <f>L119</f>
        <v>29.6</v>
      </c>
      <c r="L120" s="35">
        <f t="shared" si="15"/>
        <v>34.6</v>
      </c>
      <c r="M120" s="29"/>
      <c r="N120" s="29"/>
      <c r="O120" s="29"/>
    </row>
    <row r="121" spans="2:15" x14ac:dyDescent="0.45">
      <c r="B121" s="41" t="s">
        <v>248</v>
      </c>
      <c r="C121" s="26" t="str">
        <f t="shared" si="11"/>
        <v>Waterproofing and surfacing</v>
      </c>
      <c r="D121" s="35">
        <f>F21</f>
        <v>3</v>
      </c>
      <c r="E121" s="35">
        <f>F120</f>
        <v>36</v>
      </c>
      <c r="F121" s="35">
        <f t="shared" si="12"/>
        <v>39</v>
      </c>
      <c r="G121" s="35">
        <f t="shared" si="13"/>
        <v>36</v>
      </c>
      <c r="H121" s="35">
        <f>G124</f>
        <v>39</v>
      </c>
      <c r="I121" s="40">
        <f t="shared" si="14"/>
        <v>1</v>
      </c>
      <c r="J121" s="35">
        <f>F21</f>
        <v>3</v>
      </c>
      <c r="K121" s="35">
        <f>L120</f>
        <v>34.6</v>
      </c>
      <c r="L121" s="35">
        <f t="shared" si="15"/>
        <v>37.6</v>
      </c>
      <c r="M121" s="29"/>
      <c r="N121" s="29"/>
      <c r="O121" s="29"/>
    </row>
    <row r="122" spans="2:15" x14ac:dyDescent="0.45">
      <c r="B122" s="41" t="s">
        <v>250</v>
      </c>
      <c r="C122" s="26" t="str">
        <f t="shared" si="11"/>
        <v>Parapets and finishes</v>
      </c>
      <c r="D122" s="35">
        <f>F22</f>
        <v>2</v>
      </c>
      <c r="E122" s="35">
        <f>F120</f>
        <v>36</v>
      </c>
      <c r="F122" s="35">
        <f t="shared" si="12"/>
        <v>38</v>
      </c>
      <c r="G122" s="35">
        <f t="shared" si="13"/>
        <v>37</v>
      </c>
      <c r="H122" s="35">
        <f>G124</f>
        <v>39</v>
      </c>
      <c r="I122" s="40">
        <f t="shared" si="14"/>
        <v>0</v>
      </c>
      <c r="J122" s="35">
        <f>F22</f>
        <v>2</v>
      </c>
      <c r="K122" s="35">
        <f>L120</f>
        <v>34.6</v>
      </c>
      <c r="L122" s="35">
        <f t="shared" si="15"/>
        <v>36.6</v>
      </c>
      <c r="M122" s="29"/>
      <c r="N122" s="29"/>
      <c r="O122" s="29"/>
    </row>
    <row r="123" spans="2:15" x14ac:dyDescent="0.45">
      <c r="B123" s="41" t="s">
        <v>252</v>
      </c>
      <c r="C123" s="26" t="str">
        <f t="shared" si="11"/>
        <v>Approach road tie-ins</v>
      </c>
      <c r="D123" s="35">
        <f>F23</f>
        <v>4</v>
      </c>
      <c r="E123" s="35">
        <f>F111</f>
        <v>13</v>
      </c>
      <c r="F123" s="35">
        <f t="shared" si="12"/>
        <v>17</v>
      </c>
      <c r="G123" s="35">
        <f t="shared" si="13"/>
        <v>35</v>
      </c>
      <c r="H123" s="35">
        <f>G124</f>
        <v>39</v>
      </c>
      <c r="I123" s="40">
        <f t="shared" si="14"/>
        <v>0</v>
      </c>
      <c r="J123" s="35">
        <f>F23</f>
        <v>4</v>
      </c>
      <c r="K123" s="35">
        <f>L111</f>
        <v>13</v>
      </c>
      <c r="L123" s="35">
        <f t="shared" si="15"/>
        <v>17</v>
      </c>
      <c r="M123" s="29"/>
      <c r="N123" s="29"/>
      <c r="O123" s="29"/>
    </row>
    <row r="124" spans="2:15" x14ac:dyDescent="0.45">
      <c r="B124" s="41" t="s">
        <v>255</v>
      </c>
      <c r="C124" s="26" t="str">
        <f t="shared" si="11"/>
        <v>Testing and opening</v>
      </c>
      <c r="D124" s="35">
        <f>F24</f>
        <v>1</v>
      </c>
      <c r="E124" s="35">
        <f>MAX(F121,F122,F123)</f>
        <v>39</v>
      </c>
      <c r="F124" s="35">
        <f t="shared" si="12"/>
        <v>40</v>
      </c>
      <c r="G124" s="35">
        <f t="shared" si="13"/>
        <v>39</v>
      </c>
      <c r="H124" s="35">
        <f>F124</f>
        <v>40</v>
      </c>
      <c r="I124" s="40">
        <f t="shared" si="14"/>
        <v>1</v>
      </c>
      <c r="J124" s="35">
        <f>F24</f>
        <v>1</v>
      </c>
      <c r="K124" s="35">
        <f>MAX(L121,L122,L123)</f>
        <v>37.6</v>
      </c>
      <c r="L124" s="35">
        <f t="shared" si="15"/>
        <v>38.6</v>
      </c>
      <c r="M124" s="29"/>
      <c r="N124" s="29"/>
      <c r="O124" s="29"/>
    </row>
    <row r="125" spans="2:15" ht="8" customHeight="1" x14ac:dyDescent="0.45"/>
    <row r="126" spans="2:15" ht="22.05" customHeight="1" x14ac:dyDescent="0.5">
      <c r="B126" s="7" t="s">
        <v>296</v>
      </c>
      <c r="C126" s="8"/>
      <c r="D126" s="8"/>
      <c r="E126" s="8"/>
      <c r="F126" s="8"/>
      <c r="G126" s="8"/>
      <c r="H126" s="8"/>
      <c r="I126" s="8"/>
      <c r="J126" s="8"/>
      <c r="K126" s="8"/>
      <c r="L126" s="8"/>
      <c r="M126" s="8"/>
      <c r="N126" s="8"/>
      <c r="O126" s="8"/>
    </row>
    <row r="127" spans="2:15" ht="18" customHeight="1" x14ac:dyDescent="0.45">
      <c r="B127" s="13" t="s">
        <v>297</v>
      </c>
    </row>
    <row r="128" spans="2:15" ht="18" customHeight="1" x14ac:dyDescent="0.45">
      <c r="B128" s="5"/>
      <c r="C128" s="37" t="s">
        <v>298</v>
      </c>
      <c r="D128" s="37" t="s">
        <v>112</v>
      </c>
      <c r="E128" s="38" t="s">
        <v>299</v>
      </c>
      <c r="F128" s="5"/>
      <c r="G128" s="5"/>
      <c r="H128" s="5"/>
      <c r="I128" s="5"/>
      <c r="J128" s="5"/>
      <c r="K128" s="5"/>
      <c r="L128" s="5"/>
      <c r="M128" s="5"/>
      <c r="N128" s="5"/>
      <c r="O128" s="37" t="s">
        <v>300</v>
      </c>
    </row>
    <row r="129" spans="2:15" x14ac:dyDescent="0.45">
      <c r="B129" s="29"/>
      <c r="C129" s="26" t="s">
        <v>301</v>
      </c>
      <c r="D129" s="27" t="s">
        <v>121</v>
      </c>
      <c r="E129" s="53" cm="1">
        <f t="array" aca="1" ref="E129" ca="1">_xll.VoseOutput("Completion, starting plan","weeks")+F64</f>
        <v>46.165363612472625</v>
      </c>
      <c r="F129" s="29"/>
      <c r="G129" s="29"/>
      <c r="H129" s="29"/>
      <c r="I129" s="29"/>
      <c r="J129" s="29"/>
      <c r="K129" s="29"/>
      <c r="L129" s="29"/>
      <c r="M129" s="29"/>
      <c r="N129" s="29"/>
      <c r="O129" s="27" t="s">
        <v>302</v>
      </c>
    </row>
    <row r="130" spans="2:15" x14ac:dyDescent="0.45">
      <c r="B130" s="29"/>
      <c r="C130" s="26" t="s">
        <v>303</v>
      </c>
      <c r="D130" s="27" t="s">
        <v>121</v>
      </c>
      <c r="E130" s="53" cm="1">
        <f t="array" aca="1" ref="E130" ca="1">_xll.VoseOutput("Completion, plan in use","weeks")+F84</f>
        <v>44.863092493024148</v>
      </c>
      <c r="F130" s="29"/>
      <c r="G130" s="29"/>
      <c r="H130" s="29"/>
      <c r="I130" s="29"/>
      <c r="J130" s="29"/>
      <c r="K130" s="29"/>
      <c r="L130" s="29"/>
      <c r="M130" s="29"/>
      <c r="N130" s="29"/>
      <c r="O130" s="27" t="s">
        <v>302</v>
      </c>
    </row>
    <row r="131" spans="2:15" x14ac:dyDescent="0.45">
      <c r="B131" s="29"/>
      <c r="C131" s="26" t="s">
        <v>304</v>
      </c>
      <c r="D131" s="27" t="s">
        <v>305</v>
      </c>
      <c r="E131" s="52" cm="1">
        <f t="array" aca="1" ref="E131" ca="1">_xll.VoseOutput("On time, starting plan","1 = yes")+IF(Out_Finish_Start&lt;=ContractWeeks,1,0)</f>
        <v>0</v>
      </c>
      <c r="F131" s="29"/>
      <c r="G131" s="29"/>
      <c r="H131" s="29"/>
      <c r="I131" s="29"/>
      <c r="J131" s="29"/>
      <c r="K131" s="29"/>
      <c r="L131" s="29"/>
      <c r="M131" s="29"/>
      <c r="N131" s="29"/>
      <c r="O131" s="27" t="s">
        <v>306</v>
      </c>
    </row>
    <row r="132" spans="2:15" x14ac:dyDescent="0.45">
      <c r="B132" s="29"/>
      <c r="C132" s="26" t="s">
        <v>307</v>
      </c>
      <c r="D132" s="27" t="s">
        <v>305</v>
      </c>
      <c r="E132" s="52" cm="1">
        <f t="array" aca="1" ref="E132" ca="1">_xll.VoseOutput("On time, plan in use","1 = yes")+IF(Out_Finish_Plan&lt;=ContractWeeks,1,0)</f>
        <v>0</v>
      </c>
      <c r="F132" s="29"/>
      <c r="G132" s="29"/>
      <c r="H132" s="29"/>
      <c r="I132" s="29"/>
      <c r="J132" s="29"/>
      <c r="K132" s="29"/>
      <c r="L132" s="29"/>
      <c r="M132" s="29"/>
      <c r="N132" s="29"/>
      <c r="O132" s="27" t="s">
        <v>306</v>
      </c>
    </row>
    <row r="133" spans="2:15" x14ac:dyDescent="0.45">
      <c r="B133" s="29"/>
      <c r="C133" s="26" t="s">
        <v>308</v>
      </c>
      <c r="D133" s="27" t="s">
        <v>154</v>
      </c>
      <c r="E133" s="54">
        <f>Acc_A_Start*Cost_A+Acc_C_Start*Cost_C+Acc_D_Start*Cost_D+Acc_E_Start*Cost_E+Acc_F_Start*Cost_F+Acc_K_Start*Cost_K</f>
        <v>0</v>
      </c>
      <c r="F133" s="29"/>
      <c r="G133" s="29"/>
      <c r="H133" s="29"/>
      <c r="I133" s="29"/>
      <c r="J133" s="29"/>
      <c r="K133" s="29"/>
      <c r="L133" s="29"/>
      <c r="M133" s="29"/>
      <c r="N133" s="29"/>
      <c r="O133" s="27" t="s">
        <v>309</v>
      </c>
    </row>
    <row r="134" spans="2:15" x14ac:dyDescent="0.45">
      <c r="B134" s="29"/>
      <c r="C134" s="26" t="s">
        <v>310</v>
      </c>
      <c r="D134" s="27" t="s">
        <v>154</v>
      </c>
      <c r="E134" s="54">
        <f>Acc_A*Cost_A+Acc_C*Cost_C+Acc_D*Cost_D+Acc_E*Cost_E+Acc_F*Cost_F+Acc_K*Cost_K</f>
        <v>190</v>
      </c>
      <c r="F134" s="29"/>
      <c r="G134" s="29"/>
      <c r="H134" s="29"/>
      <c r="I134" s="29"/>
      <c r="J134" s="29"/>
      <c r="K134" s="29"/>
      <c r="L134" s="29"/>
      <c r="M134" s="29"/>
      <c r="N134" s="29"/>
      <c r="O134" s="27" t="s">
        <v>309</v>
      </c>
    </row>
    <row r="135" spans="2:15" x14ac:dyDescent="0.45">
      <c r="B135" s="29"/>
      <c r="C135" s="26" t="s">
        <v>311</v>
      </c>
      <c r="D135" s="27" t="s">
        <v>117</v>
      </c>
      <c r="E135" s="55">
        <f ca="1">StartDate+ROUND(7*Out_Finish_Plan,0)</f>
        <v>46761</v>
      </c>
      <c r="F135" s="29"/>
      <c r="G135" s="29"/>
      <c r="H135" s="29"/>
      <c r="I135" s="29"/>
      <c r="J135" s="29"/>
      <c r="K135" s="29"/>
      <c r="L135" s="29"/>
      <c r="M135" s="29"/>
      <c r="N135" s="29"/>
      <c r="O135" s="27" t="s">
        <v>312</v>
      </c>
    </row>
    <row r="136" spans="2:15" x14ac:dyDescent="0.45">
      <c r="B136" s="29"/>
      <c r="C136" s="26" t="s">
        <v>313</v>
      </c>
      <c r="D136" s="27" t="s">
        <v>121</v>
      </c>
      <c r="E136" s="35">
        <f>F124</f>
        <v>40</v>
      </c>
      <c r="F136" s="29"/>
      <c r="G136" s="29"/>
      <c r="H136" s="29"/>
      <c r="I136" s="29"/>
      <c r="J136" s="29"/>
      <c r="K136" s="29"/>
      <c r="L136" s="29"/>
      <c r="M136" s="29"/>
      <c r="N136" s="29"/>
      <c r="O136" s="27" t="s">
        <v>314</v>
      </c>
    </row>
    <row r="137" spans="2:15" x14ac:dyDescent="0.45">
      <c r="B137" s="29"/>
      <c r="C137" s="26" t="s">
        <v>315</v>
      </c>
      <c r="D137" s="27" t="s">
        <v>121</v>
      </c>
      <c r="E137" s="35">
        <f>L124</f>
        <v>38.6</v>
      </c>
      <c r="F137" s="29"/>
      <c r="G137" s="29"/>
      <c r="H137" s="29"/>
      <c r="I137" s="29"/>
      <c r="J137" s="29"/>
      <c r="K137" s="29"/>
      <c r="L137" s="29"/>
      <c r="M137" s="29"/>
      <c r="N137" s="29"/>
      <c r="O137" s="27" t="s">
        <v>316</v>
      </c>
    </row>
    <row r="138" spans="2:15" ht="8" customHeight="1" x14ac:dyDescent="0.45"/>
    <row r="139" spans="2:15" ht="22.05" customHeight="1" x14ac:dyDescent="0.5">
      <c r="B139" s="7" t="s">
        <v>317</v>
      </c>
      <c r="C139" s="8"/>
      <c r="D139" s="8"/>
      <c r="E139" s="8"/>
      <c r="F139" s="8"/>
      <c r="G139" s="8"/>
      <c r="H139" s="8"/>
      <c r="I139" s="8"/>
      <c r="J139" s="8"/>
      <c r="K139" s="8"/>
      <c r="L139" s="8"/>
      <c r="M139" s="8"/>
      <c r="N139" s="8"/>
      <c r="O139" s="8"/>
    </row>
    <row r="140" spans="2:15" ht="18" customHeight="1" x14ac:dyDescent="0.45">
      <c r="B140" s="13" t="s">
        <v>318</v>
      </c>
    </row>
    <row r="141" spans="2:15" x14ac:dyDescent="0.45">
      <c r="B141" s="29"/>
      <c r="C141" s="26" t="s">
        <v>319</v>
      </c>
      <c r="D141" s="29"/>
      <c r="E141" s="56" t="str">
        <f>IF(SUMPRODUCT((E10:E24&gt;F10:F24)+(F10:F24&gt;G10:G24))=0,"OK","CHECK")</f>
        <v>OK</v>
      </c>
      <c r="F141" s="29"/>
      <c r="G141" s="29"/>
      <c r="H141" s="29"/>
      <c r="I141" s="29"/>
      <c r="J141" s="29"/>
      <c r="K141" s="29"/>
      <c r="L141" s="29"/>
      <c r="M141" s="29"/>
      <c r="N141" s="29"/>
      <c r="O141" s="29"/>
    </row>
    <row r="142" spans="2:15" x14ac:dyDescent="0.45">
      <c r="B142" s="29"/>
      <c r="C142" s="26" t="s">
        <v>320</v>
      </c>
      <c r="D142" s="29"/>
      <c r="E142" s="56" t="str">
        <f ca="1">IF(MIN(I50:I64,I70:I84)&gt;-0.0001,"OK","CHECK")</f>
        <v>OK</v>
      </c>
      <c r="F142" s="29"/>
      <c r="G142" s="29"/>
      <c r="H142" s="29"/>
      <c r="I142" s="29"/>
      <c r="J142" s="29"/>
      <c r="K142" s="29"/>
      <c r="L142" s="29"/>
      <c r="M142" s="29"/>
      <c r="N142" s="29"/>
      <c r="O142" s="29"/>
    </row>
    <row r="143" spans="2:15" x14ac:dyDescent="0.45">
      <c r="B143" s="29"/>
      <c r="C143" s="26" t="s">
        <v>321</v>
      </c>
      <c r="D143" s="29"/>
      <c r="E143" s="56" t="str">
        <f ca="1">IF(AND(J64=1,J84=1),"OK","CHECK")</f>
        <v>OK</v>
      </c>
      <c r="F143" s="29"/>
      <c r="G143" s="29"/>
      <c r="H143" s="29"/>
      <c r="I143" s="29"/>
      <c r="J143" s="29"/>
      <c r="K143" s="29"/>
      <c r="L143" s="29"/>
      <c r="M143" s="29"/>
      <c r="N143" s="29"/>
      <c r="O143" s="29"/>
    </row>
    <row r="144" spans="2:15" x14ac:dyDescent="0.45">
      <c r="B144" s="29"/>
      <c r="C144" s="26" t="s">
        <v>322</v>
      </c>
      <c r="D144" s="29"/>
      <c r="E144" s="56" t="str">
        <f>IF(AND(OR(Acc_A=0,Acc_A=1),OR(Acc_A_Start=0,Acc_A_Start=1),OR(Acc_C=0,Acc_C=1),OR(Acc_C_Start=0,Acc_C_Start=1),OR(Acc_D=0,Acc_D=1),OR(Acc_D_Start=0,Acc_D_Start=1),OR(Acc_E=0,Acc_E=1),OR(Acc_E_Start=0,Acc_E_Start=1),OR(Acc_F=0,Acc_F=1),OR(Acc_F_Start=0,Acc_F_Start=1),OR(Acc_K=0,Acc_K=1),OR(Acc_K_Start=0,Acc_K_Start=1)),"OK","CHECK")</f>
        <v>OK</v>
      </c>
      <c r="F144" s="29"/>
      <c r="G144" s="29"/>
      <c r="H144" s="29"/>
      <c r="I144" s="29"/>
      <c r="J144" s="29"/>
      <c r="K144" s="29"/>
      <c r="L144" s="29"/>
      <c r="M144" s="29"/>
      <c r="N144" s="29"/>
      <c r="O144" s="29"/>
    </row>
    <row r="145" ht="14" customHeight="1" x14ac:dyDescent="0.45"/>
  </sheetData>
  <conditionalFormatting sqref="B110:I124">
    <cfRule type="expression" dxfId="7" priority="3">
      <formula>$I110=1</formula>
    </cfRule>
  </conditionalFormatting>
  <conditionalFormatting sqref="B50:J64">
    <cfRule type="expression" dxfId="6" priority="1">
      <formula>$J50=1</formula>
    </cfRule>
  </conditionalFormatting>
  <conditionalFormatting sqref="B70:J84">
    <cfRule type="expression" dxfId="5" priority="2">
      <formula>$J70=1</formula>
    </cfRule>
  </conditionalFormatting>
  <conditionalFormatting sqref="E141:E144">
    <cfRule type="expression" dxfId="4" priority="4">
      <formula>E141="CHECK"</formula>
    </cfRule>
  </conditionalFormatting>
  <dataValidations count="1">
    <dataValidation type="custom" showErrorMessage="1" errorTitle="Duration" error="Low ≤ Most likely ≤ High." sqref="E10:G24" xr:uid="{00000000-0002-0000-0300-000000000000}">
      <formula1>AND($E10&lt;=$F10,$F10&lt;=$G10,$E10&gt;=0)</formula1>
    </dataValidation>
  </dataValidations>
  <hyperlinks>
    <hyperlink ref="B4" location="'Decisions'!A1" display="◂  Decisions" xr:uid="{00000000-0004-0000-0300-000000000000}"/>
    <hyperlink ref="O4" location="'Results'!A1" display="Next:  Results  ▸" xr:uid="{00000000-0004-0000-0300-000001000000}"/>
  </hyperlinks>
  <printOptions horizontalCentered="1"/>
  <pageMargins left="0.4" right="0.4" top="0.5" bottom="0.6" header="0.25" footer="0.25"/>
  <pageSetup paperSize="9" fitToHeight="0" orientation="landscape"/>
  <headerFooter>
    <oddFooter>&amp;L&amp;K3F5876&amp;8&amp;F · &amp;A&amp;R&amp;K3F5876&amp;8Page &amp;P of &amp;N</oddFooter>
  </headerFooter>
  <rowBreaks count="3" manualBreakCount="3">
    <brk id="45" max="16383" man="1"/>
    <brk id="85" max="16383" man="1"/>
    <brk id="125" max="16383" man="1"/>
  </rowBreaks>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15803D"/>
    <outlinePr summaryBelow="0"/>
    <pageSetUpPr fitToPage="1"/>
  </sheetPr>
  <dimension ref="A1:R112"/>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20" max="20" width="9.06640625" customWidth="1"/>
  </cols>
  <sheetData>
    <row r="1" spans="1:18" ht="6" customHeight="1" x14ac:dyDescent="0.45"/>
    <row r="2" spans="1:18" ht="30" customHeight="1" x14ac:dyDescent="0.45">
      <c r="A2" s="1"/>
      <c r="B2" s="22" t="s">
        <v>0</v>
      </c>
      <c r="C2" s="1"/>
      <c r="D2" s="1"/>
      <c r="E2" s="1"/>
      <c r="F2" s="1"/>
      <c r="G2" s="1"/>
      <c r="H2" s="1"/>
      <c r="I2" s="1"/>
      <c r="J2" s="1"/>
      <c r="K2" s="1"/>
      <c r="L2" s="1"/>
      <c r="M2" s="1"/>
      <c r="N2" s="1"/>
      <c r="O2" s="1"/>
      <c r="P2" s="1"/>
      <c r="Q2" s="1"/>
      <c r="R2" s="3" t="s">
        <v>1</v>
      </c>
    </row>
    <row r="3" spans="1:18" ht="20" customHeight="1" x14ac:dyDescent="0.45">
      <c r="A3" s="1"/>
      <c r="B3" s="4" t="s">
        <v>323</v>
      </c>
      <c r="C3" s="1"/>
      <c r="D3" s="1"/>
      <c r="E3" s="1"/>
      <c r="F3" s="1"/>
      <c r="G3" s="1"/>
      <c r="H3" s="1"/>
      <c r="I3" s="1"/>
      <c r="J3" s="1"/>
      <c r="K3" s="1"/>
      <c r="L3" s="1"/>
      <c r="M3" s="1"/>
      <c r="N3" s="1"/>
      <c r="O3" s="1"/>
      <c r="P3" s="1"/>
      <c r="Q3" s="1"/>
      <c r="R3" s="1"/>
    </row>
    <row r="4" spans="1:18" ht="20" customHeight="1" x14ac:dyDescent="0.45">
      <c r="A4" s="5"/>
      <c r="B4" s="23" t="s">
        <v>324</v>
      </c>
      <c r="C4" s="5"/>
      <c r="D4" s="5"/>
      <c r="E4" s="5"/>
      <c r="F4" s="5"/>
      <c r="G4" s="5"/>
      <c r="H4" s="5"/>
      <c r="I4" s="5"/>
      <c r="J4" s="5"/>
      <c r="K4" s="5"/>
      <c r="L4" s="5"/>
      <c r="M4" s="5"/>
      <c r="N4" s="5"/>
      <c r="O4" s="5"/>
      <c r="P4" s="5"/>
      <c r="Q4" s="5"/>
      <c r="R4" s="5"/>
    </row>
    <row r="5" spans="1:18" ht="8" customHeight="1" x14ac:dyDescent="0.45"/>
    <row r="6" spans="1:18" ht="26" customHeight="1" x14ac:dyDescent="0.45">
      <c r="B6" s="57" t="str" cm="1">
        <f t="array" aca="1" ref="B6" ca="1">IF(ISNUMBER(_xll.VoseSimMean(Out_Finish_Plan)),"✔  Showing results of the last simulation run in this Excel session. Re-run the simulation after changing any input.","▶  No simulation results yet. On the ModelRisk ribbon, start a simulation — this sheet then fills in automatically.")</f>
        <v>✔  Showing results of the last simulation run in this Excel session. Re-run the simulation after changing any input.</v>
      </c>
      <c r="C6" s="58"/>
      <c r="D6" s="58"/>
      <c r="E6" s="58"/>
      <c r="F6" s="58"/>
      <c r="G6" s="58"/>
    </row>
    <row r="7" spans="1:18" x14ac:dyDescent="0.45">
      <c r="B7" s="59" t="str">
        <f ca="1">IF(COUNTIF(Checks,"CHECK")=0,"✔  All model checks read OK.","✗  "&amp;COUNTIF(Checks,"CHECK")&amp;" model check(s) read CHECK: see Model checks at the end of the calculation sheet.")</f>
        <v>✔  All model checks read OK.</v>
      </c>
    </row>
    <row r="8" spans="1:18" ht="8" customHeight="1" x14ac:dyDescent="0.45"/>
    <row r="9" spans="1:18" ht="22.05" customHeight="1" x14ac:dyDescent="0.5">
      <c r="B9" s="7" t="s">
        <v>325</v>
      </c>
      <c r="C9" s="8"/>
      <c r="D9" s="8"/>
      <c r="E9" s="8"/>
      <c r="F9" s="8"/>
      <c r="G9" s="8"/>
      <c r="I9" s="60" t="s">
        <v>326</v>
      </c>
      <c r="J9" s="8"/>
      <c r="K9" s="8"/>
      <c r="L9" s="8"/>
      <c r="M9" s="8"/>
      <c r="N9" s="8"/>
      <c r="O9" s="8"/>
      <c r="P9" s="8"/>
      <c r="Q9" s="8"/>
      <c r="R9" s="8"/>
    </row>
    <row r="10" spans="1:18" ht="18" customHeight="1" x14ac:dyDescent="0.45">
      <c r="B10" s="13" t="s">
        <v>327</v>
      </c>
    </row>
    <row r="11" spans="1:18" ht="18" customHeight="1" x14ac:dyDescent="0.45">
      <c r="B11" s="24" t="s">
        <v>54</v>
      </c>
      <c r="C11" s="24" t="s">
        <v>112</v>
      </c>
      <c r="D11" s="25" t="s">
        <v>168</v>
      </c>
      <c r="E11" s="25" t="s">
        <v>167</v>
      </c>
      <c r="F11" s="25" t="s">
        <v>328</v>
      </c>
      <c r="G11" s="5"/>
    </row>
    <row r="12" spans="1:18" x14ac:dyDescent="0.45">
      <c r="B12" s="26" t="s">
        <v>173</v>
      </c>
      <c r="C12" s="27" t="s">
        <v>174</v>
      </c>
      <c r="D12" s="61">
        <f>Acc_A_Start</f>
        <v>0</v>
      </c>
      <c r="E12" s="62">
        <f>Acc_A</f>
        <v>0</v>
      </c>
      <c r="F12" s="63">
        <f t="shared" ref="F12:F17" si="0">E12-D12</f>
        <v>0</v>
      </c>
      <c r="G12" s="29"/>
    </row>
    <row r="13" spans="1:18" x14ac:dyDescent="0.45">
      <c r="B13" s="26" t="s">
        <v>176</v>
      </c>
      <c r="C13" s="27" t="s">
        <v>174</v>
      </c>
      <c r="D13" s="61">
        <f>Acc_C_Start</f>
        <v>0</v>
      </c>
      <c r="E13" s="62">
        <f>Acc_C</f>
        <v>0</v>
      </c>
      <c r="F13" s="63">
        <f t="shared" si="0"/>
        <v>0</v>
      </c>
      <c r="G13" s="29"/>
    </row>
    <row r="14" spans="1:18" x14ac:dyDescent="0.45">
      <c r="B14" s="26" t="s">
        <v>177</v>
      </c>
      <c r="C14" s="27" t="s">
        <v>174</v>
      </c>
      <c r="D14" s="61">
        <f>Acc_D_Start</f>
        <v>0</v>
      </c>
      <c r="E14" s="62">
        <f>Acc_D</f>
        <v>1</v>
      </c>
      <c r="F14" s="63">
        <f t="shared" si="0"/>
        <v>1</v>
      </c>
      <c r="G14" s="29"/>
    </row>
    <row r="15" spans="1:18" x14ac:dyDescent="0.45">
      <c r="B15" s="26" t="s">
        <v>178</v>
      </c>
      <c r="C15" s="27" t="s">
        <v>174</v>
      </c>
      <c r="D15" s="61">
        <f>Acc_E_Start</f>
        <v>0</v>
      </c>
      <c r="E15" s="62">
        <f>Acc_E</f>
        <v>1</v>
      </c>
      <c r="F15" s="63">
        <f t="shared" si="0"/>
        <v>1</v>
      </c>
      <c r="G15" s="29"/>
    </row>
    <row r="16" spans="1:18" x14ac:dyDescent="0.45">
      <c r="B16" s="26" t="s">
        <v>179</v>
      </c>
      <c r="C16" s="27" t="s">
        <v>174</v>
      </c>
      <c r="D16" s="61">
        <f>Acc_F_Start</f>
        <v>0</v>
      </c>
      <c r="E16" s="62">
        <f>Acc_F</f>
        <v>1</v>
      </c>
      <c r="F16" s="63">
        <f t="shared" si="0"/>
        <v>1</v>
      </c>
      <c r="G16" s="29"/>
    </row>
    <row r="17" spans="2:18" x14ac:dyDescent="0.45">
      <c r="B17" s="26" t="s">
        <v>180</v>
      </c>
      <c r="C17" s="27" t="s">
        <v>174</v>
      </c>
      <c r="D17" s="61">
        <f>Acc_K_Start</f>
        <v>0</v>
      </c>
      <c r="E17" s="62">
        <f>Acc_K</f>
        <v>0</v>
      </c>
      <c r="F17" s="63">
        <f t="shared" si="0"/>
        <v>0</v>
      </c>
      <c r="G17" s="29"/>
    </row>
    <row r="18" spans="2:18" ht="6" customHeight="1" x14ac:dyDescent="0.45"/>
    <row r="19" spans="2:18" ht="28.05" customHeight="1" x14ac:dyDescent="0.45">
      <c r="B19" s="24" t="s">
        <v>329</v>
      </c>
      <c r="C19" s="24" t="s">
        <v>112</v>
      </c>
      <c r="D19" s="25" t="s">
        <v>168</v>
      </c>
      <c r="E19" s="25" t="s">
        <v>167</v>
      </c>
      <c r="F19" s="25" t="s">
        <v>328</v>
      </c>
      <c r="G19" s="25"/>
    </row>
    <row r="20" spans="2:18" x14ac:dyDescent="0.45">
      <c r="B20" s="26" t="s">
        <v>330</v>
      </c>
      <c r="C20" s="27" t="s">
        <v>331</v>
      </c>
      <c r="D20" s="64">
        <f>Out_Cost_Start</f>
        <v>0</v>
      </c>
      <c r="E20" s="64">
        <f>Out_Cost_Plan</f>
        <v>190</v>
      </c>
      <c r="F20" s="65">
        <f t="shared" ref="F20:F25" si="1">IFERROR(E20-D20,"–")</f>
        <v>190</v>
      </c>
      <c r="G20" s="66" t="str">
        <f>IF(ISNUMBER(F20),IF(F20&lt;0,"✔ better",IF(F20=0,"same","")),"")</f>
        <v/>
      </c>
    </row>
    <row r="21" spans="2:18" x14ac:dyDescent="0.45">
      <c r="B21" s="26" t="s">
        <v>332</v>
      </c>
      <c r="C21" s="27" t="s">
        <v>124</v>
      </c>
      <c r="D21" s="67" cm="1">
        <f t="array" aca="1" ref="D21" ca="1">IFERROR(1-_xll.VoseSimProbability(Out_OnTime_Start,0.5),"–")</f>
        <v>0.57764223577642237</v>
      </c>
      <c r="E21" s="67" cm="1">
        <f t="array" aca="1" ref="E21" ca="1">IFERROR(1-_xll.VoseSimProbability(Out_OnTime_Plan,0.5),"–")</f>
        <v>0.82741725827417256</v>
      </c>
      <c r="F21" s="68">
        <f t="shared" ca="1" si="1"/>
        <v>0.24977502249775019</v>
      </c>
      <c r="G21" s="66" t="str">
        <f ca="1">IF(ISNUMBER(F21),IF(F21&gt;0,"✔ better",IF(F21=0,"same","")),"")</f>
        <v>✔ better</v>
      </c>
    </row>
    <row r="22" spans="2:18" x14ac:dyDescent="0.45">
      <c r="B22" s="26" t="s">
        <v>333</v>
      </c>
      <c r="C22" s="27" t="s">
        <v>121</v>
      </c>
      <c r="D22" s="69" cm="1">
        <f t="array" aca="1" ref="D22" ca="1">_xll.VoseSimPercentile(Out_Finish_Start,0.5)</f>
        <v>43.554289956312431</v>
      </c>
      <c r="E22" s="69" cm="1">
        <f t="array" aca="1" ref="E22" ca="1">_xll.VoseSimPercentile(Out_Finish_Plan,0.5)</f>
        <v>41.799985806315959</v>
      </c>
      <c r="F22" s="70">
        <f t="shared" ca="1" si="1"/>
        <v>-1.7543041499964716</v>
      </c>
      <c r="G22" s="66" t="str">
        <f ca="1">IF(ISNUMBER(F22),IF(F22&lt;0,"✔ better",IF(F22=0,"same","")),"")</f>
        <v>✔ better</v>
      </c>
    </row>
    <row r="23" spans="2:18" x14ac:dyDescent="0.45">
      <c r="B23" s="26" t="s">
        <v>334</v>
      </c>
      <c r="C23" s="27" t="s">
        <v>121</v>
      </c>
      <c r="D23" s="69" cm="1">
        <f t="array" aca="1" ref="D23" ca="1">_xll.VoseSimPercentile(Out_Finish_Start,0.8)</f>
        <v>45.590372407891053</v>
      </c>
      <c r="E23" s="69" cm="1">
        <f t="array" aca="1" ref="E23" ca="1">_xll.VoseSimPercentile(Out_Finish_Plan,0.8)</f>
        <v>43.761698077086734</v>
      </c>
      <c r="F23" s="70">
        <f t="shared" ca="1" si="1"/>
        <v>-1.8286743308043185</v>
      </c>
      <c r="G23" s="66" t="str">
        <f ca="1">IF(ISNUMBER(F23),IF(F23&lt;0,"✔ better",IF(F23=0,"same","")),"")</f>
        <v>✔ better</v>
      </c>
    </row>
    <row r="24" spans="2:18" x14ac:dyDescent="0.45">
      <c r="B24" s="26" t="s">
        <v>335</v>
      </c>
      <c r="C24" s="27" t="s">
        <v>121</v>
      </c>
      <c r="D24" s="69" cm="1">
        <f t="array" aca="1" ref="D24" ca="1">_xll.VoseSimMean(Out_Finish_Start)</f>
        <v>43.624490009973201</v>
      </c>
      <c r="E24" s="69" cm="1">
        <f t="array" aca="1" ref="E24" ca="1">_xll.VoseSimMean(Out_Finish_Plan)</f>
        <v>41.891082621443985</v>
      </c>
      <c r="F24" s="70">
        <f t="shared" ca="1" si="1"/>
        <v>-1.7334073885292156</v>
      </c>
      <c r="G24" s="66" t="str">
        <f ca="1">IF(ISNUMBER(F24),IF(F24&lt;0,"✔ better",IF(F24=0,"same","")),"")</f>
        <v>✔ better</v>
      </c>
    </row>
    <row r="25" spans="2:18" x14ac:dyDescent="0.45">
      <c r="B25" s="26" t="s">
        <v>336</v>
      </c>
      <c r="C25" s="27" t="s">
        <v>121</v>
      </c>
      <c r="D25" s="69">
        <f>Det_ML_Start</f>
        <v>40</v>
      </c>
      <c r="E25" s="69">
        <f>Det_ML_Plan</f>
        <v>38.6</v>
      </c>
      <c r="F25" s="70">
        <f t="shared" si="1"/>
        <v>-1.3999999999999986</v>
      </c>
      <c r="G25" s="66" t="str">
        <f>IF(ISNUMBER(F25),IF(F25&lt;0,"✔ better",IF(F25=0,"same","")),"")</f>
        <v>✔ better</v>
      </c>
    </row>
    <row r="26" spans="2:18" x14ac:dyDescent="0.45">
      <c r="B26" s="26" t="s">
        <v>337</v>
      </c>
      <c r="C26" s="27" t="s">
        <v>117</v>
      </c>
      <c r="D26" s="55">
        <f ca="1">IFERROR(StartDate+ROUND(7*D23,0),"–")</f>
        <v>46766</v>
      </c>
      <c r="E26" s="55">
        <f ca="1">IFERROR(StartDate+ROUND(7*E23,0),"–")</f>
        <v>46753</v>
      </c>
      <c r="F26" s="29"/>
      <c r="G26" s="29"/>
    </row>
    <row r="27" spans="2:18" x14ac:dyDescent="0.45">
      <c r="B27" s="26" t="s">
        <v>120</v>
      </c>
      <c r="C27" s="27" t="s">
        <v>121</v>
      </c>
      <c r="D27" s="40">
        <f>ContractWeeks</f>
        <v>44</v>
      </c>
      <c r="E27" s="40">
        <f>ContractWeeks</f>
        <v>44</v>
      </c>
      <c r="F27" s="29"/>
      <c r="G27" s="29"/>
    </row>
    <row r="28" spans="2:18" x14ac:dyDescent="0.45">
      <c r="B28" s="26" t="s">
        <v>338</v>
      </c>
      <c r="C28" s="27" t="s">
        <v>124</v>
      </c>
      <c r="D28" s="42">
        <f>ConfTarget</f>
        <v>0.8</v>
      </c>
      <c r="E28" s="42">
        <f>ConfTarget</f>
        <v>0.8</v>
      </c>
      <c r="F28" s="29"/>
      <c r="G28" s="29"/>
    </row>
    <row r="29" spans="2:18" x14ac:dyDescent="0.45">
      <c r="B29" s="71" t="s">
        <v>339</v>
      </c>
    </row>
    <row r="30" spans="2:18" ht="8" customHeight="1" x14ac:dyDescent="0.45"/>
    <row r="31" spans="2:18" ht="22.05" customHeight="1" x14ac:dyDescent="0.5">
      <c r="B31" s="7" t="s">
        <v>340</v>
      </c>
      <c r="C31" s="8"/>
      <c r="D31" s="8"/>
      <c r="E31" s="8"/>
      <c r="F31" s="8"/>
      <c r="G31" s="8"/>
      <c r="I31" s="60" t="s">
        <v>341</v>
      </c>
      <c r="J31" s="8"/>
      <c r="K31" s="8"/>
      <c r="L31" s="8"/>
      <c r="M31" s="8"/>
      <c r="N31" s="8"/>
      <c r="O31" s="8"/>
      <c r="P31" s="8"/>
      <c r="Q31" s="8"/>
      <c r="R31" s="8"/>
    </row>
    <row r="32" spans="2:18" ht="18" customHeight="1" x14ac:dyDescent="0.45">
      <c r="B32" s="13" t="s">
        <v>342</v>
      </c>
    </row>
    <row r="33" spans="2:7" ht="28.05" customHeight="1" x14ac:dyDescent="0.45">
      <c r="B33" s="72" t="s">
        <v>209</v>
      </c>
      <c r="C33" s="73" t="s">
        <v>71</v>
      </c>
      <c r="D33" s="73" t="s">
        <v>168</v>
      </c>
      <c r="E33" s="73" t="s">
        <v>167</v>
      </c>
      <c r="F33" s="73" t="s">
        <v>343</v>
      </c>
      <c r="G33" s="48"/>
    </row>
    <row r="34" spans="2:7" x14ac:dyDescent="0.45">
      <c r="B34" s="50"/>
      <c r="C34" s="50" t="s">
        <v>344</v>
      </c>
      <c r="D34" s="50" t="s">
        <v>345</v>
      </c>
      <c r="E34" s="50" t="s">
        <v>345</v>
      </c>
      <c r="F34" s="50" t="s">
        <v>346</v>
      </c>
      <c r="G34" s="50"/>
    </row>
    <row r="35" spans="2:7" x14ac:dyDescent="0.45">
      <c r="B35" s="26" t="s">
        <v>347</v>
      </c>
      <c r="C35" s="74" t="str">
        <f>IF(INDEX(DetCrit,1)=1,"yes","")</f>
        <v>yes</v>
      </c>
      <c r="D35" s="75" cm="1">
        <f t="array" aca="1" ref="D35" ca="1">_xll.VoseSimMean(Crit_Start_A)</f>
        <v>1</v>
      </c>
      <c r="E35" s="75" cm="1">
        <f t="array" aca="1" ref="E35" ca="1">_xll.VoseSimMean(Crit_Plan_A)</f>
        <v>1</v>
      </c>
      <c r="F35" s="76" t="str">
        <f>IF(Acc_A=1,"yes","no")</f>
        <v>no</v>
      </c>
      <c r="G35" s="29"/>
    </row>
    <row r="36" spans="2:7" x14ac:dyDescent="0.45">
      <c r="B36" s="26" t="s">
        <v>348</v>
      </c>
      <c r="C36" s="74" t="str">
        <f>IF(INDEX(DetCrit,2)=1,"yes","")</f>
        <v>yes</v>
      </c>
      <c r="D36" s="75" cm="1">
        <f t="array" aca="1" ref="D36" ca="1">_xll.VoseSimMean(Crit_Start_B)</f>
        <v>0.99309999999999998</v>
      </c>
      <c r="E36" s="75" cm="1">
        <f t="array" aca="1" ref="E36" ca="1">_xll.VoseSimMean(Crit_Plan_B)</f>
        <v>0.95650000000000002</v>
      </c>
      <c r="F36" s="51" t="s">
        <v>195</v>
      </c>
      <c r="G36" s="29"/>
    </row>
    <row r="37" spans="2:7" x14ac:dyDescent="0.45">
      <c r="B37" s="26" t="s">
        <v>349</v>
      </c>
      <c r="C37" s="74" t="str">
        <f>IF(INDEX(DetCrit,3)=1,"yes","")</f>
        <v>yes</v>
      </c>
      <c r="D37" s="75" cm="1">
        <f t="array" aca="1" ref="D37" ca="1">_xll.VoseSimMean(Crit_Start_C)</f>
        <v>0.99309999999999998</v>
      </c>
      <c r="E37" s="75" cm="1">
        <f t="array" aca="1" ref="E37" ca="1">_xll.VoseSimMean(Crit_Plan_C)</f>
        <v>0.95650000000000002</v>
      </c>
      <c r="F37" s="76" t="str">
        <f>IF(Acc_C=1,"yes","no")</f>
        <v>no</v>
      </c>
      <c r="G37" s="29"/>
    </row>
    <row r="38" spans="2:7" x14ac:dyDescent="0.45">
      <c r="B38" s="26" t="s">
        <v>350</v>
      </c>
      <c r="C38" s="74" t="str">
        <f>IF(INDEX(DetCrit,4)=1,"yes","")</f>
        <v>yes</v>
      </c>
      <c r="D38" s="75" cm="1">
        <f t="array" aca="1" ref="D38" ca="1">_xll.VoseSimMean(Crit_Start_D)</f>
        <v>0.37909999999999999</v>
      </c>
      <c r="E38" s="75" cm="1">
        <f t="array" aca="1" ref="E38" ca="1">_xll.VoseSimMean(Crit_Plan_D)</f>
        <v>0.40379999999999999</v>
      </c>
      <c r="F38" s="76" t="str">
        <f>IF(Acc_D=1,"yes","no")</f>
        <v>yes</v>
      </c>
      <c r="G38" s="29"/>
    </row>
    <row r="39" spans="2:7" x14ac:dyDescent="0.45">
      <c r="B39" s="26" t="s">
        <v>351</v>
      </c>
      <c r="C39" s="74" t="str">
        <f>IF(INDEX(DetCrit,5)=1,"yes","")</f>
        <v>yes</v>
      </c>
      <c r="D39" s="75" cm="1">
        <f t="array" aca="1" ref="D39" ca="1">_xll.VoseSimMean(Crit_Start_E)</f>
        <v>0.4274</v>
      </c>
      <c r="E39" s="75" cm="1">
        <f t="array" aca="1" ref="E39" ca="1">_xll.VoseSimMean(Crit_Plan_E)</f>
        <v>0.44919999999999999</v>
      </c>
      <c r="F39" s="76" t="str">
        <f>IF(Acc_E=1,"yes","no")</f>
        <v>yes</v>
      </c>
      <c r="G39" s="29"/>
    </row>
    <row r="40" spans="2:7" x14ac:dyDescent="0.45">
      <c r="B40" s="26" t="s">
        <v>352</v>
      </c>
      <c r="C40" s="74" t="str">
        <f>IF(INDEX(DetCrit,6)=1,"yes","")</f>
        <v/>
      </c>
      <c r="D40" s="75" cm="1">
        <f t="array" aca="1" ref="D40" ca="1">_xll.VoseSimMean(Crit_Start_F)</f>
        <v>0.1867</v>
      </c>
      <c r="E40" s="75" cm="1">
        <f t="array" aca="1" ref="E40" ca="1">_xll.VoseSimMean(Crit_Plan_F)</f>
        <v>0.10349999999999999</v>
      </c>
      <c r="F40" s="76" t="str">
        <f>IF(Acc_F=1,"yes","no")</f>
        <v>yes</v>
      </c>
      <c r="G40" s="29"/>
    </row>
    <row r="41" spans="2:7" x14ac:dyDescent="0.45">
      <c r="B41" s="26" t="s">
        <v>353</v>
      </c>
      <c r="C41" s="74" t="str">
        <f>IF(INDEX(DetCrit,7)=1,"yes","")</f>
        <v/>
      </c>
      <c r="D41" s="75" cm="1">
        <f t="array" aca="1" ref="D41" ca="1">_xll.VoseSimMean(Crit_Start_G)</f>
        <v>6.8999999999999999E-3</v>
      </c>
      <c r="E41" s="75" cm="1">
        <f t="array" aca="1" ref="E41" ca="1">_xll.VoseSimMean(Crit_Plan_G)</f>
        <v>4.3499999999999997E-2</v>
      </c>
      <c r="F41" s="51" t="s">
        <v>195</v>
      </c>
      <c r="G41" s="29"/>
    </row>
    <row r="42" spans="2:7" x14ac:dyDescent="0.45">
      <c r="B42" s="26" t="s">
        <v>354</v>
      </c>
      <c r="C42" s="74" t="str">
        <f>IF(INDEX(DetCrit,8)=1,"yes","")</f>
        <v>yes</v>
      </c>
      <c r="D42" s="75" cm="1">
        <f t="array" aca="1" ref="D42" ca="1">_xll.VoseSimMean(Crit_Start_H)</f>
        <v>0.37909999999999999</v>
      </c>
      <c r="E42" s="75" cm="1">
        <f t="array" aca="1" ref="E42" ca="1">_xll.VoseSimMean(Crit_Plan_H)</f>
        <v>0.40379999999999999</v>
      </c>
      <c r="F42" s="51" t="s">
        <v>195</v>
      </c>
      <c r="G42" s="29"/>
    </row>
    <row r="43" spans="2:7" x14ac:dyDescent="0.45">
      <c r="B43" s="26" t="s">
        <v>355</v>
      </c>
      <c r="C43" s="74" t="str">
        <f>IF(INDEX(DetCrit,9)=1,"yes","")</f>
        <v>yes</v>
      </c>
      <c r="D43" s="75" cm="1">
        <f t="array" aca="1" ref="D43" ca="1">_xll.VoseSimMean(Crit_Start_I)</f>
        <v>0.4274</v>
      </c>
      <c r="E43" s="75" cm="1">
        <f t="array" aca="1" ref="E43" ca="1">_xll.VoseSimMean(Crit_Plan_I)</f>
        <v>0.44919999999999999</v>
      </c>
      <c r="F43" s="51" t="s">
        <v>195</v>
      </c>
      <c r="G43" s="29"/>
    </row>
    <row r="44" spans="2:7" x14ac:dyDescent="0.45">
      <c r="B44" s="26" t="s">
        <v>356</v>
      </c>
      <c r="C44" s="74" t="str">
        <f>IF(INDEX(DetCrit,10)=1,"yes","")</f>
        <v>yes</v>
      </c>
      <c r="D44" s="75" cm="1">
        <f t="array" aca="1" ref="D44" ca="1">_xll.VoseSimMean(Crit_Start_J)</f>
        <v>1</v>
      </c>
      <c r="E44" s="75" cm="1">
        <f t="array" aca="1" ref="E44" ca="1">_xll.VoseSimMean(Crit_Plan_J)</f>
        <v>1</v>
      </c>
      <c r="F44" s="51" t="s">
        <v>195</v>
      </c>
      <c r="G44" s="29"/>
    </row>
    <row r="45" spans="2:7" x14ac:dyDescent="0.45">
      <c r="B45" s="26" t="s">
        <v>357</v>
      </c>
      <c r="C45" s="74" t="str">
        <f>IF(INDEX(DetCrit,11)=1,"yes","")</f>
        <v>yes</v>
      </c>
      <c r="D45" s="75" cm="1">
        <f t="array" aca="1" ref="D45" ca="1">_xll.VoseSimMean(Crit_Start_K)</f>
        <v>1</v>
      </c>
      <c r="E45" s="75" cm="1">
        <f t="array" aca="1" ref="E45" ca="1">_xll.VoseSimMean(Crit_Plan_K)</f>
        <v>1</v>
      </c>
      <c r="F45" s="76" t="str">
        <f>IF(Acc_K=1,"yes","no")</f>
        <v>no</v>
      </c>
      <c r="G45" s="29"/>
    </row>
    <row r="46" spans="2:7" x14ac:dyDescent="0.45">
      <c r="B46" s="26" t="s">
        <v>358</v>
      </c>
      <c r="C46" s="74" t="str">
        <f>IF(INDEX(DetCrit,12)=1,"yes","")</f>
        <v>yes</v>
      </c>
      <c r="D46" s="75" cm="1">
        <f t="array" aca="1" ref="D46" ca="1">_xll.VoseSimMean(Crit_Start_L)</f>
        <v>0.91710000000000003</v>
      </c>
      <c r="E46" s="75" cm="1">
        <f t="array" aca="1" ref="E46" ca="1">_xll.VoseSimMean(Crit_Plan_L)</f>
        <v>0.91710000000000003</v>
      </c>
      <c r="F46" s="51" t="s">
        <v>195</v>
      </c>
      <c r="G46" s="29"/>
    </row>
    <row r="47" spans="2:7" x14ac:dyDescent="0.45">
      <c r="B47" s="26" t="s">
        <v>359</v>
      </c>
      <c r="C47" s="74" t="str">
        <f>IF(INDEX(DetCrit,13)=1,"yes","")</f>
        <v/>
      </c>
      <c r="D47" s="75" cm="1">
        <f t="array" aca="1" ref="D47" ca="1">_xll.VoseSimMean(Crit_Start_M)</f>
        <v>8.2900000000000001E-2</v>
      </c>
      <c r="E47" s="75" cm="1">
        <f t="array" aca="1" ref="E47" ca="1">_xll.VoseSimMean(Crit_Plan_M)</f>
        <v>8.2900000000000001E-2</v>
      </c>
      <c r="F47" s="51" t="s">
        <v>195</v>
      </c>
      <c r="G47" s="29"/>
    </row>
    <row r="48" spans="2:7" x14ac:dyDescent="0.45">
      <c r="B48" s="26" t="s">
        <v>360</v>
      </c>
      <c r="C48" s="74" t="str">
        <f>IF(INDEX(DetCrit,14)=1,"yes","")</f>
        <v/>
      </c>
      <c r="D48" s="75" cm="1">
        <f t="array" aca="1" ref="D48" ca="1">_xll.VoseSimMean(Crit_Start_N)</f>
        <v>0</v>
      </c>
      <c r="E48" s="75" cm="1">
        <f t="array" aca="1" ref="E48" ca="1">_xll.VoseSimMean(Crit_Plan_N)</f>
        <v>0</v>
      </c>
      <c r="F48" s="51" t="s">
        <v>195</v>
      </c>
      <c r="G48" s="29"/>
    </row>
    <row r="49" spans="2:7" x14ac:dyDescent="0.45">
      <c r="B49" s="26" t="s">
        <v>361</v>
      </c>
      <c r="C49" s="74" t="str">
        <f>IF(INDEX(DetCrit,15)=1,"yes","")</f>
        <v>yes</v>
      </c>
      <c r="D49" s="75" cm="1">
        <f t="array" aca="1" ref="D49" ca="1">_xll.VoseSimMean(Crit_Start_O)</f>
        <v>1</v>
      </c>
      <c r="E49" s="75" cm="1">
        <f t="array" aca="1" ref="E49" ca="1">_xll.VoseSimMean(Crit_Plan_O)</f>
        <v>1</v>
      </c>
      <c r="F49" s="51" t="s">
        <v>195</v>
      </c>
      <c r="G49" s="29"/>
    </row>
    <row r="50" spans="2:7" x14ac:dyDescent="0.45">
      <c r="B50" s="71" t="s">
        <v>362</v>
      </c>
    </row>
    <row r="51" spans="2:7" ht="8" customHeight="1" x14ac:dyDescent="0.45"/>
    <row r="52" spans="2:7" ht="22.05" customHeight="1" x14ac:dyDescent="0.5">
      <c r="B52" s="7" t="s">
        <v>363</v>
      </c>
      <c r="C52" s="8"/>
      <c r="D52" s="8"/>
      <c r="E52" s="8"/>
      <c r="F52" s="8"/>
      <c r="G52" s="8"/>
    </row>
    <row r="53" spans="2:7" ht="32" customHeight="1" x14ac:dyDescent="0.45">
      <c r="B53" s="82" t="s">
        <v>364</v>
      </c>
      <c r="C53" s="81"/>
      <c r="D53" s="81"/>
      <c r="E53" s="81"/>
      <c r="F53" s="81"/>
      <c r="G53" s="81"/>
    </row>
    <row r="54" spans="2:7" ht="32" customHeight="1" x14ac:dyDescent="0.45">
      <c r="B54" s="82" t="s">
        <v>365</v>
      </c>
      <c r="C54" s="81"/>
      <c r="D54" s="81"/>
      <c r="E54" s="81"/>
      <c r="F54" s="81"/>
      <c r="G54" s="81"/>
    </row>
    <row r="55" spans="2:7" ht="45" customHeight="1" x14ac:dyDescent="0.45">
      <c r="B55" s="82" t="s">
        <v>366</v>
      </c>
      <c r="C55" s="81"/>
      <c r="D55" s="81"/>
      <c r="E55" s="81"/>
      <c r="F55" s="81"/>
      <c r="G55" s="81"/>
    </row>
    <row r="56" spans="2:7" ht="32" customHeight="1" x14ac:dyDescent="0.45">
      <c r="B56" s="82" t="s">
        <v>367</v>
      </c>
      <c r="C56" s="81"/>
      <c r="D56" s="81"/>
      <c r="E56" s="81"/>
      <c r="F56" s="81"/>
      <c r="G56" s="81"/>
    </row>
    <row r="57" spans="2:7" ht="32" customHeight="1" x14ac:dyDescent="0.45">
      <c r="B57" s="82" t="s">
        <v>368</v>
      </c>
      <c r="C57" s="81"/>
      <c r="D57" s="81"/>
      <c r="E57" s="81"/>
      <c r="F57" s="81"/>
      <c r="G57" s="81"/>
    </row>
    <row r="58" spans="2:7" ht="14" customHeight="1" x14ac:dyDescent="0.45"/>
    <row r="59" spans="2:7" ht="14" customHeight="1" x14ac:dyDescent="0.45"/>
    <row r="60" spans="2:7" ht="22.05" customHeight="1" x14ac:dyDescent="0.5">
      <c r="B60" s="7" t="s">
        <v>369</v>
      </c>
      <c r="C60" s="8"/>
      <c r="D60" s="8"/>
      <c r="E60" s="8"/>
      <c r="F60" s="8"/>
      <c r="G60" s="8"/>
    </row>
    <row r="61" spans="2:7" ht="18" customHeight="1" x14ac:dyDescent="0.45">
      <c r="B61" s="13" t="s">
        <v>370</v>
      </c>
    </row>
    <row r="62" spans="2:7" ht="28.05" hidden="1" customHeight="1" outlineLevel="1" x14ac:dyDescent="0.45">
      <c r="B62" s="25" t="s">
        <v>371</v>
      </c>
      <c r="C62" s="25" t="s">
        <v>372</v>
      </c>
      <c r="D62" s="25" t="s">
        <v>373</v>
      </c>
      <c r="E62" s="25" t="s">
        <v>374</v>
      </c>
      <c r="F62" s="25" t="s">
        <v>375</v>
      </c>
      <c r="G62" s="5"/>
    </row>
    <row r="63" spans="2:7" hidden="1" outlineLevel="1" x14ac:dyDescent="0.45">
      <c r="B63" s="77">
        <v>0.01</v>
      </c>
      <c r="C63" s="77">
        <f t="shared" ref="C63:C94" si="2">1-B63</f>
        <v>0.99</v>
      </c>
      <c r="D63" s="78" cm="1">
        <f t="array" aca="1" ref="D63" ca="1">IF(ISNUMBER(_xll.VoseSimPercentile(Out_Finish_Start,$B63)),_xll.VoseSimPercentile(Out_Finish_Start,$B63),NA())</f>
        <v>38.633225078891307</v>
      </c>
      <c r="E63" s="78" cm="1">
        <f t="array" aca="1" ref="E63" ca="1">IF(ISNUMBER(_xll.VoseSimPercentile(Out_Finish_Plan,$B63)),_xll.VoseSimPercentile(Out_Finish_Plan,$B63),NA())</f>
        <v>37.29419727741633</v>
      </c>
      <c r="F63" s="78">
        <f t="shared" ref="F63:F94" si="3">ContractWeeks</f>
        <v>44</v>
      </c>
    </row>
    <row r="64" spans="2:7" hidden="1" outlineLevel="1" x14ac:dyDescent="0.45">
      <c r="B64" s="77">
        <v>0.03</v>
      </c>
      <c r="C64" s="77">
        <f t="shared" si="2"/>
        <v>0.97</v>
      </c>
      <c r="D64" s="78" cm="1">
        <f t="array" aca="1" ref="D64" ca="1">IF(ISNUMBER(_xll.VoseSimPercentile(Out_Finish_Start,$B64)),_xll.VoseSimPercentile(Out_Finish_Start,$B64),NA())</f>
        <v>39.49622616696233</v>
      </c>
      <c r="E64" s="78" cm="1">
        <f t="array" aca="1" ref="E64" ca="1">IF(ISNUMBER(_xll.VoseSimPercentile(Out_Finish_Plan,$B64)),_xll.VoseSimPercentile(Out_Finish_Plan,$B64),NA())</f>
        <v>38.000840203311256</v>
      </c>
      <c r="F64" s="78">
        <f t="shared" si="3"/>
        <v>44</v>
      </c>
    </row>
    <row r="65" spans="2:6" hidden="1" outlineLevel="1" x14ac:dyDescent="0.45">
      <c r="B65" s="77">
        <v>0.05</v>
      </c>
      <c r="C65" s="77">
        <f t="shared" si="2"/>
        <v>0.95</v>
      </c>
      <c r="D65" s="78" cm="1">
        <f t="array" aca="1" ref="D65" ca="1">IF(ISNUMBER(_xll.VoseSimPercentile(Out_Finish_Start,$B65)),_xll.VoseSimPercentile(Out_Finish_Start,$B65),NA())</f>
        <v>39.909508998751726</v>
      </c>
      <c r="E65" s="78" cm="1">
        <f t="array" aca="1" ref="E65" ca="1">IF(ISNUMBER(_xll.VoseSimPercentile(Out_Finish_Plan,$B65)),_xll.VoseSimPercentile(Out_Finish_Plan,$B65),NA())</f>
        <v>38.386208920419456</v>
      </c>
      <c r="F65" s="78">
        <f t="shared" si="3"/>
        <v>44</v>
      </c>
    </row>
    <row r="66" spans="2:6" hidden="1" outlineLevel="1" x14ac:dyDescent="0.45">
      <c r="B66" s="77">
        <v>7.0000000000000007E-2</v>
      </c>
      <c r="C66" s="77">
        <f t="shared" si="2"/>
        <v>0.92999999999999994</v>
      </c>
      <c r="D66" s="78" cm="1">
        <f t="array" aca="1" ref="D66" ca="1">IF(ISNUMBER(_xll.VoseSimPercentile(Out_Finish_Start,$B66)),_xll.VoseSimPercentile(Out_Finish_Start,$B66),NA())</f>
        <v>40.26569739084831</v>
      </c>
      <c r="E66" s="78" cm="1">
        <f t="array" aca="1" ref="E66" ca="1">IF(ISNUMBER(_xll.VoseSimPercentile(Out_Finish_Plan,$B66)),_xll.VoseSimPercentile(Out_Finish_Plan,$B66),NA())</f>
        <v>38.713442181885085</v>
      </c>
      <c r="F66" s="78">
        <f t="shared" si="3"/>
        <v>44</v>
      </c>
    </row>
    <row r="67" spans="2:6" hidden="1" outlineLevel="1" x14ac:dyDescent="0.45">
      <c r="B67" s="77">
        <v>0.09</v>
      </c>
      <c r="C67" s="77">
        <f t="shared" si="2"/>
        <v>0.91</v>
      </c>
      <c r="D67" s="78" cm="1">
        <f t="array" aca="1" ref="D67" ca="1">IF(ISNUMBER(_xll.VoseSimPercentile(Out_Finish_Start,$B67)),_xll.VoseSimPercentile(Out_Finish_Start,$B67),NA())</f>
        <v>40.528312173982293</v>
      </c>
      <c r="E67" s="78" cm="1">
        <f t="array" aca="1" ref="E67" ca="1">IF(ISNUMBER(_xll.VoseSimPercentile(Out_Finish_Plan,$B67)),_xll.VoseSimPercentile(Out_Finish_Plan,$B67),NA())</f>
        <v>38.9896691202689</v>
      </c>
      <c r="F67" s="78">
        <f t="shared" si="3"/>
        <v>44</v>
      </c>
    </row>
    <row r="68" spans="2:6" hidden="1" outlineLevel="1" x14ac:dyDescent="0.45">
      <c r="B68" s="77">
        <v>0.11</v>
      </c>
      <c r="C68" s="77">
        <f t="shared" si="2"/>
        <v>0.89</v>
      </c>
      <c r="D68" s="78" cm="1">
        <f t="array" aca="1" ref="D68" ca="1">IF(ISNUMBER(_xll.VoseSimPercentile(Out_Finish_Start,$B68)),_xll.VoseSimPercentile(Out_Finish_Start,$B68),NA())</f>
        <v>40.760771519310239</v>
      </c>
      <c r="E68" s="78" cm="1">
        <f t="array" aca="1" ref="E68" ca="1">IF(ISNUMBER(_xll.VoseSimPercentile(Out_Finish_Plan,$B68)),_xll.VoseSimPercentile(Out_Finish_Plan,$B68),NA())</f>
        <v>39.210931048990787</v>
      </c>
      <c r="F68" s="78">
        <f t="shared" si="3"/>
        <v>44</v>
      </c>
    </row>
    <row r="69" spans="2:6" hidden="1" outlineLevel="1" x14ac:dyDescent="0.45">
      <c r="B69" s="77">
        <v>0.13</v>
      </c>
      <c r="C69" s="77">
        <f t="shared" si="2"/>
        <v>0.87</v>
      </c>
      <c r="D69" s="78" cm="1">
        <f t="array" aca="1" ref="D69" ca="1">IF(ISNUMBER(_xll.VoseSimPercentile(Out_Finish_Start,$B69)),_xll.VoseSimPercentile(Out_Finish_Start,$B69),NA())</f>
        <v>40.975892771000439</v>
      </c>
      <c r="E69" s="78" cm="1">
        <f t="array" aca="1" ref="E69" ca="1">IF(ISNUMBER(_xll.VoseSimPercentile(Out_Finish_Plan,$B69)),_xll.VoseSimPercentile(Out_Finish_Plan,$B69),NA())</f>
        <v>39.396645143131281</v>
      </c>
      <c r="F69" s="78">
        <f t="shared" si="3"/>
        <v>44</v>
      </c>
    </row>
    <row r="70" spans="2:6" hidden="1" outlineLevel="1" x14ac:dyDescent="0.45">
      <c r="B70" s="77">
        <v>0.15</v>
      </c>
      <c r="C70" s="77">
        <f t="shared" si="2"/>
        <v>0.85</v>
      </c>
      <c r="D70" s="78" cm="1">
        <f t="array" aca="1" ref="D70" ca="1">IF(ISNUMBER(_xll.VoseSimPercentile(Out_Finish_Start,$B70)),_xll.VoseSimPercentile(Out_Finish_Start,$B70),NA())</f>
        <v>41.167679882056525</v>
      </c>
      <c r="E70" s="78" cm="1">
        <f t="array" aca="1" ref="E70" ca="1">IF(ISNUMBER(_xll.VoseSimPercentile(Out_Finish_Plan,$B70)),_xll.VoseSimPercentile(Out_Finish_Plan,$B70),NA())</f>
        <v>39.583587236100058</v>
      </c>
      <c r="F70" s="78">
        <f t="shared" si="3"/>
        <v>44</v>
      </c>
    </row>
    <row r="71" spans="2:6" hidden="1" outlineLevel="1" x14ac:dyDescent="0.45">
      <c r="B71" s="77">
        <v>0.17</v>
      </c>
      <c r="C71" s="77">
        <f t="shared" si="2"/>
        <v>0.83</v>
      </c>
      <c r="D71" s="78" cm="1">
        <f t="array" aca="1" ref="D71" ca="1">IF(ISNUMBER(_xll.VoseSimPercentile(Out_Finish_Start,$B71)),_xll.VoseSimPercentile(Out_Finish_Start,$B71),NA())</f>
        <v>41.338105507686194</v>
      </c>
      <c r="E71" s="78" cm="1">
        <f t="array" aca="1" ref="E71" ca="1">IF(ISNUMBER(_xll.VoseSimPercentile(Out_Finish_Plan,$B71)),_xll.VoseSimPercentile(Out_Finish_Plan,$B71),NA())</f>
        <v>39.736053639293097</v>
      </c>
      <c r="F71" s="78">
        <f t="shared" si="3"/>
        <v>44</v>
      </c>
    </row>
    <row r="72" spans="2:6" hidden="1" outlineLevel="1" x14ac:dyDescent="0.45">
      <c r="B72" s="77">
        <v>0.19</v>
      </c>
      <c r="C72" s="77">
        <f t="shared" si="2"/>
        <v>0.81</v>
      </c>
      <c r="D72" s="78" cm="1">
        <f t="array" aca="1" ref="D72" ca="1">IF(ISNUMBER(_xll.VoseSimPercentile(Out_Finish_Start,$B72)),_xll.VoseSimPercentile(Out_Finish_Start,$B72),NA())</f>
        <v>41.510051859753226</v>
      </c>
      <c r="E72" s="78" cm="1">
        <f t="array" aca="1" ref="E72" ca="1">IF(ISNUMBER(_xll.VoseSimPercentile(Out_Finish_Plan,$B72)),_xll.VoseSimPercentile(Out_Finish_Plan,$B72),NA())</f>
        <v>39.886810382472426</v>
      </c>
      <c r="F72" s="78">
        <f t="shared" si="3"/>
        <v>44</v>
      </c>
    </row>
    <row r="73" spans="2:6" hidden="1" outlineLevel="1" x14ac:dyDescent="0.45">
      <c r="B73" s="77">
        <v>0.21</v>
      </c>
      <c r="C73" s="77">
        <f t="shared" si="2"/>
        <v>0.79</v>
      </c>
      <c r="D73" s="78" cm="1">
        <f t="array" aca="1" ref="D73" ca="1">IF(ISNUMBER(_xll.VoseSimPercentile(Out_Finish_Start,$B73)),_xll.VoseSimPercentile(Out_Finish_Start,$B73),NA())</f>
        <v>41.677298355162392</v>
      </c>
      <c r="E73" s="78" cm="1">
        <f t="array" aca="1" ref="E73" ca="1">IF(ISNUMBER(_xll.VoseSimPercentile(Out_Finish_Plan,$B73)),_xll.VoseSimPercentile(Out_Finish_Plan,$B73),NA())</f>
        <v>40.04511912321567</v>
      </c>
      <c r="F73" s="78">
        <f t="shared" si="3"/>
        <v>44</v>
      </c>
    </row>
    <row r="74" spans="2:6" hidden="1" outlineLevel="1" x14ac:dyDescent="0.45">
      <c r="B74" s="77">
        <v>0.23</v>
      </c>
      <c r="C74" s="77">
        <f t="shared" si="2"/>
        <v>0.77</v>
      </c>
      <c r="D74" s="78" cm="1">
        <f t="array" aca="1" ref="D74" ca="1">IF(ISNUMBER(_xll.VoseSimPercentile(Out_Finish_Start,$B74)),_xll.VoseSimPercentile(Out_Finish_Start,$B74),NA())</f>
        <v>41.817169677964593</v>
      </c>
      <c r="E74" s="78" cm="1">
        <f t="array" aca="1" ref="E74" ca="1">IF(ISNUMBER(_xll.VoseSimPercentile(Out_Finish_Plan,$B74)),_xll.VoseSimPercentile(Out_Finish_Plan,$B74),NA())</f>
        <v>40.191004235176031</v>
      </c>
      <c r="F74" s="78">
        <f t="shared" si="3"/>
        <v>44</v>
      </c>
    </row>
    <row r="75" spans="2:6" hidden="1" outlineLevel="1" x14ac:dyDescent="0.45">
      <c r="B75" s="77">
        <v>0.25</v>
      </c>
      <c r="C75" s="77">
        <f t="shared" si="2"/>
        <v>0.75</v>
      </c>
      <c r="D75" s="78" cm="1">
        <f t="array" aca="1" ref="D75" ca="1">IF(ISNUMBER(_xll.VoseSimPercentile(Out_Finish_Start,$B75)),_xll.VoseSimPercentile(Out_Finish_Start,$B75),NA())</f>
        <v>41.965648616620157</v>
      </c>
      <c r="E75" s="78" cm="1">
        <f t="array" aca="1" ref="E75" ca="1">IF(ISNUMBER(_xll.VoseSimPercentile(Out_Finish_Plan,$B75)),_xll.VoseSimPercentile(Out_Finish_Plan,$B75),NA())</f>
        <v>40.328632365473354</v>
      </c>
      <c r="F75" s="78">
        <f t="shared" si="3"/>
        <v>44</v>
      </c>
    </row>
    <row r="76" spans="2:6" hidden="1" outlineLevel="1" x14ac:dyDescent="0.45">
      <c r="B76" s="77">
        <v>0.27</v>
      </c>
      <c r="C76" s="77">
        <f t="shared" si="2"/>
        <v>0.73</v>
      </c>
      <c r="D76" s="78" cm="1">
        <f t="array" aca="1" ref="D76" ca="1">IF(ISNUMBER(_xll.VoseSimPercentile(Out_Finish_Start,$B76)),_xll.VoseSimPercentile(Out_Finish_Start,$B76),NA())</f>
        <v>42.115030156492438</v>
      </c>
      <c r="E76" s="78" cm="1">
        <f t="array" aca="1" ref="E76" ca="1">IF(ISNUMBER(_xll.VoseSimPercentile(Out_Finish_Plan,$B76)),_xll.VoseSimPercentile(Out_Finish_Plan,$B76),NA())</f>
        <v>40.465317500798477</v>
      </c>
      <c r="F76" s="78">
        <f t="shared" si="3"/>
        <v>44</v>
      </c>
    </row>
    <row r="77" spans="2:6" hidden="1" outlineLevel="1" x14ac:dyDescent="0.45">
      <c r="B77" s="77">
        <v>0.28999999999999998</v>
      </c>
      <c r="C77" s="77">
        <f t="shared" si="2"/>
        <v>0.71</v>
      </c>
      <c r="D77" s="78" cm="1">
        <f t="array" aca="1" ref="D77" ca="1">IF(ISNUMBER(_xll.VoseSimPercentile(Out_Finish_Start,$B77)),_xll.VoseSimPercentile(Out_Finish_Start,$B77),NA())</f>
        <v>42.257263898323863</v>
      </c>
      <c r="E77" s="78" cm="1">
        <f t="array" aca="1" ref="E77" ca="1">IF(ISNUMBER(_xll.VoseSimPercentile(Out_Finish_Plan,$B77)),_xll.VoseSimPercentile(Out_Finish_Plan,$B77),NA())</f>
        <v>40.597836871929324</v>
      </c>
      <c r="F77" s="78">
        <f t="shared" si="3"/>
        <v>44</v>
      </c>
    </row>
    <row r="78" spans="2:6" hidden="1" outlineLevel="1" x14ac:dyDescent="0.45">
      <c r="B78" s="77">
        <v>0.31</v>
      </c>
      <c r="C78" s="77">
        <f t="shared" si="2"/>
        <v>0.69</v>
      </c>
      <c r="D78" s="78" cm="1">
        <f t="array" aca="1" ref="D78" ca="1">IF(ISNUMBER(_xll.VoseSimPercentile(Out_Finish_Start,$B78)),_xll.VoseSimPercentile(Out_Finish_Start,$B78),NA())</f>
        <v>42.402400967558833</v>
      </c>
      <c r="E78" s="78" cm="1">
        <f t="array" aca="1" ref="E78" ca="1">IF(ISNUMBER(_xll.VoseSimPercentile(Out_Finish_Plan,$B78)),_xll.VoseSimPercentile(Out_Finish_Plan,$B78),NA())</f>
        <v>40.724327584307588</v>
      </c>
      <c r="F78" s="78">
        <f t="shared" si="3"/>
        <v>44</v>
      </c>
    </row>
    <row r="79" spans="2:6" hidden="1" outlineLevel="1" x14ac:dyDescent="0.45">
      <c r="B79" s="77">
        <v>0.33</v>
      </c>
      <c r="C79" s="77">
        <f t="shared" si="2"/>
        <v>0.66999999999999993</v>
      </c>
      <c r="D79" s="78" cm="1">
        <f t="array" aca="1" ref="D79" ca="1">IF(ISNUMBER(_xll.VoseSimPercentile(Out_Finish_Start,$B79)),_xll.VoseSimPercentile(Out_Finish_Start,$B79),NA())</f>
        <v>42.52899473015303</v>
      </c>
      <c r="E79" s="78" cm="1">
        <f t="array" aca="1" ref="E79" ca="1">IF(ISNUMBER(_xll.VoseSimPercentile(Out_Finish_Plan,$B79)),_xll.VoseSimPercentile(Out_Finish_Plan,$B79),NA())</f>
        <v>40.839818228264441</v>
      </c>
      <c r="F79" s="78">
        <f t="shared" si="3"/>
        <v>44</v>
      </c>
    </row>
    <row r="80" spans="2:6" hidden="1" outlineLevel="1" x14ac:dyDescent="0.45">
      <c r="B80" s="77">
        <v>0.35</v>
      </c>
      <c r="C80" s="77">
        <f t="shared" si="2"/>
        <v>0.65</v>
      </c>
      <c r="D80" s="78" cm="1">
        <f t="array" aca="1" ref="D80" ca="1">IF(ISNUMBER(_xll.VoseSimPercentile(Out_Finish_Start,$B80)),_xll.VoseSimPercentile(Out_Finish_Start,$B80),NA())</f>
        <v>42.643554676663541</v>
      </c>
      <c r="E80" s="78" cm="1">
        <f t="array" aca="1" ref="E80" ca="1">IF(ISNUMBER(_xll.VoseSimPercentile(Out_Finish_Plan,$B80)),_xll.VoseSimPercentile(Out_Finish_Plan,$B80),NA())</f>
        <v>40.948224499711849</v>
      </c>
      <c r="F80" s="78">
        <f t="shared" si="3"/>
        <v>44</v>
      </c>
    </row>
    <row r="81" spans="2:6" hidden="1" outlineLevel="1" x14ac:dyDescent="0.45">
      <c r="B81" s="77">
        <v>0.37</v>
      </c>
      <c r="C81" s="77">
        <f t="shared" si="2"/>
        <v>0.63</v>
      </c>
      <c r="D81" s="78" cm="1">
        <f t="array" aca="1" ref="D81" ca="1">IF(ISNUMBER(_xll.VoseSimPercentile(Out_Finish_Start,$B81)),_xll.VoseSimPercentile(Out_Finish_Start,$B81),NA())</f>
        <v>42.777109520576644</v>
      </c>
      <c r="E81" s="78" cm="1">
        <f t="array" aca="1" ref="E81" ca="1">IF(ISNUMBER(_xll.VoseSimPercentile(Out_Finish_Plan,$B81)),_xll.VoseSimPercentile(Out_Finish_Plan,$B81),NA())</f>
        <v>41.066412751128041</v>
      </c>
      <c r="F81" s="78">
        <f t="shared" si="3"/>
        <v>44</v>
      </c>
    </row>
    <row r="82" spans="2:6" hidden="1" outlineLevel="1" x14ac:dyDescent="0.45">
      <c r="B82" s="77">
        <v>0.39</v>
      </c>
      <c r="C82" s="77">
        <f t="shared" si="2"/>
        <v>0.61</v>
      </c>
      <c r="D82" s="78" cm="1">
        <f t="array" aca="1" ref="D82" ca="1">IF(ISNUMBER(_xll.VoseSimPercentile(Out_Finish_Start,$B82)),_xll.VoseSimPercentile(Out_Finish_Start,$B82),NA())</f>
        <v>42.888948563704218</v>
      </c>
      <c r="E82" s="78" cm="1">
        <f t="array" aca="1" ref="E82" ca="1">IF(ISNUMBER(_xll.VoseSimPercentile(Out_Finish_Plan,$B82)),_xll.VoseSimPercentile(Out_Finish_Plan,$B82),NA())</f>
        <v>41.186364360929382</v>
      </c>
      <c r="F82" s="78">
        <f t="shared" si="3"/>
        <v>44</v>
      </c>
    </row>
    <row r="83" spans="2:6" hidden="1" outlineLevel="1" x14ac:dyDescent="0.45">
      <c r="B83" s="77">
        <v>0.41</v>
      </c>
      <c r="C83" s="77">
        <f t="shared" si="2"/>
        <v>0.59000000000000008</v>
      </c>
      <c r="D83" s="78" cm="1">
        <f t="array" aca="1" ref="D83" ca="1">IF(ISNUMBER(_xll.VoseSimPercentile(Out_Finish_Start,$B83)),_xll.VoseSimPercentile(Out_Finish_Start,$B83),NA())</f>
        <v>43.011475106090849</v>
      </c>
      <c r="E83" s="78" cm="1">
        <f t="array" aca="1" ref="E83" ca="1">IF(ISNUMBER(_xll.VoseSimPercentile(Out_Finish_Plan,$B83)),_xll.VoseSimPercentile(Out_Finish_Plan,$B83),NA())</f>
        <v>41.307148172120428</v>
      </c>
      <c r="F83" s="78">
        <f t="shared" si="3"/>
        <v>44</v>
      </c>
    </row>
    <row r="84" spans="2:6" hidden="1" outlineLevel="1" x14ac:dyDescent="0.45">
      <c r="B84" s="77">
        <v>0.43</v>
      </c>
      <c r="C84" s="77">
        <f t="shared" si="2"/>
        <v>0.57000000000000006</v>
      </c>
      <c r="D84" s="78" cm="1">
        <f t="array" aca="1" ref="D84" ca="1">IF(ISNUMBER(_xll.VoseSimPercentile(Out_Finish_Start,$B84)),_xll.VoseSimPercentile(Out_Finish_Start,$B84),NA())</f>
        <v>43.126367118884637</v>
      </c>
      <c r="E84" s="78" cm="1">
        <f t="array" aca="1" ref="E84" ca="1">IF(ISNUMBER(_xll.VoseSimPercentile(Out_Finish_Plan,$B84)),_xll.VoseSimPercentile(Out_Finish_Plan,$B84),NA())</f>
        <v>41.425163474403192</v>
      </c>
      <c r="F84" s="78">
        <f t="shared" si="3"/>
        <v>44</v>
      </c>
    </row>
    <row r="85" spans="2:6" hidden="1" outlineLevel="1" x14ac:dyDescent="0.45">
      <c r="B85" s="77">
        <v>0.45</v>
      </c>
      <c r="C85" s="77">
        <f t="shared" si="2"/>
        <v>0.55000000000000004</v>
      </c>
      <c r="D85" s="78" cm="1">
        <f t="array" aca="1" ref="D85" ca="1">IF(ISNUMBER(_xll.VoseSimPercentile(Out_Finish_Start,$B85)),_xll.VoseSimPercentile(Out_Finish_Start,$B85),NA())</f>
        <v>43.250135646735217</v>
      </c>
      <c r="E85" s="78" cm="1">
        <f t="array" aca="1" ref="E85" ca="1">IF(ISNUMBER(_xll.VoseSimPercentile(Out_Finish_Plan,$B85)),_xll.VoseSimPercentile(Out_Finish_Plan,$B85),NA())</f>
        <v>41.531786340035197</v>
      </c>
      <c r="F85" s="78">
        <f t="shared" si="3"/>
        <v>44</v>
      </c>
    </row>
    <row r="86" spans="2:6" hidden="1" outlineLevel="1" x14ac:dyDescent="0.45">
      <c r="B86" s="77">
        <v>0.47</v>
      </c>
      <c r="C86" s="77">
        <f t="shared" si="2"/>
        <v>0.53</v>
      </c>
      <c r="D86" s="78" cm="1">
        <f t="array" aca="1" ref="D86" ca="1">IF(ISNUMBER(_xll.VoseSimPercentile(Out_Finish_Start,$B86)),_xll.VoseSimPercentile(Out_Finish_Start,$B86),NA())</f>
        <v>43.371747812391391</v>
      </c>
      <c r="E86" s="78" cm="1">
        <f t="array" aca="1" ref="E86" ca="1">IF(ISNUMBER(_xll.VoseSimPercentile(Out_Finish_Plan,$B86)),_xll.VoseSimPercentile(Out_Finish_Plan,$B86),NA())</f>
        <v>41.638176657758379</v>
      </c>
      <c r="F86" s="78">
        <f t="shared" si="3"/>
        <v>44</v>
      </c>
    </row>
    <row r="87" spans="2:6" hidden="1" outlineLevel="1" x14ac:dyDescent="0.45">
      <c r="B87" s="77">
        <v>0.49</v>
      </c>
      <c r="C87" s="77">
        <f t="shared" si="2"/>
        <v>0.51</v>
      </c>
      <c r="D87" s="78" cm="1">
        <f t="array" aca="1" ref="D87" ca="1">IF(ISNUMBER(_xll.VoseSimPercentile(Out_Finish_Start,$B87)),_xll.VoseSimPercentile(Out_Finish_Start,$B87),NA())</f>
        <v>43.493689005106191</v>
      </c>
      <c r="E87" s="78" cm="1">
        <f t="array" aca="1" ref="E87" ca="1">IF(ISNUMBER(_xll.VoseSimPercentile(Out_Finish_Plan,$B87)),_xll.VoseSimPercentile(Out_Finish_Plan,$B87),NA())</f>
        <v>41.74906679402104</v>
      </c>
      <c r="F87" s="78">
        <f t="shared" si="3"/>
        <v>44</v>
      </c>
    </row>
    <row r="88" spans="2:6" hidden="1" outlineLevel="1" x14ac:dyDescent="0.45">
      <c r="B88" s="77">
        <v>0.51</v>
      </c>
      <c r="C88" s="77">
        <f t="shared" si="2"/>
        <v>0.49</v>
      </c>
      <c r="D88" s="78" cm="1">
        <f t="array" aca="1" ref="D88" ca="1">IF(ISNUMBER(_xll.VoseSimPercentile(Out_Finish_Start,$B88)),_xll.VoseSimPercentile(Out_Finish_Start,$B88),NA())</f>
        <v>43.60186247204652</v>
      </c>
      <c r="E88" s="78" cm="1">
        <f t="array" aca="1" ref="E88" ca="1">IF(ISNUMBER(_xll.VoseSimPercentile(Out_Finish_Plan,$B88)),_xll.VoseSimPercentile(Out_Finish_Plan,$B88),NA())</f>
        <v>41.854699907848904</v>
      </c>
      <c r="F88" s="78">
        <f t="shared" si="3"/>
        <v>44</v>
      </c>
    </row>
    <row r="89" spans="2:6" hidden="1" outlineLevel="1" x14ac:dyDescent="0.45">
      <c r="B89" s="77">
        <v>0.53</v>
      </c>
      <c r="C89" s="77">
        <f t="shared" si="2"/>
        <v>0.47</v>
      </c>
      <c r="D89" s="78" cm="1">
        <f t="array" aca="1" ref="D89" ca="1">IF(ISNUMBER(_xll.VoseSimPercentile(Out_Finish_Start,$B89)),_xll.VoseSimPercentile(Out_Finish_Start,$B89),NA())</f>
        <v>43.704032931608715</v>
      </c>
      <c r="E89" s="78" cm="1">
        <f t="array" aca="1" ref="E89" ca="1">IF(ISNUMBER(_xll.VoseSimPercentile(Out_Finish_Plan,$B89)),_xll.VoseSimPercentile(Out_Finish_Plan,$B89),NA())</f>
        <v>41.978286453694977</v>
      </c>
      <c r="F89" s="78">
        <f t="shared" si="3"/>
        <v>44</v>
      </c>
    </row>
    <row r="90" spans="2:6" hidden="1" outlineLevel="1" x14ac:dyDescent="0.45">
      <c r="B90" s="77">
        <v>0.55000000000000004</v>
      </c>
      <c r="C90" s="77">
        <f t="shared" si="2"/>
        <v>0.44999999999999996</v>
      </c>
      <c r="D90" s="78" cm="1">
        <f t="array" aca="1" ref="D90" ca="1">IF(ISNUMBER(_xll.VoseSimPercentile(Out_Finish_Start,$B90)),_xll.VoseSimPercentile(Out_Finish_Start,$B90),NA())</f>
        <v>43.836033548618758</v>
      </c>
      <c r="E90" s="78" cm="1">
        <f t="array" aca="1" ref="E90" ca="1">IF(ISNUMBER(_xll.VoseSimPercentile(Out_Finish_Plan,$B90)),_xll.VoseSimPercentile(Out_Finish_Plan,$B90),NA())</f>
        <v>42.092882547022697</v>
      </c>
      <c r="F90" s="78">
        <f t="shared" si="3"/>
        <v>44</v>
      </c>
    </row>
    <row r="91" spans="2:6" hidden="1" outlineLevel="1" x14ac:dyDescent="0.45">
      <c r="B91" s="77">
        <v>0.56999999999999995</v>
      </c>
      <c r="C91" s="77">
        <f t="shared" si="2"/>
        <v>0.43000000000000005</v>
      </c>
      <c r="D91" s="78" cm="1">
        <f t="array" aca="1" ref="D91" ca="1">IF(ISNUMBER(_xll.VoseSimPercentile(Out_Finish_Start,$B91)),_xll.VoseSimPercentile(Out_Finish_Start,$B91),NA())</f>
        <v>43.955470531107387</v>
      </c>
      <c r="E91" s="78" cm="1">
        <f t="array" aca="1" ref="E91" ca="1">IF(ISNUMBER(_xll.VoseSimPercentile(Out_Finish_Plan,$B91)),_xll.VoseSimPercentile(Out_Finish_Plan,$B91),NA())</f>
        <v>42.20538253199647</v>
      </c>
      <c r="F91" s="78">
        <f t="shared" si="3"/>
        <v>44</v>
      </c>
    </row>
    <row r="92" spans="2:6" hidden="1" outlineLevel="1" x14ac:dyDescent="0.45">
      <c r="B92" s="77">
        <v>0.59</v>
      </c>
      <c r="C92" s="77">
        <f t="shared" si="2"/>
        <v>0.41000000000000003</v>
      </c>
      <c r="D92" s="78" cm="1">
        <f t="array" aca="1" ref="D92" ca="1">IF(ISNUMBER(_xll.VoseSimPercentile(Out_Finish_Start,$B92)),_xll.VoseSimPercentile(Out_Finish_Start,$B92),NA())</f>
        <v>44.074827007916795</v>
      </c>
      <c r="E92" s="78" cm="1">
        <f t="array" aca="1" ref="E92" ca="1">IF(ISNUMBER(_xll.VoseSimPercentile(Out_Finish_Plan,$B92)),_xll.VoseSimPercentile(Out_Finish_Plan,$B92),NA())</f>
        <v>42.32592835659063</v>
      </c>
      <c r="F92" s="78">
        <f t="shared" si="3"/>
        <v>44</v>
      </c>
    </row>
    <row r="93" spans="2:6" hidden="1" outlineLevel="1" x14ac:dyDescent="0.45">
      <c r="B93" s="77">
        <v>0.61</v>
      </c>
      <c r="C93" s="77">
        <f t="shared" si="2"/>
        <v>0.39</v>
      </c>
      <c r="D93" s="78" cm="1">
        <f t="array" aca="1" ref="D93" ca="1">IF(ISNUMBER(_xll.VoseSimPercentile(Out_Finish_Start,$B93)),_xll.VoseSimPercentile(Out_Finish_Start,$B93),NA())</f>
        <v>44.206697489680536</v>
      </c>
      <c r="E93" s="78" cm="1">
        <f t="array" aca="1" ref="E93" ca="1">IF(ISNUMBER(_xll.VoseSimPercentile(Out_Finish_Plan,$B93)),_xll.VoseSimPercentile(Out_Finish_Plan,$B93),NA())</f>
        <v>42.435256629074445</v>
      </c>
      <c r="F93" s="78">
        <f t="shared" si="3"/>
        <v>44</v>
      </c>
    </row>
    <row r="94" spans="2:6" hidden="1" outlineLevel="1" x14ac:dyDescent="0.45">
      <c r="B94" s="77">
        <v>0.63</v>
      </c>
      <c r="C94" s="77">
        <f t="shared" si="2"/>
        <v>0.37</v>
      </c>
      <c r="D94" s="78" cm="1">
        <f t="array" aca="1" ref="D94" ca="1">IF(ISNUMBER(_xll.VoseSimPercentile(Out_Finish_Start,$B94)),_xll.VoseSimPercentile(Out_Finish_Start,$B94),NA())</f>
        <v>44.333631475530566</v>
      </c>
      <c r="E94" s="78" cm="1">
        <f t="array" aca="1" ref="E94" ca="1">IF(ISNUMBER(_xll.VoseSimPercentile(Out_Finish_Plan,$B94)),_xll.VoseSimPercentile(Out_Finish_Plan,$B94),NA())</f>
        <v>42.545742442273777</v>
      </c>
      <c r="F94" s="78">
        <f t="shared" si="3"/>
        <v>44</v>
      </c>
    </row>
    <row r="95" spans="2:6" hidden="1" outlineLevel="1" x14ac:dyDescent="0.45">
      <c r="B95" s="77">
        <v>0.65</v>
      </c>
      <c r="C95" s="77">
        <f t="shared" ref="C95:C126" si="4">1-B95</f>
        <v>0.35</v>
      </c>
      <c r="D95" s="78" cm="1">
        <f t="array" aca="1" ref="D95" ca="1">IF(ISNUMBER(_xll.VoseSimPercentile(Out_Finish_Start,$B95)),_xll.VoseSimPercentile(Out_Finish_Start,$B95),NA())</f>
        <v>44.470604581727862</v>
      </c>
      <c r="E95" s="78" cm="1">
        <f t="array" aca="1" ref="E95" ca="1">IF(ISNUMBER(_xll.VoseSimPercentile(Out_Finish_Plan,$B95)),_xll.VoseSimPercentile(Out_Finish_Plan,$B95),NA())</f>
        <v>42.66091139950327</v>
      </c>
      <c r="F95" s="78">
        <f t="shared" ref="F95:F112" si="5">ContractWeeks</f>
        <v>44</v>
      </c>
    </row>
    <row r="96" spans="2:6" hidden="1" outlineLevel="1" x14ac:dyDescent="0.45">
      <c r="B96" s="77">
        <v>0.67</v>
      </c>
      <c r="C96" s="77">
        <f t="shared" si="4"/>
        <v>0.32999999999999996</v>
      </c>
      <c r="D96" s="78" cm="1">
        <f t="array" aca="1" ref="D96" ca="1">IF(ISNUMBER(_xll.VoseSimPercentile(Out_Finish_Start,$B96)),_xll.VoseSimPercentile(Out_Finish_Start,$B96),NA())</f>
        <v>44.610379658717896</v>
      </c>
      <c r="E96" s="78" cm="1">
        <f t="array" aca="1" ref="E96" ca="1">IF(ISNUMBER(_xll.VoseSimPercentile(Out_Finish_Plan,$B96)),_xll.VoseSimPercentile(Out_Finish_Plan,$B96),NA())</f>
        <v>42.805076472256438</v>
      </c>
      <c r="F96" s="78">
        <f t="shared" si="5"/>
        <v>44</v>
      </c>
    </row>
    <row r="97" spans="2:6" hidden="1" outlineLevel="1" x14ac:dyDescent="0.45">
      <c r="B97" s="77">
        <v>0.69</v>
      </c>
      <c r="C97" s="77">
        <f t="shared" si="4"/>
        <v>0.31000000000000005</v>
      </c>
      <c r="D97" s="78" cm="1">
        <f t="array" aca="1" ref="D97" ca="1">IF(ISNUMBER(_xll.VoseSimPercentile(Out_Finish_Start,$B97)),_xll.VoseSimPercentile(Out_Finish_Start,$B97),NA())</f>
        <v>44.758618490827679</v>
      </c>
      <c r="E97" s="78" cm="1">
        <f t="array" aca="1" ref="E97" ca="1">IF(ISNUMBER(_xll.VoseSimPercentile(Out_Finish_Plan,$B97)),_xll.VoseSimPercentile(Out_Finish_Plan,$B97),NA())</f>
        <v>42.943663549259561</v>
      </c>
      <c r="F97" s="78">
        <f t="shared" si="5"/>
        <v>44</v>
      </c>
    </row>
    <row r="98" spans="2:6" hidden="1" outlineLevel="1" x14ac:dyDescent="0.45">
      <c r="B98" s="77">
        <v>0.71</v>
      </c>
      <c r="C98" s="77">
        <f t="shared" si="4"/>
        <v>0.29000000000000004</v>
      </c>
      <c r="D98" s="78" cm="1">
        <f t="array" aca="1" ref="D98" ca="1">IF(ISNUMBER(_xll.VoseSimPercentile(Out_Finish_Start,$B98)),_xll.VoseSimPercentile(Out_Finish_Start,$B98),NA())</f>
        <v>44.895707732484773</v>
      </c>
      <c r="E98" s="78" cm="1">
        <f t="array" aca="1" ref="E98" ca="1">IF(ISNUMBER(_xll.VoseSimPercentile(Out_Finish_Plan,$B98)),_xll.VoseSimPercentile(Out_Finish_Plan,$B98),NA())</f>
        <v>43.087415981134292</v>
      </c>
      <c r="F98" s="78">
        <f t="shared" si="5"/>
        <v>44</v>
      </c>
    </row>
    <row r="99" spans="2:6" hidden="1" outlineLevel="1" x14ac:dyDescent="0.45">
      <c r="B99" s="77">
        <v>0.73</v>
      </c>
      <c r="C99" s="77">
        <f t="shared" si="4"/>
        <v>0.27</v>
      </c>
      <c r="D99" s="78" cm="1">
        <f t="array" aca="1" ref="D99" ca="1">IF(ISNUMBER(_xll.VoseSimPercentile(Out_Finish_Start,$B99)),_xll.VoseSimPercentile(Out_Finish_Start,$B99),NA())</f>
        <v>45.025379793839463</v>
      </c>
      <c r="E99" s="78" cm="1">
        <f t="array" aca="1" ref="E99" ca="1">IF(ISNUMBER(_xll.VoseSimPercentile(Out_Finish_Plan,$B99)),_xll.VoseSimPercentile(Out_Finish_Plan,$B99),NA())</f>
        <v>43.226339376943926</v>
      </c>
      <c r="F99" s="78">
        <f t="shared" si="5"/>
        <v>44</v>
      </c>
    </row>
    <row r="100" spans="2:6" hidden="1" outlineLevel="1" x14ac:dyDescent="0.45">
      <c r="B100" s="77">
        <v>0.75</v>
      </c>
      <c r="C100" s="77">
        <f t="shared" si="4"/>
        <v>0.25</v>
      </c>
      <c r="D100" s="78" cm="1">
        <f t="array" aca="1" ref="D100" ca="1">IF(ISNUMBER(_xll.VoseSimPercentile(Out_Finish_Start,$B100)),_xll.VoseSimPercentile(Out_Finish_Start,$B100),NA())</f>
        <v>45.177987786239505</v>
      </c>
      <c r="E100" s="78" cm="1">
        <f t="array" aca="1" ref="E100" ca="1">IF(ISNUMBER(_xll.VoseSimPercentile(Out_Finish_Plan,$B100)),_xll.VoseSimPercentile(Out_Finish_Plan,$B100),NA())</f>
        <v>43.372325316447323</v>
      </c>
      <c r="F100" s="78">
        <f t="shared" si="5"/>
        <v>44</v>
      </c>
    </row>
    <row r="101" spans="2:6" hidden="1" outlineLevel="1" x14ac:dyDescent="0.45">
      <c r="B101" s="77">
        <v>0.77</v>
      </c>
      <c r="C101" s="77">
        <f t="shared" si="4"/>
        <v>0.22999999999999998</v>
      </c>
      <c r="D101" s="78" cm="1">
        <f t="array" aca="1" ref="D101" ca="1">IF(ISNUMBER(_xll.VoseSimPercentile(Out_Finish_Start,$B101)),_xll.VoseSimPercentile(Out_Finish_Start,$B101),NA())</f>
        <v>45.342890278419155</v>
      </c>
      <c r="E101" s="78" cm="1">
        <f t="array" aca="1" ref="E101" ca="1">IF(ISNUMBER(_xll.VoseSimPercentile(Out_Finish_Plan,$B101)),_xll.VoseSimPercentile(Out_Finish_Plan,$B101),NA())</f>
        <v>43.518194127994057</v>
      </c>
      <c r="F101" s="78">
        <f t="shared" si="5"/>
        <v>44</v>
      </c>
    </row>
    <row r="102" spans="2:6" hidden="1" outlineLevel="1" x14ac:dyDescent="0.45">
      <c r="B102" s="77">
        <v>0.79</v>
      </c>
      <c r="C102" s="77">
        <f t="shared" si="4"/>
        <v>0.20999999999999996</v>
      </c>
      <c r="D102" s="78" cm="1">
        <f t="array" aca="1" ref="D102" ca="1">IF(ISNUMBER(_xll.VoseSimPercentile(Out_Finish_Start,$B102)),_xll.VoseSimPercentile(Out_Finish_Start,$B102),NA())</f>
        <v>45.500882080098528</v>
      </c>
      <c r="E102" s="78" cm="1">
        <f t="array" aca="1" ref="E102" ca="1">IF(ISNUMBER(_xll.VoseSimPercentile(Out_Finish_Plan,$B102)),_xll.VoseSimPercentile(Out_Finish_Plan,$B102),NA())</f>
        <v>43.675314659862423</v>
      </c>
      <c r="F102" s="78">
        <f t="shared" si="5"/>
        <v>44</v>
      </c>
    </row>
    <row r="103" spans="2:6" hidden="1" outlineLevel="1" x14ac:dyDescent="0.45">
      <c r="B103" s="77">
        <v>0.81</v>
      </c>
      <c r="C103" s="77">
        <f t="shared" si="4"/>
        <v>0.18999999999999995</v>
      </c>
      <c r="D103" s="78" cm="1">
        <f t="array" aca="1" ref="D103" ca="1">IF(ISNUMBER(_xll.VoseSimPercentile(Out_Finish_Start,$B103)),_xll.VoseSimPercentile(Out_Finish_Start,$B103),NA())</f>
        <v>45.672238314703769</v>
      </c>
      <c r="E103" s="78" cm="1">
        <f t="array" aca="1" ref="E103" ca="1">IF(ISNUMBER(_xll.VoseSimPercentile(Out_Finish_Plan,$B103)),_xll.VoseSimPercentile(Out_Finish_Plan,$B103),NA())</f>
        <v>43.851115433197613</v>
      </c>
      <c r="F103" s="78">
        <f t="shared" si="5"/>
        <v>44</v>
      </c>
    </row>
    <row r="104" spans="2:6" hidden="1" outlineLevel="1" x14ac:dyDescent="0.45">
      <c r="B104" s="77">
        <v>0.83</v>
      </c>
      <c r="C104" s="77">
        <f t="shared" si="4"/>
        <v>0.17000000000000004</v>
      </c>
      <c r="D104" s="78" cm="1">
        <f t="array" aca="1" ref="D104" ca="1">IF(ISNUMBER(_xll.VoseSimPercentile(Out_Finish_Start,$B104)),_xll.VoseSimPercentile(Out_Finish_Start,$B104),NA())</f>
        <v>45.856587048725707</v>
      </c>
      <c r="E104" s="78" cm="1">
        <f t="array" aca="1" ref="E104" ca="1">IF(ISNUMBER(_xll.VoseSimPercentile(Out_Finish_Plan,$B104)),_xll.VoseSimPercentile(Out_Finish_Plan,$B104),NA())</f>
        <v>44.019657899317124</v>
      </c>
      <c r="F104" s="78">
        <f t="shared" si="5"/>
        <v>44</v>
      </c>
    </row>
    <row r="105" spans="2:6" hidden="1" outlineLevel="1" x14ac:dyDescent="0.45">
      <c r="B105" s="77">
        <v>0.85</v>
      </c>
      <c r="C105" s="77">
        <f t="shared" si="4"/>
        <v>0.15000000000000002</v>
      </c>
      <c r="D105" s="78" cm="1">
        <f t="array" aca="1" ref="D105" ca="1">IF(ISNUMBER(_xll.VoseSimPercentile(Out_Finish_Start,$B105)),_xll.VoseSimPercentile(Out_Finish_Start,$B105),NA())</f>
        <v>46.078629332543841</v>
      </c>
      <c r="E105" s="78" cm="1">
        <f t="array" aca="1" ref="E105" ca="1">IF(ISNUMBER(_xll.VoseSimPercentile(Out_Finish_Plan,$B105)),_xll.VoseSimPercentile(Out_Finish_Plan,$B105),NA())</f>
        <v>44.207991722061941</v>
      </c>
      <c r="F105" s="78">
        <f t="shared" si="5"/>
        <v>44</v>
      </c>
    </row>
    <row r="106" spans="2:6" hidden="1" outlineLevel="1" x14ac:dyDescent="0.45">
      <c r="B106" s="77">
        <v>0.87</v>
      </c>
      <c r="C106" s="77">
        <f t="shared" si="4"/>
        <v>0.13</v>
      </c>
      <c r="D106" s="78" cm="1">
        <f t="array" aca="1" ref="D106" ca="1">IF(ISNUMBER(_xll.VoseSimPercentile(Out_Finish_Start,$B106)),_xll.VoseSimPercentile(Out_Finish_Start,$B106),NA())</f>
        <v>46.321485119263222</v>
      </c>
      <c r="E106" s="78" cm="1">
        <f t="array" aca="1" ref="E106" ca="1">IF(ISNUMBER(_xll.VoseSimPercentile(Out_Finish_Plan,$B106)),_xll.VoseSimPercentile(Out_Finish_Plan,$B106),NA())</f>
        <v>44.425224236132188</v>
      </c>
      <c r="F106" s="78">
        <f t="shared" si="5"/>
        <v>44</v>
      </c>
    </row>
    <row r="107" spans="2:6" hidden="1" outlineLevel="1" x14ac:dyDescent="0.45">
      <c r="B107" s="77">
        <v>0.89</v>
      </c>
      <c r="C107" s="77">
        <f t="shared" si="4"/>
        <v>0.10999999999999999</v>
      </c>
      <c r="D107" s="78" cm="1">
        <f t="array" aca="1" ref="D107" ca="1">IF(ISNUMBER(_xll.VoseSimPercentile(Out_Finish_Start,$B107)),_xll.VoseSimPercentile(Out_Finish_Start,$B107),NA())</f>
        <v>46.58147737384116</v>
      </c>
      <c r="E107" s="78" cm="1">
        <f t="array" aca="1" ref="E107" ca="1">IF(ISNUMBER(_xll.VoseSimPercentile(Out_Finish_Plan,$B107)),_xll.VoseSimPercentile(Out_Finish_Plan,$B107),NA())</f>
        <v>44.669273459483748</v>
      </c>
      <c r="F107" s="78">
        <f t="shared" si="5"/>
        <v>44</v>
      </c>
    </row>
    <row r="108" spans="2:6" hidden="1" outlineLevel="1" x14ac:dyDescent="0.45">
      <c r="B108" s="77">
        <v>0.91</v>
      </c>
      <c r="C108" s="77">
        <f t="shared" si="4"/>
        <v>8.9999999999999969E-2</v>
      </c>
      <c r="D108" s="78" cm="1">
        <f t="array" aca="1" ref="D108" ca="1">IF(ISNUMBER(_xll.VoseSimPercentile(Out_Finish_Start,$B108)),_xll.VoseSimPercentile(Out_Finish_Start,$B108),NA())</f>
        <v>46.823117874498493</v>
      </c>
      <c r="E108" s="78" cm="1">
        <f t="array" aca="1" ref="E108" ca="1">IF(ISNUMBER(_xll.VoseSimPercentile(Out_Finish_Plan,$B108)),_xll.VoseSimPercentile(Out_Finish_Plan,$B108),NA())</f>
        <v>44.921806003797208</v>
      </c>
      <c r="F108" s="78">
        <f t="shared" si="5"/>
        <v>44</v>
      </c>
    </row>
    <row r="109" spans="2:6" hidden="1" outlineLevel="1" x14ac:dyDescent="0.45">
      <c r="B109" s="77">
        <v>0.93</v>
      </c>
      <c r="C109" s="77">
        <f t="shared" si="4"/>
        <v>6.9999999999999951E-2</v>
      </c>
      <c r="D109" s="78" cm="1">
        <f t="array" aca="1" ref="D109" ca="1">IF(ISNUMBER(_xll.VoseSimPercentile(Out_Finish_Start,$B109)),_xll.VoseSimPercentile(Out_Finish_Start,$B109),NA())</f>
        <v>47.144157304596867</v>
      </c>
      <c r="E109" s="78" cm="1">
        <f t="array" aca="1" ref="E109" ca="1">IF(ISNUMBER(_xll.VoseSimPercentile(Out_Finish_Plan,$B109)),_xll.VoseSimPercentile(Out_Finish_Plan,$B109),NA())</f>
        <v>45.250225223238338</v>
      </c>
      <c r="F109" s="78">
        <f t="shared" si="5"/>
        <v>44</v>
      </c>
    </row>
    <row r="110" spans="2:6" hidden="1" outlineLevel="1" x14ac:dyDescent="0.45">
      <c r="B110" s="77">
        <v>0.95</v>
      </c>
      <c r="C110" s="77">
        <f t="shared" si="4"/>
        <v>5.0000000000000044E-2</v>
      </c>
      <c r="D110" s="78" cm="1">
        <f t="array" aca="1" ref="D110" ca="1">IF(ISNUMBER(_xll.VoseSimPercentile(Out_Finish_Start,$B110)),_xll.VoseSimPercentile(Out_Finish_Start,$B110),NA())</f>
        <v>47.5644957609965</v>
      </c>
      <c r="E110" s="78" cm="1">
        <f t="array" aca="1" ref="E110" ca="1">IF(ISNUMBER(_xll.VoseSimPercentile(Out_Finish_Plan,$B110)),_xll.VoseSimPercentile(Out_Finish_Plan,$B110),NA())</f>
        <v>45.630990235072666</v>
      </c>
      <c r="F110" s="78">
        <f t="shared" si="5"/>
        <v>44</v>
      </c>
    </row>
    <row r="111" spans="2:6" hidden="1" outlineLevel="1" x14ac:dyDescent="0.45">
      <c r="B111" s="77">
        <v>0.97</v>
      </c>
      <c r="C111" s="77">
        <f t="shared" si="4"/>
        <v>3.0000000000000027E-2</v>
      </c>
      <c r="D111" s="78" cm="1">
        <f t="array" aca="1" ref="D111" ca="1">IF(ISNUMBER(_xll.VoseSimPercentile(Out_Finish_Start,$B111)),_xll.VoseSimPercentile(Out_Finish_Start,$B111),NA())</f>
        <v>48.262906585188738</v>
      </c>
      <c r="E111" s="78" cm="1">
        <f t="array" aca="1" ref="E111" ca="1">IF(ISNUMBER(_xll.VoseSimPercentile(Out_Finish_Plan,$B111)),_xll.VoseSimPercentile(Out_Finish_Plan,$B111),NA())</f>
        <v>46.239512504922416</v>
      </c>
      <c r="F111" s="78">
        <f t="shared" si="5"/>
        <v>44</v>
      </c>
    </row>
    <row r="112" spans="2:6" hidden="1" outlineLevel="1" x14ac:dyDescent="0.45">
      <c r="B112" s="77">
        <v>0.99</v>
      </c>
      <c r="C112" s="77">
        <f t="shared" si="4"/>
        <v>1.0000000000000009E-2</v>
      </c>
      <c r="D112" s="78" cm="1">
        <f t="array" aca="1" ref="D112" ca="1">IF(ISNUMBER(_xll.VoseSimPercentile(Out_Finish_Start,$B112)),_xll.VoseSimPercentile(Out_Finish_Start,$B112),NA())</f>
        <v>49.330180422173733</v>
      </c>
      <c r="E112" s="78" cm="1">
        <f t="array" aca="1" ref="E112" ca="1">IF(ISNUMBER(_xll.VoseSimPercentile(Out_Finish_Plan,$B112)),_xll.VoseSimPercentile(Out_Finish_Plan,$B112),NA())</f>
        <v>47.298914545962518</v>
      </c>
      <c r="F112" s="78">
        <f t="shared" si="5"/>
        <v>44</v>
      </c>
    </row>
  </sheetData>
  <mergeCells count="5">
    <mergeCell ref="B54:G54"/>
    <mergeCell ref="B57:G57"/>
    <mergeCell ref="B56:G56"/>
    <mergeCell ref="B53:G53"/>
    <mergeCell ref="B55:G55"/>
  </mergeCells>
  <conditionalFormatting sqref="B7">
    <cfRule type="expression" dxfId="3" priority="2">
      <formula>LEFT($B$7,1)="✗"</formula>
    </cfRule>
  </conditionalFormatting>
  <conditionalFormatting sqref="B6:G6">
    <cfRule type="expression" dxfId="2" priority="1">
      <formula>LEFT($B$6,1)&lt;&gt;"✔"</formula>
    </cfRule>
  </conditionalFormatting>
  <conditionalFormatting sqref="D63:F112">
    <cfRule type="expression" dxfId="1" priority="4">
      <formula>ISNA(D63)</formula>
    </cfRule>
  </conditionalFormatting>
  <conditionalFormatting sqref="F35:F49">
    <cfRule type="expression" dxfId="0" priority="3">
      <formula>$F35="yes"</formula>
    </cfRule>
  </conditionalFormatting>
  <hyperlinks>
    <hyperlink ref="B4" location="'Network'!A1" display="◂  Network" xr:uid="{00000000-0004-0000-0400-000000000000}"/>
  </hyperlinks>
  <printOptions horizontalCentered="1"/>
  <pageMargins left="0.4" right="0.4" top="0.5" bottom="0.6" header="0.25" footer="0.25"/>
  <pageSetup paperSize="9" fitToHeight="0" orientation="landscape"/>
  <headerFooter>
    <oddFooter>&amp;L&amp;K3F5876&amp;8&amp;F · &amp;A&amp;R&amp;K3F5876&amp;8Page &amp;P of &amp;N</oddFooter>
  </headerFooter>
  <rowBreaks count="1" manualBreakCount="1">
    <brk id="30" max="16383" man="1"/>
  </rowBreaks>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
  <sheetViews>
    <sheetView workbookViewId="0"/>
  </sheetViews>
  <sheetFormatPr defaultRowHeight="14.25" x14ac:dyDescent="0.45"/>
  <sheetData>
    <row r="1" spans="1:5" x14ac:dyDescent="0.45">
      <c r="A1" s="79" t="s">
        <v>376</v>
      </c>
      <c r="B1">
        <v>0</v>
      </c>
      <c r="C1">
        <v>1</v>
      </c>
      <c r="D1">
        <v>1</v>
      </c>
      <c r="E1" s="79" t="s">
        <v>377</v>
      </c>
    </row>
    <row r="2" spans="1:5" x14ac:dyDescent="0.45">
      <c r="A2">
        <v>1</v>
      </c>
      <c r="B2" s="79" t="s">
        <v>378</v>
      </c>
      <c r="C2">
        <v>1</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65D36-5A11-486C-97C7-E84D2D56EDE6}">
  <dimension ref="A1:B1"/>
  <sheetViews>
    <sheetView workbookViewId="0"/>
  </sheetViews>
  <sheetFormatPr defaultRowHeight="14.25" x14ac:dyDescent="0.45"/>
  <sheetData>
    <row r="1" spans="1:2" x14ac:dyDescent="0.45">
      <c r="A1" s="87" t="s">
        <v>383</v>
      </c>
      <c r="B1">
        <v>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B4F92A-DEBB-4314-BD93-69A9DF221F15}">
  <dimension ref="A1"/>
  <sheetViews>
    <sheetView workbookViewId="0"/>
  </sheetViews>
  <sheetFormatPr defaultRowHeight="14.25" x14ac:dyDescent="0.4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DA2999-5763-47CE-AEF1-CF82F022E575}">
  <dimension ref="B3:B502"/>
  <sheetViews>
    <sheetView workbookViewId="0"/>
  </sheetViews>
  <sheetFormatPr defaultRowHeight="14.25" x14ac:dyDescent="0.45"/>
  <sheetData>
    <row r="3" spans="2:2" x14ac:dyDescent="0.45">
      <c r="B3">
        <v>1477</v>
      </c>
    </row>
    <row r="4" spans="2:2" x14ac:dyDescent="0.45">
      <c r="B4">
        <v>0</v>
      </c>
    </row>
    <row r="5" spans="2:2" x14ac:dyDescent="0.45">
      <c r="B5">
        <v>0</v>
      </c>
    </row>
    <row r="6" spans="2:2" x14ac:dyDescent="0.45">
      <c r="B6">
        <v>22</v>
      </c>
    </row>
    <row r="7" spans="2:2" x14ac:dyDescent="0.45">
      <c r="B7">
        <v>121</v>
      </c>
    </row>
    <row r="8" spans="2:2" x14ac:dyDescent="0.45">
      <c r="B8">
        <v>149</v>
      </c>
    </row>
    <row r="9" spans="2:2" x14ac:dyDescent="0.45">
      <c r="B9">
        <v>129</v>
      </c>
    </row>
    <row r="10" spans="2:2" x14ac:dyDescent="0.45">
      <c r="B10">
        <v>76</v>
      </c>
    </row>
    <row r="11" spans="2:2" x14ac:dyDescent="0.45">
      <c r="B11">
        <v>20</v>
      </c>
    </row>
    <row r="12" spans="2:2" x14ac:dyDescent="0.45">
      <c r="B12">
        <v>6</v>
      </c>
    </row>
    <row r="13" spans="2:2" x14ac:dyDescent="0.45">
      <c r="B13">
        <v>145</v>
      </c>
    </row>
    <row r="14" spans="2:2" x14ac:dyDescent="0.45">
      <c r="B14">
        <v>322</v>
      </c>
    </row>
    <row r="15" spans="2:2" x14ac:dyDescent="0.45">
      <c r="B15">
        <v>346</v>
      </c>
    </row>
    <row r="16" spans="2:2" x14ac:dyDescent="0.45">
      <c r="B16">
        <v>354</v>
      </c>
    </row>
    <row r="17" spans="2:2" x14ac:dyDescent="0.45">
      <c r="B17">
        <v>308</v>
      </c>
    </row>
    <row r="18" spans="2:2" x14ac:dyDescent="0.45">
      <c r="B18">
        <v>232</v>
      </c>
    </row>
    <row r="19" spans="2:2" x14ac:dyDescent="0.45">
      <c r="B19">
        <v>176</v>
      </c>
    </row>
    <row r="20" spans="2:2" x14ac:dyDescent="0.45">
      <c r="B20">
        <v>80</v>
      </c>
    </row>
    <row r="21" spans="2:2" x14ac:dyDescent="0.45">
      <c r="B21">
        <v>29</v>
      </c>
    </row>
    <row r="22" spans="2:2" x14ac:dyDescent="0.45">
      <c r="B22">
        <v>8</v>
      </c>
    </row>
    <row r="23" spans="2:2" x14ac:dyDescent="0.45">
      <c r="B23">
        <v>79</v>
      </c>
    </row>
    <row r="24" spans="2:2" x14ac:dyDescent="0.45">
      <c r="B24">
        <v>237</v>
      </c>
    </row>
    <row r="25" spans="2:2" x14ac:dyDescent="0.45">
      <c r="B25">
        <v>368</v>
      </c>
    </row>
    <row r="26" spans="2:2" x14ac:dyDescent="0.45">
      <c r="B26">
        <v>354</v>
      </c>
    </row>
    <row r="27" spans="2:2" x14ac:dyDescent="0.45">
      <c r="B27">
        <v>351</v>
      </c>
    </row>
    <row r="28" spans="2:2" x14ac:dyDescent="0.45">
      <c r="B28">
        <v>272</v>
      </c>
    </row>
    <row r="29" spans="2:2" x14ac:dyDescent="0.45">
      <c r="B29">
        <v>176</v>
      </c>
    </row>
    <row r="30" spans="2:2" x14ac:dyDescent="0.45">
      <c r="B30">
        <v>113</v>
      </c>
    </row>
    <row r="31" spans="2:2" x14ac:dyDescent="0.45">
      <c r="B31">
        <v>40</v>
      </c>
    </row>
    <row r="32" spans="2:2" x14ac:dyDescent="0.45">
      <c r="B32">
        <v>10</v>
      </c>
    </row>
    <row r="33" spans="2:2" x14ac:dyDescent="0.45">
      <c r="B33">
        <v>146</v>
      </c>
    </row>
    <row r="34" spans="2:2" x14ac:dyDescent="0.45">
      <c r="B34">
        <v>321</v>
      </c>
    </row>
    <row r="35" spans="2:2" x14ac:dyDescent="0.45">
      <c r="B35">
        <v>374</v>
      </c>
    </row>
    <row r="36" spans="2:2" x14ac:dyDescent="0.45">
      <c r="B36">
        <v>345</v>
      </c>
    </row>
    <row r="37" spans="2:2" x14ac:dyDescent="0.45">
      <c r="B37">
        <v>310</v>
      </c>
    </row>
    <row r="38" spans="2:2" x14ac:dyDescent="0.45">
      <c r="B38">
        <v>223</v>
      </c>
    </row>
    <row r="39" spans="2:2" x14ac:dyDescent="0.45">
      <c r="B39">
        <v>153</v>
      </c>
    </row>
    <row r="40" spans="2:2" x14ac:dyDescent="0.45">
      <c r="B40">
        <v>80</v>
      </c>
    </row>
    <row r="41" spans="2:2" x14ac:dyDescent="0.45">
      <c r="B41">
        <v>33</v>
      </c>
    </row>
    <row r="42" spans="2:2" x14ac:dyDescent="0.45">
      <c r="B42">
        <v>15</v>
      </c>
    </row>
    <row r="43" spans="2:2" x14ac:dyDescent="0.45">
      <c r="B43">
        <v>85</v>
      </c>
    </row>
    <row r="44" spans="2:2" x14ac:dyDescent="0.45">
      <c r="B44">
        <v>228</v>
      </c>
    </row>
    <row r="45" spans="2:2" x14ac:dyDescent="0.45">
      <c r="B45">
        <v>292</v>
      </c>
    </row>
    <row r="46" spans="2:2" x14ac:dyDescent="0.45">
      <c r="B46">
        <v>361</v>
      </c>
    </row>
    <row r="47" spans="2:2" x14ac:dyDescent="0.45">
      <c r="B47">
        <v>317</v>
      </c>
    </row>
    <row r="48" spans="2:2" x14ac:dyDescent="0.45">
      <c r="B48">
        <v>279</v>
      </c>
    </row>
    <row r="49" spans="2:2" x14ac:dyDescent="0.45">
      <c r="B49">
        <v>224</v>
      </c>
    </row>
    <row r="50" spans="2:2" x14ac:dyDescent="0.45">
      <c r="B50">
        <v>124</v>
      </c>
    </row>
    <row r="51" spans="2:2" x14ac:dyDescent="0.45">
      <c r="B51">
        <v>71</v>
      </c>
    </row>
    <row r="52" spans="2:2" x14ac:dyDescent="0.45">
      <c r="B52">
        <v>19</v>
      </c>
    </row>
    <row r="53" spans="2:2" x14ac:dyDescent="0.45">
      <c r="B53">
        <v>108</v>
      </c>
    </row>
    <row r="54" spans="2:2" x14ac:dyDescent="0.45">
      <c r="B54">
        <v>273</v>
      </c>
    </row>
    <row r="55" spans="2:2" x14ac:dyDescent="0.45">
      <c r="B55">
        <v>361</v>
      </c>
    </row>
    <row r="56" spans="2:2" x14ac:dyDescent="0.45">
      <c r="B56">
        <v>358</v>
      </c>
    </row>
    <row r="57" spans="2:2" x14ac:dyDescent="0.45">
      <c r="B57">
        <v>297</v>
      </c>
    </row>
    <row r="58" spans="2:2" x14ac:dyDescent="0.45">
      <c r="B58">
        <v>258</v>
      </c>
    </row>
    <row r="59" spans="2:2" x14ac:dyDescent="0.45">
      <c r="B59">
        <v>178</v>
      </c>
    </row>
    <row r="60" spans="2:2" x14ac:dyDescent="0.45">
      <c r="B60">
        <v>117</v>
      </c>
    </row>
    <row r="61" spans="2:2" x14ac:dyDescent="0.45">
      <c r="B61">
        <v>36</v>
      </c>
    </row>
    <row r="62" spans="2:2" x14ac:dyDescent="0.45">
      <c r="B62">
        <v>14</v>
      </c>
    </row>
    <row r="63" spans="2:2" x14ac:dyDescent="0.45">
      <c r="B63">
        <v>76</v>
      </c>
    </row>
    <row r="64" spans="2:2" x14ac:dyDescent="0.45">
      <c r="B64">
        <v>196</v>
      </c>
    </row>
    <row r="65" spans="2:2" x14ac:dyDescent="0.45">
      <c r="B65">
        <v>271</v>
      </c>
    </row>
    <row r="66" spans="2:2" x14ac:dyDescent="0.45">
      <c r="B66">
        <v>346</v>
      </c>
    </row>
    <row r="67" spans="2:2" x14ac:dyDescent="0.45">
      <c r="B67">
        <v>354</v>
      </c>
    </row>
    <row r="68" spans="2:2" x14ac:dyDescent="0.45">
      <c r="B68">
        <v>265</v>
      </c>
    </row>
    <row r="69" spans="2:2" x14ac:dyDescent="0.45">
      <c r="B69">
        <v>235</v>
      </c>
    </row>
    <row r="70" spans="2:2" x14ac:dyDescent="0.45">
      <c r="B70">
        <v>144</v>
      </c>
    </row>
    <row r="71" spans="2:2" x14ac:dyDescent="0.45">
      <c r="B71">
        <v>80</v>
      </c>
    </row>
    <row r="72" spans="2:2" x14ac:dyDescent="0.45">
      <c r="B72">
        <v>33</v>
      </c>
    </row>
    <row r="73" spans="2:2" x14ac:dyDescent="0.45">
      <c r="B73">
        <v>81</v>
      </c>
    </row>
    <row r="74" spans="2:2" x14ac:dyDescent="0.45">
      <c r="B74">
        <v>207</v>
      </c>
    </row>
    <row r="75" spans="2:2" x14ac:dyDescent="0.45">
      <c r="B75">
        <v>287</v>
      </c>
    </row>
    <row r="76" spans="2:2" x14ac:dyDescent="0.45">
      <c r="B76">
        <v>354</v>
      </c>
    </row>
    <row r="77" spans="2:2" x14ac:dyDescent="0.45">
      <c r="B77">
        <v>349</v>
      </c>
    </row>
    <row r="78" spans="2:2" x14ac:dyDescent="0.45">
      <c r="B78">
        <v>275</v>
      </c>
    </row>
    <row r="79" spans="2:2" x14ac:dyDescent="0.45">
      <c r="B79">
        <v>234</v>
      </c>
    </row>
    <row r="80" spans="2:2" x14ac:dyDescent="0.45">
      <c r="B80">
        <v>129</v>
      </c>
    </row>
    <row r="81" spans="2:2" x14ac:dyDescent="0.45">
      <c r="B81">
        <v>68</v>
      </c>
    </row>
    <row r="82" spans="2:2" x14ac:dyDescent="0.45">
      <c r="B82">
        <v>16</v>
      </c>
    </row>
    <row r="83" spans="2:2" x14ac:dyDescent="0.45">
      <c r="B83">
        <v>65</v>
      </c>
    </row>
    <row r="84" spans="2:2" x14ac:dyDescent="0.45">
      <c r="B84">
        <v>213</v>
      </c>
    </row>
    <row r="85" spans="2:2" x14ac:dyDescent="0.45">
      <c r="B85">
        <v>347</v>
      </c>
    </row>
    <row r="86" spans="2:2" x14ac:dyDescent="0.45">
      <c r="B86">
        <v>361</v>
      </c>
    </row>
    <row r="87" spans="2:2" x14ac:dyDescent="0.45">
      <c r="B87">
        <v>322</v>
      </c>
    </row>
    <row r="88" spans="2:2" x14ac:dyDescent="0.45">
      <c r="B88">
        <v>291</v>
      </c>
    </row>
    <row r="89" spans="2:2" x14ac:dyDescent="0.45">
      <c r="B89">
        <v>183</v>
      </c>
    </row>
    <row r="90" spans="2:2" x14ac:dyDescent="0.45">
      <c r="B90">
        <v>133</v>
      </c>
    </row>
    <row r="91" spans="2:2" x14ac:dyDescent="0.45">
      <c r="B91">
        <v>63</v>
      </c>
    </row>
    <row r="92" spans="2:2" x14ac:dyDescent="0.45">
      <c r="B92">
        <v>22</v>
      </c>
    </row>
    <row r="93" spans="2:2" x14ac:dyDescent="0.45">
      <c r="B93">
        <v>91</v>
      </c>
    </row>
    <row r="94" spans="2:2" x14ac:dyDescent="0.45">
      <c r="B94">
        <v>264</v>
      </c>
    </row>
    <row r="95" spans="2:2" x14ac:dyDescent="0.45">
      <c r="B95">
        <v>347</v>
      </c>
    </row>
    <row r="96" spans="2:2" x14ac:dyDescent="0.45">
      <c r="B96">
        <v>382</v>
      </c>
    </row>
    <row r="97" spans="2:2" x14ac:dyDescent="0.45">
      <c r="B97">
        <v>340</v>
      </c>
    </row>
    <row r="98" spans="2:2" x14ac:dyDescent="0.45">
      <c r="B98">
        <v>257</v>
      </c>
    </row>
    <row r="99" spans="2:2" x14ac:dyDescent="0.45">
      <c r="B99">
        <v>181</v>
      </c>
    </row>
    <row r="100" spans="2:2" x14ac:dyDescent="0.45">
      <c r="B100">
        <v>92</v>
      </c>
    </row>
    <row r="101" spans="2:2" x14ac:dyDescent="0.45">
      <c r="B101">
        <v>42</v>
      </c>
    </row>
    <row r="102" spans="2:2" x14ac:dyDescent="0.45">
      <c r="B102">
        <v>4</v>
      </c>
    </row>
    <row r="103" spans="2:2" x14ac:dyDescent="0.45">
      <c r="B103">
        <v>94</v>
      </c>
    </row>
    <row r="104" spans="2:2" x14ac:dyDescent="0.45">
      <c r="B104">
        <v>233</v>
      </c>
    </row>
    <row r="105" spans="2:2" x14ac:dyDescent="0.45">
      <c r="B105">
        <v>316</v>
      </c>
    </row>
    <row r="106" spans="2:2" x14ac:dyDescent="0.45">
      <c r="B106">
        <v>355</v>
      </c>
    </row>
    <row r="107" spans="2:2" x14ac:dyDescent="0.45">
      <c r="B107">
        <v>340</v>
      </c>
    </row>
    <row r="108" spans="2:2" x14ac:dyDescent="0.45">
      <c r="B108">
        <v>258</v>
      </c>
    </row>
    <row r="109" spans="2:2" x14ac:dyDescent="0.45">
      <c r="B109">
        <v>201</v>
      </c>
    </row>
    <row r="110" spans="2:2" x14ac:dyDescent="0.45">
      <c r="B110">
        <v>121</v>
      </c>
    </row>
    <row r="111" spans="2:2" x14ac:dyDescent="0.45">
      <c r="B111">
        <v>63</v>
      </c>
    </row>
    <row r="112" spans="2:2" x14ac:dyDescent="0.45">
      <c r="B112">
        <v>19</v>
      </c>
    </row>
    <row r="113" spans="2:2" x14ac:dyDescent="0.45">
      <c r="B113">
        <v>172</v>
      </c>
    </row>
    <row r="114" spans="2:2" x14ac:dyDescent="0.45">
      <c r="B114">
        <v>297</v>
      </c>
    </row>
    <row r="115" spans="2:2" x14ac:dyDescent="0.45">
      <c r="B115">
        <v>373</v>
      </c>
    </row>
    <row r="116" spans="2:2" x14ac:dyDescent="0.45">
      <c r="B116">
        <v>383</v>
      </c>
    </row>
    <row r="117" spans="2:2" x14ac:dyDescent="0.45">
      <c r="B117">
        <v>282</v>
      </c>
    </row>
    <row r="118" spans="2:2" x14ac:dyDescent="0.45">
      <c r="B118">
        <v>227</v>
      </c>
    </row>
    <row r="119" spans="2:2" x14ac:dyDescent="0.45">
      <c r="B119">
        <v>129</v>
      </c>
    </row>
    <row r="120" spans="2:2" x14ac:dyDescent="0.45">
      <c r="B120">
        <v>87</v>
      </c>
    </row>
    <row r="121" spans="2:2" x14ac:dyDescent="0.45">
      <c r="B121">
        <v>41</v>
      </c>
    </row>
    <row r="122" spans="2:2" x14ac:dyDescent="0.45">
      <c r="B122">
        <v>9</v>
      </c>
    </row>
    <row r="123" spans="2:2" x14ac:dyDescent="0.45">
      <c r="B123">
        <v>96</v>
      </c>
    </row>
    <row r="124" spans="2:2" x14ac:dyDescent="0.45">
      <c r="B124">
        <v>223</v>
      </c>
    </row>
    <row r="125" spans="2:2" x14ac:dyDescent="0.45">
      <c r="B125">
        <v>357</v>
      </c>
    </row>
    <row r="126" spans="2:2" x14ac:dyDescent="0.45">
      <c r="B126">
        <v>378</v>
      </c>
    </row>
    <row r="127" spans="2:2" x14ac:dyDescent="0.45">
      <c r="B127">
        <v>328</v>
      </c>
    </row>
    <row r="128" spans="2:2" x14ac:dyDescent="0.45">
      <c r="B128">
        <v>290</v>
      </c>
    </row>
    <row r="129" spans="2:2" x14ac:dyDescent="0.45">
      <c r="B129">
        <v>178</v>
      </c>
    </row>
    <row r="130" spans="2:2" x14ac:dyDescent="0.45">
      <c r="B130">
        <v>98</v>
      </c>
    </row>
    <row r="131" spans="2:2" x14ac:dyDescent="0.45">
      <c r="B131">
        <v>40</v>
      </c>
    </row>
    <row r="132" spans="2:2" x14ac:dyDescent="0.45">
      <c r="B132">
        <v>12</v>
      </c>
    </row>
    <row r="133" spans="2:2" x14ac:dyDescent="0.45">
      <c r="B133">
        <v>628</v>
      </c>
    </row>
    <row r="134" spans="2:2" x14ac:dyDescent="0.45">
      <c r="B134">
        <v>437</v>
      </c>
    </row>
    <row r="135" spans="2:2" x14ac:dyDescent="0.45">
      <c r="B135">
        <v>347</v>
      </c>
    </row>
    <row r="136" spans="2:2" x14ac:dyDescent="0.45">
      <c r="B136">
        <v>227</v>
      </c>
    </row>
    <row r="137" spans="2:2" x14ac:dyDescent="0.45">
      <c r="B137">
        <v>161</v>
      </c>
    </row>
    <row r="138" spans="2:2" x14ac:dyDescent="0.45">
      <c r="B138">
        <v>109</v>
      </c>
    </row>
    <row r="139" spans="2:2" x14ac:dyDescent="0.45">
      <c r="B139">
        <v>45</v>
      </c>
    </row>
    <row r="140" spans="2:2" x14ac:dyDescent="0.45">
      <c r="B140">
        <v>24</v>
      </c>
    </row>
    <row r="141" spans="2:2" x14ac:dyDescent="0.45">
      <c r="B141">
        <v>18</v>
      </c>
    </row>
    <row r="142" spans="2:2" x14ac:dyDescent="0.45">
      <c r="B142">
        <v>4</v>
      </c>
    </row>
    <row r="143" spans="2:2" x14ac:dyDescent="0.45">
      <c r="B143">
        <v>85</v>
      </c>
    </row>
    <row r="144" spans="2:2" x14ac:dyDescent="0.45">
      <c r="B144">
        <v>251</v>
      </c>
    </row>
    <row r="145" spans="2:2" x14ac:dyDescent="0.45">
      <c r="B145">
        <v>305</v>
      </c>
    </row>
    <row r="146" spans="2:2" x14ac:dyDescent="0.45">
      <c r="B146">
        <v>371</v>
      </c>
    </row>
    <row r="147" spans="2:2" x14ac:dyDescent="0.45">
      <c r="B147">
        <v>354</v>
      </c>
    </row>
    <row r="148" spans="2:2" x14ac:dyDescent="0.45">
      <c r="B148">
        <v>260</v>
      </c>
    </row>
    <row r="149" spans="2:2" x14ac:dyDescent="0.45">
      <c r="B149">
        <v>176</v>
      </c>
    </row>
    <row r="150" spans="2:2" x14ac:dyDescent="0.45">
      <c r="B150">
        <v>126</v>
      </c>
    </row>
    <row r="151" spans="2:2" x14ac:dyDescent="0.45">
      <c r="B151">
        <v>49</v>
      </c>
    </row>
    <row r="152" spans="2:2" x14ac:dyDescent="0.45">
      <c r="B152">
        <v>23</v>
      </c>
    </row>
    <row r="153" spans="2:2" x14ac:dyDescent="0.45">
      <c r="B153">
        <v>704</v>
      </c>
    </row>
    <row r="154" spans="2:2" x14ac:dyDescent="0.45">
      <c r="B154">
        <v>475</v>
      </c>
    </row>
    <row r="155" spans="2:2" x14ac:dyDescent="0.45">
      <c r="B155">
        <v>331</v>
      </c>
    </row>
    <row r="156" spans="2:2" x14ac:dyDescent="0.45">
      <c r="B156">
        <v>205</v>
      </c>
    </row>
    <row r="157" spans="2:2" x14ac:dyDescent="0.45">
      <c r="B157">
        <v>125</v>
      </c>
    </row>
    <row r="158" spans="2:2" x14ac:dyDescent="0.45">
      <c r="B158">
        <v>82</v>
      </c>
    </row>
    <row r="159" spans="2:2" x14ac:dyDescent="0.45">
      <c r="B159">
        <v>48</v>
      </c>
    </row>
    <row r="160" spans="2:2" x14ac:dyDescent="0.45">
      <c r="B160">
        <v>19</v>
      </c>
    </row>
    <row r="161" spans="2:2" x14ac:dyDescent="0.45">
      <c r="B161">
        <v>5</v>
      </c>
    </row>
    <row r="162" spans="2:2" x14ac:dyDescent="0.45">
      <c r="B162">
        <v>6</v>
      </c>
    </row>
    <row r="163" spans="2:2" x14ac:dyDescent="0.45">
      <c r="B163">
        <v>0</v>
      </c>
    </row>
    <row r="164" spans="2:2" x14ac:dyDescent="0.45">
      <c r="B164">
        <v>0</v>
      </c>
    </row>
    <row r="165" spans="2:2" x14ac:dyDescent="0.45">
      <c r="B165">
        <v>0</v>
      </c>
    </row>
    <row r="166" spans="2:2" x14ac:dyDescent="0.45">
      <c r="B166">
        <v>0</v>
      </c>
    </row>
    <row r="167" spans="2:2" x14ac:dyDescent="0.45">
      <c r="B167">
        <v>0</v>
      </c>
    </row>
    <row r="168" spans="2:2" x14ac:dyDescent="0.45">
      <c r="B168">
        <v>2000</v>
      </c>
    </row>
    <row r="169" spans="2:2" x14ac:dyDescent="0.45">
      <c r="B169">
        <v>0</v>
      </c>
    </row>
    <row r="170" spans="2:2" x14ac:dyDescent="0.45">
      <c r="B170">
        <v>0</v>
      </c>
    </row>
    <row r="171" spans="2:2" x14ac:dyDescent="0.45">
      <c r="B171">
        <v>0</v>
      </c>
    </row>
    <row r="172" spans="2:2" x14ac:dyDescent="0.45">
      <c r="B172">
        <v>0</v>
      </c>
    </row>
    <row r="173" spans="2:2" x14ac:dyDescent="0.45">
      <c r="B173">
        <v>8</v>
      </c>
    </row>
    <row r="174" spans="2:2" x14ac:dyDescent="0.45">
      <c r="B174">
        <v>0</v>
      </c>
    </row>
    <row r="175" spans="2:2" x14ac:dyDescent="0.45">
      <c r="B175">
        <v>0</v>
      </c>
    </row>
    <row r="176" spans="2:2" x14ac:dyDescent="0.45">
      <c r="B176">
        <v>0</v>
      </c>
    </row>
    <row r="177" spans="2:2" x14ac:dyDescent="0.45">
      <c r="B177">
        <v>0</v>
      </c>
    </row>
    <row r="178" spans="2:2" x14ac:dyDescent="0.45">
      <c r="B178">
        <v>0</v>
      </c>
    </row>
    <row r="179" spans="2:2" x14ac:dyDescent="0.45">
      <c r="B179">
        <v>0</v>
      </c>
    </row>
    <row r="180" spans="2:2" x14ac:dyDescent="0.45">
      <c r="B180">
        <v>0</v>
      </c>
    </row>
    <row r="181" spans="2:2" x14ac:dyDescent="0.45">
      <c r="B181">
        <v>0</v>
      </c>
    </row>
    <row r="182" spans="2:2" x14ac:dyDescent="0.45">
      <c r="B182">
        <v>1992</v>
      </c>
    </row>
    <row r="183" spans="2:2" x14ac:dyDescent="0.45">
      <c r="B183">
        <v>8</v>
      </c>
    </row>
    <row r="184" spans="2:2" x14ac:dyDescent="0.45">
      <c r="B184">
        <v>0</v>
      </c>
    </row>
    <row r="185" spans="2:2" x14ac:dyDescent="0.45">
      <c r="B185">
        <v>0</v>
      </c>
    </row>
    <row r="186" spans="2:2" x14ac:dyDescent="0.45">
      <c r="B186">
        <v>0</v>
      </c>
    </row>
    <row r="187" spans="2:2" x14ac:dyDescent="0.45">
      <c r="B187">
        <v>0</v>
      </c>
    </row>
    <row r="188" spans="2:2" x14ac:dyDescent="0.45">
      <c r="B188">
        <v>0</v>
      </c>
    </row>
    <row r="189" spans="2:2" x14ac:dyDescent="0.45">
      <c r="B189">
        <v>0</v>
      </c>
    </row>
    <row r="190" spans="2:2" x14ac:dyDescent="0.45">
      <c r="B190">
        <v>0</v>
      </c>
    </row>
    <row r="191" spans="2:2" x14ac:dyDescent="0.45">
      <c r="B191">
        <v>0</v>
      </c>
    </row>
    <row r="192" spans="2:2" x14ac:dyDescent="0.45">
      <c r="B192">
        <v>1992</v>
      </c>
    </row>
    <row r="193" spans="2:2" x14ac:dyDescent="0.45">
      <c r="B193">
        <v>1217</v>
      </c>
    </row>
    <row r="194" spans="2:2" x14ac:dyDescent="0.45">
      <c r="B194">
        <v>0</v>
      </c>
    </row>
    <row r="195" spans="2:2" x14ac:dyDescent="0.45">
      <c r="B195">
        <v>0</v>
      </c>
    </row>
    <row r="196" spans="2:2" x14ac:dyDescent="0.45">
      <c r="B196">
        <v>0</v>
      </c>
    </row>
    <row r="197" spans="2:2" x14ac:dyDescent="0.45">
      <c r="B197">
        <v>0</v>
      </c>
    </row>
    <row r="198" spans="2:2" x14ac:dyDescent="0.45">
      <c r="B198">
        <v>0</v>
      </c>
    </row>
    <row r="199" spans="2:2" x14ac:dyDescent="0.45">
      <c r="B199">
        <v>0</v>
      </c>
    </row>
    <row r="200" spans="2:2" x14ac:dyDescent="0.45">
      <c r="B200">
        <v>0</v>
      </c>
    </row>
    <row r="201" spans="2:2" x14ac:dyDescent="0.45">
      <c r="B201">
        <v>0</v>
      </c>
    </row>
    <row r="202" spans="2:2" x14ac:dyDescent="0.45">
      <c r="B202">
        <v>783</v>
      </c>
    </row>
    <row r="203" spans="2:2" x14ac:dyDescent="0.45">
      <c r="B203">
        <v>1171</v>
      </c>
    </row>
    <row r="204" spans="2:2" x14ac:dyDescent="0.45">
      <c r="B204">
        <v>0</v>
      </c>
    </row>
    <row r="205" spans="2:2" x14ac:dyDescent="0.45">
      <c r="B205">
        <v>0</v>
      </c>
    </row>
    <row r="206" spans="2:2" x14ac:dyDescent="0.45">
      <c r="B206">
        <v>0</v>
      </c>
    </row>
    <row r="207" spans="2:2" x14ac:dyDescent="0.45">
      <c r="B207">
        <v>0</v>
      </c>
    </row>
    <row r="208" spans="2:2" x14ac:dyDescent="0.45">
      <c r="B208">
        <v>0</v>
      </c>
    </row>
    <row r="209" spans="2:2" x14ac:dyDescent="0.45">
      <c r="B209">
        <v>0</v>
      </c>
    </row>
    <row r="210" spans="2:2" x14ac:dyDescent="0.45">
      <c r="B210">
        <v>0</v>
      </c>
    </row>
    <row r="211" spans="2:2" x14ac:dyDescent="0.45">
      <c r="B211">
        <v>0</v>
      </c>
    </row>
    <row r="212" spans="2:2" x14ac:dyDescent="0.45">
      <c r="B212">
        <v>829</v>
      </c>
    </row>
    <row r="213" spans="2:2" x14ac:dyDescent="0.45">
      <c r="B213">
        <v>1620</v>
      </c>
    </row>
    <row r="214" spans="2:2" x14ac:dyDescent="0.45">
      <c r="B214">
        <v>0</v>
      </c>
    </row>
    <row r="215" spans="2:2" x14ac:dyDescent="0.45">
      <c r="B215">
        <v>0</v>
      </c>
    </row>
    <row r="216" spans="2:2" x14ac:dyDescent="0.45">
      <c r="B216">
        <v>0</v>
      </c>
    </row>
    <row r="217" spans="2:2" x14ac:dyDescent="0.45">
      <c r="B217">
        <v>0</v>
      </c>
    </row>
    <row r="218" spans="2:2" x14ac:dyDescent="0.45">
      <c r="B218">
        <v>0</v>
      </c>
    </row>
    <row r="219" spans="2:2" x14ac:dyDescent="0.45">
      <c r="B219">
        <v>0</v>
      </c>
    </row>
    <row r="220" spans="2:2" x14ac:dyDescent="0.45">
      <c r="B220">
        <v>0</v>
      </c>
    </row>
    <row r="221" spans="2:2" x14ac:dyDescent="0.45">
      <c r="B221">
        <v>0</v>
      </c>
    </row>
    <row r="222" spans="2:2" x14ac:dyDescent="0.45">
      <c r="B222">
        <v>380</v>
      </c>
    </row>
    <row r="223" spans="2:2" x14ac:dyDescent="0.45">
      <c r="B223">
        <v>1992</v>
      </c>
    </row>
    <row r="224" spans="2:2" x14ac:dyDescent="0.45">
      <c r="B224">
        <v>0</v>
      </c>
    </row>
    <row r="225" spans="2:2" x14ac:dyDescent="0.45">
      <c r="B225">
        <v>0</v>
      </c>
    </row>
    <row r="226" spans="2:2" x14ac:dyDescent="0.45">
      <c r="B226">
        <v>0</v>
      </c>
    </row>
    <row r="227" spans="2:2" x14ac:dyDescent="0.45">
      <c r="B227">
        <v>0</v>
      </c>
    </row>
    <row r="228" spans="2:2" x14ac:dyDescent="0.45">
      <c r="B228">
        <v>0</v>
      </c>
    </row>
    <row r="229" spans="2:2" x14ac:dyDescent="0.45">
      <c r="B229">
        <v>0</v>
      </c>
    </row>
    <row r="230" spans="2:2" x14ac:dyDescent="0.45">
      <c r="B230">
        <v>0</v>
      </c>
    </row>
    <row r="231" spans="2:2" x14ac:dyDescent="0.45">
      <c r="B231">
        <v>0</v>
      </c>
    </row>
    <row r="232" spans="2:2" x14ac:dyDescent="0.45">
      <c r="B232">
        <v>8</v>
      </c>
    </row>
    <row r="233" spans="2:2" x14ac:dyDescent="0.45">
      <c r="B233">
        <v>1217</v>
      </c>
    </row>
    <row r="234" spans="2:2" x14ac:dyDescent="0.45">
      <c r="B234">
        <v>0</v>
      </c>
    </row>
    <row r="235" spans="2:2" x14ac:dyDescent="0.45">
      <c r="B235">
        <v>0</v>
      </c>
    </row>
    <row r="236" spans="2:2" x14ac:dyDescent="0.45">
      <c r="B236">
        <v>0</v>
      </c>
    </row>
    <row r="237" spans="2:2" x14ac:dyDescent="0.45">
      <c r="B237">
        <v>0</v>
      </c>
    </row>
    <row r="238" spans="2:2" x14ac:dyDescent="0.45">
      <c r="B238">
        <v>0</v>
      </c>
    </row>
    <row r="239" spans="2:2" x14ac:dyDescent="0.45">
      <c r="B239">
        <v>0</v>
      </c>
    </row>
    <row r="240" spans="2:2" x14ac:dyDescent="0.45">
      <c r="B240">
        <v>0</v>
      </c>
    </row>
    <row r="241" spans="2:2" x14ac:dyDescent="0.45">
      <c r="B241">
        <v>0</v>
      </c>
    </row>
    <row r="242" spans="2:2" x14ac:dyDescent="0.45">
      <c r="B242">
        <v>783</v>
      </c>
    </row>
    <row r="243" spans="2:2" x14ac:dyDescent="0.45">
      <c r="B243">
        <v>1171</v>
      </c>
    </row>
    <row r="244" spans="2:2" x14ac:dyDescent="0.45">
      <c r="B244">
        <v>0</v>
      </c>
    </row>
    <row r="245" spans="2:2" x14ac:dyDescent="0.45">
      <c r="B245">
        <v>0</v>
      </c>
    </row>
    <row r="246" spans="2:2" x14ac:dyDescent="0.45">
      <c r="B246">
        <v>0</v>
      </c>
    </row>
    <row r="247" spans="2:2" x14ac:dyDescent="0.45">
      <c r="B247">
        <v>0</v>
      </c>
    </row>
    <row r="248" spans="2:2" x14ac:dyDescent="0.45">
      <c r="B248">
        <v>0</v>
      </c>
    </row>
    <row r="249" spans="2:2" x14ac:dyDescent="0.45">
      <c r="B249">
        <v>0</v>
      </c>
    </row>
    <row r="250" spans="2:2" x14ac:dyDescent="0.45">
      <c r="B250">
        <v>0</v>
      </c>
    </row>
    <row r="251" spans="2:2" x14ac:dyDescent="0.45">
      <c r="B251">
        <v>0</v>
      </c>
    </row>
    <row r="252" spans="2:2" x14ac:dyDescent="0.45">
      <c r="B252">
        <v>829</v>
      </c>
    </row>
    <row r="253" spans="2:2" x14ac:dyDescent="0.45">
      <c r="B253">
        <v>0</v>
      </c>
    </row>
    <row r="254" spans="2:2" x14ac:dyDescent="0.45">
      <c r="B254">
        <v>0</v>
      </c>
    </row>
    <row r="255" spans="2:2" x14ac:dyDescent="0.45">
      <c r="B255">
        <v>0</v>
      </c>
    </row>
    <row r="256" spans="2:2" x14ac:dyDescent="0.45">
      <c r="B256">
        <v>0</v>
      </c>
    </row>
    <row r="257" spans="2:2" x14ac:dyDescent="0.45">
      <c r="B257">
        <v>0</v>
      </c>
    </row>
    <row r="258" spans="2:2" x14ac:dyDescent="0.45">
      <c r="B258">
        <v>2000</v>
      </c>
    </row>
    <row r="259" spans="2:2" x14ac:dyDescent="0.45">
      <c r="B259">
        <v>0</v>
      </c>
    </row>
    <row r="260" spans="2:2" x14ac:dyDescent="0.45">
      <c r="B260">
        <v>0</v>
      </c>
    </row>
    <row r="261" spans="2:2" x14ac:dyDescent="0.45">
      <c r="B261">
        <v>0</v>
      </c>
    </row>
    <row r="262" spans="2:2" x14ac:dyDescent="0.45">
      <c r="B262">
        <v>0</v>
      </c>
    </row>
    <row r="263" spans="2:2" x14ac:dyDescent="0.45">
      <c r="B263">
        <v>0</v>
      </c>
    </row>
    <row r="264" spans="2:2" x14ac:dyDescent="0.45">
      <c r="B264">
        <v>0</v>
      </c>
    </row>
    <row r="265" spans="2:2" x14ac:dyDescent="0.45">
      <c r="B265">
        <v>0</v>
      </c>
    </row>
    <row r="266" spans="2:2" x14ac:dyDescent="0.45">
      <c r="B266">
        <v>0</v>
      </c>
    </row>
    <row r="267" spans="2:2" x14ac:dyDescent="0.45">
      <c r="B267">
        <v>0</v>
      </c>
    </row>
    <row r="268" spans="2:2" x14ac:dyDescent="0.45">
      <c r="B268">
        <v>2000</v>
      </c>
    </row>
    <row r="269" spans="2:2" x14ac:dyDescent="0.45">
      <c r="B269">
        <v>0</v>
      </c>
    </row>
    <row r="270" spans="2:2" x14ac:dyDescent="0.45">
      <c r="B270">
        <v>0</v>
      </c>
    </row>
    <row r="271" spans="2:2" x14ac:dyDescent="0.45">
      <c r="B271">
        <v>0</v>
      </c>
    </row>
    <row r="272" spans="2:2" x14ac:dyDescent="0.45">
      <c r="B272">
        <v>0</v>
      </c>
    </row>
    <row r="273" spans="2:2" x14ac:dyDescent="0.45">
      <c r="B273">
        <v>142</v>
      </c>
    </row>
    <row r="274" spans="2:2" x14ac:dyDescent="0.45">
      <c r="B274">
        <v>0</v>
      </c>
    </row>
    <row r="275" spans="2:2" x14ac:dyDescent="0.45">
      <c r="B275">
        <v>0</v>
      </c>
    </row>
    <row r="276" spans="2:2" x14ac:dyDescent="0.45">
      <c r="B276">
        <v>0</v>
      </c>
    </row>
    <row r="277" spans="2:2" x14ac:dyDescent="0.45">
      <c r="B277">
        <v>0</v>
      </c>
    </row>
    <row r="278" spans="2:2" x14ac:dyDescent="0.45">
      <c r="B278">
        <v>0</v>
      </c>
    </row>
    <row r="279" spans="2:2" x14ac:dyDescent="0.45">
      <c r="B279">
        <v>0</v>
      </c>
    </row>
    <row r="280" spans="2:2" x14ac:dyDescent="0.45">
      <c r="B280">
        <v>0</v>
      </c>
    </row>
    <row r="281" spans="2:2" x14ac:dyDescent="0.45">
      <c r="B281">
        <v>0</v>
      </c>
    </row>
    <row r="282" spans="2:2" x14ac:dyDescent="0.45">
      <c r="B282">
        <v>1858</v>
      </c>
    </row>
    <row r="283" spans="2:2" x14ac:dyDescent="0.45">
      <c r="B283">
        <v>1858</v>
      </c>
    </row>
    <row r="284" spans="2:2" x14ac:dyDescent="0.45">
      <c r="B284">
        <v>0</v>
      </c>
    </row>
    <row r="285" spans="2:2" x14ac:dyDescent="0.45">
      <c r="B285">
        <v>0</v>
      </c>
    </row>
    <row r="286" spans="2:2" x14ac:dyDescent="0.45">
      <c r="B286">
        <v>0</v>
      </c>
    </row>
    <row r="287" spans="2:2" x14ac:dyDescent="0.45">
      <c r="B287">
        <v>0</v>
      </c>
    </row>
    <row r="288" spans="2:2" x14ac:dyDescent="0.45">
      <c r="B288">
        <v>0</v>
      </c>
    </row>
    <row r="289" spans="2:2" x14ac:dyDescent="0.45">
      <c r="B289">
        <v>0</v>
      </c>
    </row>
    <row r="290" spans="2:2" x14ac:dyDescent="0.45">
      <c r="B290">
        <v>0</v>
      </c>
    </row>
    <row r="291" spans="2:2" x14ac:dyDescent="0.45">
      <c r="B291">
        <v>0</v>
      </c>
    </row>
    <row r="292" spans="2:2" x14ac:dyDescent="0.45">
      <c r="B292">
        <v>142</v>
      </c>
    </row>
    <row r="293" spans="2:2" x14ac:dyDescent="0.45">
      <c r="B293">
        <v>0</v>
      </c>
    </row>
    <row r="294" spans="2:2" x14ac:dyDescent="0.45">
      <c r="B294">
        <v>0</v>
      </c>
    </row>
    <row r="295" spans="2:2" x14ac:dyDescent="0.45">
      <c r="B295">
        <v>0</v>
      </c>
    </row>
    <row r="296" spans="2:2" x14ac:dyDescent="0.45">
      <c r="B296">
        <v>0</v>
      </c>
    </row>
    <row r="297" spans="2:2" x14ac:dyDescent="0.45">
      <c r="B297">
        <v>0</v>
      </c>
    </row>
    <row r="298" spans="2:2" x14ac:dyDescent="0.45">
      <c r="B298">
        <v>2000</v>
      </c>
    </row>
    <row r="299" spans="2:2" x14ac:dyDescent="0.45">
      <c r="B299">
        <v>0</v>
      </c>
    </row>
    <row r="300" spans="2:2" x14ac:dyDescent="0.45">
      <c r="B300">
        <v>0</v>
      </c>
    </row>
    <row r="301" spans="2:2" x14ac:dyDescent="0.45">
      <c r="B301">
        <v>0</v>
      </c>
    </row>
    <row r="302" spans="2:2" x14ac:dyDescent="0.45">
      <c r="B302">
        <v>0</v>
      </c>
    </row>
    <row r="303" spans="2:2" x14ac:dyDescent="0.45">
      <c r="B303">
        <v>0</v>
      </c>
    </row>
    <row r="304" spans="2:2" x14ac:dyDescent="0.45">
      <c r="B304">
        <v>0</v>
      </c>
    </row>
    <row r="305" spans="2:2" x14ac:dyDescent="0.45">
      <c r="B305">
        <v>0</v>
      </c>
    </row>
    <row r="306" spans="2:2" x14ac:dyDescent="0.45">
      <c r="B306">
        <v>0</v>
      </c>
    </row>
    <row r="307" spans="2:2" x14ac:dyDescent="0.45">
      <c r="B307">
        <v>0</v>
      </c>
    </row>
    <row r="308" spans="2:2" x14ac:dyDescent="0.45">
      <c r="B308">
        <v>2000</v>
      </c>
    </row>
    <row r="309" spans="2:2" x14ac:dyDescent="0.45">
      <c r="B309">
        <v>0</v>
      </c>
    </row>
    <row r="310" spans="2:2" x14ac:dyDescent="0.45">
      <c r="B310">
        <v>0</v>
      </c>
    </row>
    <row r="311" spans="2:2" x14ac:dyDescent="0.45">
      <c r="B311">
        <v>0</v>
      </c>
    </row>
    <row r="312" spans="2:2" x14ac:dyDescent="0.45">
      <c r="B312">
        <v>0</v>
      </c>
    </row>
    <row r="313" spans="2:2" x14ac:dyDescent="0.45">
      <c r="B313">
        <v>0</v>
      </c>
    </row>
    <row r="314" spans="2:2" x14ac:dyDescent="0.45">
      <c r="B314">
        <v>0</v>
      </c>
    </row>
    <row r="315" spans="2:2" x14ac:dyDescent="0.45">
      <c r="B315">
        <v>0</v>
      </c>
    </row>
    <row r="316" spans="2:2" x14ac:dyDescent="0.45">
      <c r="B316">
        <v>0</v>
      </c>
    </row>
    <row r="317" spans="2:2" x14ac:dyDescent="0.45">
      <c r="B317">
        <v>0</v>
      </c>
    </row>
    <row r="318" spans="2:2" x14ac:dyDescent="0.45">
      <c r="B318">
        <v>2000</v>
      </c>
    </row>
    <row r="319" spans="2:2" x14ac:dyDescent="0.45">
      <c r="B319">
        <v>0</v>
      </c>
    </row>
    <row r="320" spans="2:2" x14ac:dyDescent="0.45">
      <c r="B320">
        <v>0</v>
      </c>
    </row>
    <row r="321" spans="2:2" x14ac:dyDescent="0.45">
      <c r="B321">
        <v>0</v>
      </c>
    </row>
    <row r="322" spans="2:2" x14ac:dyDescent="0.45">
      <c r="B322">
        <v>0</v>
      </c>
    </row>
    <row r="323" spans="2:2" x14ac:dyDescent="0.45">
      <c r="B323">
        <v>80</v>
      </c>
    </row>
    <row r="324" spans="2:2" x14ac:dyDescent="0.45">
      <c r="B324">
        <v>0</v>
      </c>
    </row>
    <row r="325" spans="2:2" x14ac:dyDescent="0.45">
      <c r="B325">
        <v>0</v>
      </c>
    </row>
    <row r="326" spans="2:2" x14ac:dyDescent="0.45">
      <c r="B326">
        <v>0</v>
      </c>
    </row>
    <row r="327" spans="2:2" x14ac:dyDescent="0.45">
      <c r="B327">
        <v>0</v>
      </c>
    </row>
    <row r="328" spans="2:2" x14ac:dyDescent="0.45">
      <c r="B328">
        <v>0</v>
      </c>
    </row>
    <row r="329" spans="2:2" x14ac:dyDescent="0.45">
      <c r="B329">
        <v>0</v>
      </c>
    </row>
    <row r="330" spans="2:2" x14ac:dyDescent="0.45">
      <c r="B330">
        <v>0</v>
      </c>
    </row>
    <row r="331" spans="2:2" x14ac:dyDescent="0.45">
      <c r="B331">
        <v>0</v>
      </c>
    </row>
    <row r="332" spans="2:2" x14ac:dyDescent="0.45">
      <c r="B332">
        <v>1920</v>
      </c>
    </row>
    <row r="333" spans="2:2" x14ac:dyDescent="0.45">
      <c r="B333">
        <v>80</v>
      </c>
    </row>
    <row r="334" spans="2:2" x14ac:dyDescent="0.45">
      <c r="B334">
        <v>0</v>
      </c>
    </row>
    <row r="335" spans="2:2" x14ac:dyDescent="0.45">
      <c r="B335">
        <v>0</v>
      </c>
    </row>
    <row r="336" spans="2:2" x14ac:dyDescent="0.45">
      <c r="B336">
        <v>0</v>
      </c>
    </row>
    <row r="337" spans="2:2" x14ac:dyDescent="0.45">
      <c r="B337">
        <v>0</v>
      </c>
    </row>
    <row r="338" spans="2:2" x14ac:dyDescent="0.45">
      <c r="B338">
        <v>0</v>
      </c>
    </row>
    <row r="339" spans="2:2" x14ac:dyDescent="0.45">
      <c r="B339">
        <v>0</v>
      </c>
    </row>
    <row r="340" spans="2:2" x14ac:dyDescent="0.45">
      <c r="B340">
        <v>0</v>
      </c>
    </row>
    <row r="341" spans="2:2" x14ac:dyDescent="0.45">
      <c r="B341">
        <v>0</v>
      </c>
    </row>
    <row r="342" spans="2:2" x14ac:dyDescent="0.45">
      <c r="B342">
        <v>1920</v>
      </c>
    </row>
    <row r="343" spans="2:2" x14ac:dyDescent="0.45">
      <c r="B343">
        <v>1177</v>
      </c>
    </row>
    <row r="344" spans="2:2" x14ac:dyDescent="0.45">
      <c r="B344">
        <v>0</v>
      </c>
    </row>
    <row r="345" spans="2:2" x14ac:dyDescent="0.45">
      <c r="B345">
        <v>0</v>
      </c>
    </row>
    <row r="346" spans="2:2" x14ac:dyDescent="0.45">
      <c r="B346">
        <v>0</v>
      </c>
    </row>
    <row r="347" spans="2:2" x14ac:dyDescent="0.45">
      <c r="B347">
        <v>0</v>
      </c>
    </row>
    <row r="348" spans="2:2" x14ac:dyDescent="0.45">
      <c r="B348">
        <v>0</v>
      </c>
    </row>
    <row r="349" spans="2:2" x14ac:dyDescent="0.45">
      <c r="B349">
        <v>0</v>
      </c>
    </row>
    <row r="350" spans="2:2" x14ac:dyDescent="0.45">
      <c r="B350">
        <v>0</v>
      </c>
    </row>
    <row r="351" spans="2:2" x14ac:dyDescent="0.45">
      <c r="B351">
        <v>0</v>
      </c>
    </row>
    <row r="352" spans="2:2" x14ac:dyDescent="0.45">
      <c r="B352">
        <v>823</v>
      </c>
    </row>
    <row r="353" spans="2:2" x14ac:dyDescent="0.45">
      <c r="B353">
        <v>1128</v>
      </c>
    </row>
    <row r="354" spans="2:2" x14ac:dyDescent="0.45">
      <c r="B354">
        <v>0</v>
      </c>
    </row>
    <row r="355" spans="2:2" x14ac:dyDescent="0.45">
      <c r="B355">
        <v>0</v>
      </c>
    </row>
    <row r="356" spans="2:2" x14ac:dyDescent="0.45">
      <c r="B356">
        <v>0</v>
      </c>
    </row>
    <row r="357" spans="2:2" x14ac:dyDescent="0.45">
      <c r="B357">
        <v>0</v>
      </c>
    </row>
    <row r="358" spans="2:2" x14ac:dyDescent="0.45">
      <c r="B358">
        <v>0</v>
      </c>
    </row>
    <row r="359" spans="2:2" x14ac:dyDescent="0.45">
      <c r="B359">
        <v>0</v>
      </c>
    </row>
    <row r="360" spans="2:2" x14ac:dyDescent="0.45">
      <c r="B360">
        <v>0</v>
      </c>
    </row>
    <row r="361" spans="2:2" x14ac:dyDescent="0.45">
      <c r="B361">
        <v>0</v>
      </c>
    </row>
    <row r="362" spans="2:2" x14ac:dyDescent="0.45">
      <c r="B362">
        <v>872</v>
      </c>
    </row>
    <row r="363" spans="2:2" x14ac:dyDescent="0.45">
      <c r="B363">
        <v>1775</v>
      </c>
    </row>
    <row r="364" spans="2:2" x14ac:dyDescent="0.45">
      <c r="B364">
        <v>0</v>
      </c>
    </row>
    <row r="365" spans="2:2" x14ac:dyDescent="0.45">
      <c r="B365">
        <v>0</v>
      </c>
    </row>
    <row r="366" spans="2:2" x14ac:dyDescent="0.45">
      <c r="B366">
        <v>0</v>
      </c>
    </row>
    <row r="367" spans="2:2" x14ac:dyDescent="0.45">
      <c r="B367">
        <v>0</v>
      </c>
    </row>
    <row r="368" spans="2:2" x14ac:dyDescent="0.45">
      <c r="B368">
        <v>0</v>
      </c>
    </row>
    <row r="369" spans="2:2" x14ac:dyDescent="0.45">
      <c r="B369">
        <v>0</v>
      </c>
    </row>
    <row r="370" spans="2:2" x14ac:dyDescent="0.45">
      <c r="B370">
        <v>0</v>
      </c>
    </row>
    <row r="371" spans="2:2" x14ac:dyDescent="0.45">
      <c r="B371">
        <v>0</v>
      </c>
    </row>
    <row r="372" spans="2:2" x14ac:dyDescent="0.45">
      <c r="B372">
        <v>225</v>
      </c>
    </row>
    <row r="373" spans="2:2" x14ac:dyDescent="0.45">
      <c r="B373">
        <v>1920</v>
      </c>
    </row>
    <row r="374" spans="2:2" x14ac:dyDescent="0.45">
      <c r="B374">
        <v>0</v>
      </c>
    </row>
    <row r="375" spans="2:2" x14ac:dyDescent="0.45">
      <c r="B375">
        <v>0</v>
      </c>
    </row>
    <row r="376" spans="2:2" x14ac:dyDescent="0.45">
      <c r="B376">
        <v>0</v>
      </c>
    </row>
    <row r="377" spans="2:2" x14ac:dyDescent="0.45">
      <c r="B377">
        <v>0</v>
      </c>
    </row>
    <row r="378" spans="2:2" x14ac:dyDescent="0.45">
      <c r="B378">
        <v>0</v>
      </c>
    </row>
    <row r="379" spans="2:2" x14ac:dyDescent="0.45">
      <c r="B379">
        <v>0</v>
      </c>
    </row>
    <row r="380" spans="2:2" x14ac:dyDescent="0.45">
      <c r="B380">
        <v>0</v>
      </c>
    </row>
    <row r="381" spans="2:2" x14ac:dyDescent="0.45">
      <c r="B381">
        <v>0</v>
      </c>
    </row>
    <row r="382" spans="2:2" x14ac:dyDescent="0.45">
      <c r="B382">
        <v>80</v>
      </c>
    </row>
    <row r="383" spans="2:2" x14ac:dyDescent="0.45">
      <c r="B383">
        <v>1177</v>
      </c>
    </row>
    <row r="384" spans="2:2" x14ac:dyDescent="0.45">
      <c r="B384">
        <v>0</v>
      </c>
    </row>
    <row r="385" spans="2:2" x14ac:dyDescent="0.45">
      <c r="B385">
        <v>0</v>
      </c>
    </row>
    <row r="386" spans="2:2" x14ac:dyDescent="0.45">
      <c r="B386">
        <v>0</v>
      </c>
    </row>
    <row r="387" spans="2:2" x14ac:dyDescent="0.45">
      <c r="B387">
        <v>0</v>
      </c>
    </row>
    <row r="388" spans="2:2" x14ac:dyDescent="0.45">
      <c r="B388">
        <v>0</v>
      </c>
    </row>
    <row r="389" spans="2:2" x14ac:dyDescent="0.45">
      <c r="B389">
        <v>0</v>
      </c>
    </row>
    <row r="390" spans="2:2" x14ac:dyDescent="0.45">
      <c r="B390">
        <v>0</v>
      </c>
    </row>
    <row r="391" spans="2:2" x14ac:dyDescent="0.45">
      <c r="B391">
        <v>0</v>
      </c>
    </row>
    <row r="392" spans="2:2" x14ac:dyDescent="0.45">
      <c r="B392">
        <v>823</v>
      </c>
    </row>
    <row r="393" spans="2:2" x14ac:dyDescent="0.45">
      <c r="B393">
        <v>1128</v>
      </c>
    </row>
    <row r="394" spans="2:2" x14ac:dyDescent="0.45">
      <c r="B394">
        <v>0</v>
      </c>
    </row>
    <row r="395" spans="2:2" x14ac:dyDescent="0.45">
      <c r="B395">
        <v>0</v>
      </c>
    </row>
    <row r="396" spans="2:2" x14ac:dyDescent="0.45">
      <c r="B396">
        <v>0</v>
      </c>
    </row>
    <row r="397" spans="2:2" x14ac:dyDescent="0.45">
      <c r="B397">
        <v>0</v>
      </c>
    </row>
    <row r="398" spans="2:2" x14ac:dyDescent="0.45">
      <c r="B398">
        <v>0</v>
      </c>
    </row>
    <row r="399" spans="2:2" x14ac:dyDescent="0.45">
      <c r="B399">
        <v>0</v>
      </c>
    </row>
    <row r="400" spans="2:2" x14ac:dyDescent="0.45">
      <c r="B400">
        <v>0</v>
      </c>
    </row>
    <row r="401" spans="2:2" x14ac:dyDescent="0.45">
      <c r="B401">
        <v>0</v>
      </c>
    </row>
    <row r="402" spans="2:2" x14ac:dyDescent="0.45">
      <c r="B402">
        <v>872</v>
      </c>
    </row>
    <row r="403" spans="2:2" x14ac:dyDescent="0.45">
      <c r="B403">
        <v>0</v>
      </c>
    </row>
    <row r="404" spans="2:2" x14ac:dyDescent="0.45">
      <c r="B404">
        <v>0</v>
      </c>
    </row>
    <row r="405" spans="2:2" x14ac:dyDescent="0.45">
      <c r="B405">
        <v>0</v>
      </c>
    </row>
    <row r="406" spans="2:2" x14ac:dyDescent="0.45">
      <c r="B406">
        <v>0</v>
      </c>
    </row>
    <row r="407" spans="2:2" x14ac:dyDescent="0.45">
      <c r="B407">
        <v>0</v>
      </c>
    </row>
    <row r="408" spans="2:2" x14ac:dyDescent="0.45">
      <c r="B408">
        <v>2000</v>
      </c>
    </row>
    <row r="409" spans="2:2" x14ac:dyDescent="0.45">
      <c r="B409">
        <v>0</v>
      </c>
    </row>
    <row r="410" spans="2:2" x14ac:dyDescent="0.45">
      <c r="B410">
        <v>0</v>
      </c>
    </row>
    <row r="411" spans="2:2" x14ac:dyDescent="0.45">
      <c r="B411">
        <v>0</v>
      </c>
    </row>
    <row r="412" spans="2:2" x14ac:dyDescent="0.45">
      <c r="B412">
        <v>0</v>
      </c>
    </row>
    <row r="413" spans="2:2" x14ac:dyDescent="0.45">
      <c r="B413">
        <v>0</v>
      </c>
    </row>
    <row r="414" spans="2:2" x14ac:dyDescent="0.45">
      <c r="B414">
        <v>0</v>
      </c>
    </row>
    <row r="415" spans="2:2" x14ac:dyDescent="0.45">
      <c r="B415">
        <v>0</v>
      </c>
    </row>
    <row r="416" spans="2:2" x14ac:dyDescent="0.45">
      <c r="B416">
        <v>0</v>
      </c>
    </row>
    <row r="417" spans="2:2" x14ac:dyDescent="0.45">
      <c r="B417">
        <v>0</v>
      </c>
    </row>
    <row r="418" spans="2:2" x14ac:dyDescent="0.45">
      <c r="B418">
        <v>2000</v>
      </c>
    </row>
    <row r="419" spans="2:2" x14ac:dyDescent="0.45">
      <c r="B419">
        <v>0</v>
      </c>
    </row>
    <row r="420" spans="2:2" x14ac:dyDescent="0.45">
      <c r="B420">
        <v>0</v>
      </c>
    </row>
    <row r="421" spans="2:2" x14ac:dyDescent="0.45">
      <c r="B421">
        <v>0</v>
      </c>
    </row>
    <row r="422" spans="2:2" x14ac:dyDescent="0.45">
      <c r="B422">
        <v>0</v>
      </c>
    </row>
    <row r="423" spans="2:2" x14ac:dyDescent="0.45">
      <c r="B423">
        <v>142</v>
      </c>
    </row>
    <row r="424" spans="2:2" x14ac:dyDescent="0.45">
      <c r="B424">
        <v>0</v>
      </c>
    </row>
    <row r="425" spans="2:2" x14ac:dyDescent="0.45">
      <c r="B425">
        <v>0</v>
      </c>
    </row>
    <row r="426" spans="2:2" x14ac:dyDescent="0.45">
      <c r="B426">
        <v>0</v>
      </c>
    </row>
    <row r="427" spans="2:2" x14ac:dyDescent="0.45">
      <c r="B427">
        <v>0</v>
      </c>
    </row>
    <row r="428" spans="2:2" x14ac:dyDescent="0.45">
      <c r="B428">
        <v>0</v>
      </c>
    </row>
    <row r="429" spans="2:2" x14ac:dyDescent="0.45">
      <c r="B429">
        <v>0</v>
      </c>
    </row>
    <row r="430" spans="2:2" x14ac:dyDescent="0.45">
      <c r="B430">
        <v>0</v>
      </c>
    </row>
    <row r="431" spans="2:2" x14ac:dyDescent="0.45">
      <c r="B431">
        <v>0</v>
      </c>
    </row>
    <row r="432" spans="2:2" x14ac:dyDescent="0.45">
      <c r="B432">
        <v>1858</v>
      </c>
    </row>
    <row r="433" spans="2:2" x14ac:dyDescent="0.45">
      <c r="B433">
        <v>1858</v>
      </c>
    </row>
    <row r="434" spans="2:2" x14ac:dyDescent="0.45">
      <c r="B434">
        <v>0</v>
      </c>
    </row>
    <row r="435" spans="2:2" x14ac:dyDescent="0.45">
      <c r="B435">
        <v>0</v>
      </c>
    </row>
    <row r="436" spans="2:2" x14ac:dyDescent="0.45">
      <c r="B436">
        <v>0</v>
      </c>
    </row>
    <row r="437" spans="2:2" x14ac:dyDescent="0.45">
      <c r="B437">
        <v>0</v>
      </c>
    </row>
    <row r="438" spans="2:2" x14ac:dyDescent="0.45">
      <c r="B438">
        <v>0</v>
      </c>
    </row>
    <row r="439" spans="2:2" x14ac:dyDescent="0.45">
      <c r="B439">
        <v>0</v>
      </c>
    </row>
    <row r="440" spans="2:2" x14ac:dyDescent="0.45">
      <c r="B440">
        <v>0</v>
      </c>
    </row>
    <row r="441" spans="2:2" x14ac:dyDescent="0.45">
      <c r="B441">
        <v>0</v>
      </c>
    </row>
    <row r="442" spans="2:2" x14ac:dyDescent="0.45">
      <c r="B442">
        <v>142</v>
      </c>
    </row>
    <row r="443" spans="2:2" x14ac:dyDescent="0.45">
      <c r="B443">
        <v>0</v>
      </c>
    </row>
    <row r="444" spans="2:2" x14ac:dyDescent="0.45">
      <c r="B444">
        <v>0</v>
      </c>
    </row>
    <row r="445" spans="2:2" x14ac:dyDescent="0.45">
      <c r="B445">
        <v>0</v>
      </c>
    </row>
    <row r="446" spans="2:2" x14ac:dyDescent="0.45">
      <c r="B446">
        <v>0</v>
      </c>
    </row>
    <row r="447" spans="2:2" x14ac:dyDescent="0.45">
      <c r="B447">
        <v>0</v>
      </c>
    </row>
    <row r="448" spans="2:2" x14ac:dyDescent="0.45">
      <c r="B448">
        <v>2000</v>
      </c>
    </row>
    <row r="449" spans="2:2" x14ac:dyDescent="0.45">
      <c r="B449">
        <v>0</v>
      </c>
    </row>
    <row r="450" spans="2:2" x14ac:dyDescent="0.45">
      <c r="B450">
        <v>0</v>
      </c>
    </row>
    <row r="451" spans="2:2" x14ac:dyDescent="0.45">
      <c r="B451">
        <v>0</v>
      </c>
    </row>
    <row r="452" spans="2:2" x14ac:dyDescent="0.45">
      <c r="B452">
        <v>0</v>
      </c>
    </row>
    <row r="453" spans="2:2" x14ac:dyDescent="0.45">
      <c r="B453">
        <v>0</v>
      </c>
    </row>
    <row r="454" spans="2:2" x14ac:dyDescent="0.45">
      <c r="B454">
        <v>0</v>
      </c>
    </row>
    <row r="455" spans="2:2" x14ac:dyDescent="0.45">
      <c r="B455">
        <v>0</v>
      </c>
    </row>
    <row r="456" spans="2:2" x14ac:dyDescent="0.45">
      <c r="B456">
        <v>0</v>
      </c>
    </row>
    <row r="457" spans="2:2" x14ac:dyDescent="0.45">
      <c r="B457">
        <v>0</v>
      </c>
    </row>
    <row r="458" spans="2:2" x14ac:dyDescent="0.45">
      <c r="B458">
        <v>2000</v>
      </c>
    </row>
    <row r="459" spans="2:2" x14ac:dyDescent="0.45">
      <c r="B459">
        <v>0</v>
      </c>
    </row>
    <row r="460" spans="2:2" x14ac:dyDescent="0.45">
      <c r="B460">
        <v>0</v>
      </c>
    </row>
    <row r="461" spans="2:2" x14ac:dyDescent="0.45">
      <c r="B461">
        <v>0</v>
      </c>
    </row>
    <row r="462" spans="2:2" x14ac:dyDescent="0.45">
      <c r="B462">
        <v>0</v>
      </c>
    </row>
    <row r="463" spans="2:2" x14ac:dyDescent="0.45">
      <c r="B463">
        <v>25</v>
      </c>
    </row>
    <row r="464" spans="2:2" x14ac:dyDescent="0.45">
      <c r="B464">
        <v>101</v>
      </c>
    </row>
    <row r="465" spans="2:2" x14ac:dyDescent="0.45">
      <c r="B465">
        <v>273</v>
      </c>
    </row>
    <row r="466" spans="2:2" x14ac:dyDescent="0.45">
      <c r="B466">
        <v>387</v>
      </c>
    </row>
    <row r="467" spans="2:2" x14ac:dyDescent="0.45">
      <c r="B467">
        <v>460</v>
      </c>
    </row>
    <row r="468" spans="2:2" x14ac:dyDescent="0.45">
      <c r="B468">
        <v>380</v>
      </c>
    </row>
    <row r="469" spans="2:2" x14ac:dyDescent="0.45">
      <c r="B469">
        <v>236</v>
      </c>
    </row>
    <row r="470" spans="2:2" x14ac:dyDescent="0.45">
      <c r="B470">
        <v>94</v>
      </c>
    </row>
    <row r="471" spans="2:2" x14ac:dyDescent="0.45">
      <c r="B471">
        <v>32</v>
      </c>
    </row>
    <row r="472" spans="2:2" x14ac:dyDescent="0.45">
      <c r="B472">
        <v>12</v>
      </c>
    </row>
    <row r="473" spans="2:2" x14ac:dyDescent="0.45">
      <c r="B473">
        <v>28</v>
      </c>
    </row>
    <row r="474" spans="2:2" x14ac:dyDescent="0.45">
      <c r="B474">
        <v>133</v>
      </c>
    </row>
    <row r="475" spans="2:2" x14ac:dyDescent="0.45">
      <c r="B475">
        <v>275</v>
      </c>
    </row>
    <row r="476" spans="2:2" x14ac:dyDescent="0.45">
      <c r="B476">
        <v>405</v>
      </c>
    </row>
    <row r="477" spans="2:2" x14ac:dyDescent="0.45">
      <c r="B477">
        <v>434</v>
      </c>
    </row>
    <row r="478" spans="2:2" x14ac:dyDescent="0.45">
      <c r="B478">
        <v>368</v>
      </c>
    </row>
    <row r="479" spans="2:2" x14ac:dyDescent="0.45">
      <c r="B479">
        <v>224</v>
      </c>
    </row>
    <row r="480" spans="2:2" x14ac:dyDescent="0.45">
      <c r="B480">
        <v>92</v>
      </c>
    </row>
    <row r="481" spans="2:2" x14ac:dyDescent="0.45">
      <c r="B481">
        <v>34</v>
      </c>
    </row>
    <row r="482" spans="2:2" x14ac:dyDescent="0.45">
      <c r="B482">
        <v>7</v>
      </c>
    </row>
    <row r="483" spans="2:2" x14ac:dyDescent="0.45">
      <c r="B483">
        <v>849</v>
      </c>
    </row>
    <row r="484" spans="2:2" x14ac:dyDescent="0.45">
      <c r="B484">
        <v>0</v>
      </c>
    </row>
    <row r="485" spans="2:2" x14ac:dyDescent="0.45">
      <c r="B485">
        <v>0</v>
      </c>
    </row>
    <row r="486" spans="2:2" x14ac:dyDescent="0.45">
      <c r="B486">
        <v>0</v>
      </c>
    </row>
    <row r="487" spans="2:2" x14ac:dyDescent="0.45">
      <c r="B487">
        <v>0</v>
      </c>
    </row>
    <row r="488" spans="2:2" x14ac:dyDescent="0.45">
      <c r="B488">
        <v>0</v>
      </c>
    </row>
    <row r="489" spans="2:2" x14ac:dyDescent="0.45">
      <c r="B489">
        <v>0</v>
      </c>
    </row>
    <row r="490" spans="2:2" x14ac:dyDescent="0.45">
      <c r="B490">
        <v>0</v>
      </c>
    </row>
    <row r="491" spans="2:2" x14ac:dyDescent="0.45">
      <c r="B491">
        <v>0</v>
      </c>
    </row>
    <row r="492" spans="2:2" x14ac:dyDescent="0.45">
      <c r="B492">
        <v>1151</v>
      </c>
    </row>
    <row r="493" spans="2:2" x14ac:dyDescent="0.45">
      <c r="B493">
        <v>338</v>
      </c>
    </row>
    <row r="494" spans="2:2" x14ac:dyDescent="0.45">
      <c r="B494">
        <v>0</v>
      </c>
    </row>
    <row r="495" spans="2:2" x14ac:dyDescent="0.45">
      <c r="B495">
        <v>0</v>
      </c>
    </row>
    <row r="496" spans="2:2" x14ac:dyDescent="0.45">
      <c r="B496">
        <v>0</v>
      </c>
    </row>
    <row r="497" spans="2:2" x14ac:dyDescent="0.45">
      <c r="B497">
        <v>0</v>
      </c>
    </row>
    <row r="498" spans="2:2" x14ac:dyDescent="0.45">
      <c r="B498">
        <v>0</v>
      </c>
    </row>
    <row r="499" spans="2:2" x14ac:dyDescent="0.45">
      <c r="B499">
        <v>0</v>
      </c>
    </row>
    <row r="500" spans="2:2" x14ac:dyDescent="0.45">
      <c r="B500">
        <v>0</v>
      </c>
    </row>
    <row r="501" spans="2:2" x14ac:dyDescent="0.45">
      <c r="B501">
        <v>0</v>
      </c>
    </row>
    <row r="502" spans="2:2" x14ac:dyDescent="0.45">
      <c r="B502">
        <v>1662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716">PABGAEkATABUAEUAUgBTAD4ADQAKADwALwBDAE4AVAA6ADAADQAKAEYASQBMAFQARQBSAFMAPgANAAoAPABQAEEARwBFAFMAPgANAAoAQwBOAFQAOgAx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PAAvAFAAQQBHAEUAUwA+AA0ACgA=</mr:Charts>
</mr:ModelRisk>
</file>

<file path=customXml/itemProps1.xml><?xml version="1.0" encoding="utf-8"?>
<ds:datastoreItem xmlns:ds="http://schemas.openxmlformats.org/officeDocument/2006/customXml" ds:itemID="{08B74013-598C-47CE-9394-86968E166A18}">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102</vt:i4>
      </vt:variant>
    </vt:vector>
  </HeadingPairs>
  <TitlesOfParts>
    <vt:vector size="110" baseType="lpstr">
      <vt:lpstr>About</vt:lpstr>
      <vt:lpstr>Inputs</vt:lpstr>
      <vt:lpstr>Decisions</vt:lpstr>
      <vt:lpstr>Network</vt:lpstr>
      <vt:lpstr>Results</vt:lpstr>
      <vt:lpstr>ModelRiskDSN</vt:lpstr>
      <vt:lpstr>ModelRiskSYS1</vt:lpstr>
      <vt:lpstr>ModelRiskCharts</vt:lpstr>
      <vt:lpstr>Acc_A</vt:lpstr>
      <vt:lpstr>Acc_A_Start</vt:lpstr>
      <vt:lpstr>Acc_C</vt:lpstr>
      <vt:lpstr>Acc_C_Start</vt:lpstr>
      <vt:lpstr>Acc_D</vt:lpstr>
      <vt:lpstr>Acc_D_Start</vt:lpstr>
      <vt:lpstr>Acc_E</vt:lpstr>
      <vt:lpstr>Acc_E_Start</vt:lpstr>
      <vt:lpstr>Acc_F</vt:lpstr>
      <vt:lpstr>Acc_F_Start</vt:lpstr>
      <vt:lpstr>Acc_K</vt:lpstr>
      <vt:lpstr>Acc_K_Start</vt:lpstr>
      <vt:lpstr>Checks</vt:lpstr>
      <vt:lpstr>ConfTarget</vt:lpstr>
      <vt:lpstr>ContractWeeks</vt:lpstr>
      <vt:lpstr>Cost_A</vt:lpstr>
      <vt:lpstr>Cost_C</vt:lpstr>
      <vt:lpstr>Cost_D</vt:lpstr>
      <vt:lpstr>Cost_E</vt:lpstr>
      <vt:lpstr>Cost_F</vt:lpstr>
      <vt:lpstr>Cost_K</vt:lpstr>
      <vt:lpstr>Crit_Plan_A</vt:lpstr>
      <vt:lpstr>Crit_Plan_B</vt:lpstr>
      <vt:lpstr>Crit_Plan_C</vt:lpstr>
      <vt:lpstr>Crit_Plan_D</vt:lpstr>
      <vt:lpstr>Crit_Plan_E</vt:lpstr>
      <vt:lpstr>Crit_Plan_F</vt:lpstr>
      <vt:lpstr>Crit_Plan_G</vt:lpstr>
      <vt:lpstr>Crit_Plan_H</vt:lpstr>
      <vt:lpstr>Crit_Plan_I</vt:lpstr>
      <vt:lpstr>Crit_Plan_J</vt:lpstr>
      <vt:lpstr>Crit_Plan_K</vt:lpstr>
      <vt:lpstr>Crit_Plan_L</vt:lpstr>
      <vt:lpstr>Crit_Plan_M</vt:lpstr>
      <vt:lpstr>Crit_Plan_N</vt:lpstr>
      <vt:lpstr>Crit_Plan_O</vt:lpstr>
      <vt:lpstr>Crit_Start_A</vt:lpstr>
      <vt:lpstr>Crit_Start_B</vt:lpstr>
      <vt:lpstr>Crit_Start_C</vt:lpstr>
      <vt:lpstr>Crit_Start_D</vt:lpstr>
      <vt:lpstr>Crit_Start_E</vt:lpstr>
      <vt:lpstr>Crit_Start_F</vt:lpstr>
      <vt:lpstr>Crit_Start_G</vt:lpstr>
      <vt:lpstr>Crit_Start_H</vt:lpstr>
      <vt:lpstr>Crit_Start_I</vt:lpstr>
      <vt:lpstr>Crit_Start_J</vt:lpstr>
      <vt:lpstr>Crit_Start_K</vt:lpstr>
      <vt:lpstr>Crit_Start_L</vt:lpstr>
      <vt:lpstr>Crit_Start_M</vt:lpstr>
      <vt:lpstr>Crit_Start_N</vt:lpstr>
      <vt:lpstr>Crit_Start_O</vt:lpstr>
      <vt:lpstr>Det_ML_Plan</vt:lpstr>
      <vt:lpstr>Det_ML_Start</vt:lpstr>
      <vt:lpstr>DetCrit</vt:lpstr>
      <vt:lpstr>DurMean_A</vt:lpstr>
      <vt:lpstr>DurMean_B</vt:lpstr>
      <vt:lpstr>DurMean_C</vt:lpstr>
      <vt:lpstr>DurMean_D</vt:lpstr>
      <vt:lpstr>DurMean_E</vt:lpstr>
      <vt:lpstr>DurMean_F</vt:lpstr>
      <vt:lpstr>DurMean_G</vt:lpstr>
      <vt:lpstr>DurMean_H</vt:lpstr>
      <vt:lpstr>DurMean_I</vt:lpstr>
      <vt:lpstr>DurMean_J</vt:lpstr>
      <vt:lpstr>DurMean_K</vt:lpstr>
      <vt:lpstr>DurMean_L</vt:lpstr>
      <vt:lpstr>DurMean_M</vt:lpstr>
      <vt:lpstr>DurMean_N</vt:lpstr>
      <vt:lpstr>DurMean_O</vt:lpstr>
      <vt:lpstr>FinishDate_Plan</vt:lpstr>
      <vt:lpstr>Flood</vt:lpstr>
      <vt:lpstr>Flood_Hi</vt:lpstr>
      <vt:lpstr>Flood_Lo</vt:lpstr>
      <vt:lpstr>Flood_Mean</vt:lpstr>
      <vt:lpstr>Flood_ML</vt:lpstr>
      <vt:lpstr>InputMeans</vt:lpstr>
      <vt:lpstr>OptRun_Best</vt:lpstr>
      <vt:lpstr>OptRun_Date</vt:lpstr>
      <vt:lpstr>OptRun_Engine</vt:lpstr>
      <vt:lpstr>OptRun_Feasible</vt:lpstr>
      <vt:lpstr>OptRun_Samples</vt:lpstr>
      <vt:lpstr>OptRun_Seconds</vt:lpstr>
      <vt:lpstr>OptRun_Stop</vt:lpstr>
      <vt:lpstr>OptRun_Trials</vt:lpstr>
      <vt:lpstr>Out_Cost_Plan</vt:lpstr>
      <vt:lpstr>Out_Cost_Start</vt:lpstr>
      <vt:lpstr>Out_Finish_Plan</vt:lpstr>
      <vt:lpstr>Out_Finish_Start</vt:lpstr>
      <vt:lpstr>Out_OnTime_Plan</vt:lpstr>
      <vt:lpstr>Out_OnTime_Start</vt:lpstr>
      <vt:lpstr>Results!Print_Area</vt:lpstr>
      <vt:lpstr>Decisions!Print_Titles</vt:lpstr>
      <vt:lpstr>Inputs!Print_Titles</vt:lpstr>
      <vt:lpstr>Results!Print_Titles</vt:lpstr>
      <vt:lpstr>Prob_Flood</vt:lpstr>
      <vt:lpstr>Save_A</vt:lpstr>
      <vt:lpstr>Save_C</vt:lpstr>
      <vt:lpstr>Save_D</vt:lpstr>
      <vt:lpstr>Save_E</vt:lpstr>
      <vt:lpstr>Save_F</vt:lpstr>
      <vt:lpstr>Save_K</vt:lpstr>
      <vt:lpstr>StartDate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PC-10 Schedule Acceleration Chosen by the Optimizer</dc:title>
  <dc:subject>ModelRisk industry example library — Projects and construction</dc:subject>
  <dc:creator>Vose Software</dc:creator>
  <cp:keywords>ModelRisk; Monte Carlo; Projects and construction</cp:keywords>
  <dc:description>Which activities of a bridge programme to accelerate, chosen by the ModelRisk Optimizer: least cost for an 80% chance of meeting the contract.</dc:description>
  <cp:lastModifiedBy>Timour Koupeev</cp:lastModifiedBy>
  <dcterms:created xsi:type="dcterms:W3CDTF">2026-10-13T13:17:00Z</dcterms:created>
  <dcterms:modified xsi:type="dcterms:W3CDTF">2026-10-13T13:27:07Z</dcterms:modified>
</cp:coreProperties>
</file>