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Projects and construction\"/>
    </mc:Choice>
  </mc:AlternateContent>
  <xr:revisionPtr revIDLastSave="0" documentId="8_{F6950FC1-6BF7-45BD-A39C-1675406A54B9}"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Cash flow" sheetId="3" r:id="rId3"/>
    <sheet name="Results" sheetId="4" r:id="rId4"/>
    <sheet name="ModelRiskDSN" sheetId="5" state="hidden" r:id="rId5"/>
    <sheet name="ModelRiskSYS1" sheetId="6" state="hidden" r:id="rId6"/>
    <sheet name="ModelRiskCharts" sheetId="7" state="hidden" r:id="rId7"/>
  </sheets>
  <definedNames>
    <definedName name="AfterDiscount">Inputs!$D$36</definedName>
    <definedName name="AfterPace">Inputs!$D$35</definedName>
    <definedName name="BuildCost">Inputs!$D$20</definedName>
    <definedName name="BuildCost_Hi">Inputs!$H$20</definedName>
    <definedName name="BuildCost_Lo">Inputs!$F$20</definedName>
    <definedName name="BuildCost_Mean">Inputs!$I$20</definedName>
    <definedName name="BuildCost_ML">Inputs!$G$20</definedName>
    <definedName name="BuildMonths">'Cash flow'!$D$11</definedName>
    <definedName name="BuildTime">Inputs!$D$21</definedName>
    <definedName name="BuildTime_Hi">Inputs!$H$21</definedName>
    <definedName name="BuildTime_Lo">Inputs!$F$21</definedName>
    <definedName name="BuildTime_Mean">Inputs!$I$21</definedName>
    <definedName name="BuildTime_ML">Inputs!$G$21</definedName>
    <definedName name="Checks">'Cash flow'!$D$54:$D$56</definedName>
    <definedName name="Confidence">Inputs!$D$15</definedName>
    <definedName name="DepositShare">Inputs!$D$34</definedName>
    <definedName name="Equity">Inputs!$D$12</definedName>
    <definedName name="Facility">Inputs!$D$13</definedName>
    <definedName name="InputMeans">Inputs!$I$20:$I$32</definedName>
    <definedName name="InterestRate">Inputs!$D$14</definedName>
    <definedName name="Land">Inputs!$D$11</definedName>
    <definedName name="Market">Inputs!$D$31</definedName>
    <definedName name="Market_Hi">Inputs!$H$31</definedName>
    <definedName name="Market_Lo">Inputs!$F$31</definedName>
    <definedName name="Market_Mean">Inputs!$I$31</definedName>
    <definedName name="Market_ML">Inputs!$G$31</definedName>
    <definedName name="MonthlyRate">'Cash flow'!$D$14</definedName>
    <definedName name="OverFacility">'Cash flow'!$D$47</definedName>
    <definedName name="Overheads">Inputs!$D$24</definedName>
    <definedName name="Pace">Inputs!$D$32</definedName>
    <definedName name="Pace_Hi">Inputs!$H$32</definedName>
    <definedName name="Pace_Lo">Inputs!$F$32</definedName>
    <definedName name="Pace_Mean">Inputs!$I$32</definedName>
    <definedName name="Pace_ML">Inputs!$G$32</definedName>
    <definedName name="PeakFunding">'Cash flow'!$D$45</definedName>
    <definedName name="PeakMonth">'Cash flow'!$D$46</definedName>
    <definedName name="Price">'Cash flow'!$D$12</definedName>
    <definedName name="PriceToday">Inputs!$D$30</definedName>
    <definedName name="_xlnm.Print_Area" localSheetId="3">Results!$A$1:$R$73</definedName>
    <definedName name="_xlnm.Print_Titles" localSheetId="2">'Cash flow'!$6:$7,'Cash flow'!$A:$D</definedName>
    <definedName name="_xlnm.Print_Titles" localSheetId="1">Inputs!$1:$4</definedName>
    <definedName name="_xlnm.Print_Titles" localSheetId="3">Results!$1:$4</definedName>
    <definedName name="Profit">'Cash flow'!$D$49</definedName>
    <definedName name="ProfitOnCost">'Cash flow'!$D$50</definedName>
    <definedName name="SalesStart">Inputs!$D$33</definedName>
    <definedName name="SAlpha">Inputs!$D$22</definedName>
    <definedName name="SBeta">Inputs!$D$23</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oldOffPlan">'Cash flow'!$D$13</definedName>
    <definedName name="TotalInterest">'Cash flow'!$D$48</definedName>
    <definedName name="Units">Inputs!$D$29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5" i="4" l="1"/>
  <c r="C128" i="4"/>
  <c r="C127" i="4"/>
  <c r="C126" i="4"/>
  <c r="C125" i="4"/>
  <c r="C124" i="4"/>
  <c r="C123" i="4"/>
  <c r="C122" i="4"/>
  <c r="C121" i="4"/>
  <c r="C120" i="4"/>
  <c r="C119" i="4"/>
  <c r="C118" i="4"/>
  <c r="C117" i="4"/>
  <c r="C116" i="4"/>
  <c r="C115" i="4"/>
  <c r="C114"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B26" i="4"/>
  <c r="B25" i="4"/>
  <c r="D12" i="4"/>
  <c r="E37" i="3"/>
  <c r="D14" i="3"/>
  <c r="G6" i="3"/>
  <c r="B146" i="4" s="1"/>
  <c r="I21" i="2" a="1"/>
  <c r="D31" i="2" a="1"/>
  <c r="D20" i="2" a="1"/>
  <c r="D21" i="2" a="1"/>
  <c r="I31" i="2" a="1"/>
  <c r="I20" i="2" a="1"/>
  <c r="I32" i="2" a="1"/>
  <c r="D32" i="2" a="1"/>
  <c r="H6" i="3" l="1"/>
  <c r="B147" i="4" s="1"/>
  <c r="F36" i="3"/>
  <c r="I6" i="3"/>
  <c r="B148" i="4" s="1"/>
  <c r="D32" i="2"/>
  <c r="I32" i="2"/>
  <c r="I20" i="2"/>
  <c r="I31" i="2"/>
  <c r="D21" i="2"/>
  <c r="D11" i="3" s="1"/>
  <c r="D20" i="2"/>
  <c r="D31" i="2"/>
  <c r="D12" i="3" s="1"/>
  <c r="I21" i="2"/>
  <c r="G25" i="3" l="1"/>
  <c r="G26" i="3" s="1"/>
  <c r="G20" i="3"/>
  <c r="F27" i="3"/>
  <c r="F18" i="3" a="1"/>
  <c r="F18" i="3" s="1"/>
  <c r="F19" i="3" s="1"/>
  <c r="G30" i="3"/>
  <c r="F20" i="3"/>
  <c r="G27" i="3"/>
  <c r="D13" i="3"/>
  <c r="F30" i="3"/>
  <c r="G18" i="3" a="1"/>
  <c r="G18" i="3" s="1"/>
  <c r="H20" i="3"/>
  <c r="F25" i="3"/>
  <c r="F26" i="3" s="1"/>
  <c r="H18" i="3" a="1"/>
  <c r="H18" i="3" s="1"/>
  <c r="H27" i="3"/>
  <c r="H30" i="3"/>
  <c r="H25" i="3"/>
  <c r="H26" i="3" s="1"/>
  <c r="I20" i="3"/>
  <c r="I18" i="3" a="1"/>
  <c r="I18" i="3" s="1"/>
  <c r="I27" i="3"/>
  <c r="I25" i="3"/>
  <c r="I26" i="3" s="1"/>
  <c r="J6" i="3"/>
  <c r="B149" i="4" s="1"/>
  <c r="I30" i="3"/>
  <c r="G29" i="3" l="1"/>
  <c r="H29" i="3"/>
  <c r="G19" i="3"/>
  <c r="G21" i="3" s="1"/>
  <c r="I19" i="3"/>
  <c r="I21" i="3" s="1"/>
  <c r="H19" i="3"/>
  <c r="H21" i="3" s="1"/>
  <c r="I29" i="3"/>
  <c r="F21" i="3"/>
  <c r="J18" i="3" a="1"/>
  <c r="J18" i="3" s="1"/>
  <c r="J19" i="3" s="1"/>
  <c r="J21" i="3" s="1"/>
  <c r="K6" i="3"/>
  <c r="B150" i="4" s="1"/>
  <c r="J27" i="3"/>
  <c r="J28" i="3" s="1"/>
  <c r="J30" i="3"/>
  <c r="J20" i="3"/>
  <c r="J25" i="3"/>
  <c r="J26" i="3" s="1"/>
  <c r="J29" i="3" s="1"/>
  <c r="H28" i="3"/>
  <c r="G28" i="3"/>
  <c r="F28" i="3"/>
  <c r="F31" i="3" s="1"/>
  <c r="I28" i="3"/>
  <c r="F29" i="3"/>
  <c r="J31" i="3" l="1"/>
  <c r="J32" i="3" s="1"/>
  <c r="G31" i="3"/>
  <c r="G32" i="3" s="1"/>
  <c r="K18" i="3" a="1"/>
  <c r="K18" i="3" s="1"/>
  <c r="K19" i="3" s="1"/>
  <c r="L6" i="3"/>
  <c r="B151" i="4" s="1"/>
  <c r="K27" i="3"/>
  <c r="K28" i="3" s="1"/>
  <c r="K31" i="3" s="1"/>
  <c r="K30" i="3"/>
  <c r="K20" i="3"/>
  <c r="K25" i="3"/>
  <c r="K26" i="3" s="1"/>
  <c r="K29" i="3" s="1"/>
  <c r="H31" i="3"/>
  <c r="H32" i="3" s="1"/>
  <c r="F32" i="3"/>
  <c r="I31" i="3"/>
  <c r="I32" i="3" s="1"/>
  <c r="K21" i="3" l="1"/>
  <c r="K32" i="3"/>
  <c r="F37" i="3"/>
  <c r="L30" i="3"/>
  <c r="L20" i="3"/>
  <c r="L18" i="3" a="1"/>
  <c r="L18" i="3" s="1"/>
  <c r="L19" i="3" s="1"/>
  <c r="L21" i="3" s="1"/>
  <c r="M6" i="3"/>
  <c r="B152" i="4" s="1"/>
  <c r="L25" i="3"/>
  <c r="L26" i="3" s="1"/>
  <c r="L29" i="3" s="1"/>
  <c r="L27" i="3"/>
  <c r="L28" i="3" s="1"/>
  <c r="L31" i="3" s="1"/>
  <c r="L32" i="3" l="1"/>
  <c r="G36" i="3"/>
  <c r="F38" i="3"/>
  <c r="F39" i="3"/>
  <c r="G37" i="3"/>
  <c r="M20" i="3"/>
  <c r="N6" i="3"/>
  <c r="B153" i="4" s="1"/>
  <c r="M18" i="3" a="1"/>
  <c r="M18" i="3" s="1"/>
  <c r="M19" i="3" s="1"/>
  <c r="M21" i="3" s="1"/>
  <c r="M25" i="3"/>
  <c r="M26" i="3" s="1"/>
  <c r="M29" i="3" s="1"/>
  <c r="M27" i="3"/>
  <c r="M28" i="3" s="1"/>
  <c r="M31" i="3" s="1"/>
  <c r="M30" i="3"/>
  <c r="M32" i="3" l="1"/>
  <c r="G38" i="3"/>
  <c r="G40" i="3" s="1" a="1"/>
  <c r="G40" i="3" s="1"/>
  <c r="H36" i="3"/>
  <c r="H37" i="3" s="1"/>
  <c r="G39" i="3"/>
  <c r="F40" i="3" a="1"/>
  <c r="F40" i="3" s="1"/>
  <c r="O6" i="3"/>
  <c r="B154" i="4" s="1"/>
  <c r="N18" i="3" a="1"/>
  <c r="N18" i="3" s="1"/>
  <c r="N19" i="3" s="1"/>
  <c r="N21" i="3" s="1"/>
  <c r="N20" i="3"/>
  <c r="N27" i="3"/>
  <c r="N28" i="3" s="1"/>
  <c r="N31" i="3" s="1"/>
  <c r="N25" i="3"/>
  <c r="N26" i="3" s="1"/>
  <c r="N29" i="3" s="1"/>
  <c r="N30" i="3"/>
  <c r="D146" i="4" a="1"/>
  <c r="C146" i="4" a="1"/>
  <c r="F146" i="4" a="1"/>
  <c r="E146" i="4" a="1"/>
  <c r="C145" i="4" a="1"/>
  <c r="E145" i="4" a="1"/>
  <c r="F145" i="4" a="1"/>
  <c r="D145" i="4" a="1"/>
  <c r="D145" i="4" l="1"/>
  <c r="F145" i="4"/>
  <c r="E145" i="4"/>
  <c r="C145" i="4"/>
  <c r="E146" i="4"/>
  <c r="F146" i="4"/>
  <c r="C146" i="4"/>
  <c r="D146" i="4"/>
  <c r="H39" i="3"/>
  <c r="H38" i="3"/>
  <c r="I36" i="3"/>
  <c r="N32" i="3"/>
  <c r="O18" i="3" a="1"/>
  <c r="O18" i="3" s="1"/>
  <c r="O19" i="3" s="1"/>
  <c r="P6" i="3"/>
  <c r="B155" i="4" s="1"/>
  <c r="O20" i="3"/>
  <c r="O27" i="3"/>
  <c r="O28" i="3" s="1"/>
  <c r="O31" i="3" s="1"/>
  <c r="O25" i="3"/>
  <c r="O26" i="3" s="1"/>
  <c r="O29" i="3" s="1"/>
  <c r="O30" i="3"/>
  <c r="O21" i="3" l="1"/>
  <c r="P30" i="3"/>
  <c r="P25" i="3"/>
  <c r="P26" i="3" s="1"/>
  <c r="P29" i="3" s="1"/>
  <c r="P18" i="3" a="1"/>
  <c r="P18" i="3" s="1"/>
  <c r="P19" i="3" s="1"/>
  <c r="P21" i="3" s="1"/>
  <c r="P27" i="3"/>
  <c r="P28" i="3" s="1"/>
  <c r="P31" i="3" s="1"/>
  <c r="Q6" i="3"/>
  <c r="B156" i="4" s="1"/>
  <c r="P20" i="3"/>
  <c r="I37" i="3"/>
  <c r="O32" i="3"/>
  <c r="H40" i="3" a="1"/>
  <c r="H40" i="3" s="1"/>
  <c r="F147" i="4" a="1"/>
  <c r="E147" i="4" a="1"/>
  <c r="D147" i="4" a="1"/>
  <c r="C147" i="4" a="1"/>
  <c r="C147" i="4" l="1"/>
  <c r="D147" i="4"/>
  <c r="E147" i="4"/>
  <c r="F147" i="4"/>
  <c r="I39" i="3"/>
  <c r="J36" i="3"/>
  <c r="J37" i="3" s="1"/>
  <c r="I38" i="3"/>
  <c r="Q20" i="3"/>
  <c r="Q25" i="3"/>
  <c r="Q26" i="3" s="1"/>
  <c r="Q29" i="3" s="1"/>
  <c r="Q27" i="3"/>
  <c r="Q28" i="3" s="1"/>
  <c r="Q31" i="3" s="1"/>
  <c r="R6" i="3"/>
  <c r="B157" i="4" s="1"/>
  <c r="Q18" i="3" a="1"/>
  <c r="Q18" i="3" s="1"/>
  <c r="Q19" i="3" s="1"/>
  <c r="Q30" i="3"/>
  <c r="P32" i="3"/>
  <c r="R30" i="3" l="1"/>
  <c r="R20" i="3"/>
  <c r="R18" i="3" a="1"/>
  <c r="R18" i="3" s="1"/>
  <c r="R19" i="3" s="1"/>
  <c r="R25" i="3"/>
  <c r="R26" i="3" s="1"/>
  <c r="R29" i="3" s="1"/>
  <c r="R27" i="3"/>
  <c r="R28" i="3" s="1"/>
  <c r="R31" i="3" s="1"/>
  <c r="S6" i="3"/>
  <c r="B158" i="4" s="1"/>
  <c r="Q32" i="3"/>
  <c r="I40" i="3" a="1"/>
  <c r="I40" i="3" s="1"/>
  <c r="K36" i="3"/>
  <c r="J39" i="3"/>
  <c r="J38" i="3"/>
  <c r="J40" i="3" s="1" a="1"/>
  <c r="J40" i="3" s="1"/>
  <c r="K37" i="3"/>
  <c r="Q21" i="3"/>
  <c r="C149" i="4" a="1"/>
  <c r="E149" i="4" a="1"/>
  <c r="D149" i="4" a="1"/>
  <c r="F149" i="4" a="1"/>
  <c r="C148" i="4" a="1"/>
  <c r="F148" i="4" a="1"/>
  <c r="E148" i="4" a="1"/>
  <c r="D148" i="4" a="1"/>
  <c r="R21" i="3" l="1"/>
  <c r="R32" i="3"/>
  <c r="D148" i="4"/>
  <c r="E148" i="4"/>
  <c r="F148" i="4"/>
  <c r="C148" i="4"/>
  <c r="F149" i="4"/>
  <c r="D149" i="4"/>
  <c r="E149" i="4"/>
  <c r="C149" i="4"/>
  <c r="S30" i="3"/>
  <c r="T6" i="3"/>
  <c r="B159" i="4" s="1"/>
  <c r="S27" i="3"/>
  <c r="S28" i="3" s="1"/>
  <c r="S31" i="3" s="1"/>
  <c r="S20" i="3"/>
  <c r="S18" i="3" a="1"/>
  <c r="S18" i="3" s="1"/>
  <c r="S19" i="3" s="1"/>
  <c r="S21" i="3" s="1"/>
  <c r="S25" i="3"/>
  <c r="S26" i="3" s="1"/>
  <c r="S29" i="3" s="1"/>
  <c r="S32" i="3" s="1"/>
  <c r="L36" i="3"/>
  <c r="L37" i="3" s="1"/>
  <c r="K38" i="3"/>
  <c r="K40" i="3" s="1" a="1"/>
  <c r="K40" i="3" s="1"/>
  <c r="K39" i="3"/>
  <c r="E150" i="4" a="1"/>
  <c r="D150" i="4" a="1"/>
  <c r="C150" i="4" a="1"/>
  <c r="F150" i="4" a="1"/>
  <c r="F150" i="4" l="1"/>
  <c r="C150" i="4"/>
  <c r="D150" i="4"/>
  <c r="E150" i="4"/>
  <c r="L39" i="3"/>
  <c r="M36" i="3"/>
  <c r="M37" i="3" s="1"/>
  <c r="L38" i="3"/>
  <c r="L40" i="3" s="1" a="1"/>
  <c r="L40" i="3" s="1"/>
  <c r="T27" i="3"/>
  <c r="T28" i="3" s="1"/>
  <c r="T31" i="3" s="1"/>
  <c r="T20" i="3"/>
  <c r="U6" i="3"/>
  <c r="B160" i="4" s="1"/>
  <c r="T18" i="3" a="1"/>
  <c r="T18" i="3" s="1"/>
  <c r="T19" i="3" s="1"/>
  <c r="T30" i="3"/>
  <c r="T25" i="3"/>
  <c r="T26" i="3" s="1"/>
  <c r="T29" i="3" s="1"/>
  <c r="F151" i="4" a="1"/>
  <c r="E151" i="4" a="1"/>
  <c r="D151" i="4" a="1"/>
  <c r="C151" i="4" a="1"/>
  <c r="C151" i="4" l="1"/>
  <c r="D151" i="4"/>
  <c r="E151" i="4"/>
  <c r="F151" i="4"/>
  <c r="M39" i="3"/>
  <c r="M38" i="3"/>
  <c r="M40" i="3" s="1" a="1"/>
  <c r="M40" i="3" s="1"/>
  <c r="N36" i="3"/>
  <c r="N37" i="3" s="1"/>
  <c r="V6" i="3"/>
  <c r="B161" i="4" s="1"/>
  <c r="U27" i="3"/>
  <c r="U28" i="3" s="1"/>
  <c r="U31" i="3" s="1"/>
  <c r="U18" i="3" a="1"/>
  <c r="U18" i="3" s="1"/>
  <c r="U19" i="3" s="1"/>
  <c r="U25" i="3"/>
  <c r="U26" i="3" s="1"/>
  <c r="U29" i="3" s="1"/>
  <c r="U30" i="3"/>
  <c r="U20" i="3"/>
  <c r="T32" i="3"/>
  <c r="T21" i="3"/>
  <c r="F152" i="4" a="1"/>
  <c r="E152" i="4" a="1"/>
  <c r="D152" i="4" a="1"/>
  <c r="C152" i="4" a="1"/>
  <c r="C152" i="4" l="1"/>
  <c r="D152" i="4"/>
  <c r="E152" i="4"/>
  <c r="F152" i="4"/>
  <c r="U32" i="3"/>
  <c r="U21" i="3"/>
  <c r="O36" i="3"/>
  <c r="O37" i="3" s="1"/>
  <c r="N39" i="3"/>
  <c r="N38" i="3"/>
  <c r="N40" i="3" s="1" a="1"/>
  <c r="N40" i="3" s="1"/>
  <c r="V30" i="3"/>
  <c r="V25" i="3"/>
  <c r="V26" i="3" s="1"/>
  <c r="V29" i="3" s="1"/>
  <c r="V20" i="3"/>
  <c r="V27" i="3"/>
  <c r="V28" i="3" s="1"/>
  <c r="V31" i="3" s="1"/>
  <c r="W6" i="3"/>
  <c r="B162" i="4" s="1"/>
  <c r="V18" i="3" a="1"/>
  <c r="V18" i="3" s="1"/>
  <c r="V19" i="3" s="1"/>
  <c r="C153" i="4" a="1"/>
  <c r="E153" i="4" a="1"/>
  <c r="F153" i="4" a="1"/>
  <c r="D153" i="4" a="1"/>
  <c r="D153" i="4" l="1"/>
  <c r="F153" i="4"/>
  <c r="E153" i="4"/>
  <c r="C153" i="4"/>
  <c r="V32" i="3"/>
  <c r="O39" i="3"/>
  <c r="P36" i="3"/>
  <c r="P37" i="3" s="1"/>
  <c r="O38" i="3"/>
  <c r="O40" i="3" s="1" a="1"/>
  <c r="O40" i="3" s="1"/>
  <c r="V21" i="3"/>
  <c r="W27" i="3"/>
  <c r="W28" i="3" s="1"/>
  <c r="W31" i="3" s="1"/>
  <c r="W25" i="3"/>
  <c r="W26" i="3" s="1"/>
  <c r="W29" i="3" s="1"/>
  <c r="W18" i="3" a="1"/>
  <c r="W18" i="3" s="1"/>
  <c r="W19" i="3" s="1"/>
  <c r="W30" i="3"/>
  <c r="W20" i="3"/>
  <c r="X6" i="3"/>
  <c r="B163" i="4" s="1"/>
  <c r="E154" i="4" a="1"/>
  <c r="D154" i="4" a="1"/>
  <c r="C154" i="4" a="1"/>
  <c r="F154" i="4" a="1"/>
  <c r="F154" i="4" l="1"/>
  <c r="C154" i="4"/>
  <c r="D154" i="4"/>
  <c r="E154" i="4"/>
  <c r="W32" i="3"/>
  <c r="P38" i="3"/>
  <c r="P40" i="3" s="1" a="1"/>
  <c r="P40" i="3" s="1"/>
  <c r="Q36" i="3"/>
  <c r="Q37" i="3" s="1"/>
  <c r="P39" i="3"/>
  <c r="X20" i="3"/>
  <c r="X27" i="3"/>
  <c r="X28" i="3" s="1"/>
  <c r="X31" i="3" s="1"/>
  <c r="X25" i="3"/>
  <c r="X26" i="3" s="1"/>
  <c r="X29" i="3" s="1"/>
  <c r="X18" i="3" a="1"/>
  <c r="X18" i="3" s="1"/>
  <c r="X19" i="3" s="1"/>
  <c r="X21" i="3" s="1"/>
  <c r="X30" i="3"/>
  <c r="Y6" i="3"/>
  <c r="B164" i="4" s="1"/>
  <c r="W21" i="3"/>
  <c r="E155" i="4" a="1"/>
  <c r="D155" i="4" a="1"/>
  <c r="C155" i="4" a="1"/>
  <c r="F155" i="4" a="1"/>
  <c r="X32" i="3" l="1"/>
  <c r="F155" i="4"/>
  <c r="C155" i="4"/>
  <c r="D155" i="4"/>
  <c r="E155" i="4"/>
  <c r="R36" i="3"/>
  <c r="R37" i="3" s="1"/>
  <c r="Q39" i="3"/>
  <c r="Q38" i="3"/>
  <c r="Q40" i="3" s="1" a="1"/>
  <c r="Q40" i="3" s="1"/>
  <c r="Y30" i="3"/>
  <c r="Z6" i="3"/>
  <c r="B165" i="4" s="1"/>
  <c r="Y27" i="3"/>
  <c r="Y28" i="3" s="1"/>
  <c r="Y31" i="3" s="1"/>
  <c r="Y25" i="3"/>
  <c r="Y26" i="3" s="1"/>
  <c r="Y29" i="3" s="1"/>
  <c r="Y18" i="3" a="1"/>
  <c r="Y18" i="3" s="1"/>
  <c r="Y19" i="3" s="1"/>
  <c r="Y20" i="3"/>
  <c r="D156" i="4" a="1"/>
  <c r="C156" i="4" a="1"/>
  <c r="F156" i="4" a="1"/>
  <c r="E156" i="4" a="1"/>
  <c r="Y32" i="3" l="1"/>
  <c r="E156" i="4"/>
  <c r="F156" i="4"/>
  <c r="C156" i="4"/>
  <c r="D156" i="4"/>
  <c r="Z18" i="3" a="1"/>
  <c r="Z18" i="3" s="1"/>
  <c r="Z19" i="3" s="1"/>
  <c r="Z20" i="3"/>
  <c r="Z27" i="3"/>
  <c r="Z28" i="3" s="1"/>
  <c r="Z31" i="3" s="1"/>
  <c r="Z30" i="3"/>
  <c r="Z25" i="3"/>
  <c r="Z26" i="3" s="1"/>
  <c r="Z29" i="3" s="1"/>
  <c r="AA6" i="3"/>
  <c r="B166" i="4" s="1"/>
  <c r="S36" i="3"/>
  <c r="S37" i="3" s="1"/>
  <c r="R39" i="3"/>
  <c r="R38" i="3"/>
  <c r="R40" i="3" s="1" a="1"/>
  <c r="R40" i="3" s="1"/>
  <c r="Y21" i="3"/>
  <c r="D157" i="4" a="1"/>
  <c r="C157" i="4" a="1"/>
  <c r="F157" i="4" a="1"/>
  <c r="E157" i="4" a="1"/>
  <c r="E157" i="4" l="1"/>
  <c r="F157" i="4"/>
  <c r="C157" i="4"/>
  <c r="D157" i="4"/>
  <c r="Z32" i="3"/>
  <c r="T36" i="3"/>
  <c r="T37" i="3" s="1"/>
  <c r="S39" i="3"/>
  <c r="S38" i="3"/>
  <c r="S40" i="3" s="1" a="1"/>
  <c r="S40" i="3" s="1"/>
  <c r="AA20" i="3"/>
  <c r="AA27" i="3"/>
  <c r="AA28" i="3" s="1"/>
  <c r="AA31" i="3" s="1"/>
  <c r="AA18" i="3" a="1"/>
  <c r="AA18" i="3" s="1"/>
  <c r="AA19" i="3" s="1"/>
  <c r="AA30" i="3"/>
  <c r="AB6" i="3"/>
  <c r="B167" i="4" s="1"/>
  <c r="AA25" i="3"/>
  <c r="AA26" i="3" s="1"/>
  <c r="AA29" i="3" s="1"/>
  <c r="Z21" i="3"/>
  <c r="E158" i="4" a="1"/>
  <c r="D158" i="4" a="1"/>
  <c r="C158" i="4" a="1"/>
  <c r="F158" i="4" a="1"/>
  <c r="AA21" i="3" l="1"/>
  <c r="F158" i="4"/>
  <c r="C158" i="4"/>
  <c r="D158" i="4"/>
  <c r="E158" i="4"/>
  <c r="AA32" i="3"/>
  <c r="U36" i="3"/>
  <c r="U37" i="3" s="1"/>
  <c r="T39" i="3"/>
  <c r="T38" i="3"/>
  <c r="T40" i="3" s="1" a="1"/>
  <c r="T40" i="3" s="1"/>
  <c r="AB18" i="3" a="1"/>
  <c r="AB18" i="3" s="1"/>
  <c r="AB19" i="3" s="1"/>
  <c r="AB27" i="3"/>
  <c r="AB28" i="3" s="1"/>
  <c r="AB31" i="3" s="1"/>
  <c r="AC6" i="3"/>
  <c r="B168" i="4" s="1"/>
  <c r="AB30" i="3"/>
  <c r="AB20" i="3"/>
  <c r="AB25" i="3"/>
  <c r="AB26" i="3" s="1"/>
  <c r="AB29" i="3" s="1"/>
  <c r="F159" i="4" a="1"/>
  <c r="E159" i="4" a="1"/>
  <c r="D159" i="4" a="1"/>
  <c r="C159" i="4" a="1"/>
  <c r="C159" i="4" l="1"/>
  <c r="D159" i="4"/>
  <c r="E159" i="4"/>
  <c r="F159" i="4"/>
  <c r="AB21" i="3"/>
  <c r="V36" i="3"/>
  <c r="V37" i="3" s="1"/>
  <c r="U38" i="3"/>
  <c r="U40" i="3" s="1" a="1"/>
  <c r="U40" i="3" s="1"/>
  <c r="U39" i="3"/>
  <c r="AC27" i="3"/>
  <c r="AC28" i="3" s="1"/>
  <c r="AC31" i="3" s="1"/>
  <c r="AC30" i="3"/>
  <c r="AC20" i="3"/>
  <c r="AC18" i="3" a="1"/>
  <c r="AC18" i="3" s="1"/>
  <c r="AC19" i="3" s="1"/>
  <c r="AC21" i="3" s="1"/>
  <c r="AC25" i="3"/>
  <c r="AC26" i="3" s="1"/>
  <c r="AC29" i="3" s="1"/>
  <c r="AD6" i="3"/>
  <c r="B169" i="4" s="1"/>
  <c r="AB32" i="3"/>
  <c r="F160" i="4" a="1"/>
  <c r="E160" i="4" a="1"/>
  <c r="D160" i="4" a="1"/>
  <c r="C160" i="4" a="1"/>
  <c r="C160" i="4" l="1"/>
  <c r="D160" i="4"/>
  <c r="E160" i="4"/>
  <c r="F160" i="4"/>
  <c r="W36" i="3"/>
  <c r="W37" i="3" s="1"/>
  <c r="V38" i="3"/>
  <c r="V40" i="3" s="1" a="1"/>
  <c r="V40" i="3" s="1"/>
  <c r="V39" i="3"/>
  <c r="AD18" i="3" a="1"/>
  <c r="AD18" i="3" s="1"/>
  <c r="AD19" i="3" s="1"/>
  <c r="AE6" i="3"/>
  <c r="B170" i="4" s="1"/>
  <c r="AD27" i="3"/>
  <c r="AD28" i="3" s="1"/>
  <c r="AD31" i="3" s="1"/>
  <c r="AD30" i="3"/>
  <c r="AD25" i="3"/>
  <c r="AD26" i="3" s="1"/>
  <c r="AD29" i="3" s="1"/>
  <c r="AD20" i="3"/>
  <c r="AC32" i="3"/>
  <c r="C161" i="4" a="1"/>
  <c r="F161" i="4" a="1"/>
  <c r="E161" i="4" a="1"/>
  <c r="D161" i="4" a="1"/>
  <c r="D161" i="4" l="1"/>
  <c r="E161" i="4"/>
  <c r="F161" i="4"/>
  <c r="C161" i="4"/>
  <c r="AD21" i="3"/>
  <c r="AE30" i="3"/>
  <c r="AE25" i="3"/>
  <c r="AE26" i="3" s="1"/>
  <c r="AE29" i="3" s="1"/>
  <c r="AE18" i="3" a="1"/>
  <c r="AE18" i="3" s="1"/>
  <c r="AE19" i="3" s="1"/>
  <c r="AE20" i="3"/>
  <c r="AF6" i="3"/>
  <c r="B171" i="4" s="1"/>
  <c r="AE27" i="3"/>
  <c r="AE28" i="3" s="1"/>
  <c r="AE31" i="3" s="1"/>
  <c r="W39" i="3"/>
  <c r="X36" i="3"/>
  <c r="X37" i="3" s="1"/>
  <c r="W38" i="3"/>
  <c r="W40" i="3" s="1" a="1"/>
  <c r="W40" i="3" s="1"/>
  <c r="AD32" i="3"/>
  <c r="E162" i="4" a="1"/>
  <c r="D162" i="4" a="1"/>
  <c r="C162" i="4" a="1"/>
  <c r="F162" i="4" a="1"/>
  <c r="AE21" i="3" l="1"/>
  <c r="F162" i="4"/>
  <c r="C162" i="4"/>
  <c r="D162" i="4"/>
  <c r="E162" i="4"/>
  <c r="Y36" i="3"/>
  <c r="X38" i="3"/>
  <c r="X40" i="3" s="1" a="1"/>
  <c r="X40" i="3" s="1"/>
  <c r="Y37" i="3"/>
  <c r="X39" i="3"/>
  <c r="AF30" i="3"/>
  <c r="AF27" i="3"/>
  <c r="AF28" i="3" s="1"/>
  <c r="AF31" i="3" s="1"/>
  <c r="AG6" i="3"/>
  <c r="B172" i="4" s="1"/>
  <c r="AF20" i="3"/>
  <c r="AF18" i="3" a="1"/>
  <c r="AF18" i="3" s="1"/>
  <c r="AF19" i="3" s="1"/>
  <c r="AF25" i="3"/>
  <c r="AF26" i="3" s="1"/>
  <c r="AF29" i="3" s="1"/>
  <c r="AE32" i="3"/>
  <c r="E163" i="4" a="1"/>
  <c r="D163" i="4" a="1"/>
  <c r="C163" i="4" a="1"/>
  <c r="F163" i="4" a="1"/>
  <c r="AF32" i="3" l="1"/>
  <c r="F163" i="4"/>
  <c r="C163" i="4"/>
  <c r="D163" i="4"/>
  <c r="E163" i="4"/>
  <c r="AG27" i="3"/>
  <c r="AG28" i="3" s="1"/>
  <c r="AG31" i="3" s="1"/>
  <c r="AG25" i="3"/>
  <c r="AG26" i="3" s="1"/>
  <c r="AG29" i="3" s="1"/>
  <c r="AH6" i="3"/>
  <c r="B173" i="4" s="1"/>
  <c r="AG30" i="3"/>
  <c r="AG20" i="3"/>
  <c r="AG18" i="3" a="1"/>
  <c r="AG18" i="3" s="1"/>
  <c r="AG19" i="3" s="1"/>
  <c r="AG21" i="3" s="1"/>
  <c r="Y39" i="3"/>
  <c r="Y38" i="3"/>
  <c r="Y40" i="3" s="1" a="1"/>
  <c r="Y40" i="3" s="1"/>
  <c r="Z36" i="3"/>
  <c r="Z37" i="3" s="1"/>
  <c r="AF21" i="3"/>
  <c r="D164" i="4" a="1"/>
  <c r="C164" i="4" a="1"/>
  <c r="F164" i="4" a="1"/>
  <c r="E164" i="4" a="1"/>
  <c r="E164" i="4" l="1"/>
  <c r="F164" i="4"/>
  <c r="C164" i="4"/>
  <c r="D164" i="4"/>
  <c r="Z39" i="3"/>
  <c r="Z38" i="3"/>
  <c r="Z40" i="3" s="1" a="1"/>
  <c r="Z40" i="3" s="1"/>
  <c r="AA36" i="3"/>
  <c r="AA37" i="3" s="1"/>
  <c r="AH18" i="3" a="1"/>
  <c r="AH18" i="3" s="1"/>
  <c r="AH19" i="3" s="1"/>
  <c r="AH25" i="3"/>
  <c r="AH26" i="3" s="1"/>
  <c r="AH29" i="3" s="1"/>
  <c r="AH27" i="3"/>
  <c r="AH28" i="3" s="1"/>
  <c r="AH31" i="3" s="1"/>
  <c r="AI6" i="3"/>
  <c r="B174" i="4" s="1"/>
  <c r="AH30" i="3"/>
  <c r="AH20" i="3"/>
  <c r="AG32" i="3"/>
  <c r="D165" i="4" a="1"/>
  <c r="C165" i="4" a="1"/>
  <c r="F165" i="4" a="1"/>
  <c r="E165" i="4" a="1"/>
  <c r="E165" i="4" l="1"/>
  <c r="F165" i="4"/>
  <c r="C165" i="4"/>
  <c r="D165" i="4"/>
  <c r="AH32" i="3"/>
  <c r="AH21" i="3"/>
  <c r="AI20" i="3"/>
  <c r="AI30" i="3"/>
  <c r="AJ6" i="3"/>
  <c r="B175" i="4" s="1"/>
  <c r="AI25" i="3"/>
  <c r="AI26" i="3" s="1"/>
  <c r="AI29" i="3" s="1"/>
  <c r="AI18" i="3" a="1"/>
  <c r="AI18" i="3" s="1"/>
  <c r="AI19" i="3" s="1"/>
  <c r="AI27" i="3"/>
  <c r="AI28" i="3" s="1"/>
  <c r="AI31" i="3" s="1"/>
  <c r="AA39" i="3"/>
  <c r="AA38" i="3"/>
  <c r="AA40" i="3" s="1" a="1"/>
  <c r="AA40" i="3" s="1"/>
  <c r="AB36" i="3"/>
  <c r="AB37" i="3" s="1"/>
  <c r="E166" i="4" a="1"/>
  <c r="D166" i="4" a="1"/>
  <c r="C166" i="4" a="1"/>
  <c r="F166" i="4" a="1"/>
  <c r="F166" i="4" l="1"/>
  <c r="C166" i="4"/>
  <c r="D166" i="4"/>
  <c r="E166" i="4"/>
  <c r="AI21" i="3"/>
  <c r="AI32" i="3"/>
  <c r="AJ25" i="3"/>
  <c r="AJ26" i="3" s="1"/>
  <c r="AJ29" i="3" s="1"/>
  <c r="AJ18" i="3" a="1"/>
  <c r="AJ18" i="3" s="1"/>
  <c r="AJ19" i="3" s="1"/>
  <c r="AJ20" i="3"/>
  <c r="AJ27" i="3"/>
  <c r="AJ28" i="3" s="1"/>
  <c r="AJ31" i="3" s="1"/>
  <c r="AJ30" i="3"/>
  <c r="AK6" i="3"/>
  <c r="B176" i="4" s="1"/>
  <c r="AC36" i="3"/>
  <c r="AC37" i="3" s="1"/>
  <c r="AB38" i="3"/>
  <c r="AB40" i="3" s="1" a="1"/>
  <c r="AB40" i="3" s="1"/>
  <c r="AB39" i="3"/>
  <c r="F167" i="4" a="1"/>
  <c r="E167" i="4" a="1"/>
  <c r="D167" i="4" a="1"/>
  <c r="C167" i="4" a="1"/>
  <c r="AJ21" i="3" l="1"/>
  <c r="C167" i="4"/>
  <c r="D167" i="4"/>
  <c r="E167" i="4"/>
  <c r="F167" i="4"/>
  <c r="AC38" i="3"/>
  <c r="AC40" i="3" s="1" a="1"/>
  <c r="AC40" i="3" s="1"/>
  <c r="AD36" i="3"/>
  <c r="AD37" i="3" s="1"/>
  <c r="AC39" i="3"/>
  <c r="AK18" i="3" a="1"/>
  <c r="AK18" i="3" s="1"/>
  <c r="AK19" i="3" s="1"/>
  <c r="AK25" i="3"/>
  <c r="AK26" i="3" s="1"/>
  <c r="AK29" i="3" s="1"/>
  <c r="AK30" i="3"/>
  <c r="AL6" i="3"/>
  <c r="B177" i="4" s="1"/>
  <c r="AK27" i="3"/>
  <c r="AK28" i="3" s="1"/>
  <c r="AK31" i="3" s="1"/>
  <c r="AK20" i="3"/>
  <c r="AJ32" i="3"/>
  <c r="F168" i="4" a="1"/>
  <c r="E168" i="4" a="1"/>
  <c r="D168" i="4" a="1"/>
  <c r="C168" i="4" a="1"/>
  <c r="C168" i="4" l="1"/>
  <c r="D168" i="4"/>
  <c r="E168" i="4"/>
  <c r="F168" i="4"/>
  <c r="AK21" i="3"/>
  <c r="AL25" i="3"/>
  <c r="AL26" i="3" s="1"/>
  <c r="AL29" i="3" s="1"/>
  <c r="AL20" i="3"/>
  <c r="AM6" i="3"/>
  <c r="B178" i="4" s="1"/>
  <c r="AL18" i="3" a="1"/>
  <c r="AL18" i="3" s="1"/>
  <c r="AL19" i="3" s="1"/>
  <c r="AL30" i="3"/>
  <c r="AL27" i="3"/>
  <c r="AL28" i="3" s="1"/>
  <c r="AL31" i="3" s="1"/>
  <c r="AK32" i="3"/>
  <c r="AD38" i="3"/>
  <c r="AD40" i="3" s="1" a="1"/>
  <c r="AD40" i="3" s="1"/>
  <c r="AE36" i="3"/>
  <c r="AE37" i="3" s="1"/>
  <c r="AD39" i="3"/>
  <c r="C169" i="4" a="1"/>
  <c r="F169" i="4" a="1"/>
  <c r="E169" i="4" a="1"/>
  <c r="D169" i="4" a="1"/>
  <c r="D169" i="4" l="1"/>
  <c r="E169" i="4"/>
  <c r="F169" i="4"/>
  <c r="C169" i="4"/>
  <c r="AL21" i="3"/>
  <c r="AF36" i="3"/>
  <c r="AF37" i="3" s="1"/>
  <c r="AE39" i="3"/>
  <c r="AE38" i="3"/>
  <c r="AE40" i="3" s="1" a="1"/>
  <c r="AE40" i="3" s="1"/>
  <c r="AM25" i="3"/>
  <c r="AM26" i="3" s="1"/>
  <c r="AM29" i="3" s="1"/>
  <c r="AN6" i="3"/>
  <c r="B179" i="4" s="1"/>
  <c r="AM30" i="3"/>
  <c r="AM18" i="3" a="1"/>
  <c r="AM18" i="3" s="1"/>
  <c r="AM19" i="3" s="1"/>
  <c r="AM20" i="3"/>
  <c r="AM27" i="3"/>
  <c r="AM28" i="3" s="1"/>
  <c r="AM31" i="3" s="1"/>
  <c r="AL32" i="3"/>
  <c r="E170" i="4" a="1"/>
  <c r="D170" i="4" a="1"/>
  <c r="C170" i="4" a="1"/>
  <c r="F170" i="4" a="1"/>
  <c r="AM21" i="3" l="1"/>
  <c r="F170" i="4"/>
  <c r="C170" i="4"/>
  <c r="D170" i="4"/>
  <c r="E170" i="4"/>
  <c r="AG36" i="3"/>
  <c r="AG37" i="3" s="1"/>
  <c r="AF39" i="3"/>
  <c r="AF38" i="3"/>
  <c r="AF40" i="3" s="1" a="1"/>
  <c r="AF40" i="3" s="1"/>
  <c r="AN27" i="3"/>
  <c r="AN28" i="3" s="1"/>
  <c r="AN31" i="3" s="1"/>
  <c r="AN30" i="3"/>
  <c r="AN20" i="3"/>
  <c r="AN18" i="3" a="1"/>
  <c r="AN18" i="3" s="1"/>
  <c r="AN19" i="3" s="1"/>
  <c r="AN21" i="3" s="1"/>
  <c r="AN25" i="3"/>
  <c r="AN26" i="3" s="1"/>
  <c r="AN29" i="3" s="1"/>
  <c r="AO6" i="3"/>
  <c r="B180" i="4" s="1"/>
  <c r="AM32" i="3"/>
  <c r="E171" i="4" a="1"/>
  <c r="D171" i="4" a="1"/>
  <c r="C171" i="4" a="1"/>
  <c r="F171" i="4" a="1"/>
  <c r="F171" i="4" l="1"/>
  <c r="C171" i="4"/>
  <c r="D171" i="4"/>
  <c r="E171" i="4"/>
  <c r="AG39" i="3"/>
  <c r="AG38" i="3"/>
  <c r="AG40" i="3" s="1" a="1"/>
  <c r="AG40" i="3" s="1"/>
  <c r="AH36" i="3"/>
  <c r="AH37" i="3" s="1"/>
  <c r="AO27" i="3"/>
  <c r="AO28" i="3" s="1"/>
  <c r="AO31" i="3" s="1"/>
  <c r="AO20" i="3"/>
  <c r="AO25" i="3"/>
  <c r="AO26" i="3" s="1"/>
  <c r="AO29" i="3" s="1"/>
  <c r="AO30" i="3"/>
  <c r="AP6" i="3"/>
  <c r="B181" i="4" s="1"/>
  <c r="AO18" i="3" a="1"/>
  <c r="AO18" i="3" s="1"/>
  <c r="AO19" i="3" s="1"/>
  <c r="AN32" i="3"/>
  <c r="D172" i="4" a="1"/>
  <c r="C172" i="4" a="1"/>
  <c r="F172" i="4" a="1"/>
  <c r="E172" i="4" a="1"/>
  <c r="E172" i="4" l="1"/>
  <c r="F172" i="4"/>
  <c r="C172" i="4"/>
  <c r="D172" i="4"/>
  <c r="AO32" i="3"/>
  <c r="AI36" i="3"/>
  <c r="AI37" i="3" s="1"/>
  <c r="AH38" i="3"/>
  <c r="AH40" i="3" s="1" a="1"/>
  <c r="AH40" i="3" s="1"/>
  <c r="AH39" i="3"/>
  <c r="AO21" i="3"/>
  <c r="AP25" i="3"/>
  <c r="AP26" i="3" s="1"/>
  <c r="AP29" i="3" s="1"/>
  <c r="AP27" i="3"/>
  <c r="AP28" i="3" s="1"/>
  <c r="AP31" i="3" s="1"/>
  <c r="AP18" i="3" a="1"/>
  <c r="AP18" i="3" s="1"/>
  <c r="AP19" i="3" s="1"/>
  <c r="AQ6" i="3"/>
  <c r="B182" i="4" s="1"/>
  <c r="AP30" i="3"/>
  <c r="AP20" i="3"/>
  <c r="D173" i="4" a="1"/>
  <c r="C173" i="4" a="1"/>
  <c r="F173" i="4" a="1"/>
  <c r="E173" i="4" a="1"/>
  <c r="E173" i="4" l="1"/>
  <c r="F173" i="4"/>
  <c r="C173" i="4"/>
  <c r="D173" i="4"/>
  <c r="AP21" i="3"/>
  <c r="AJ36" i="3"/>
  <c r="AJ37" i="3" s="1"/>
  <c r="AI38" i="3"/>
  <c r="AI40" i="3" s="1" a="1"/>
  <c r="AI40" i="3" s="1"/>
  <c r="AI39" i="3"/>
  <c r="AP32" i="3"/>
  <c r="AQ18" i="3" a="1"/>
  <c r="AQ18" i="3" s="1"/>
  <c r="AQ19" i="3" s="1"/>
  <c r="AQ27" i="3"/>
  <c r="AQ28" i="3" s="1"/>
  <c r="AQ31" i="3" s="1"/>
  <c r="AQ25" i="3"/>
  <c r="AQ26" i="3" s="1"/>
  <c r="AQ29" i="3" s="1"/>
  <c r="AQ20" i="3"/>
  <c r="AQ30" i="3"/>
  <c r="AR6" i="3"/>
  <c r="B183" i="4" s="1"/>
  <c r="E174" i="4" a="1"/>
  <c r="D174" i="4" a="1"/>
  <c r="C174" i="4" a="1"/>
  <c r="F174" i="4" a="1"/>
  <c r="F174" i="4" l="1"/>
  <c r="C174" i="4"/>
  <c r="D174" i="4"/>
  <c r="E174" i="4"/>
  <c r="AQ32" i="3"/>
  <c r="AQ21" i="3"/>
  <c r="AJ39" i="3"/>
  <c r="AK36" i="3"/>
  <c r="AK37" i="3" s="1"/>
  <c r="AJ38" i="3"/>
  <c r="AJ40" i="3" s="1" a="1"/>
  <c r="AJ40" i="3" s="1"/>
  <c r="AR18" i="3" a="1"/>
  <c r="AR18" i="3" s="1"/>
  <c r="AR19" i="3" s="1"/>
  <c r="AR25" i="3"/>
  <c r="AR26" i="3" s="1"/>
  <c r="AR29" i="3" s="1"/>
  <c r="AR27" i="3"/>
  <c r="AR28" i="3" s="1"/>
  <c r="AR31" i="3" s="1"/>
  <c r="AR20" i="3"/>
  <c r="AS6" i="3"/>
  <c r="B184" i="4" s="1"/>
  <c r="AR30" i="3"/>
  <c r="F175" i="4" a="1"/>
  <c r="E175" i="4" a="1"/>
  <c r="D175" i="4" a="1"/>
  <c r="C175" i="4" a="1"/>
  <c r="C175" i="4" l="1"/>
  <c r="D175" i="4"/>
  <c r="E175" i="4"/>
  <c r="F175" i="4"/>
  <c r="AR32" i="3"/>
  <c r="AR21" i="3"/>
  <c r="AL36" i="3"/>
  <c r="AL37" i="3" s="1"/>
  <c r="AK39" i="3"/>
  <c r="AK38" i="3"/>
  <c r="AK40" i="3" s="1" a="1"/>
  <c r="AK40" i="3" s="1"/>
  <c r="AT6" i="3"/>
  <c r="B185" i="4" s="1"/>
  <c r="AS27" i="3"/>
  <c r="AS28" i="3" s="1"/>
  <c r="AS31" i="3" s="1"/>
  <c r="AS20" i="3"/>
  <c r="AS18" i="3" a="1"/>
  <c r="AS18" i="3" s="1"/>
  <c r="AS19" i="3" s="1"/>
  <c r="AS25" i="3"/>
  <c r="AS26" i="3" s="1"/>
  <c r="AS29" i="3" s="1"/>
  <c r="AS30" i="3"/>
  <c r="F176" i="4" a="1"/>
  <c r="E176" i="4" a="1"/>
  <c r="D176" i="4" a="1"/>
  <c r="C176" i="4" a="1"/>
  <c r="C176" i="4" l="1"/>
  <c r="D176" i="4"/>
  <c r="E176" i="4"/>
  <c r="F176" i="4"/>
  <c r="AT27" i="3"/>
  <c r="AT28" i="3" s="1"/>
  <c r="AT31" i="3" s="1"/>
  <c r="AT30" i="3"/>
  <c r="AT18" i="3" a="1"/>
  <c r="AT18" i="3" s="1"/>
  <c r="AT19" i="3" s="1"/>
  <c r="AU6" i="3"/>
  <c r="B186" i="4" s="1"/>
  <c r="AT20" i="3"/>
  <c r="AT25" i="3"/>
  <c r="AT26" i="3" s="1"/>
  <c r="AT29" i="3" s="1"/>
  <c r="AL38" i="3"/>
  <c r="AL40" i="3" s="1" a="1"/>
  <c r="AL40" i="3" s="1"/>
  <c r="AM36" i="3"/>
  <c r="AM37" i="3" s="1"/>
  <c r="AL39" i="3"/>
  <c r="AS32" i="3"/>
  <c r="AS21" i="3"/>
  <c r="C177" i="4" a="1"/>
  <c r="F177" i="4" a="1"/>
  <c r="E177" i="4" a="1"/>
  <c r="D177" i="4" a="1"/>
  <c r="D177" i="4" l="1"/>
  <c r="E177" i="4"/>
  <c r="F177" i="4"/>
  <c r="C177" i="4"/>
  <c r="AT32" i="3"/>
  <c r="AM38" i="3"/>
  <c r="AM40" i="3" s="1" a="1"/>
  <c r="AM40" i="3" s="1"/>
  <c r="AN36" i="3"/>
  <c r="AN37" i="3"/>
  <c r="AM39" i="3"/>
  <c r="AU25" i="3"/>
  <c r="AU26" i="3" s="1"/>
  <c r="AU29" i="3" s="1"/>
  <c r="AU30" i="3"/>
  <c r="AV6" i="3"/>
  <c r="B187" i="4" s="1"/>
  <c r="AU27" i="3"/>
  <c r="AU28" i="3" s="1"/>
  <c r="AU31" i="3" s="1"/>
  <c r="AU18" i="3" a="1"/>
  <c r="AU18" i="3" s="1"/>
  <c r="AU19" i="3" s="1"/>
  <c r="AU20" i="3"/>
  <c r="AT21" i="3"/>
  <c r="E178" i="4" a="1"/>
  <c r="D178" i="4" a="1"/>
  <c r="C178" i="4" a="1"/>
  <c r="F178" i="4" a="1"/>
  <c r="F178" i="4" l="1"/>
  <c r="C178" i="4"/>
  <c r="D178" i="4"/>
  <c r="E178" i="4"/>
  <c r="AV30" i="3"/>
  <c r="AW6" i="3"/>
  <c r="B188" i="4" s="1"/>
  <c r="AV20" i="3"/>
  <c r="AV18" i="3" a="1"/>
  <c r="AV18" i="3" s="1"/>
  <c r="AV19" i="3" s="1"/>
  <c r="AV21" i="3" s="1"/>
  <c r="AV25" i="3"/>
  <c r="AV26" i="3" s="1"/>
  <c r="AV29" i="3" s="1"/>
  <c r="AV27" i="3"/>
  <c r="AV28" i="3" s="1"/>
  <c r="AV31" i="3" s="1"/>
  <c r="AU32" i="3"/>
  <c r="AN39" i="3"/>
  <c r="AO36" i="3"/>
  <c r="AO37" i="3" s="1"/>
  <c r="AN38" i="3"/>
  <c r="AN40" i="3" s="1" a="1"/>
  <c r="AN40" i="3" s="1"/>
  <c r="AU21" i="3"/>
  <c r="E179" i="4" a="1"/>
  <c r="D179" i="4" a="1"/>
  <c r="C179" i="4" a="1"/>
  <c r="F179" i="4" a="1"/>
  <c r="F179" i="4" l="1"/>
  <c r="C179" i="4"/>
  <c r="D179" i="4"/>
  <c r="E179" i="4"/>
  <c r="AV32" i="3"/>
  <c r="AW25" i="3"/>
  <c r="AW26" i="3" s="1"/>
  <c r="AW29" i="3" s="1"/>
  <c r="AW30" i="3"/>
  <c r="AX6" i="3"/>
  <c r="B189" i="4" s="1"/>
  <c r="AW20" i="3"/>
  <c r="AW27" i="3"/>
  <c r="AW28" i="3" s="1"/>
  <c r="AW31" i="3" s="1"/>
  <c r="AW18" i="3" a="1"/>
  <c r="AW18" i="3" s="1"/>
  <c r="AW19" i="3" s="1"/>
  <c r="AO39" i="3"/>
  <c r="AO38" i="3"/>
  <c r="AO40" i="3" s="1" a="1"/>
  <c r="AO40" i="3" s="1"/>
  <c r="AP36" i="3"/>
  <c r="AP37" i="3" s="1"/>
  <c r="D180" i="4" a="1"/>
  <c r="C180" i="4" a="1"/>
  <c r="F180" i="4" a="1"/>
  <c r="E180" i="4" a="1"/>
  <c r="AW21" i="3" l="1"/>
  <c r="E180" i="4"/>
  <c r="F180" i="4"/>
  <c r="C180" i="4"/>
  <c r="D180" i="4"/>
  <c r="AP39" i="3"/>
  <c r="AP38" i="3"/>
  <c r="AP40" i="3" s="1" a="1"/>
  <c r="AP40" i="3" s="1"/>
  <c r="AQ36" i="3"/>
  <c r="AQ37" i="3" s="1"/>
  <c r="AX27" i="3"/>
  <c r="AX28" i="3" s="1"/>
  <c r="AX31" i="3" s="1"/>
  <c r="AX25" i="3"/>
  <c r="AX26" i="3" s="1"/>
  <c r="AX29" i="3" s="1"/>
  <c r="AX18" i="3" a="1"/>
  <c r="AX18" i="3" s="1"/>
  <c r="AX19" i="3" s="1"/>
  <c r="AX20" i="3"/>
  <c r="AY6" i="3"/>
  <c r="B190" i="4" s="1"/>
  <c r="AX30" i="3"/>
  <c r="AW32" i="3"/>
  <c r="E181" i="4" a="1"/>
  <c r="F181" i="4" a="1"/>
  <c r="D181" i="4" a="1"/>
  <c r="C181" i="4" a="1"/>
  <c r="C181" i="4" l="1"/>
  <c r="D181" i="4"/>
  <c r="F181" i="4"/>
  <c r="E181" i="4"/>
  <c r="AX21" i="3"/>
  <c r="AX32" i="3"/>
  <c r="AQ38" i="3"/>
  <c r="AQ40" i="3" s="1" a="1"/>
  <c r="AQ40" i="3" s="1"/>
  <c r="AQ39" i="3"/>
  <c r="AR36" i="3"/>
  <c r="AR37" i="3" s="1"/>
  <c r="AY27" i="3"/>
  <c r="AY28" i="3" s="1"/>
  <c r="AY31" i="3" s="1"/>
  <c r="AY25" i="3"/>
  <c r="AY26" i="3" s="1"/>
  <c r="AY29" i="3" s="1"/>
  <c r="AY20" i="3"/>
  <c r="AZ6" i="3"/>
  <c r="B191" i="4" s="1"/>
  <c r="AY18" i="3" a="1"/>
  <c r="AY18" i="3" s="1"/>
  <c r="AY19" i="3" s="1"/>
  <c r="AY30" i="3"/>
  <c r="F182" i="4" a="1"/>
  <c r="E182" i="4" a="1"/>
  <c r="D182" i="4" a="1"/>
  <c r="C182" i="4" a="1"/>
  <c r="C182" i="4" l="1"/>
  <c r="D182" i="4"/>
  <c r="E182" i="4"/>
  <c r="F182" i="4"/>
  <c r="AR39" i="3"/>
  <c r="AS36" i="3"/>
  <c r="AS37" i="3" s="1"/>
  <c r="AR38" i="3"/>
  <c r="AR40" i="3" s="1" a="1"/>
  <c r="AR40" i="3" s="1"/>
  <c r="AZ25" i="3"/>
  <c r="AZ26" i="3" s="1"/>
  <c r="AZ29" i="3" s="1"/>
  <c r="AZ27" i="3"/>
  <c r="AZ28" i="3" s="1"/>
  <c r="AZ31" i="3" s="1"/>
  <c r="AZ18" i="3" a="1"/>
  <c r="AZ18" i="3" s="1"/>
  <c r="AZ19" i="3" s="1"/>
  <c r="BA6" i="3"/>
  <c r="B192" i="4" s="1"/>
  <c r="AZ30" i="3"/>
  <c r="AZ20" i="3"/>
  <c r="AY32" i="3"/>
  <c r="AY21" i="3"/>
  <c r="F183" i="4" a="1"/>
  <c r="C183" i="4" a="1"/>
  <c r="E183" i="4" a="1"/>
  <c r="D183" i="4" a="1"/>
  <c r="D183" i="4" l="1"/>
  <c r="E183" i="4"/>
  <c r="C183" i="4"/>
  <c r="F183" i="4"/>
  <c r="AZ21" i="3"/>
  <c r="BA27" i="3"/>
  <c r="BA28" i="3" s="1"/>
  <c r="BA31" i="3" s="1"/>
  <c r="D31" i="3" s="1"/>
  <c r="BA20" i="3"/>
  <c r="D20" i="3" s="1"/>
  <c r="BA18" i="3" a="1"/>
  <c r="BA18" i="3" s="1"/>
  <c r="BA19" i="3" s="1"/>
  <c r="BA25" i="3"/>
  <c r="BA26" i="3" s="1"/>
  <c r="BA30" i="3"/>
  <c r="D30" i="3" s="1"/>
  <c r="AZ32" i="3"/>
  <c r="AT36" i="3"/>
  <c r="AT37" i="3" s="1"/>
  <c r="AS39" i="3"/>
  <c r="AS38" i="3"/>
  <c r="AS40" i="3" s="1" a="1"/>
  <c r="AS40" i="3" s="1"/>
  <c r="F184" i="4" a="1"/>
  <c r="E184" i="4" a="1"/>
  <c r="D184" i="4" a="1"/>
  <c r="C184" i="4" a="1"/>
  <c r="C184" i="4" l="1"/>
  <c r="D184" i="4"/>
  <c r="E184" i="4"/>
  <c r="F184" i="4"/>
  <c r="BA21" i="3"/>
  <c r="D21" i="3" s="1"/>
  <c r="D19" i="3"/>
  <c r="D54" i="3" s="1"/>
  <c r="AT39" i="3"/>
  <c r="AT38" i="3"/>
  <c r="AT40" i="3" s="1" a="1"/>
  <c r="AT40" i="3" s="1"/>
  <c r="AU36" i="3"/>
  <c r="AU37" i="3" s="1"/>
  <c r="D55" i="3"/>
  <c r="BA29" i="3"/>
  <c r="F185" i="4" a="1"/>
  <c r="E185" i="4" a="1"/>
  <c r="D185" i="4" a="1"/>
  <c r="C185" i="4" a="1"/>
  <c r="C185" i="4" l="1"/>
  <c r="D185" i="4"/>
  <c r="E185" i="4"/>
  <c r="F185" i="4"/>
  <c r="AU38" i="3"/>
  <c r="AU40" i="3" s="1" a="1"/>
  <c r="AU40" i="3" s="1"/>
  <c r="AV36" i="3"/>
  <c r="AV37" i="3" s="1"/>
  <c r="AU39" i="3"/>
  <c r="BA32" i="3"/>
  <c r="D32" i="3" s="1"/>
  <c r="D29" i="3"/>
  <c r="F186" i="4" a="1"/>
  <c r="E186" i="4" a="1"/>
  <c r="D186" i="4" a="1"/>
  <c r="C186" i="4" a="1"/>
  <c r="C186" i="4" l="1"/>
  <c r="D186" i="4"/>
  <c r="E186" i="4"/>
  <c r="F186" i="4"/>
  <c r="AV38" i="3"/>
  <c r="AV40" i="3" s="1" a="1"/>
  <c r="AV40" i="3" s="1"/>
  <c r="AW36" i="3"/>
  <c r="AW37" i="3" s="1"/>
  <c r="AV39" i="3"/>
  <c r="F187" i="4" a="1"/>
  <c r="E187" i="4" a="1"/>
  <c r="D187" i="4" a="1"/>
  <c r="C187" i="4" a="1"/>
  <c r="C187" i="4" l="1"/>
  <c r="D187" i="4"/>
  <c r="E187" i="4"/>
  <c r="F187" i="4"/>
  <c r="AW39" i="3"/>
  <c r="AX36" i="3"/>
  <c r="AX37" i="3" s="1"/>
  <c r="AW38" i="3"/>
  <c r="AW40" i="3" s="1" a="1"/>
  <c r="AW40" i="3" s="1"/>
  <c r="F188" i="4" a="1"/>
  <c r="E188" i="4" a="1"/>
  <c r="D188" i="4" a="1"/>
  <c r="C188" i="4" a="1"/>
  <c r="C188" i="4" l="1"/>
  <c r="D188" i="4"/>
  <c r="E188" i="4"/>
  <c r="F188" i="4"/>
  <c r="AX39" i="3"/>
  <c r="AY36" i="3"/>
  <c r="AY37" i="3" s="1"/>
  <c r="AX38" i="3"/>
  <c r="AX40" i="3" s="1" a="1"/>
  <c r="AX40" i="3" s="1"/>
  <c r="F189" i="4" a="1"/>
  <c r="E189" i="4" a="1"/>
  <c r="D189" i="4" a="1"/>
  <c r="C189" i="4" a="1"/>
  <c r="C189" i="4" l="1"/>
  <c r="D189" i="4"/>
  <c r="E189" i="4"/>
  <c r="F189" i="4"/>
  <c r="AY38" i="3"/>
  <c r="AY40" i="3" s="1" a="1"/>
  <c r="AY40" i="3" s="1"/>
  <c r="AZ36" i="3"/>
  <c r="AZ37" i="3" s="1"/>
  <c r="AY39" i="3"/>
  <c r="F190" i="4" a="1"/>
  <c r="E190" i="4" a="1"/>
  <c r="D190" i="4" a="1"/>
  <c r="C190" i="4" a="1"/>
  <c r="C190" i="4" l="1"/>
  <c r="D190" i="4"/>
  <c r="E190" i="4"/>
  <c r="F190" i="4"/>
  <c r="BA36" i="3"/>
  <c r="D36" i="3" s="1"/>
  <c r="D48" i="3" s="1" a="1"/>
  <c r="D48" i="3" s="1"/>
  <c r="AZ38" i="3"/>
  <c r="AZ40" i="3" s="1" a="1"/>
  <c r="AZ40" i="3" s="1"/>
  <c r="AZ39" i="3"/>
  <c r="BA37" i="3"/>
  <c r="E33" i="4" a="1"/>
  <c r="D33" i="4" a="1"/>
  <c r="G33" i="4" a="1"/>
  <c r="F33" i="4" a="1"/>
  <c r="C191" i="4" a="1"/>
  <c r="F191" i="4" a="1"/>
  <c r="E191" i="4" a="1"/>
  <c r="D191" i="4" a="1"/>
  <c r="D191" i="4" l="1"/>
  <c r="E191" i="4"/>
  <c r="F191" i="4"/>
  <c r="C191" i="4"/>
  <c r="F33" i="4"/>
  <c r="G33" i="4"/>
  <c r="D33" i="4"/>
  <c r="E33" i="4"/>
  <c r="D49" i="3" a="1"/>
  <c r="D49" i="3" s="1"/>
  <c r="BA38" i="3"/>
  <c r="BA39" i="3"/>
  <c r="E31" i="4" a="1"/>
  <c r="D137" i="4" a="1"/>
  <c r="D31" i="4" a="1"/>
  <c r="G31" i="4" a="1"/>
  <c r="F31" i="4" a="1"/>
  <c r="B58" i="4" a="1"/>
  <c r="G34" i="4" a="1"/>
  <c r="G34" i="4" l="1"/>
  <c r="E60" i="4"/>
  <c r="C61" i="4"/>
  <c r="E59" i="4"/>
  <c r="C60" i="4"/>
  <c r="B61" i="4"/>
  <c r="B142" i="4" s="1"/>
  <c r="E61" i="4"/>
  <c r="B59" i="4"/>
  <c r="B140" i="4" s="1"/>
  <c r="D59" i="4"/>
  <c r="D61" i="4"/>
  <c r="E58" i="4"/>
  <c r="C59" i="4"/>
  <c r="D58" i="4"/>
  <c r="D60" i="4"/>
  <c r="B58" i="4"/>
  <c r="B139" i="4" s="1"/>
  <c r="B60" i="4"/>
  <c r="B141" i="4" s="1"/>
  <c r="C58" i="4"/>
  <c r="F31" i="4"/>
  <c r="G31" i="4"/>
  <c r="D31" i="4"/>
  <c r="D137" i="4"/>
  <c r="E31" i="4"/>
  <c r="D50" i="3" a="1"/>
  <c r="D50" i="3" s="1"/>
  <c r="D56" i="3"/>
  <c r="B7" i="4" s="1"/>
  <c r="BA40" i="3" a="1"/>
  <c r="BA40" i="3" s="1"/>
  <c r="D45" i="3" a="1"/>
  <c r="D45" i="3" s="1"/>
  <c r="F192" i="4" a="1"/>
  <c r="E192" i="4" a="1"/>
  <c r="D192" i="4" a="1"/>
  <c r="C192" i="4" a="1"/>
  <c r="G32" i="4" a="1"/>
  <c r="F32" i="4" a="1"/>
  <c r="D32" i="4" a="1"/>
  <c r="E32" i="4" a="1"/>
  <c r="D121" i="4" a="1"/>
  <c r="D81" i="4" a="1"/>
  <c r="D110" i="4" a="1"/>
  <c r="D84" i="4" a="1"/>
  <c r="D104" i="4" a="1"/>
  <c r="D23" i="4" a="1"/>
  <c r="D125" i="4" a="1"/>
  <c r="D118" i="4" a="1"/>
  <c r="D109" i="4" a="1"/>
  <c r="D96" i="4" a="1"/>
  <c r="D92" i="4" a="1"/>
  <c r="D128" i="4" a="1"/>
  <c r="D124" i="4" a="1"/>
  <c r="D107" i="4" a="1"/>
  <c r="D97" i="4" a="1"/>
  <c r="D105" i="4" a="1"/>
  <c r="D99" i="4" a="1"/>
  <c r="D93" i="4" a="1"/>
  <c r="D98" i="4" a="1"/>
  <c r="D25" i="4" a="1"/>
  <c r="D123" i="4" a="1"/>
  <c r="D116" i="4" a="1"/>
  <c r="D86" i="4" a="1"/>
  <c r="D89" i="4" a="1"/>
  <c r="D94" i="4" a="1"/>
  <c r="D21" i="4" a="1"/>
  <c r="D87" i="4" a="1"/>
  <c r="D117" i="4" a="1"/>
  <c r="D102" i="4" a="1"/>
  <c r="D95" i="4" a="1"/>
  <c r="D24" i="4" a="1"/>
  <c r="D88" i="4" a="1"/>
  <c r="D101" i="4" a="1"/>
  <c r="D112" i="4" a="1"/>
  <c r="D13" i="4" a="1"/>
  <c r="D82" i="4" a="1"/>
  <c r="D126" i="4" a="1"/>
  <c r="D20" i="4" a="1"/>
  <c r="D122" i="4" a="1"/>
  <c r="B44" i="4" a="1"/>
  <c r="D119" i="4" a="1"/>
  <c r="D80" i="4" a="1"/>
  <c r="D83" i="4" a="1"/>
  <c r="D114" i="4" a="1"/>
  <c r="D85" i="4" a="1"/>
  <c r="D91" i="4" a="1"/>
  <c r="D120" i="4" a="1"/>
  <c r="D22" i="4" a="1"/>
  <c r="D108" i="4" a="1"/>
  <c r="D130" i="4" a="1"/>
  <c r="D127" i="4" a="1"/>
  <c r="D100" i="4" a="1"/>
  <c r="D111" i="4" a="1"/>
  <c r="D115" i="4" a="1"/>
  <c r="B6" i="4" a="1"/>
  <c r="D103" i="4" a="1"/>
  <c r="D113" i="4" a="1"/>
  <c r="D106" i="4" a="1"/>
  <c r="D79" i="4" a="1"/>
  <c r="D90" i="4" a="1"/>
  <c r="G141" i="4" l="1"/>
  <c r="F141" i="4"/>
  <c r="D90" i="4"/>
  <c r="D79" i="4"/>
  <c r="D106" i="4"/>
  <c r="D113" i="4"/>
  <c r="D103" i="4"/>
  <c r="B6" i="4"/>
  <c r="D115" i="4"/>
  <c r="D111" i="4"/>
  <c r="D100" i="4"/>
  <c r="D127" i="4"/>
  <c r="D130" i="4"/>
  <c r="D108" i="4"/>
  <c r="D22" i="4"/>
  <c r="D120" i="4"/>
  <c r="D91" i="4"/>
  <c r="D85" i="4"/>
  <c r="D114" i="4"/>
  <c r="D83" i="4"/>
  <c r="D80" i="4"/>
  <c r="D119" i="4"/>
  <c r="C45" i="4"/>
  <c r="D46" i="4"/>
  <c r="C47" i="4"/>
  <c r="E45" i="4"/>
  <c r="B45" i="4"/>
  <c r="B133" i="4" s="1"/>
  <c r="E44" i="4"/>
  <c r="C46" i="4"/>
  <c r="G134" i="4" s="1"/>
  <c r="D44" i="4"/>
  <c r="C44" i="4"/>
  <c r="G132" i="4" s="1"/>
  <c r="B46" i="4"/>
  <c r="B134" i="4" s="1"/>
  <c r="B47" i="4"/>
  <c r="B135" i="4" s="1"/>
  <c r="E47" i="4"/>
  <c r="D45" i="4"/>
  <c r="B44" i="4"/>
  <c r="B132" i="4" s="1"/>
  <c r="E46" i="4"/>
  <c r="D47" i="4"/>
  <c r="D122" i="4"/>
  <c r="D20" i="4"/>
  <c r="D126" i="4"/>
  <c r="D82" i="4"/>
  <c r="D13" i="4"/>
  <c r="D112" i="4"/>
  <c r="D101" i="4"/>
  <c r="D88" i="4"/>
  <c r="D24" i="4"/>
  <c r="D95" i="4"/>
  <c r="D102" i="4"/>
  <c r="D117" i="4"/>
  <c r="D87" i="4"/>
  <c r="D21" i="4"/>
  <c r="D94" i="4"/>
  <c r="D89" i="4"/>
  <c r="D86" i="4"/>
  <c r="D116" i="4"/>
  <c r="D123" i="4"/>
  <c r="D25" i="4"/>
  <c r="D26" i="4" s="1"/>
  <c r="D98" i="4"/>
  <c r="D93" i="4"/>
  <c r="D99" i="4"/>
  <c r="D105" i="4"/>
  <c r="D97" i="4"/>
  <c r="D107" i="4"/>
  <c r="D124" i="4"/>
  <c r="D128" i="4"/>
  <c r="D92" i="4"/>
  <c r="D96" i="4"/>
  <c r="D109" i="4"/>
  <c r="D118" i="4"/>
  <c r="D125" i="4"/>
  <c r="D23" i="4"/>
  <c r="D104" i="4"/>
  <c r="D84" i="4"/>
  <c r="D110" i="4"/>
  <c r="D81" i="4"/>
  <c r="D121" i="4"/>
  <c r="E32" i="4"/>
  <c r="D32" i="4"/>
  <c r="F32" i="4"/>
  <c r="G32" i="4"/>
  <c r="C192" i="4"/>
  <c r="D192" i="4"/>
  <c r="E192" i="4"/>
  <c r="F192" i="4"/>
  <c r="F142" i="4"/>
  <c r="F139" i="4"/>
  <c r="G140" i="4"/>
  <c r="G142" i="4"/>
  <c r="G139" i="4"/>
  <c r="F140" i="4"/>
  <c r="D46" i="3" a="1"/>
  <c r="D46" i="3" s="1"/>
  <c r="D47" i="3" a="1"/>
  <c r="D47" i="3" s="1"/>
  <c r="D15" i="4" a="1"/>
  <c r="D14" i="4" a="1"/>
  <c r="F135" i="4" l="1"/>
  <c r="F132" i="4"/>
  <c r="G133" i="4"/>
  <c r="G135" i="4"/>
  <c r="F134" i="4"/>
  <c r="F133" i="4"/>
  <c r="D14" i="4"/>
  <c r="D15"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<sst xmlns="http://schemas.openxmlformats.org/spreadsheetml/2006/main" count="373" uniqueCount="271">
  <si>
    <t>Construction Cash Flow and Peak Funding</t>
  </si>
  <si>
    <t>ModelRisk example  ·  Projects and construction  ·  PC-08</t>
  </si>
  <si>
    <t>Is a US$40 million facility enough?  A developer's monthly cash flow, peak funding and profit.</t>
  </si>
  <si>
    <t>Next:  Inputs  ▸</t>
  </si>
  <si>
    <t>Model card</t>
  </si>
  <si>
    <t>Industry</t>
  </si>
  <si>
    <t>Projects and construction</t>
  </si>
  <si>
    <t>Difficulty</t>
  </si>
  <si>
    <t>★★★★☆   A 48-month cash flow with S-curve spend, off-plan sales and a revolving facility with monthly interest.</t>
  </si>
  <si>
    <t>Business question</t>
  </si>
  <si>
    <t>A developer is building 120 apartments with US$15 million of equity and a US$40 million bank facility. The construction cost and duration are uncertain, and so are the pace and the price of off-plan sales. How large will the peak funding need be, how likely is it to exceed the facility, and what profit will the scheme make?</t>
  </si>
  <si>
    <t>Who it is for</t>
  </si>
  <si>
    <t>Developers, development and project finance teams, lenders, and development managers.</t>
  </si>
  <si>
    <t>Main outputs</t>
  </si>
  <si>
    <t>Peak funding: mean, P80, P90 and the month it occurs · the chance of exceeding the facility · the drawn balance by month with its range · profit and profit on cost · what drives the peak and the profit.</t>
  </si>
  <si>
    <t>ModelRisk techniques</t>
  </si>
  <si>
    <t>S-curve of construction spend (cumulative Beta) over an uncertain duration · off-plan sales with deposits and balances at completion · a revolving facility drawn and repaid month by month with interest · fan chart of the drawn balance · two tornado charts.</t>
  </si>
  <si>
    <t>File</t>
  </si>
  <si>
    <t>PC-08 Construction cash flow and peak funding  ·  Version 1.0  ·  October 2026  ·  built with ModelRisk 10</t>
  </si>
  <si>
    <t>The business question</t>
  </si>
  <si>
    <t>A developer has bought a site for US$8 million and will build 120 apartments over about 30 months: a construction contract of about US$45 million, plus its own fees, site costs and sales office at US$120,000 a month while building. It puts in US$15 million of equity, and the bank offers a US$40 million revolving facility at 7%. Construction spend follows the familiar S-curve: slow at first, fastest a little before mid-way, slow at the end. Off-plan buyers pay a 10% deposit when they sign and the balance at completion; apartments still unsold at completion are sold afterwards at a discount. The funding need peaks at completion, when the money has been spent and only the deposits have come in. The model simulates the monthly cash flow and the facility, and asks whether US$40 million is enough.</t>
  </si>
  <si>
    <t>How the model works</t>
  </si>
  <si>
    <t>Three sheets after this one, read from left to right. Each one feeds the next.</t>
  </si>
  <si>
    <t>1  Inputs</t>
  </si>
  <si>
    <t>The land cost and the equity; the facility limit and its interest rate; the construction cost and duration (PERT), the shape of the S-curve and the monthly overheads; the number of apartments, today's price and a market factor, the off-plan sales pace, the deposit, and the sales after completion.</t>
  </si>
  <si>
    <t>2  Cash flow</t>
  </si>
  <si>
    <t>Each month, construction spend = cost × the increase in the S-curve (the cumulative Beta distribution of the month ÷ the duration), plus the overheads while building. Receipts are deposits on new contracts, the balances the month after completion, and later sales. Cash is used first; the facility is drawn when cash runs out and repaid from receipts, and interest is charged on the drawn balance.</t>
  </si>
  <si>
    <t>3  Results</t>
  </si>
  <si>
    <t>Peak funding and when it occurs, the chance that it exceeds the facility, the drawn balance by month, profit after interest, and what drives the peak and the profit.</t>
  </si>
  <si>
    <t>How to use it</t>
  </si>
  <si>
    <t>Step 1</t>
  </si>
  <si>
    <t>Enter your scheme's land, equity, facility, cost, duration and sales assumptions on the Inputs sheet.</t>
  </si>
  <si>
    <t>Step 2</t>
  </si>
  <si>
    <t>Press F9 on the Cash flow sheet to see other monthly profiles; the chart beside the outputs shows each one.</t>
  </si>
  <si>
    <t>Step 3</t>
  </si>
  <si>
    <t>Run a simulation from the ModelRisk ribbon (10,000 samples with a fixed seed are set).</t>
  </si>
  <si>
    <t>Step 4</t>
  </si>
  <si>
    <t>Size the facility at the confidence the lender requires, or use the drivers to bring the peak down.</t>
  </si>
  <si>
    <t>Workbook map</t>
  </si>
  <si>
    <t>Inputs</t>
  </si>
  <si>
    <t>Site and finance, construction, and sales.</t>
  </si>
  <si>
    <t>Cash flow</t>
  </si>
  <si>
    <t>This iteration's single values, then 48 months of spend, sales, funding and interest; outputs, checks and a chart.</t>
  </si>
  <si>
    <t>Results</t>
  </si>
  <si>
    <t>Peak funding against the facility, drawn balance fan chart, profit, and the drivers of each.</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</si>
  <si>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</si>
  <si>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</si>
  <si>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</si>
  <si>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</si>
  <si>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</si>
  <si>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</si>
  <si>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</si>
  <si>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</si>
  <si>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</si>
  <si>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</si>
  <si>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</si>
  <si>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</si>
  <si>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</si>
  <si>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million (US$m); apartment prices in US$ thousand.</t>
  </si>
  <si>
    <t>Months</t>
  </si>
  <si>
    <t>Month 1 is the first month of construction. The Open column is the position at the start: equity paid in, land bought.</t>
  </si>
  <si>
    <t>Facility</t>
  </si>
  <si>
    <t>A revolving loan: drawn when cash runs out, repaid from receipts, interest charged monthly on the drawn balance.</t>
  </si>
  <si>
    <t>Peak funding</t>
  </si>
  <si>
    <t>The largest drawn balance at any month-end.</t>
  </si>
  <si>
    <t>Key assumptions and limitations</t>
  </si>
  <si>
    <t>Spend</t>
  </si>
  <si>
    <t>Construction cost follows a cumulative Beta S-curve over the duration; overheads are paid monthly while building; no retention or payment delays.</t>
  </si>
  <si>
    <t>Sales</t>
  </si>
  <si>
    <t>Off-plan sales at a steady average pace until completion, balances paid the month after; the rest sold later at a fixed pace and discount.</t>
  </si>
  <si>
    <t>Finance</t>
  </si>
  <si>
    <t>One interest rate, no fees, covenants or tax; the equity is used before the facility.</t>
  </si>
  <si>
    <t>Independence</t>
  </si>
  <si>
    <t>Cost, duration, sales pace and prices are independent of each other (PC-04 links cost and schedule through shared risks).</t>
  </si>
  <si>
    <t>Data</t>
  </si>
  <si>
    <t>The scheme and all figures are invented for this example.</t>
  </si>
  <si>
    <t>ModelRisk functions used</t>
  </si>
  <si>
    <t>VosePERT</t>
  </si>
  <si>
    <t>Construction cost and duration, the market price factor and the off-plan sales pace.</t>
  </si>
  <si>
    <t>VoseBetaProb</t>
  </si>
  <si>
    <t>The S-curve: the cumulative share of the construction cost spent by each month.</t>
  </si>
  <si>
    <t>VoseInput, VoseOutput</t>
  </si>
  <si>
    <t>Name the uncertain inputs and the outputs, including the drawn balance in every month.</t>
  </si>
  <si>
    <t>VoseSimMean, VoseSimPercentile, VoseSimProbability</t>
  </si>
  <si>
    <t>Statistics of the simulation for the tables and charts on the Results sheet.</t>
  </si>
  <si>
    <t>VoseSimSensitivityMean</t>
  </si>
  <si>
    <t>The two tornado charts: every VoseInput ranked by how far the mean peak funding, and the mean profit, move across its range.</t>
  </si>
  <si>
    <t>Further reading</t>
  </si>
  <si>
    <t>Kenley, R. (2003). Financing Construction: Cash Flows and Cash Farming. Spon Press.</t>
  </si>
  <si>
    <t>Development appraisal</t>
  </si>
  <si>
    <t>Havard, T. (2014). Financial Feasibility Studies for Property Development: Theory and Practice. Routledge.</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</si>
  <si>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</si>
  <si>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</si>
  <si>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</si>
  <si>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Cash flow  ▸</t>
  </si>
  <si>
    <t>How to read this sheet:  yellow cells are inputs.  Orange cells hold ModelRisk distributions and show the current random sample (press F9 to draw again).  Low / Most likely / High are the minimum, most likely and maximum for PERT.  Mean is the distribution's average (VoseMean); it shows ✗ if a range is out of order.</t>
  </si>
  <si>
    <t>1   Site, equity and finance</t>
  </si>
  <si>
    <t>Money in at the start, and the bank facility.</t>
  </si>
  <si>
    <t>Assumption</t>
  </si>
  <si>
    <t>Unit</t>
  </si>
  <si>
    <t>Value in model</t>
  </si>
  <si>
    <t>Uncertainty</t>
  </si>
  <si>
    <t>Basis / source (illustrative)</t>
  </si>
  <si>
    <t>Land  (paid at the start)</t>
  </si>
  <si>
    <t>US$m</t>
  </si>
  <si>
    <t>Fixed</t>
  </si>
  <si>
    <t>Site bought with planning consent.</t>
  </si>
  <si>
    <t>Developer's equity</t>
  </si>
  <si>
    <t>Paid in at the start; used before the facility.</t>
  </si>
  <si>
    <t>Facility limit</t>
  </si>
  <si>
    <t>Revolving construction loan offered by the bank.</t>
  </si>
  <si>
    <t>Interest rate</t>
  </si>
  <si>
    <t>per year</t>
  </si>
  <si>
    <t>Charged monthly on the drawn balance.</t>
  </si>
  <si>
    <t>Confidence the bank requires</t>
  </si>
  <si>
    <t>probability</t>
  </si>
  <si>
    <t>The Results sheet tests the facility against the peak funding at this confidence.</t>
  </si>
  <si>
    <t>2   Construction</t>
  </si>
  <si>
    <t>Cost and duration, the shape of the spend profile, and the developer's own monthly costs.</t>
  </si>
  <si>
    <t>Low</t>
  </si>
  <si>
    <t>Most likely</t>
  </si>
  <si>
    <t>High</t>
  </si>
  <si>
    <t>Mean</t>
  </si>
  <si>
    <t>Construction cost</t>
  </si>
  <si>
    <t>PERT</t>
  </si>
  <si>
    <t>Contract sum with design, ground and market risk.</t>
  </si>
  <si>
    <t>Construction duration</t>
  </si>
  <si>
    <t>months</t>
  </si>
  <si>
    <t>Rounded to whole months in the model.</t>
  </si>
  <si>
    <t>S-curve shape: α</t>
  </si>
  <si>
    <t>With β: a typical S-curve, steepest a little before mid-way.</t>
  </si>
  <si>
    <t>S-curve shape: β</t>
  </si>
  <si>
    <t>Developer's overheads while building</t>
  </si>
  <si>
    <t>US$m per month</t>
  </si>
  <si>
    <t>Fees, site costs, insurance and the sales office.</t>
  </si>
  <si>
    <t>3   Sales</t>
  </si>
  <si>
    <t>Off-plan sales during construction, the rest after completion.</t>
  </si>
  <si>
    <t>Apartments</t>
  </si>
  <si>
    <t>units</t>
  </si>
  <si>
    <t>Average price per apartment today</t>
  </si>
  <si>
    <t>US$ thousand</t>
  </si>
  <si>
    <t>Agent's appraisal at today's values.</t>
  </si>
  <si>
    <t>Market price factor at completion</t>
  </si>
  <si>
    <t>× today</t>
  </si>
  <si>
    <t>Prices at completion relative to today.</t>
  </si>
  <si>
    <t>Off-plan sales pace</t>
  </si>
  <si>
    <t>units per month</t>
  </si>
  <si>
    <t>An average, so the Cash flow sheet shows fractions of an apartment.</t>
  </si>
  <si>
    <t>Off-plan sales start</t>
  </si>
  <si>
    <t>month</t>
  </si>
  <si>
    <t>When the sales office opens.</t>
  </si>
  <si>
    <t>Deposit on signing</t>
  </si>
  <si>
    <t>of the price</t>
  </si>
  <si>
    <t>The balance is paid the month after completion.</t>
  </si>
  <si>
    <t>Sales after completion</t>
  </si>
  <si>
    <t>Finished apartments sell faster.</t>
  </si>
  <si>
    <t>Discount on sales after completion</t>
  </si>
  <si>
    <t>Incentives to clear the stock.</t>
  </si>
  <si>
    <t>CASH FLOW   ·   Monthly spend, receipts, funding and interest (US$m).</t>
  </si>
  <si>
    <t>◂  Inputs</t>
  </si>
  <si>
    <t>Next:  Results  ▸</t>
  </si>
  <si>
    <t>Month</t>
  </si>
  <si>
    <t>Total</t>
  </si>
  <si>
    <t>Open</t>
  </si>
  <si>
    <t>1   This iteration's single values</t>
  </si>
  <si>
    <t>Quantity</t>
  </si>
  <si>
    <t>Value</t>
  </si>
  <si>
    <t>How it is calculated</t>
  </si>
  <si>
    <t>Construction duration in whole months</t>
  </si>
  <si>
    <t>The duration on the Inputs sheet, rounded</t>
  </si>
  <si>
    <t>Average price per apartment at completion</t>
  </si>
  <si>
    <t>Today's price × market factor, in US$ million</t>
  </si>
  <si>
    <t>Apartments sold off-plan by completion</t>
  </si>
  <si>
    <t>Sales pace × months of off-plan selling, at most all the apartments</t>
  </si>
  <si>
    <t>Monthly interest rate</t>
  </si>
  <si>
    <t>Annual rate ÷ 12</t>
  </si>
  <si>
    <t>2   Spend</t>
  </si>
  <si>
    <t>Cumulative share spent = VoseBetaProb(month ÷ duration, α, β, TRUE); overheads while building.</t>
  </si>
  <si>
    <t>Cumulative share of the construction cost</t>
  </si>
  <si>
    <t>Construction spend</t>
  </si>
  <si>
    <t>Developer's overheads</t>
  </si>
  <si>
    <t>Total spend</t>
  </si>
  <si>
    <t>3   Sales receipts</t>
  </si>
  <si>
    <t>Deposits on signing, balances the month after completion, then later sales.</t>
  </si>
  <si>
    <t>Months of off-plan selling so far</t>
  </si>
  <si>
    <t>Off-plan contracts, cumulative</t>
  </si>
  <si>
    <t>Months since completion</t>
  </si>
  <si>
    <t>Sales after completion, cumulative</t>
  </si>
  <si>
    <t>Deposits</t>
  </si>
  <si>
    <t>Balances at completion</t>
  </si>
  <si>
    <t>Total receipts</t>
  </si>
  <si>
    <t>4   Funding</t>
  </si>
  <si>
    <t>One running balance: cash in hand when positive, the facility drawn when negative. Interest is charged on what was drawn at the end of the month before.</t>
  </si>
  <si>
    <t>Interest on the drawn balance</t>
  </si>
  <si>
    <t>Balance: cash in hand − facility drawn</t>
  </si>
  <si>
    <t>Facility drawn at month-end</t>
  </si>
  <si>
    <t>Cash in hand at month-end</t>
  </si>
  <si>
    <t>Facility drawn  (output, for the fan chart)</t>
  </si>
  <si>
    <t>5   Value in this iteration</t>
  </si>
  <si>
    <t>This iteration: spend and facility drawn by month  (F9 for another)</t>
  </si>
  <si>
    <t>Key outputs, recorded at every sample (VoseOutput); statistics on the Results sheet.</t>
  </si>
  <si>
    <t>Output</t>
  </si>
  <si>
    <t>Meaning</t>
  </si>
  <si>
    <t>Peak funding  (largest drawn balance)</t>
  </si>
  <si>
    <t>The facility this iteration needs.</t>
  </si>
  <si>
    <t>Month of the peak</t>
  </si>
  <si>
    <t>Peak above the facility?  (1 = yes)</t>
  </si>
  <si>
    <t>1 / 0</t>
  </si>
  <si>
    <t>Interest paid</t>
  </si>
  <si>
    <t>Profit after interest</t>
  </si>
  <si>
    <t>Receipts less the land, the spend and the interest.</t>
  </si>
  <si>
    <t>Profit on cost</t>
  </si>
  <si>
    <t>Profit ÷ (land + spend + interest).</t>
  </si>
  <si>
    <t>6   Model checks</t>
  </si>
  <si>
    <t>Should all read OK. A CHECK means an input is outside the range the model is built for.</t>
  </si>
  <si>
    <t>All the construction cost is spent within the 48 months</t>
  </si>
  <si>
    <t>All the apartments are sold within the 48 months</t>
  </si>
  <si>
    <t>The facility is repaid by month 48</t>
  </si>
  <si>
    <t>RESULTS   ·   Filled in automatically from the last simulation. Run a simulation after changing any input.</t>
  </si>
  <si>
    <t>◂  Cash flow</t>
  </si>
  <si>
    <t>1   Peak funding</t>
  </si>
  <si>
    <t>Peak funding — cumulative probability</t>
  </si>
  <si>
    <t>The largest drawn balance, against the facility the bank offers.</t>
  </si>
  <si>
    <t>Measure</t>
  </si>
  <si>
    <t>Facility limit  (Inputs sheet)</t>
  </si>
  <si>
    <t>Mean peak funding</t>
  </si>
  <si>
    <t>Chance that the peak exceeds the facility</t>
  </si>
  <si>
    <t>Median month of the peak</t>
  </si>
  <si>
    <t>2   Sizing the facility</t>
  </si>
  <si>
    <t>The facility needed for each chance of it being enough: percentiles of the peak funding.</t>
  </si>
  <si>
    <t>For a 50% chance of being enough</t>
  </si>
  <si>
    <t>For an 80% chance</t>
  </si>
  <si>
    <t>For a 90% chance</t>
  </si>
  <si>
    <t>For a 95% chance</t>
  </si>
  <si>
    <t>For a 99% chance</t>
  </si>
  <si>
    <t>Facility drawn by month — 10th to 90th percentile</t>
  </si>
  <si>
    <t>3   Profit</t>
  </si>
  <si>
    <t>After interest and the return of the equity.</t>
  </si>
  <si>
    <t>10th pct</t>
  </si>
  <si>
    <t>Median</t>
  </si>
  <si>
    <t>90th pct</t>
  </si>
  <si>
    <t>Chance of a loss</t>
  </si>
  <si>
    <t>4   What drives the peak funding</t>
  </si>
  <si>
    <t>What drives the peak funding  (US$m)</t>
  </si>
  <si>
    <t>Lowest and highest mean peak funding over ten equal groups of each input (VoseSimSensitivityMean), drawn from the overall mean.</t>
  </si>
  <si>
    <t>Input (ranked by influence)</t>
  </si>
  <si>
    <t>Lowest mean</t>
  </si>
  <si>
    <t>Highest mean</t>
  </si>
  <si>
    <t>Rank</t>
  </si>
  <si>
    <t>5   What drives the profit</t>
  </si>
  <si>
    <t>What drives the profit  (US$m)</t>
  </si>
  <si>
    <t>Lowest and highest mean profit over ten equal groups of each input (VoseSimSensitivityMean), drawn from the overall mean.</t>
  </si>
  <si>
    <t>6   How to read these results</t>
  </si>
  <si>
    <t>•  The funding need peaks at completion: the construction cost has been spent, but only the deposits have come in. The balances paid the month after completion repay the facility in one go.</t>
  </si>
  <si>
    <t>•  A facility sized on the average peak leaves a real chance of running out of money at the worst moment, just before completion. Sizing it at the P90, or agreeing headroom with the bank, removes most of that risk.</t>
  </si>
  <si>
    <t>•  The construction cost drives the peak almost on its own. Faster off-plan sales and higher prices lower it a little through larger deposits; a longer programme raises it a little, with more interest and overheads partly offset by more deposits.</t>
  </si>
  <si>
    <t>•  The profit depends on the market as much as on the cost. Prices hardly move the peak, because only the deposits arrive before it, but they move the profit almost one for one.</t>
  </si>
  <si>
    <t>Chart data</t>
  </si>
  <si>
    <t>Statistics of the last simulation behind the charts and the ranking above. Grouped: click + in the left margin to show them.</t>
  </si>
  <si>
    <t>Cumulative probability</t>
  </si>
  <si>
    <t>Exceedance</t>
  </si>
  <si>
    <t>PeakFunding</t>
  </si>
  <si>
    <t>Overall mean of PeakFunding</t>
  </si>
  <si>
    <t>Ranked input (chart)</t>
  </si>
  <si>
    <t>Highest − mean</t>
  </si>
  <si>
    <t>Lowest − mean</t>
  </si>
  <si>
    <t>Overall mean of Profit</t>
  </si>
  <si>
    <t>Period</t>
  </si>
  <si>
    <t>10th percentile</t>
  </si>
  <si>
    <t>90th percentile</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</si>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</sst>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_);\(#,##0.0\);&quot;–&quot;_)"/>
    <numFmt numFmtId="165" formatCode="0.0%"/>
    <numFmt numFmtId="166" formatCode="#,##0.00_);\(#,##0.00\);&quot;–&quot;_)"/>
    <numFmt numFmtId="167" formatCode="#,##0_);\(#,##0\);&quot;–&quot;_)"/>
    <numFmt numFmtId="168" formatCode="0.000"/>
    <numFmt numFmtId="169" formatCode="0.000%"/>
    <numFmt numFmtId="170" formatCode="#,##0.0_);\(#,##0.0\);&quot;–&quot;_);&quot;–&quot;"/>
    <numFmt numFmtId="171" formatCode="0.0%;\-0.0%;0.0%;&quot;–&quot;"/>
    <numFmt numFmtId="172" formatCode="0;\-0;0;&quot;–&quot;"/>
    <numFmt numFmtId="173" formatCode="#,##0.00_);\(#,##0.00\);&quot;–&quot;_);&quot;–&quot;"/>
  </numFmts>
  <fonts count="26"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b/>
      <sz val="9"/>
      <color rgb="FF0F2A47"/>
      <name val="Calibri"/>
    </font>
    <font>
      <b/>
      <sz val="9"/>
      <color rgb="FF8AA0BA"/>
      <name val="Calibri"/>
    </font>
    <font>
      <sz val="10"/>
      <color rgb="FF8AA0BA"/>
      <name val="Calibri"/>
    </font>
    <font>
      <b/>
      <sz val="10"/>
      <color rgb="FF15803D"/>
      <name val="Calibri"/>
    </font>
    <font>
      <b/>
      <sz val="11"/>
      <color rgb="FF0E4F92"/>
      <name val="Calibri"/>
    </font>
    <font>
      <sz val="10"/>
      <color rgb="FF3F5876"/>
      <name val="Calibri"/>
    </font>
    <font>
      <b/>
      <sz val="13"/>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1">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84">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65" fontId="1" fillId="2" borderId="7" xfId="1" applyNumberFormat="1" applyBorder="1">
      <alignment horizontal="right" vertical="center"/>
    </xf>
    <xf numFmtId="9" fontId="1" fillId="2" borderId="7" xfId="1" applyNumberFormat="1" applyBorder="1">
      <alignment horizontal="right" vertical="center"/>
    </xf>
    <xf numFmtId="164" fontId="2" fillId="3" borderId="7" xfId="2" applyNumberFormat="1" applyBorder="1">
      <alignment horizontal="right" vertical="center"/>
    </xf>
    <xf numFmtId="164" fontId="3" fillId="0" borderId="8" xfId="3" applyNumberFormat="1" applyBorder="1">
      <alignment horizontal="right" vertical="center"/>
    </xf>
    <xf numFmtId="2" fontId="1" fillId="2" borderId="7" xfId="1" applyNumberFormat="1" applyBorder="1">
      <alignment horizontal="right" vertical="center"/>
    </xf>
    <xf numFmtId="166" fontId="1" fillId="2" borderId="7" xfId="1" applyNumberFormat="1" applyBorder="1">
      <alignment horizontal="right" vertical="center"/>
    </xf>
    <xf numFmtId="1" fontId="1" fillId="2" borderId="7" xfId="1" applyNumberFormat="1" applyBorder="1">
      <alignment horizontal="right" vertical="center"/>
    </xf>
    <xf numFmtId="167" fontId="1" fillId="2" borderId="7" xfId="1" applyNumberFormat="1" applyBorder="1">
      <alignment horizontal="right" vertical="center"/>
    </xf>
    <xf numFmtId="2" fontId="2" fillId="3" borderId="7" xfId="2" applyNumberFormat="1" applyBorder="1">
      <alignment horizontal="right" vertical="center"/>
    </xf>
    <xf numFmtId="2" fontId="3" fillId="0" borderId="8" xfId="3" applyNumberFormat="1" applyBorder="1">
      <alignment horizontal="right" vertical="center"/>
    </xf>
    <xf numFmtId="0" fontId="17" fillId="7" borderId="0" xfId="0" applyFont="1" applyFill="1" applyAlignment="1">
      <alignment horizontal="left" vertical="center" indent="1"/>
    </xf>
    <xf numFmtId="0" fontId="0" fillId="7" borderId="0" xfId="0" applyFill="1"/>
    <xf numFmtId="0" fontId="17" fillId="7" borderId="0" xfId="0" applyFont="1" applyFill="1" applyAlignment="1">
      <alignment horizontal="right" vertical="center"/>
    </xf>
    <xf numFmtId="0" fontId="20" fillId="7" borderId="0" xfId="0" applyFont="1" applyFill="1" applyAlignment="1">
      <alignment horizontal="right" vertical="center"/>
    </xf>
    <xf numFmtId="1" fontId="19" fillId="7" borderId="0" xfId="0" applyNumberFormat="1" applyFont="1" applyFill="1" applyAlignment="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1" fontId="3" fillId="0" borderId="8" xfId="3" applyNumberFormat="1" applyBorder="1">
      <alignment horizontal="right" vertical="center"/>
    </xf>
    <xf numFmtId="168" fontId="3" fillId="0" borderId="8" xfId="3" applyNumberFormat="1" applyBorder="1">
      <alignment horizontal="right" vertical="center"/>
    </xf>
    <xf numFmtId="169" fontId="3" fillId="0" borderId="8" xfId="3" applyNumberFormat="1" applyBorder="1">
      <alignment horizontal="right" vertical="center"/>
    </xf>
    <xf numFmtId="9" fontId="21" fillId="0" borderId="8" xfId="3" applyNumberFormat="1" applyFont="1" applyBorder="1">
      <alignment horizontal="right" vertical="center"/>
    </xf>
    <xf numFmtId="9" fontId="3" fillId="0" borderId="8" xfId="3" applyNumberFormat="1" applyBorder="1">
      <alignment horizontal="right" vertical="center"/>
    </xf>
    <xf numFmtId="166" fontId="12" fillId="0" borderId="8" xfId="3" applyNumberFormat="1" applyFont="1" applyBorder="1">
      <alignment horizontal="right" vertical="center"/>
    </xf>
    <xf numFmtId="166" fontId="3" fillId="0" borderId="8" xfId="3" applyNumberFormat="1" applyBorder="1">
      <alignment horizontal="right" vertical="center"/>
    </xf>
    <xf numFmtId="0" fontId="12" fillId="0" borderId="6" xfId="0" applyFont="1" applyBorder="1" applyAlignment="1">
      <alignment horizontal="left" vertical="center" indent="1"/>
    </xf>
    <xf numFmtId="164" fontId="21" fillId="0" borderId="8" xfId="3" applyNumberFormat="1" applyFont="1" applyBorder="1">
      <alignment horizontal="right" vertical="center"/>
    </xf>
    <xf numFmtId="166" fontId="21" fillId="0" borderId="8" xfId="3" applyNumberFormat="1" applyFont="1" applyBorder="1">
      <alignment horizontal="right" vertical="center"/>
    </xf>
    <xf numFmtId="166" fontId="4" fillId="4" borderId="9" xfId="4" applyNumberFormat="1" applyBorder="1">
      <alignment horizontal="right" vertical="center"/>
    </xf>
    <xf numFmtId="0" fontId="23" fillId="0" borderId="5" xfId="0" applyFont="1" applyBorder="1"/>
    <xf numFmtId="1" fontId="4" fillId="4" borderId="9" xfId="4" applyNumberFormat="1" applyBorder="1">
      <alignment horizontal="right" vertical="center"/>
    </xf>
    <xf numFmtId="165" fontId="4" fillId="4" borderId="9" xfId="4" applyNumberFormat="1" applyBorder="1">
      <alignment horizontal="right" vertical="center"/>
    </xf>
    <xf numFmtId="0" fontId="22" fillId="0" borderId="6" xfId="0" applyFont="1" applyBorder="1" applyAlignment="1">
      <alignment horizontal="center" vertical="center"/>
    </xf>
    <xf numFmtId="0" fontId="15" fillId="5" borderId="10" xfId="0" applyFont="1" applyFill="1" applyBorder="1" applyAlignment="1">
      <alignment horizontal="left" vertical="center" indent="1"/>
    </xf>
    <xf numFmtId="0" fontId="0" fillId="5" borderId="10" xfId="0" applyFill="1" applyBorder="1"/>
    <xf numFmtId="0" fontId="18" fillId="0" borderId="0" xfId="0" applyFont="1" applyAlignment="1">
      <alignment horizontal="left" vertical="center" indent="1"/>
    </xf>
    <xf numFmtId="0" fontId="24" fillId="0" borderId="6" xfId="0" applyFont="1" applyBorder="1" applyAlignment="1">
      <alignment horizontal="left" vertical="center" indent="1"/>
    </xf>
    <xf numFmtId="170" fontId="25" fillId="5" borderId="7" xfId="5" applyNumberFormat="1" applyFont="1" applyBorder="1">
      <alignment horizontal="right" vertical="center"/>
    </xf>
    <xf numFmtId="171" fontId="1" fillId="5" borderId="7" xfId="5" applyNumberFormat="1" applyBorder="1">
      <alignment horizontal="right" vertical="center"/>
    </xf>
    <xf numFmtId="172" fontId="1" fillId="5" borderId="7" xfId="5" applyNumberFormat="1" applyBorder="1">
      <alignment horizontal="right" vertical="center"/>
    </xf>
    <xf numFmtId="170" fontId="1" fillId="5" borderId="7" xfId="5" applyNumberFormat="1" applyBorder="1">
      <alignment horizontal="right" vertical="center"/>
    </xf>
    <xf numFmtId="173" fontId="1" fillId="5" borderId="7" xfId="5" applyNumberFormat="1" applyBorder="1">
      <alignment horizontal="right" vertical="center"/>
    </xf>
    <xf numFmtId="0" fontId="17" fillId="7" borderId="4" xfId="0" applyFont="1" applyFill="1" applyBorder="1" applyAlignment="1">
      <alignment horizontal="center" vertical="center" wrapText="1"/>
    </xf>
    <xf numFmtId="172" fontId="1" fillId="5" borderId="7" xfId="5" applyNumberFormat="1" applyBorder="1" applyAlignment="1">
      <alignment horizontal="center" vertical="center"/>
    </xf>
    <xf numFmtId="9" fontId="3" fillId="0" borderId="2" xfId="3" applyNumberFormat="1">
      <alignment horizontal="right" vertical="center"/>
    </xf>
    <xf numFmtId="4" fontId="3" fillId="0" borderId="2" xfId="3" applyNumberFormat="1">
      <alignment horizontal="right" vertical="center"/>
    </xf>
    <xf numFmtId="0" fontId="3" fillId="0" borderId="0" xfId="0" applyFont="1" applyAlignment="1">
      <alignment horizontal="left" vertical="center" indent="1"/>
    </xf>
    <xf numFmtId="173" fontId="1" fillId="5" borderId="1" xfId="5" applyNumberFormat="1">
      <alignment horizontal="right" vertical="center"/>
    </xf>
    <xf numFmtId="0" fontId="24" fillId="0" borderId="0" xfId="0" applyFont="1" applyAlignment="1">
      <alignment horizontal="left" vertical="center" indent="1"/>
    </xf>
    <xf numFmtId="166" fontId="3" fillId="0" borderId="2" xfId="3" applyNumberFormat="1">
      <alignment horizontal="right" vertical="center"/>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11">
    <dxf>
      <font>
        <color rgb="FF8AA0BA"/>
      </font>
    </dxf>
    <dxf>
      <font>
        <color rgb="FF8AA0BA"/>
      </font>
    </dxf>
    <dxf>
      <font>
        <color rgb="FF8AA0BA"/>
      </font>
    </dxf>
    <dxf>
      <font>
        <color rgb="FFB91C1C"/>
      </font>
    </dxf>
    <dxf>
      <font>
        <color rgb="FF15803D"/>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v>Total spend (US$m, left axis)</c:v>
          </c:tx>
          <c:spPr>
            <a:solidFill>
              <a:srgbClr val="0E4F92"/>
            </a:solidFill>
            <a:ln>
              <a:noFill/>
              <a:prstDash val="solid"/>
            </a:ln>
          </c:spPr>
          <c:invertIfNegative val="1"/>
          <c:cat>
            <c:numRef>
              <c:f>'Cash flow'!$F$6:$BA$6</c:f>
              <c:numCache>
                <c:formatCode>0</c:formatCode>
                <c:ptCount val="48"/>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numCache>
            </c:numRef>
          </c:cat>
          <c:val>
            <c:numRef>
              <c:f>'Cash flow'!$F$21:$BA$21</c:f>
              <c:numCache>
                <c:formatCode>#,##0.00_);\(#,##0.00\);"–"_)</c:formatCode>
                <c:ptCount val="48"/>
                <c:pt idx="0">
                  <c:v>0.24271039092218383</c:v>
                </c:pt>
                <c:pt idx="1">
                  <c:v>0.54084378096295405</c:v>
                </c:pt>
                <c:pt idx="2">
                  <c:v>0.85404222719648526</c:v>
                </c:pt>
                <c:pt idx="3">
                  <c:v>1.1579293513648379</c:v>
                </c:pt>
                <c:pt idx="4">
                  <c:v>1.4425214624207157</c:v>
                </c:pt>
                <c:pt idx="5">
                  <c:v>1.702238732665446</c:v>
                </c:pt>
                <c:pt idx="6">
                  <c:v>1.933655362018583</c:v>
                </c:pt>
                <c:pt idx="7">
                  <c:v>2.1346244187054149</c:v>
                </c:pt>
                <c:pt idx="8">
                  <c:v>2.30385304890273</c:v>
                </c:pt>
                <c:pt idx="9">
                  <c:v>2.4406675734179539</c:v>
                </c:pt>
                <c:pt idx="10">
                  <c:v>2.5448720095629405</c:v>
                </c:pt>
                <c:pt idx="11">
                  <c:v>2.6166578162402168</c:v>
                </c:pt>
                <c:pt idx="12">
                  <c:v>2.6565441631317812</c:v>
                </c:pt>
                <c:pt idx="13">
                  <c:v>2.6653377031112369</c:v>
                </c:pt>
                <c:pt idx="14">
                  <c:v>2.6441056300141104</c:v>
                </c:pt>
                <c:pt idx="15">
                  <c:v>2.5941583909289507</c:v>
                </c:pt>
                <c:pt idx="16">
                  <c:v>2.517039928822967</c:v>
                </c:pt>
                <c:pt idx="17">
                  <c:v>2.4145242904368622</c:v>
                </c:pt>
                <c:pt idx="18">
                  <c:v>2.288618121956556</c:v>
                </c:pt>
                <c:pt idx="19">
                  <c:v>2.1415691554253664</c:v>
                </c:pt>
                <c:pt idx="20">
                  <c:v>1.9758813861448625</c:v>
                </c:pt>
                <c:pt idx="21">
                  <c:v>1.7943383857632469</c:v>
                </c:pt>
                <c:pt idx="22">
                  <c:v>1.6000372751990506</c:v>
                </c:pt>
                <c:pt idx="23">
                  <c:v>1.39643762926063</c:v>
                </c:pt>
                <c:pt idx="24">
                  <c:v>1.1874326732479319</c:v>
                </c:pt>
                <c:pt idx="25">
                  <c:v>0.97745606338068536</c:v>
                </c:pt>
                <c:pt idx="26">
                  <c:v>0.7716500559807864</c:v>
                </c:pt>
                <c:pt idx="27">
                  <c:v>0.57615060690334396</c:v>
                </c:pt>
                <c:pt idx="28">
                  <c:v>0.39862841272979593</c:v>
                </c:pt>
                <c:pt idx="29">
                  <c:v>0.2495301442795492</c:v>
                </c:pt>
                <c:pt idx="30">
                  <c:v>0.14648960837101743</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652C-43F6-9F1D-EE9E0B98AA4D}"/>
            </c:ext>
          </c:extLst>
        </c:ser>
        <c:dLbls>
          <c:showLegendKey val="0"/>
          <c:showVal val="0"/>
          <c:showCatName val="0"/>
          <c:showSerName val="0"/>
          <c:showPercent val="0"/>
          <c:showBubbleSize val="0"/>
        </c:dLbls>
        <c:gapWidth val="40"/>
        <c:axId val="10"/>
        <c:axId val="100"/>
      </c:barChart>
      <c:lineChart>
        <c:grouping val="standard"/>
        <c:varyColors val="1"/>
        <c:ser>
          <c:idx val="1"/>
          <c:order val="1"/>
          <c:tx>
            <c:v>Facility drawn (US$m, right axis)</c:v>
          </c:tx>
          <c:spPr>
            <a:ln w="22000">
              <a:solidFill>
                <a:srgbClr val="B45309"/>
              </a:solidFill>
              <a:prstDash val="solid"/>
            </a:ln>
          </c:spPr>
          <c:marker>
            <c:symbol val="none"/>
          </c:marker>
          <c:val>
            <c:numRef>
              <c:f>'Cash flow'!$F$38:$BA$38</c:f>
              <c:numCache>
                <c:formatCode>#,##0.00_);\(#,##0.00\);"–"_)</c:formatCode>
                <c:ptCount val="48"/>
                <c:pt idx="0">
                  <c:v>0</c:v>
                </c:pt>
                <c:pt idx="1">
                  <c:v>0</c:v>
                </c:pt>
                <c:pt idx="2">
                  <c:v>0</c:v>
                </c:pt>
                <c:pt idx="3">
                  <c:v>0</c:v>
                </c:pt>
                <c:pt idx="4">
                  <c:v>0</c:v>
                </c:pt>
                <c:pt idx="5">
                  <c:v>0</c:v>
                </c:pt>
                <c:pt idx="6">
                  <c:v>0</c:v>
                </c:pt>
                <c:pt idx="7">
                  <c:v>1.6896845527111186</c:v>
                </c:pt>
                <c:pt idx="8">
                  <c:v>3.7396178601288965</c:v>
                </c:pt>
                <c:pt idx="9">
                  <c:v>5.9383236363551681</c:v>
                </c:pt>
                <c:pt idx="10">
                  <c:v>8.2540596324210807</c:v>
                </c:pt>
                <c:pt idx="11">
                  <c:v>10.65508989514132</c:v>
                </c:pt>
                <c:pt idx="12">
                  <c:v>13.110012514618992</c:v>
                </c:pt>
                <c:pt idx="13">
                  <c:v>15.588049056023074</c:v>
                </c:pt>
                <c:pt idx="14">
                  <c:v>18.05930873748822</c:v>
                </c:pt>
                <c:pt idx="15">
                  <c:v>20.495036861343415</c:v>
                </c:pt>
                <c:pt idx="16">
                  <c:v>22.867854937148451</c:v>
                </c:pt>
                <c:pt idx="17">
                  <c:v>25.15199881334291</c:v>
                </c:pt>
                <c:pt idx="18">
                  <c:v>27.323560693668199</c:v>
                </c:pt>
                <c:pt idx="19">
                  <c:v>29.360741051764194</c:v>
                </c:pt>
                <c:pt idx="20">
                  <c:v>31.244117192668579</c:v>
                </c:pt>
                <c:pt idx="21">
                  <c:v>32.956936694013294</c:v>
                </c:pt>
                <c:pt idx="22">
                  <c:v>34.485446531884989</c:v>
                </c:pt>
                <c:pt idx="23">
                  <c:v>35.819273031205853</c:v>
                </c:pt>
                <c:pt idx="24">
                  <c:v>36.951875229093389</c:v>
                </c:pt>
                <c:pt idx="25">
                  <c:v>37.881107663268018</c:v>
                </c:pt>
                <c:pt idx="26">
                  <c:v>38.609954612575436</c:v>
                </c:pt>
                <c:pt idx="27">
                  <c:v>39.147553720009711</c:v>
                </c:pt>
                <c:pt idx="28">
                  <c:v>39.510766628063799</c:v>
                </c:pt>
                <c:pt idx="29">
                  <c:v>39.750923475590227</c:v>
                </c:pt>
                <c:pt idx="30">
                  <c:v>40.129293470902191</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numCache>
            </c:numRef>
          </c:val>
          <c:smooth val="0"/>
          <c:extLst>
            <c:ext xmlns:c16="http://schemas.microsoft.com/office/drawing/2014/chart" uri="{C3380CC4-5D6E-409C-BE32-E72D297353CC}">
              <c16:uniqueId val="{00000001-652C-43F6-9F1D-EE9E0B98AA4D}"/>
            </c:ext>
          </c:extLst>
        </c:ser>
        <c:dLbls>
          <c:showLegendKey val="0"/>
          <c:showVal val="0"/>
          <c:showCatName val="0"/>
          <c:showSerName val="0"/>
          <c:showPercent val="0"/>
          <c:showBubbleSize val="0"/>
        </c:dLbls>
        <c:marker val="1"/>
        <c:smooth val="0"/>
        <c:axId val="10"/>
        <c:axId val="200"/>
      </c:lineChart>
      <c:catAx>
        <c:axId val="10"/>
        <c:scaling>
          <c:orientation val="minMax"/>
        </c:scaling>
        <c:delete val="0"/>
        <c:axPos val="b"/>
        <c:numFmt formatCode="0" sourceLinked="1"/>
        <c:majorTickMark val="none"/>
        <c:minorTickMark val="none"/>
        <c:tickLblPos val="nextTo"/>
        <c:crossAx val="100"/>
        <c:crosses val="autoZero"/>
        <c:auto val="1"/>
        <c:lblAlgn val="ctr"/>
        <c:lblOffset val="100"/>
        <c:tickLblSkip val="3"/>
        <c:noMultiLvlLbl val="1"/>
      </c:catAx>
      <c:valAx>
        <c:axId val="100"/>
        <c:scaling>
          <c:orientation val="minMax"/>
        </c:scaling>
        <c:delete val="0"/>
        <c:axPos val="l"/>
        <c:majorGridlines>
          <c:spPr>
            <a:ln>
              <a:solidFill>
                <a:srgbClr val="E4E9F0"/>
              </a:solidFill>
              <a:prstDash val="solid"/>
            </a:ln>
          </c:spPr>
        </c:majorGridlines>
        <c:numFmt formatCode="0.0" sourceLinked="0"/>
        <c:majorTickMark val="none"/>
        <c:minorTickMark val="none"/>
        <c:tickLblPos val="nextTo"/>
        <c:crossAx val="10"/>
        <c:crosses val="autoZero"/>
        <c:crossBetween val="between"/>
      </c:valAx>
      <c:valAx>
        <c:axId val="200"/>
        <c:scaling>
          <c:orientation val="minMax"/>
          <c:min val="0"/>
        </c:scaling>
        <c:delete val="0"/>
        <c:axPos val="r"/>
        <c:numFmt formatCode="#,##0" sourceLinked="0"/>
        <c:majorTickMark val="none"/>
        <c:minorTickMark val="none"/>
        <c:tickLblPos val="nextTo"/>
        <c:crossAx val="10"/>
        <c:crosses val="max"/>
        <c:crossBetween val="between"/>
      </c:valAx>
    </c:plotArea>
    <c:legend>
      <c:legendPos val="b"/>
      <c:overlay val="0"/>
    </c:legend>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Peak funding</c:v>
          </c:tx>
          <c:spPr>
            <a:ln w="25400">
              <a:solidFill>
                <a:srgbClr val="0E4F92"/>
              </a:solidFill>
              <a:prstDash val="solid"/>
            </a:ln>
          </c:spPr>
          <c:marker>
            <c:symbol val="none"/>
          </c:marker>
          <c:xVal>
            <c:numRef>
              <c:f>Results!$D$79:$D$128</c:f>
              <c:numCache>
                <c:formatCode>#,##0.00</c:formatCode>
                <c:ptCount val="50"/>
                <c:pt idx="0">
                  <c:v>34.641710118374839</c:v>
                </c:pt>
                <c:pt idx="1">
                  <c:v>35.104230791035285</c:v>
                </c:pt>
                <c:pt idx="2">
                  <c:v>35.395816146761675</c:v>
                </c:pt>
                <c:pt idx="3">
                  <c:v>35.629793352186915</c:v>
                </c:pt>
                <c:pt idx="4">
                  <c:v>35.838275695840807</c:v>
                </c:pt>
                <c:pt idx="5">
                  <c:v>36.018644563434918</c:v>
                </c:pt>
                <c:pt idx="6">
                  <c:v>36.178740975340673</c:v>
                </c:pt>
                <c:pt idx="7">
                  <c:v>36.328973466379864</c:v>
                </c:pt>
                <c:pt idx="8">
                  <c:v>36.471950266527962</c:v>
                </c:pt>
                <c:pt idx="9">
                  <c:v>36.608984176012811</c:v>
                </c:pt>
                <c:pt idx="10">
                  <c:v>36.736160744384819</c:v>
                </c:pt>
                <c:pt idx="11">
                  <c:v>36.877325850810301</c:v>
                </c:pt>
                <c:pt idx="12">
                  <c:v>36.995744905491655</c:v>
                </c:pt>
                <c:pt idx="13">
                  <c:v>37.127942607989354</c:v>
                </c:pt>
                <c:pt idx="14">
                  <c:v>37.248915312054891</c:v>
                </c:pt>
                <c:pt idx="15">
                  <c:v>37.363993166297888</c:v>
                </c:pt>
                <c:pt idx="16">
                  <c:v>37.485657408566851</c:v>
                </c:pt>
                <c:pt idx="17">
                  <c:v>37.597205783951637</c:v>
                </c:pt>
                <c:pt idx="18">
                  <c:v>37.713383918421492</c:v>
                </c:pt>
                <c:pt idx="19">
                  <c:v>37.821459992924801</c:v>
                </c:pt>
                <c:pt idx="20">
                  <c:v>37.925624985345159</c:v>
                </c:pt>
                <c:pt idx="21">
                  <c:v>38.026502021041551</c:v>
                </c:pt>
                <c:pt idx="22">
                  <c:v>38.137165702164815</c:v>
                </c:pt>
                <c:pt idx="23">
                  <c:v>38.243617190466246</c:v>
                </c:pt>
                <c:pt idx="24">
                  <c:v>38.346658411574964</c:v>
                </c:pt>
                <c:pt idx="25">
                  <c:v>38.468434371076064</c:v>
                </c:pt>
                <c:pt idx="26">
                  <c:v>38.598125122480319</c:v>
                </c:pt>
                <c:pt idx="27">
                  <c:v>38.701423997040024</c:v>
                </c:pt>
                <c:pt idx="28">
                  <c:v>38.818117007188327</c:v>
                </c:pt>
                <c:pt idx="29">
                  <c:v>38.928551548206038</c:v>
                </c:pt>
                <c:pt idx="30">
                  <c:v>39.066556775334256</c:v>
                </c:pt>
                <c:pt idx="31">
                  <c:v>39.18286859859559</c:v>
                </c:pt>
                <c:pt idx="32">
                  <c:v>39.325164189770177</c:v>
                </c:pt>
                <c:pt idx="33">
                  <c:v>39.466885970836358</c:v>
                </c:pt>
                <c:pt idx="34">
                  <c:v>39.604953532458197</c:v>
                </c:pt>
                <c:pt idx="35">
                  <c:v>39.731520978342424</c:v>
                </c:pt>
                <c:pt idx="36">
                  <c:v>39.870169830124048</c:v>
                </c:pt>
                <c:pt idx="37">
                  <c:v>40.009216365453504</c:v>
                </c:pt>
                <c:pt idx="38">
                  <c:v>40.179331044772105</c:v>
                </c:pt>
                <c:pt idx="39">
                  <c:v>40.324052104983338</c:v>
                </c:pt>
                <c:pt idx="40">
                  <c:v>40.485074724947005</c:v>
                </c:pt>
                <c:pt idx="41">
                  <c:v>40.670019143568297</c:v>
                </c:pt>
                <c:pt idx="42">
                  <c:v>40.898064622925979</c:v>
                </c:pt>
                <c:pt idx="43">
                  <c:v>41.102991604457223</c:v>
                </c:pt>
                <c:pt idx="44">
                  <c:v>41.355676963312675</c:v>
                </c:pt>
                <c:pt idx="45">
                  <c:v>41.63719874605237</c:v>
                </c:pt>
                <c:pt idx="46">
                  <c:v>41.914349811926314</c:v>
                </c:pt>
                <c:pt idx="47">
                  <c:v>42.294964013274779</c:v>
                </c:pt>
                <c:pt idx="48">
                  <c:v>42.813382633381345</c:v>
                </c:pt>
                <c:pt idx="49">
                  <c:v>43.666844592220635</c:v>
                </c:pt>
              </c:numCache>
            </c:numRef>
          </c:xVal>
          <c:yVal>
            <c:numRef>
              <c:f>Results!$B$79:$B$128</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E1EE-4153-B208-33DAB01328BC}"/>
            </c:ext>
          </c:extLst>
        </c:ser>
        <c:dLbls>
          <c:showLegendKey val="0"/>
          <c:showVal val="0"/>
          <c:showCatName val="0"/>
          <c:showSerName val="0"/>
          <c:showPercent val="0"/>
          <c:showBubbleSize val="0"/>
        </c:dLbls>
        <c:axId val="10"/>
        <c:axId val="20"/>
      </c:scatterChart>
      <c:valAx>
        <c:axId val="10"/>
        <c:scaling>
          <c:orientation val="minMax"/>
          <c:min val="32"/>
        </c:scaling>
        <c:delete val="0"/>
        <c:axPos val="b"/>
        <c:title>
          <c:tx>
            <c:rich>
              <a:bodyPr/>
              <a:lstStyle/>
              <a:p>
                <a:pPr>
                  <a:defRPr/>
                </a:pPr>
                <a:r>
                  <a:rPr lang="en-US"/>
                  <a:t>Peak funding (US$m)</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90th percentile</c:v>
          </c:tx>
          <c:spPr>
            <a:ln w="15875">
              <a:solidFill>
                <a:srgbClr val="0E4F92"/>
              </a:solidFill>
              <a:prstDash val="dash"/>
            </a:ln>
          </c:spPr>
          <c:marker>
            <c:symbol val="none"/>
          </c:marker>
          <c:cat>
            <c:numRef>
              <c:f>Results!$B$145:$B$192</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numCache>
            </c:numRef>
          </c:cat>
          <c:val>
            <c:numRef>
              <c:f>Results!$E$145:$E$192</c:f>
              <c:numCache>
                <c:formatCode>#,##0.00</c:formatCode>
                <c:ptCount val="48"/>
                <c:pt idx="0">
                  <c:v>0</c:v>
                </c:pt>
                <c:pt idx="1">
                  <c:v>0</c:v>
                </c:pt>
                <c:pt idx="2">
                  <c:v>0</c:v>
                </c:pt>
                <c:pt idx="3">
                  <c:v>0</c:v>
                </c:pt>
                <c:pt idx="4">
                  <c:v>0</c:v>
                </c:pt>
                <c:pt idx="5">
                  <c:v>0</c:v>
                </c:pt>
                <c:pt idx="6">
                  <c:v>1.0256133473502174</c:v>
                </c:pt>
                <c:pt idx="7">
                  <c:v>3.1948147779828324</c:v>
                </c:pt>
                <c:pt idx="8">
                  <c:v>5.544360298360866</c:v>
                </c:pt>
                <c:pt idx="9">
                  <c:v>8.0308502594072149</c:v>
                </c:pt>
                <c:pt idx="10">
                  <c:v>10.624414773548656</c:v>
                </c:pt>
                <c:pt idx="11">
                  <c:v>13.280219712973468</c:v>
                </c:pt>
                <c:pt idx="12">
                  <c:v>15.941715412979516</c:v>
                </c:pt>
                <c:pt idx="13">
                  <c:v>18.582193926112609</c:v>
                </c:pt>
                <c:pt idx="14">
                  <c:v>21.169854776463971</c:v>
                </c:pt>
                <c:pt idx="15">
                  <c:v>23.652757800891223</c:v>
                </c:pt>
                <c:pt idx="16">
                  <c:v>26.046251076728684</c:v>
                </c:pt>
                <c:pt idx="17">
                  <c:v>28.28468753258095</c:v>
                </c:pt>
                <c:pt idx="18">
                  <c:v>30.362973094479944</c:v>
                </c:pt>
                <c:pt idx="19">
                  <c:v>32.232568766151125</c:v>
                </c:pt>
                <c:pt idx="20">
                  <c:v>33.894632369670497</c:v>
                </c:pt>
                <c:pt idx="21">
                  <c:v>35.403169070608691</c:v>
                </c:pt>
                <c:pt idx="22">
                  <c:v>36.647696897476479</c:v>
                </c:pt>
                <c:pt idx="23">
                  <c:v>37.731346415063321</c:v>
                </c:pt>
                <c:pt idx="24">
                  <c:v>38.627532218139983</c:v>
                </c:pt>
                <c:pt idx="25">
                  <c:v>39.354527974125595</c:v>
                </c:pt>
                <c:pt idx="26">
                  <c:v>39.935730532791688</c:v>
                </c:pt>
                <c:pt idx="27">
                  <c:v>40.31412946121327</c:v>
                </c:pt>
                <c:pt idx="28">
                  <c:v>40.449273700552496</c:v>
                </c:pt>
                <c:pt idx="29">
                  <c:v>40.404048012126992</c:v>
                </c:pt>
                <c:pt idx="30">
                  <c:v>40.14615262983456</c:v>
                </c:pt>
                <c:pt idx="31">
                  <c:v>39.468806852724789</c:v>
                </c:pt>
                <c:pt idx="32">
                  <c:v>37.714020563921181</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numCache>
            </c:numRef>
          </c:val>
          <c:smooth val="0"/>
          <c:extLst>
            <c:ext xmlns:c16="http://schemas.microsoft.com/office/drawing/2014/chart" uri="{C3380CC4-5D6E-409C-BE32-E72D297353CC}">
              <c16:uniqueId val="{00000000-2E0B-47F8-9E57-15E4EBC11CE2}"/>
            </c:ext>
          </c:extLst>
        </c:ser>
        <c:ser>
          <c:idx val="1"/>
          <c:order val="1"/>
          <c:tx>
            <c:v>Median</c:v>
          </c:tx>
          <c:spPr>
            <a:ln w="28575">
              <a:solidFill>
                <a:srgbClr val="0E4F92"/>
              </a:solidFill>
              <a:prstDash val="solid"/>
            </a:ln>
          </c:spPr>
          <c:marker>
            <c:symbol val="none"/>
          </c:marker>
          <c:cat>
            <c:numRef>
              <c:f>Results!$B$145:$B$192</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numCache>
            </c:numRef>
          </c:cat>
          <c:val>
            <c:numRef>
              <c:f>Results!$D$145:$D$192</c:f>
              <c:numCache>
                <c:formatCode>#,##0.00</c:formatCode>
                <c:ptCount val="48"/>
                <c:pt idx="0">
                  <c:v>0</c:v>
                </c:pt>
                <c:pt idx="1">
                  <c:v>0</c:v>
                </c:pt>
                <c:pt idx="2">
                  <c:v>0</c:v>
                </c:pt>
                <c:pt idx="3">
                  <c:v>0</c:v>
                </c:pt>
                <c:pt idx="4">
                  <c:v>0</c:v>
                </c:pt>
                <c:pt idx="5">
                  <c:v>0</c:v>
                </c:pt>
                <c:pt idx="6">
                  <c:v>0</c:v>
                </c:pt>
                <c:pt idx="7">
                  <c:v>1.6295505336428076</c:v>
                </c:pt>
                <c:pt idx="8">
                  <c:v>3.6590470209895409</c:v>
                </c:pt>
                <c:pt idx="9">
                  <c:v>5.8294467064283602</c:v>
                </c:pt>
                <c:pt idx="10">
                  <c:v>8.1081962999217883</c:v>
                </c:pt>
                <c:pt idx="11">
                  <c:v>10.465265676744137</c:v>
                </c:pt>
                <c:pt idx="12">
                  <c:v>12.871204378255111</c:v>
                </c:pt>
                <c:pt idx="13">
                  <c:v>15.289570637259819</c:v>
                </c:pt>
                <c:pt idx="14">
                  <c:v>17.673523236723813</c:v>
                </c:pt>
                <c:pt idx="15">
                  <c:v>20.001941070721379</c:v>
                </c:pt>
                <c:pt idx="16">
                  <c:v>22.271437226606349</c:v>
                </c:pt>
                <c:pt idx="17">
                  <c:v>24.434262903168499</c:v>
                </c:pt>
                <c:pt idx="18">
                  <c:v>26.474149047262223</c:v>
                </c:pt>
                <c:pt idx="19">
                  <c:v>28.345930386800021</c:v>
                </c:pt>
                <c:pt idx="20">
                  <c:v>30.070707547116857</c:v>
                </c:pt>
                <c:pt idx="21">
                  <c:v>31.633117619449308</c:v>
                </c:pt>
                <c:pt idx="22">
                  <c:v>33.028338326059135</c:v>
                </c:pt>
                <c:pt idx="23">
                  <c:v>34.220916526702638</c:v>
                </c:pt>
                <c:pt idx="24">
                  <c:v>35.245435865792494</c:v>
                </c:pt>
                <c:pt idx="25">
                  <c:v>36.095640623698984</c:v>
                </c:pt>
                <c:pt idx="26">
                  <c:v>36.778642859432971</c:v>
                </c:pt>
                <c:pt idx="27">
                  <c:v>37.151757919151422</c:v>
                </c:pt>
                <c:pt idx="28">
                  <c:v>37.041881441421033</c:v>
                </c:pt>
                <c:pt idx="29">
                  <c:v>36.412419420694143</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numCache>
            </c:numRef>
          </c:val>
          <c:smooth val="0"/>
          <c:extLst>
            <c:ext xmlns:c16="http://schemas.microsoft.com/office/drawing/2014/chart" uri="{C3380CC4-5D6E-409C-BE32-E72D297353CC}">
              <c16:uniqueId val="{00000001-2E0B-47F8-9E57-15E4EBC11CE2}"/>
            </c:ext>
          </c:extLst>
        </c:ser>
        <c:ser>
          <c:idx val="2"/>
          <c:order val="2"/>
          <c:tx>
            <c:v>Mean</c:v>
          </c:tx>
          <c:spPr>
            <a:ln w="19050">
              <a:solidFill>
                <a:srgbClr val="B45309"/>
              </a:solidFill>
              <a:prstDash val="solid"/>
            </a:ln>
          </c:spPr>
          <c:marker>
            <c:symbol val="none"/>
          </c:marker>
          <c:cat>
            <c:numRef>
              <c:f>Results!$B$145:$B$192</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numCache>
            </c:numRef>
          </c:cat>
          <c:val>
            <c:numRef>
              <c:f>Results!$F$145:$F$192</c:f>
              <c:numCache>
                <c:formatCode>#,##0.00</c:formatCode>
                <c:ptCount val="48"/>
                <c:pt idx="0">
                  <c:v>0</c:v>
                </c:pt>
                <c:pt idx="1">
                  <c:v>0</c:v>
                </c:pt>
                <c:pt idx="2">
                  <c:v>0</c:v>
                </c:pt>
                <c:pt idx="3">
                  <c:v>0</c:v>
                </c:pt>
                <c:pt idx="4">
                  <c:v>0</c:v>
                </c:pt>
                <c:pt idx="5">
                  <c:v>4.8729724665111916E-4</c:v>
                </c:pt>
                <c:pt idx="6">
                  <c:v>0.28845009009212835</c:v>
                </c:pt>
                <c:pt idx="7">
                  <c:v>1.6901033473136</c:v>
                </c:pt>
                <c:pt idx="8">
                  <c:v>3.6971576060063063</c:v>
                </c:pt>
                <c:pt idx="9">
                  <c:v>5.8695015219074858</c:v>
                </c:pt>
                <c:pt idx="10">
                  <c:v>8.1499423682399073</c:v>
                </c:pt>
                <c:pt idx="11">
                  <c:v>10.504999734938716</c:v>
                </c:pt>
                <c:pt idx="12">
                  <c:v>12.90179994595305</c:v>
                </c:pt>
                <c:pt idx="13">
                  <c:v>15.308302060966104</c:v>
                </c:pt>
                <c:pt idx="14">
                  <c:v>17.69359131032591</c:v>
                </c:pt>
                <c:pt idx="15">
                  <c:v>20.028158956520944</c:v>
                </c:pt>
                <c:pt idx="16">
                  <c:v>22.28417716990921</c:v>
                </c:pt>
                <c:pt idx="17">
                  <c:v>24.435776685325287</c:v>
                </c:pt>
                <c:pt idx="18">
                  <c:v>26.459694247819723</c:v>
                </c:pt>
                <c:pt idx="19">
                  <c:v>28.338996378374805</c:v>
                </c:pt>
                <c:pt idx="20">
                  <c:v>30.064016875412108</c:v>
                </c:pt>
                <c:pt idx="21">
                  <c:v>31.627255657124554</c:v>
                </c:pt>
                <c:pt idx="22">
                  <c:v>33.023496260541215</c:v>
                </c:pt>
                <c:pt idx="23">
                  <c:v>34.248308985450329</c:v>
                </c:pt>
                <c:pt idx="24">
                  <c:v>35.300510682471085</c:v>
                </c:pt>
                <c:pt idx="25">
                  <c:v>36.18277103397034</c:v>
                </c:pt>
                <c:pt idx="26">
                  <c:v>36.755192730200598</c:v>
                </c:pt>
                <c:pt idx="27">
                  <c:v>35.256567710322109</c:v>
                </c:pt>
                <c:pt idx="28">
                  <c:v>30.752384915084733</c:v>
                </c:pt>
                <c:pt idx="29">
                  <c:v>24.466695749893344</c:v>
                </c:pt>
                <c:pt idx="30">
                  <c:v>17.491208674576143</c:v>
                </c:pt>
                <c:pt idx="31">
                  <c:v>10.915762992610947</c:v>
                </c:pt>
                <c:pt idx="32">
                  <c:v>5.5578023126424094</c:v>
                </c:pt>
                <c:pt idx="33">
                  <c:v>2.0456336031678801</c:v>
                </c:pt>
                <c:pt idx="34">
                  <c:v>0.47708903770981215</c:v>
                </c:pt>
                <c:pt idx="35">
                  <c:v>1.6609866850227063E-2</c:v>
                </c:pt>
                <c:pt idx="36">
                  <c:v>0</c:v>
                </c:pt>
                <c:pt idx="37">
                  <c:v>0</c:v>
                </c:pt>
                <c:pt idx="38">
                  <c:v>0</c:v>
                </c:pt>
                <c:pt idx="39">
                  <c:v>0</c:v>
                </c:pt>
                <c:pt idx="40">
                  <c:v>0</c:v>
                </c:pt>
                <c:pt idx="41">
                  <c:v>0</c:v>
                </c:pt>
                <c:pt idx="42">
                  <c:v>0</c:v>
                </c:pt>
                <c:pt idx="43">
                  <c:v>0</c:v>
                </c:pt>
                <c:pt idx="44">
                  <c:v>0</c:v>
                </c:pt>
                <c:pt idx="45">
                  <c:v>0</c:v>
                </c:pt>
                <c:pt idx="46">
                  <c:v>0</c:v>
                </c:pt>
                <c:pt idx="47">
                  <c:v>0</c:v>
                </c:pt>
              </c:numCache>
            </c:numRef>
          </c:val>
          <c:smooth val="0"/>
          <c:extLst>
            <c:ext xmlns:c16="http://schemas.microsoft.com/office/drawing/2014/chart" uri="{C3380CC4-5D6E-409C-BE32-E72D297353CC}">
              <c16:uniqueId val="{00000002-2E0B-47F8-9E57-15E4EBC11CE2}"/>
            </c:ext>
          </c:extLst>
        </c:ser>
        <c:ser>
          <c:idx val="3"/>
          <c:order val="3"/>
          <c:tx>
            <c:v>10th percentile</c:v>
          </c:tx>
          <c:spPr>
            <a:ln w="15875">
              <a:solidFill>
                <a:srgbClr val="0E4F92"/>
              </a:solidFill>
              <a:prstDash val="dash"/>
            </a:ln>
          </c:spPr>
          <c:marker>
            <c:symbol val="none"/>
          </c:marker>
          <c:cat>
            <c:numRef>
              <c:f>Results!$B$145:$B$192</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numCache>
            </c:numRef>
          </c:cat>
          <c:val>
            <c:numRef>
              <c:f>Results!$C$145:$C$192</c:f>
              <c:numCache>
                <c:formatCode>#,##0.00</c:formatCode>
                <c:ptCount val="48"/>
                <c:pt idx="0">
                  <c:v>0</c:v>
                </c:pt>
                <c:pt idx="1">
                  <c:v>0</c:v>
                </c:pt>
                <c:pt idx="2">
                  <c:v>0</c:v>
                </c:pt>
                <c:pt idx="3">
                  <c:v>0</c:v>
                </c:pt>
                <c:pt idx="4">
                  <c:v>0</c:v>
                </c:pt>
                <c:pt idx="5">
                  <c:v>0</c:v>
                </c:pt>
                <c:pt idx="6">
                  <c:v>0</c:v>
                </c:pt>
                <c:pt idx="7">
                  <c:v>0.19475378828080947</c:v>
                </c:pt>
                <c:pt idx="8">
                  <c:v>1.9137521214933881</c:v>
                </c:pt>
                <c:pt idx="9">
                  <c:v>3.7687167342316479</c:v>
                </c:pt>
                <c:pt idx="10">
                  <c:v>5.7371342559725065</c:v>
                </c:pt>
                <c:pt idx="11">
                  <c:v>7.7981436920755636</c:v>
                </c:pt>
                <c:pt idx="12">
                  <c:v>9.9167852415758748</c:v>
                </c:pt>
                <c:pt idx="13">
                  <c:v>12.08153893780649</c:v>
                </c:pt>
                <c:pt idx="14">
                  <c:v>14.254280303191882</c:v>
                </c:pt>
                <c:pt idx="15">
                  <c:v>16.414262506462261</c:v>
                </c:pt>
                <c:pt idx="16">
                  <c:v>18.518829460070123</c:v>
                </c:pt>
                <c:pt idx="17">
                  <c:v>20.564693444466609</c:v>
                </c:pt>
                <c:pt idx="18">
                  <c:v>22.553875005461432</c:v>
                </c:pt>
                <c:pt idx="19">
                  <c:v>24.424233647427613</c:v>
                </c:pt>
                <c:pt idx="20">
                  <c:v>26.221539974406319</c:v>
                </c:pt>
                <c:pt idx="21">
                  <c:v>27.892612517977668</c:v>
                </c:pt>
                <c:pt idx="22">
                  <c:v>29.433107700534578</c:v>
                </c:pt>
                <c:pt idx="23">
                  <c:v>30.835933337794785</c:v>
                </c:pt>
                <c:pt idx="24">
                  <c:v>32.066947630580891</c:v>
                </c:pt>
                <c:pt idx="25">
                  <c:v>33.164216926307468</c:v>
                </c:pt>
                <c:pt idx="26">
                  <c:v>34.010194877466233</c:v>
                </c:pt>
                <c:pt idx="27">
                  <c:v>33.987642345886087</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numCache>
            </c:numRef>
          </c:val>
          <c:smooth val="0"/>
          <c:extLst>
            <c:ext xmlns:c16="http://schemas.microsoft.com/office/drawing/2014/chart" uri="{C3380CC4-5D6E-409C-BE32-E72D297353CC}">
              <c16:uniqueId val="{00000003-2E0B-47F8-9E57-15E4EBC11CE2}"/>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0"/>
        <c:majorTickMark val="none"/>
        <c:minorTickMark val="none"/>
        <c:tickLblPos val="nextTo"/>
        <c:crossAx val="100"/>
        <c:crosses val="autoZero"/>
        <c:auto val="1"/>
        <c:lblAlgn val="ctr"/>
        <c:lblOffset val="100"/>
        <c:tickLblSkip val="6"/>
        <c:tickMarkSkip val="6"/>
        <c:noMultiLvlLbl val="1"/>
      </c:catAx>
      <c:valAx>
        <c:axId val="100"/>
        <c:scaling>
          <c:orientation val="minMax"/>
        </c:scaling>
        <c:delete val="0"/>
        <c:axPos val="l"/>
        <c:majorGridlines>
          <c:spPr>
            <a:ln>
              <a:solidFill>
                <a:srgbClr val="E4E9F0"/>
              </a:solidFill>
              <a:prstDash val="solid"/>
            </a:ln>
          </c:spPr>
        </c:majorGridlines>
        <c:title>
          <c:tx>
            <c:rich>
              <a:bodyPr/>
              <a:lstStyle/>
              <a:p>
                <a:pPr>
                  <a:defRPr/>
                </a:pPr>
                <a:r>
                  <a:rPr lang="en-US"/>
                  <a:t>US$m</a:t>
                </a:r>
              </a:p>
            </c:rich>
          </c:tx>
          <c:overlay val="0"/>
        </c:title>
        <c:numFmt formatCode="#,##0" sourceLinked="0"/>
        <c:majorTickMark val="none"/>
        <c:minorTickMark val="none"/>
        <c:tickLblPos val="nextTo"/>
        <c:crossAx val="10"/>
        <c:crosses val="autoZero"/>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0"/>
        <c:ser>
          <c:idx val="0"/>
          <c:order val="0"/>
          <c:tx>
            <c:v>Highest group mean</c:v>
          </c:tx>
          <c:spPr>
            <a:solidFill>
              <a:srgbClr val="0E4F92"/>
            </a:solidFill>
            <a:ln>
              <a:noFill/>
              <a:prstDash val="solid"/>
            </a:ln>
          </c:spPr>
          <c:invertIfNegative val="0"/>
          <c:cat>
            <c:strRef>
              <c:f>Results!$B$132:$B$135</c:f>
              <c:strCache>
                <c:ptCount val="4"/>
                <c:pt idx="0">
                  <c:v>Construction cost</c:v>
                </c:pt>
                <c:pt idx="1">
                  <c:v>Off-plan sales pace</c:v>
                </c:pt>
                <c:pt idx="2">
                  <c:v>Construction duration</c:v>
                </c:pt>
                <c:pt idx="3">
                  <c:v>Market price factor</c:v>
                </c:pt>
              </c:strCache>
            </c:strRef>
          </c:cat>
          <c:val>
            <c:numRef>
              <c:f>Results!$F$132:$F$135</c:f>
              <c:numCache>
                <c:formatCode>#,##0.00_);\(#,##0.00\);"–"_)</c:formatCode>
                <c:ptCount val="4"/>
                <c:pt idx="0">
                  <c:v>3.7587737636350127</c:v>
                </c:pt>
                <c:pt idx="1">
                  <c:v>1.211786490855161</c:v>
                </c:pt>
                <c:pt idx="2">
                  <c:v>0.63782916720940364</c:v>
                </c:pt>
                <c:pt idx="3">
                  <c:v>0.49879867832131453</c:v>
                </c:pt>
              </c:numCache>
            </c:numRef>
          </c:val>
          <c:extLst>
            <c:ext xmlns:c16="http://schemas.microsoft.com/office/drawing/2014/chart" uri="{C3380CC4-5D6E-409C-BE32-E72D297353CC}">
              <c16:uniqueId val="{00000000-7D23-4372-A200-EBFCEC29E58F}"/>
            </c:ext>
          </c:extLst>
        </c:ser>
        <c:ser>
          <c:idx val="1"/>
          <c:order val="1"/>
          <c:tx>
            <c:v>Lowest group mean</c:v>
          </c:tx>
          <c:spPr>
            <a:solidFill>
              <a:srgbClr val="B91C1C"/>
            </a:solidFill>
            <a:ln>
              <a:noFill/>
              <a:prstDash val="solid"/>
            </a:ln>
          </c:spPr>
          <c:invertIfNegative val="0"/>
          <c:cat>
            <c:strRef>
              <c:f>Results!$B$132:$B$135</c:f>
              <c:strCache>
                <c:ptCount val="4"/>
                <c:pt idx="0">
                  <c:v>Construction cost</c:v>
                </c:pt>
                <c:pt idx="1">
                  <c:v>Off-plan sales pace</c:v>
                </c:pt>
                <c:pt idx="2">
                  <c:v>Construction duration</c:v>
                </c:pt>
                <c:pt idx="3">
                  <c:v>Market price factor</c:v>
                </c:pt>
              </c:strCache>
            </c:strRef>
          </c:cat>
          <c:val>
            <c:numRef>
              <c:f>Results!$G$132:$G$135</c:f>
              <c:numCache>
                <c:formatCode>#,##0.00_);\(#,##0.00\);"–"_)</c:formatCode>
                <c:ptCount val="4"/>
                <c:pt idx="0">
                  <c:v>-3.0290532076670189</c:v>
                </c:pt>
                <c:pt idx="1">
                  <c:v>-0.40156193984414301</c:v>
                </c:pt>
                <c:pt idx="2">
                  <c:v>-0.53949823637978511</c:v>
                </c:pt>
                <c:pt idx="3">
                  <c:v>-0.60894042001697812</c:v>
                </c:pt>
              </c:numCache>
            </c:numRef>
          </c:val>
          <c:extLst>
            <c:ext xmlns:c16="http://schemas.microsoft.com/office/drawing/2014/chart" uri="{C3380CC4-5D6E-409C-BE32-E72D297353CC}">
              <c16:uniqueId val="{00000001-7D23-4372-A200-EBFCEC29E58F}"/>
            </c:ext>
          </c:extLst>
        </c:ser>
        <c:dLbls>
          <c:showLegendKey val="0"/>
          <c:showVal val="0"/>
          <c:showCatName val="0"/>
          <c:showSerName val="0"/>
          <c:showPercent val="0"/>
          <c:showBubbleSize val="0"/>
        </c:dLbls>
        <c:gapWidth val="35"/>
        <c:overlap val="100"/>
        <c:axId val="10"/>
        <c:axId val="100"/>
      </c:barChart>
      <c:catAx>
        <c:axId val="10"/>
        <c:scaling>
          <c:orientation val="maxMin"/>
        </c:scaling>
        <c:delete val="0"/>
        <c:axPos val="l"/>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b"/>
        <c:majorGridlines>
          <c:spPr>
            <a:ln>
              <a:solidFill>
                <a:srgbClr val="E4E9F0"/>
              </a:solidFill>
              <a:prstDash val="solid"/>
            </a:ln>
          </c:spPr>
        </c:majorGridlines>
        <c:numFmt formatCode="0.0" sourceLinked="0"/>
        <c:majorTickMark val="none"/>
        <c:minorTickMark val="none"/>
        <c:tickLblPos val="nextTo"/>
        <c:crossAx val="10"/>
        <c:crosses val="max"/>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0"/>
        <c:ser>
          <c:idx val="0"/>
          <c:order val="0"/>
          <c:tx>
            <c:v>Highest group mean</c:v>
          </c:tx>
          <c:spPr>
            <a:solidFill>
              <a:srgbClr val="0E4F92"/>
            </a:solidFill>
            <a:ln>
              <a:noFill/>
              <a:prstDash val="solid"/>
            </a:ln>
          </c:spPr>
          <c:invertIfNegative val="0"/>
          <c:cat>
            <c:strRef>
              <c:f>Results!$B$139:$B$142</c:f>
              <c:strCache>
                <c:ptCount val="4"/>
                <c:pt idx="0">
                  <c:v>Market price factor</c:v>
                </c:pt>
                <c:pt idx="1">
                  <c:v>Construction cost</c:v>
                </c:pt>
                <c:pt idx="2">
                  <c:v>Construction duration</c:v>
                </c:pt>
                <c:pt idx="3">
                  <c:v>Off-plan sales pace</c:v>
                </c:pt>
              </c:strCache>
            </c:strRef>
          </c:cat>
          <c:val>
            <c:numRef>
              <c:f>Results!$F$139:$F$142</c:f>
              <c:numCache>
                <c:formatCode>#,##0.00_);\(#,##0.00\);"–"_)</c:formatCode>
                <c:ptCount val="4"/>
                <c:pt idx="0">
                  <c:v>4.6399803607182459</c:v>
                </c:pt>
                <c:pt idx="1">
                  <c:v>3.1033361305376079</c:v>
                </c:pt>
                <c:pt idx="2">
                  <c:v>0.73538685561083916</c:v>
                </c:pt>
                <c:pt idx="3">
                  <c:v>0.34895557839950087</c:v>
                </c:pt>
              </c:numCache>
            </c:numRef>
          </c:val>
          <c:extLst>
            <c:ext xmlns:c16="http://schemas.microsoft.com/office/drawing/2014/chart" uri="{C3380CC4-5D6E-409C-BE32-E72D297353CC}">
              <c16:uniqueId val="{00000000-1A22-4AA0-AAE9-DA90A9501623}"/>
            </c:ext>
          </c:extLst>
        </c:ser>
        <c:ser>
          <c:idx val="1"/>
          <c:order val="1"/>
          <c:tx>
            <c:v>Lowest group mean</c:v>
          </c:tx>
          <c:spPr>
            <a:solidFill>
              <a:srgbClr val="B91C1C"/>
            </a:solidFill>
            <a:ln>
              <a:noFill/>
              <a:prstDash val="solid"/>
            </a:ln>
          </c:spPr>
          <c:invertIfNegative val="0"/>
          <c:cat>
            <c:strRef>
              <c:f>Results!$B$139:$B$142</c:f>
              <c:strCache>
                <c:ptCount val="4"/>
                <c:pt idx="0">
                  <c:v>Market price factor</c:v>
                </c:pt>
                <c:pt idx="1">
                  <c:v>Construction cost</c:v>
                </c:pt>
                <c:pt idx="2">
                  <c:v>Construction duration</c:v>
                </c:pt>
                <c:pt idx="3">
                  <c:v>Off-plan sales pace</c:v>
                </c:pt>
              </c:strCache>
            </c:strRef>
          </c:cat>
          <c:val>
            <c:numRef>
              <c:f>Results!$G$139:$G$142</c:f>
              <c:numCache>
                <c:formatCode>#,##0.00_);\(#,##0.00\);"–"_)</c:formatCode>
                <c:ptCount val="4"/>
                <c:pt idx="0">
                  <c:v>-4.5557747604079708</c:v>
                </c:pt>
                <c:pt idx="1">
                  <c:v>-3.7872607289495441</c:v>
                </c:pt>
                <c:pt idx="2">
                  <c:v>-0.71565505129862572</c:v>
                </c:pt>
                <c:pt idx="3">
                  <c:v>-0.7656865496192502</c:v>
                </c:pt>
              </c:numCache>
            </c:numRef>
          </c:val>
          <c:extLst>
            <c:ext xmlns:c16="http://schemas.microsoft.com/office/drawing/2014/chart" uri="{C3380CC4-5D6E-409C-BE32-E72D297353CC}">
              <c16:uniqueId val="{00000001-1A22-4AA0-AAE9-DA90A9501623}"/>
            </c:ext>
          </c:extLst>
        </c:ser>
        <c:dLbls>
          <c:showLegendKey val="0"/>
          <c:showVal val="0"/>
          <c:showCatName val="0"/>
          <c:showSerName val="0"/>
          <c:showPercent val="0"/>
          <c:showBubbleSize val="0"/>
        </c:dLbls>
        <c:gapWidth val="35"/>
        <c:overlap val="100"/>
        <c:axId val="10"/>
        <c:axId val="100"/>
      </c:barChart>
      <c:catAx>
        <c:axId val="10"/>
        <c:scaling>
          <c:orientation val="maxMin"/>
        </c:scaling>
        <c:delete val="0"/>
        <c:axPos val="l"/>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b"/>
        <c:majorGridlines>
          <c:spPr>
            <a:ln>
              <a:solidFill>
                <a:srgbClr val="E4E9F0"/>
              </a:solidFill>
              <a:prstDash val="solid"/>
            </a:ln>
          </c:spPr>
        </c:majorGridlines>
        <c:numFmt formatCode="0.0" sourceLinked="0"/>
        <c:majorTickMark val="none"/>
        <c:minorTickMark val="none"/>
        <c:tickLblPos val="nextTo"/>
        <c:crossAx val="10"/>
        <c:crosses val="max"/>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4"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15</xdr:col>
      <xdr:colOff>0</xdr:colOff>
      <xdr:row>42</xdr:row>
      <xdr:rowOff>0</xdr:rowOff>
    </xdr:from>
    <xdr:ext cx="6840000" cy="2592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3.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25</xdr:row>
      <xdr:rowOff>0</xdr:rowOff>
    </xdr:from>
    <xdr:ext cx="6263999" cy="2520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8</xdr:col>
      <xdr:colOff>0</xdr:colOff>
      <xdr:row>41</xdr:row>
      <xdr:rowOff>0</xdr:rowOff>
    </xdr:from>
    <xdr:ext cx="6263999" cy="2160000"/>
    <xdr:graphicFrame macro="">
      <xdr:nvGraphicFramePr>
        <xdr:cNvPr id="4" name="Chart 3">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oneCellAnchor>
    <xdr:from>
      <xdr:col>8</xdr:col>
      <xdr:colOff>0</xdr:colOff>
      <xdr:row>55</xdr:row>
      <xdr:rowOff>0</xdr:rowOff>
    </xdr:from>
    <xdr:ext cx="6263999" cy="2160000"/>
    <xdr:graphicFrame macro="">
      <xdr:nvGraphicFramePr>
        <xdr:cNvPr id="5" name="Chart 4">
          <a:extLst>
            <a:ext uri="{FF2B5EF4-FFF2-40B4-BE49-F238E27FC236}">
              <a16:creationId xmlns:a16="http://schemas.microsoft.com/office/drawing/2014/main" id="{00000000-0008-0000-03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4"/>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39.4" x14ac:dyDescent="0.45">
      <c r="B9" s="9" t="s">
        <v>9</v>
      </c>
      <c r="C9" s="11" t="s">
        <v>10</v>
      </c>
    </row>
    <row r="10" spans="1:4" x14ac:dyDescent="0.45">
      <c r="B10" s="9" t="s">
        <v>11</v>
      </c>
      <c r="C10" s="10" t="s">
        <v>12</v>
      </c>
    </row>
    <row r="11" spans="1:4" ht="26.25" x14ac:dyDescent="0.45">
      <c r="B11" s="9" t="s">
        <v>13</v>
      </c>
      <c r="C11" s="10" t="s">
        <v>14</v>
      </c>
    </row>
    <row r="12" spans="1:4" ht="26.25"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70.05" customHeight="1" x14ac:dyDescent="0.45">
      <c r="B16" s="81" t="s">
        <v>20</v>
      </c>
      <c r="C16" s="80"/>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39.4" x14ac:dyDescent="0.45">
      <c r="B28" s="9" t="s">
        <v>23</v>
      </c>
      <c r="C28" s="10" t="s">
        <v>24</v>
      </c>
    </row>
    <row r="29" spans="2:3" ht="39.4"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x14ac:dyDescent="0.45">
      <c r="B54" s="9" t="s">
        <v>63</v>
      </c>
      <c r="C54" s="10" t="s">
        <v>64</v>
      </c>
    </row>
    <row r="55" spans="2:3" ht="12" customHeight="1" x14ac:dyDescent="0.45"/>
    <row r="56" spans="2:3" ht="22.05" customHeight="1" x14ac:dyDescent="0.5">
      <c r="B56" s="7" t="s">
        <v>65</v>
      </c>
      <c r="C56" s="8"/>
    </row>
    <row r="57" spans="2:3" x14ac:dyDescent="0.45">
      <c r="B57" s="9" t="s">
        <v>66</v>
      </c>
      <c r="C57" s="10" t="s">
        <v>67</v>
      </c>
    </row>
    <row r="58" spans="2:3" x14ac:dyDescent="0.45">
      <c r="B58" s="9" t="s">
        <v>68</v>
      </c>
      <c r="C58" s="10" t="s">
        <v>69</v>
      </c>
    </row>
    <row r="59" spans="2:3" x14ac:dyDescent="0.45">
      <c r="B59" s="9" t="s">
        <v>70</v>
      </c>
      <c r="C59" s="10" t="s">
        <v>71</v>
      </c>
    </row>
    <row r="60" spans="2:3" x14ac:dyDescent="0.45">
      <c r="B60" s="9" t="s">
        <v>72</v>
      </c>
      <c r="C60" s="10" t="s">
        <v>73</v>
      </c>
    </row>
    <row r="61" spans="2:3" x14ac:dyDescent="0.45">
      <c r="B61" s="9" t="s">
        <v>74</v>
      </c>
      <c r="C61" s="10" t="s">
        <v>75</v>
      </c>
    </row>
    <row r="62" spans="2:3" ht="12" customHeight="1" x14ac:dyDescent="0.45"/>
    <row r="63" spans="2:3" ht="22.05" customHeight="1" x14ac:dyDescent="0.5">
      <c r="B63" s="7" t="s">
        <v>76</v>
      </c>
      <c r="C63" s="8"/>
    </row>
    <row r="64" spans="2:3" x14ac:dyDescent="0.45">
      <c r="B64" s="20" t="s">
        <v>77</v>
      </c>
      <c r="C64" s="10" t="s">
        <v>78</v>
      </c>
    </row>
    <row r="65" spans="2:3" x14ac:dyDescent="0.45">
      <c r="B65" s="20" t="s">
        <v>79</v>
      </c>
      <c r="C65" s="10" t="s">
        <v>80</v>
      </c>
    </row>
    <row r="66" spans="2:3" x14ac:dyDescent="0.45">
      <c r="B66" s="20" t="s">
        <v>81</v>
      </c>
      <c r="C66" s="10" t="s">
        <v>82</v>
      </c>
    </row>
    <row r="67" spans="2:3" ht="39.4" x14ac:dyDescent="0.45">
      <c r="B67" s="20" t="s">
        <v>83</v>
      </c>
      <c r="C67" s="10" t="s">
        <v>84</v>
      </c>
    </row>
    <row r="68" spans="2:3" x14ac:dyDescent="0.45">
      <c r="B68" s="20" t="s">
        <v>85</v>
      </c>
      <c r="C68" s="10" t="s">
        <v>86</v>
      </c>
    </row>
    <row r="69" spans="2:3" ht="12" customHeight="1" x14ac:dyDescent="0.45"/>
    <row r="70" spans="2:3" ht="22.05" customHeight="1" x14ac:dyDescent="0.5">
      <c r="B70" s="7" t="s">
        <v>87</v>
      </c>
      <c r="C70" s="8"/>
    </row>
    <row r="71" spans="2:3" x14ac:dyDescent="0.45">
      <c r="B71" s="9" t="s">
        <v>41</v>
      </c>
      <c r="C71" s="10" t="s">
        <v>88</v>
      </c>
    </row>
    <row r="72" spans="2:3" x14ac:dyDescent="0.45">
      <c r="B72" s="9" t="s">
        <v>89</v>
      </c>
      <c r="C72" s="10" t="s">
        <v>90</v>
      </c>
    </row>
    <row r="73" spans="2:3" ht="16.05" customHeight="1" x14ac:dyDescent="0.45"/>
    <row r="74" spans="2:3" x14ac:dyDescent="0.45">
      <c r="B74" s="79" t="s">
        <v>91</v>
      </c>
      <c r="C74" s="80"/>
    </row>
  </sheetData>
  <mergeCells count="2">
    <mergeCell ref="B74:C74"/>
    <mergeCell ref="B16:C16"/>
  </mergeCells>
  <hyperlinks>
    <hyperlink ref="D4" location="'Inputs'!A1" display="Next:  Inputs  ▸" xr:uid="{00000000-0004-0000-0000-000000000000}"/>
    <hyperlink ref="B39" location="'Inputs'!A1" display="Inputs" xr:uid="{00000000-0004-0000-0000-000001000000}"/>
    <hyperlink ref="B40" location="'Cash flow'!A1" display="Cash flow"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37"/>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92</v>
      </c>
      <c r="C3" s="1"/>
      <c r="D3" s="1"/>
      <c r="E3" s="1"/>
      <c r="F3" s="1"/>
      <c r="G3" s="1"/>
      <c r="H3" s="1"/>
      <c r="I3" s="1"/>
      <c r="J3" s="1"/>
    </row>
    <row r="4" spans="1:10" ht="20" customHeight="1" x14ac:dyDescent="0.45">
      <c r="A4" s="5"/>
      <c r="B4" s="22" t="s">
        <v>93</v>
      </c>
      <c r="C4" s="5"/>
      <c r="D4" s="5"/>
      <c r="E4" s="5"/>
      <c r="F4" s="5"/>
      <c r="G4" s="5"/>
      <c r="H4" s="5"/>
      <c r="I4" s="5"/>
      <c r="J4" s="6" t="s">
        <v>94</v>
      </c>
    </row>
    <row r="5" spans="1:10" ht="8" customHeight="1" x14ac:dyDescent="0.45"/>
    <row r="6" spans="1:10" ht="30" customHeight="1" x14ac:dyDescent="0.45">
      <c r="B6" s="82" t="s">
        <v>95</v>
      </c>
      <c r="C6" s="80"/>
      <c r="D6" s="80"/>
      <c r="E6" s="80"/>
      <c r="F6" s="80"/>
      <c r="G6" s="80"/>
      <c r="H6" s="80"/>
      <c r="I6" s="80"/>
      <c r="J6" s="80"/>
    </row>
    <row r="7" spans="1:10" ht="6" customHeight="1" x14ac:dyDescent="0.45"/>
    <row r="8" spans="1:10" ht="22.05" customHeight="1" x14ac:dyDescent="0.5">
      <c r="B8" s="7" t="s">
        <v>96</v>
      </c>
      <c r="C8" s="8"/>
      <c r="D8" s="8"/>
      <c r="E8" s="8"/>
      <c r="F8" s="8"/>
      <c r="G8" s="8"/>
      <c r="H8" s="8"/>
      <c r="I8" s="8"/>
      <c r="J8" s="8"/>
    </row>
    <row r="9" spans="1:10" ht="18" customHeight="1" x14ac:dyDescent="0.45">
      <c r="B9" s="13" t="s">
        <v>97</v>
      </c>
    </row>
    <row r="10" spans="1:10" ht="18" customHeight="1" x14ac:dyDescent="0.45">
      <c r="B10" s="23" t="s">
        <v>98</v>
      </c>
      <c r="C10" s="23" t="s">
        <v>99</v>
      </c>
      <c r="D10" s="24" t="s">
        <v>100</v>
      </c>
      <c r="E10" s="23" t="s">
        <v>101</v>
      </c>
      <c r="F10" s="5"/>
      <c r="G10" s="5"/>
      <c r="H10" s="5"/>
      <c r="I10" s="5"/>
      <c r="J10" s="23" t="s">
        <v>102</v>
      </c>
    </row>
    <row r="11" spans="1:10" x14ac:dyDescent="0.45">
      <c r="B11" s="25" t="s">
        <v>103</v>
      </c>
      <c r="C11" s="26" t="s">
        <v>104</v>
      </c>
      <c r="D11" s="27">
        <v>8</v>
      </c>
      <c r="E11" s="26" t="s">
        <v>105</v>
      </c>
      <c r="F11" s="28"/>
      <c r="G11" s="28"/>
      <c r="H11" s="28"/>
      <c r="I11" s="28"/>
      <c r="J11" s="29" t="s">
        <v>106</v>
      </c>
    </row>
    <row r="12" spans="1:10" x14ac:dyDescent="0.45">
      <c r="B12" s="25" t="s">
        <v>107</v>
      </c>
      <c r="C12" s="26" t="s">
        <v>104</v>
      </c>
      <c r="D12" s="27">
        <v>15</v>
      </c>
      <c r="E12" s="26" t="s">
        <v>105</v>
      </c>
      <c r="F12" s="28"/>
      <c r="G12" s="28"/>
      <c r="H12" s="28"/>
      <c r="I12" s="28"/>
      <c r="J12" s="29" t="s">
        <v>108</v>
      </c>
    </row>
    <row r="13" spans="1:10" x14ac:dyDescent="0.45">
      <c r="B13" s="25" t="s">
        <v>109</v>
      </c>
      <c r="C13" s="26" t="s">
        <v>104</v>
      </c>
      <c r="D13" s="27">
        <v>40</v>
      </c>
      <c r="E13" s="26" t="s">
        <v>105</v>
      </c>
      <c r="F13" s="28"/>
      <c r="G13" s="28"/>
      <c r="H13" s="28"/>
      <c r="I13" s="28"/>
      <c r="J13" s="29" t="s">
        <v>110</v>
      </c>
    </row>
    <row r="14" spans="1:10" x14ac:dyDescent="0.45">
      <c r="B14" s="25" t="s">
        <v>111</v>
      </c>
      <c r="C14" s="26" t="s">
        <v>112</v>
      </c>
      <c r="D14" s="30">
        <v>7.0000000000000007E-2</v>
      </c>
      <c r="E14" s="26" t="s">
        <v>105</v>
      </c>
      <c r="F14" s="28"/>
      <c r="G14" s="28"/>
      <c r="H14" s="28"/>
      <c r="I14" s="28"/>
      <c r="J14" s="29" t="s">
        <v>113</v>
      </c>
    </row>
    <row r="15" spans="1:10" x14ac:dyDescent="0.45">
      <c r="B15" s="25" t="s">
        <v>114</v>
      </c>
      <c r="C15" s="26" t="s">
        <v>115</v>
      </c>
      <c r="D15" s="31">
        <v>0.9</v>
      </c>
      <c r="E15" s="26" t="s">
        <v>105</v>
      </c>
      <c r="F15" s="28"/>
      <c r="G15" s="28"/>
      <c r="H15" s="28"/>
      <c r="I15" s="28"/>
      <c r="J15" s="29" t="s">
        <v>116</v>
      </c>
    </row>
    <row r="16" spans="1:10" ht="8" customHeight="1" x14ac:dyDescent="0.45"/>
    <row r="17" spans="2:10" ht="22.05" customHeight="1" x14ac:dyDescent="0.5">
      <c r="B17" s="7" t="s">
        <v>117</v>
      </c>
      <c r="C17" s="8"/>
      <c r="D17" s="8"/>
      <c r="E17" s="8"/>
      <c r="F17" s="8"/>
      <c r="G17" s="8"/>
      <c r="H17" s="8"/>
      <c r="I17" s="8"/>
      <c r="J17" s="8"/>
    </row>
    <row r="18" spans="2:10" ht="18" customHeight="1" x14ac:dyDescent="0.45">
      <c r="B18" s="13" t="s">
        <v>118</v>
      </c>
    </row>
    <row r="19" spans="2:10" ht="18" customHeight="1" x14ac:dyDescent="0.45">
      <c r="B19" s="23" t="s">
        <v>98</v>
      </c>
      <c r="C19" s="23" t="s">
        <v>99</v>
      </c>
      <c r="D19" s="24" t="s">
        <v>100</v>
      </c>
      <c r="E19" s="23" t="s">
        <v>101</v>
      </c>
      <c r="F19" s="24" t="s">
        <v>119</v>
      </c>
      <c r="G19" s="24" t="s">
        <v>120</v>
      </c>
      <c r="H19" s="24" t="s">
        <v>121</v>
      </c>
      <c r="I19" s="24" t="s">
        <v>122</v>
      </c>
      <c r="J19" s="23" t="s">
        <v>102</v>
      </c>
    </row>
    <row r="20" spans="2:10" x14ac:dyDescent="0.45">
      <c r="B20" s="25" t="s">
        <v>123</v>
      </c>
      <c r="C20" s="26" t="s">
        <v>104</v>
      </c>
      <c r="D20" s="32" cm="1">
        <f t="array" aca="1" ref="D20" ca="1">_xll.VoseInput("Construction cost","US$m")+_xll.VosePERT(F20,G20,H20)</f>
        <v>47.190545799469191</v>
      </c>
      <c r="E20" s="26" t="s">
        <v>124</v>
      </c>
      <c r="F20" s="27">
        <v>42</v>
      </c>
      <c r="G20" s="27">
        <v>45</v>
      </c>
      <c r="H20" s="27">
        <v>52</v>
      </c>
      <c r="I20" s="33" cm="1">
        <f t="array" ref="I20">IF(AND(F20&lt;=G20,G20&lt;=H20,F20&lt;H20),_xll.VoseMean(_xll.VosePERTObject(F20,G20,H20)),"✗ range")</f>
        <v>45.666666666666664</v>
      </c>
      <c r="J20" s="29" t="s">
        <v>125</v>
      </c>
    </row>
    <row r="21" spans="2:10" x14ac:dyDescent="0.45">
      <c r="B21" s="25" t="s">
        <v>126</v>
      </c>
      <c r="C21" s="26" t="s">
        <v>127</v>
      </c>
      <c r="D21" s="32" cm="1">
        <f t="array" aca="1" ref="D21" ca="1">_xll.VoseInput("Construction duration","months")+_xll.VosePERT(F21,G21,H21)</f>
        <v>30.999756526736462</v>
      </c>
      <c r="E21" s="26" t="s">
        <v>124</v>
      </c>
      <c r="F21" s="27">
        <v>26</v>
      </c>
      <c r="G21" s="27">
        <v>30</v>
      </c>
      <c r="H21" s="27">
        <v>36</v>
      </c>
      <c r="I21" s="33" cm="1">
        <f t="array" ref="I21">IF(AND(F21&lt;=G21,G21&lt;=H21,F21&lt;H21),_xll.VoseMean(_xll.VosePERTObject(F21,G21,H21)),"✗ range")</f>
        <v>30.333333333333332</v>
      </c>
      <c r="J21" s="29" t="s">
        <v>128</v>
      </c>
    </row>
    <row r="22" spans="2:10" x14ac:dyDescent="0.45">
      <c r="B22" s="25" t="s">
        <v>129</v>
      </c>
      <c r="C22" s="26"/>
      <c r="D22" s="34">
        <v>2.2000000000000002</v>
      </c>
      <c r="E22" s="26" t="s">
        <v>105</v>
      </c>
      <c r="F22" s="28"/>
      <c r="G22" s="28"/>
      <c r="H22" s="28"/>
      <c r="I22" s="28"/>
      <c r="J22" s="29" t="s">
        <v>130</v>
      </c>
    </row>
    <row r="23" spans="2:10" x14ac:dyDescent="0.45">
      <c r="B23" s="25" t="s">
        <v>131</v>
      </c>
      <c r="C23" s="26"/>
      <c r="D23" s="34">
        <v>2.6</v>
      </c>
      <c r="E23" s="26" t="s">
        <v>105</v>
      </c>
      <c r="F23" s="28"/>
      <c r="G23" s="28"/>
      <c r="H23" s="28"/>
      <c r="I23" s="28"/>
      <c r="J23" s="29"/>
    </row>
    <row r="24" spans="2:10" x14ac:dyDescent="0.45">
      <c r="B24" s="25" t="s">
        <v>132</v>
      </c>
      <c r="C24" s="26" t="s">
        <v>133</v>
      </c>
      <c r="D24" s="35">
        <v>0.12</v>
      </c>
      <c r="E24" s="26" t="s">
        <v>105</v>
      </c>
      <c r="F24" s="28"/>
      <c r="G24" s="28"/>
      <c r="H24" s="28"/>
      <c r="I24" s="28"/>
      <c r="J24" s="29" t="s">
        <v>134</v>
      </c>
    </row>
    <row r="25" spans="2:10" ht="8" customHeight="1" x14ac:dyDescent="0.45"/>
    <row r="26" spans="2:10" ht="22.05" customHeight="1" x14ac:dyDescent="0.5">
      <c r="B26" s="7" t="s">
        <v>135</v>
      </c>
      <c r="C26" s="8"/>
      <c r="D26" s="8"/>
      <c r="E26" s="8"/>
      <c r="F26" s="8"/>
      <c r="G26" s="8"/>
      <c r="H26" s="8"/>
      <c r="I26" s="8"/>
      <c r="J26" s="8"/>
    </row>
    <row r="27" spans="2:10" ht="18" customHeight="1" x14ac:dyDescent="0.45">
      <c r="B27" s="13" t="s">
        <v>136</v>
      </c>
    </row>
    <row r="28" spans="2:10" ht="18" customHeight="1" x14ac:dyDescent="0.45">
      <c r="B28" s="23" t="s">
        <v>98</v>
      </c>
      <c r="C28" s="23" t="s">
        <v>99</v>
      </c>
      <c r="D28" s="24" t="s">
        <v>100</v>
      </c>
      <c r="E28" s="23" t="s">
        <v>101</v>
      </c>
      <c r="F28" s="24" t="s">
        <v>119</v>
      </c>
      <c r="G28" s="24" t="s">
        <v>120</v>
      </c>
      <c r="H28" s="24" t="s">
        <v>121</v>
      </c>
      <c r="I28" s="24" t="s">
        <v>122</v>
      </c>
      <c r="J28" s="23" t="s">
        <v>102</v>
      </c>
    </row>
    <row r="29" spans="2:10" x14ac:dyDescent="0.45">
      <c r="B29" s="25" t="s">
        <v>137</v>
      </c>
      <c r="C29" s="26" t="s">
        <v>138</v>
      </c>
      <c r="D29" s="36">
        <v>120</v>
      </c>
      <c r="E29" s="26" t="s">
        <v>105</v>
      </c>
      <c r="F29" s="28"/>
      <c r="G29" s="28"/>
      <c r="H29" s="28"/>
      <c r="I29" s="28"/>
      <c r="J29" s="29"/>
    </row>
    <row r="30" spans="2:10" x14ac:dyDescent="0.45">
      <c r="B30" s="25" t="s">
        <v>139</v>
      </c>
      <c r="C30" s="26" t="s">
        <v>140</v>
      </c>
      <c r="D30" s="37">
        <v>580</v>
      </c>
      <c r="E30" s="26" t="s">
        <v>105</v>
      </c>
      <c r="F30" s="28"/>
      <c r="G30" s="28"/>
      <c r="H30" s="28"/>
      <c r="I30" s="28"/>
      <c r="J30" s="29" t="s">
        <v>141</v>
      </c>
    </row>
    <row r="31" spans="2:10" x14ac:dyDescent="0.45">
      <c r="B31" s="25" t="s">
        <v>142</v>
      </c>
      <c r="C31" s="26" t="s">
        <v>143</v>
      </c>
      <c r="D31" s="38" cm="1">
        <f t="array" aca="1" ref="D31" ca="1">_xll.VoseInput("Market price factor","× today")+_xll.VosePERT(F31,G31,H31)</f>
        <v>1.0198325964348807</v>
      </c>
      <c r="E31" s="26" t="s">
        <v>124</v>
      </c>
      <c r="F31" s="34">
        <v>0.9</v>
      </c>
      <c r="G31" s="34">
        <v>1</v>
      </c>
      <c r="H31" s="34">
        <v>1.1000000000000001</v>
      </c>
      <c r="I31" s="39" cm="1">
        <f t="array" ref="I31">IF(AND(F31&lt;=G31,G31&lt;=H31,F31&lt;H31),_xll.VoseMean(_xll.VosePERTObject(F31,G31,H31)),"✗ range")</f>
        <v>1</v>
      </c>
      <c r="J31" s="29" t="s">
        <v>144</v>
      </c>
    </row>
    <row r="32" spans="2:10" x14ac:dyDescent="0.45">
      <c r="B32" s="25" t="s">
        <v>145</v>
      </c>
      <c r="C32" s="26" t="s">
        <v>146</v>
      </c>
      <c r="D32" s="32" cm="1">
        <f t="array" aca="1" ref="D32" ca="1">_xll.VoseInput("Off-plan sales pace","units per month")+_xll.VosePERT(F32,G32,H32)</f>
        <v>4.459424156055146</v>
      </c>
      <c r="E32" s="26" t="s">
        <v>124</v>
      </c>
      <c r="F32" s="27">
        <v>3</v>
      </c>
      <c r="G32" s="27">
        <v>5</v>
      </c>
      <c r="H32" s="27">
        <v>8</v>
      </c>
      <c r="I32" s="33" cm="1">
        <f t="array" ref="I32">IF(AND(F32&lt;=G32,G32&lt;=H32,F32&lt;H32),_xll.VoseMean(_xll.VosePERTObject(F32,G32,H32)),"✗ range")</f>
        <v>5.166666666666667</v>
      </c>
      <c r="J32" s="29" t="s">
        <v>147</v>
      </c>
    </row>
    <row r="33" spans="2:10" x14ac:dyDescent="0.45">
      <c r="B33" s="25" t="s">
        <v>148</v>
      </c>
      <c r="C33" s="26" t="s">
        <v>149</v>
      </c>
      <c r="D33" s="36">
        <v>4</v>
      </c>
      <c r="E33" s="26" t="s">
        <v>105</v>
      </c>
      <c r="F33" s="28"/>
      <c r="G33" s="28"/>
      <c r="H33" s="28"/>
      <c r="I33" s="28"/>
      <c r="J33" s="29" t="s">
        <v>150</v>
      </c>
    </row>
    <row r="34" spans="2:10" x14ac:dyDescent="0.45">
      <c r="B34" s="25" t="s">
        <v>151</v>
      </c>
      <c r="C34" s="26" t="s">
        <v>152</v>
      </c>
      <c r="D34" s="31">
        <v>0.1</v>
      </c>
      <c r="E34" s="26" t="s">
        <v>105</v>
      </c>
      <c r="F34" s="28"/>
      <c r="G34" s="28"/>
      <c r="H34" s="28"/>
      <c r="I34" s="28"/>
      <c r="J34" s="29" t="s">
        <v>153</v>
      </c>
    </row>
    <row r="35" spans="2:10" x14ac:dyDescent="0.45">
      <c r="B35" s="25" t="s">
        <v>154</v>
      </c>
      <c r="C35" s="26" t="s">
        <v>146</v>
      </c>
      <c r="D35" s="27">
        <v>6</v>
      </c>
      <c r="E35" s="26" t="s">
        <v>105</v>
      </c>
      <c r="F35" s="28"/>
      <c r="G35" s="28"/>
      <c r="H35" s="28"/>
      <c r="I35" s="28"/>
      <c r="J35" s="29" t="s">
        <v>155</v>
      </c>
    </row>
    <row r="36" spans="2:10" x14ac:dyDescent="0.45">
      <c r="B36" s="25" t="s">
        <v>156</v>
      </c>
      <c r="C36" s="26" t="s">
        <v>152</v>
      </c>
      <c r="D36" s="31">
        <v>0.05</v>
      </c>
      <c r="E36" s="26" t="s">
        <v>105</v>
      </c>
      <c r="F36" s="28"/>
      <c r="G36" s="28"/>
      <c r="H36" s="28"/>
      <c r="I36" s="28"/>
      <c r="J36" s="29" t="s">
        <v>157</v>
      </c>
    </row>
    <row r="37" spans="2:10" ht="8" customHeight="1" x14ac:dyDescent="0.45"/>
  </sheetData>
  <mergeCells count="1">
    <mergeCell ref="B6:J6"/>
  </mergeCells>
  <conditionalFormatting sqref="I20:I21">
    <cfRule type="expression" dxfId="10" priority="1">
      <formula>LEFT($I20,1)="✗"</formula>
    </cfRule>
  </conditionalFormatting>
  <conditionalFormatting sqref="I31:I32">
    <cfRule type="expression" dxfId="9" priority="3">
      <formula>LEFT($I31,1)="✗"</formula>
    </cfRule>
  </conditionalFormatting>
  <dataValidations count="5">
    <dataValidation type="decimal" operator="greaterThan" showErrorMessage="1" errorTitle="Positive value" error="Enter a value greater than zero." sqref="D35 D30 D22:D23 D11:D13" xr:uid="{00000000-0002-0000-0100-000000000000}">
      <formula1>0</formula1>
    </dataValidation>
    <dataValidation type="decimal" showErrorMessage="1" errorTitle="Value" error="Enter a value of zero or more." sqref="D14 D24" xr:uid="{00000000-0002-0000-0100-000003000000}">
      <formula1>0</formula1>
      <formula2>1000000000000</formula2>
    </dataValidation>
    <dataValidation type="decimal" showErrorMessage="1" errorTitle="Probability" error="Enter a value between 0% and 100%." sqref="D15 D36 D34" xr:uid="{00000000-0002-0000-0100-000004000000}">
      <formula1>0</formula1>
      <formula2>1</formula2>
    </dataValidation>
    <dataValidation type="custom" showErrorMessage="1" errorTitle="PERT range" error="Low must be below High, with Most likely between them." sqref="F31:H32 F20:H21" xr:uid="{00000000-0002-0000-0100-000005000000}">
      <formula1>AND($F20&lt;=$G20,$G20&lt;=$H20,$F20&lt;$H20)</formula1>
    </dataValidation>
    <dataValidation type="whole" showErrorMessage="1" errorTitle="Whole number" error="Enter a whole number." sqref="D29 D33" xr:uid="{00000000-0002-0000-0100-00000A000000}">
      <formula1>0</formula1>
      <formula2>1000000</formula2>
    </dataValidation>
  </dataValidations>
  <hyperlinks>
    <hyperlink ref="B4" location="'About'!A1" display="◂  About" xr:uid="{00000000-0004-0000-0100-000000000000}"/>
    <hyperlink ref="J4" location="'Cash flow'!A1" display="Next:  Cash flow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sheetPr>
  <dimension ref="A1:BA57"/>
  <sheetViews>
    <sheetView showGridLines="0" workbookViewId="0">
      <pane xSplit="5" ySplit="7" topLeftCell="F8" activePane="bottomRight" state="frozen"/>
      <selection pane="topRight"/>
      <selection pane="bottomLeft"/>
      <selection pane="bottomRight"/>
    </sheetView>
  </sheetViews>
  <sheetFormatPr defaultRowHeight="14.25" x14ac:dyDescent="0.45"/>
  <cols>
    <col min="1" max="1" width="2" customWidth="1"/>
    <col min="2" max="2" width="44" customWidth="1"/>
    <col min="3" max="3" width="9" customWidth="1"/>
    <col min="4" max="4" width="10" customWidth="1"/>
    <col min="5" max="53" width="7" customWidth="1"/>
  </cols>
  <sheetData>
    <row r="1" spans="1:53" ht="6" customHeight="1" x14ac:dyDescent="0.45"/>
    <row r="2" spans="1:53" ht="30" customHeight="1" x14ac:dyDescent="0.45">
      <c r="A2" s="1"/>
      <c r="B2" s="21" t="s">
        <v>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3" t="s">
        <v>1</v>
      </c>
    </row>
    <row r="3" spans="1:53" ht="20" customHeight="1" x14ac:dyDescent="0.45">
      <c r="A3" s="1"/>
      <c r="B3" s="4" t="s">
        <v>158</v>
      </c>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row>
    <row r="4" spans="1:53" ht="20" customHeight="1" x14ac:dyDescent="0.45">
      <c r="A4" s="5"/>
      <c r="B4" s="22" t="s">
        <v>159</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6" t="s">
        <v>160</v>
      </c>
    </row>
    <row r="5" spans="1:53" ht="8" customHeight="1" x14ac:dyDescent="0.45"/>
    <row r="6" spans="1:53" ht="16.05" customHeight="1" x14ac:dyDescent="0.45">
      <c r="B6" s="40" t="s">
        <v>161</v>
      </c>
      <c r="C6" s="41"/>
      <c r="D6" s="42" t="s">
        <v>162</v>
      </c>
      <c r="E6" s="43" t="s">
        <v>163</v>
      </c>
      <c r="F6" s="44">
        <v>1</v>
      </c>
      <c r="G6" s="44">
        <f t="shared" ref="G6:BA6" si="0">F6+1</f>
        <v>2</v>
      </c>
      <c r="H6" s="44">
        <f t="shared" si="0"/>
        <v>3</v>
      </c>
      <c r="I6" s="44">
        <f t="shared" si="0"/>
        <v>4</v>
      </c>
      <c r="J6" s="44">
        <f t="shared" si="0"/>
        <v>5</v>
      </c>
      <c r="K6" s="44">
        <f t="shared" si="0"/>
        <v>6</v>
      </c>
      <c r="L6" s="44">
        <f t="shared" si="0"/>
        <v>7</v>
      </c>
      <c r="M6" s="44">
        <f t="shared" si="0"/>
        <v>8</v>
      </c>
      <c r="N6" s="44">
        <f t="shared" si="0"/>
        <v>9</v>
      </c>
      <c r="O6" s="44">
        <f t="shared" si="0"/>
        <v>10</v>
      </c>
      <c r="P6" s="44">
        <f t="shared" si="0"/>
        <v>11</v>
      </c>
      <c r="Q6" s="44">
        <f t="shared" si="0"/>
        <v>12</v>
      </c>
      <c r="R6" s="44">
        <f t="shared" si="0"/>
        <v>13</v>
      </c>
      <c r="S6" s="44">
        <f t="shared" si="0"/>
        <v>14</v>
      </c>
      <c r="T6" s="44">
        <f t="shared" si="0"/>
        <v>15</v>
      </c>
      <c r="U6" s="44">
        <f t="shared" si="0"/>
        <v>16</v>
      </c>
      <c r="V6" s="44">
        <f t="shared" si="0"/>
        <v>17</v>
      </c>
      <c r="W6" s="44">
        <f t="shared" si="0"/>
        <v>18</v>
      </c>
      <c r="X6" s="44">
        <f t="shared" si="0"/>
        <v>19</v>
      </c>
      <c r="Y6" s="44">
        <f t="shared" si="0"/>
        <v>20</v>
      </c>
      <c r="Z6" s="44">
        <f t="shared" si="0"/>
        <v>21</v>
      </c>
      <c r="AA6" s="44">
        <f t="shared" si="0"/>
        <v>22</v>
      </c>
      <c r="AB6" s="44">
        <f t="shared" si="0"/>
        <v>23</v>
      </c>
      <c r="AC6" s="44">
        <f t="shared" si="0"/>
        <v>24</v>
      </c>
      <c r="AD6" s="44">
        <f t="shared" si="0"/>
        <v>25</v>
      </c>
      <c r="AE6" s="44">
        <f t="shared" si="0"/>
        <v>26</v>
      </c>
      <c r="AF6" s="44">
        <f t="shared" si="0"/>
        <v>27</v>
      </c>
      <c r="AG6" s="44">
        <f t="shared" si="0"/>
        <v>28</v>
      </c>
      <c r="AH6" s="44">
        <f t="shared" si="0"/>
        <v>29</v>
      </c>
      <c r="AI6" s="44">
        <f t="shared" si="0"/>
        <v>30</v>
      </c>
      <c r="AJ6" s="44">
        <f t="shared" si="0"/>
        <v>31</v>
      </c>
      <c r="AK6" s="44">
        <f t="shared" si="0"/>
        <v>32</v>
      </c>
      <c r="AL6" s="44">
        <f t="shared" si="0"/>
        <v>33</v>
      </c>
      <c r="AM6" s="44">
        <f t="shared" si="0"/>
        <v>34</v>
      </c>
      <c r="AN6" s="44">
        <f t="shared" si="0"/>
        <v>35</v>
      </c>
      <c r="AO6" s="44">
        <f t="shared" si="0"/>
        <v>36</v>
      </c>
      <c r="AP6" s="44">
        <f t="shared" si="0"/>
        <v>37</v>
      </c>
      <c r="AQ6" s="44">
        <f t="shared" si="0"/>
        <v>38</v>
      </c>
      <c r="AR6" s="44">
        <f t="shared" si="0"/>
        <v>39</v>
      </c>
      <c r="AS6" s="44">
        <f t="shared" si="0"/>
        <v>40</v>
      </c>
      <c r="AT6" s="44">
        <f t="shared" si="0"/>
        <v>41</v>
      </c>
      <c r="AU6" s="44">
        <f t="shared" si="0"/>
        <v>42</v>
      </c>
      <c r="AV6" s="44">
        <f t="shared" si="0"/>
        <v>43</v>
      </c>
      <c r="AW6" s="44">
        <f t="shared" si="0"/>
        <v>44</v>
      </c>
      <c r="AX6" s="44">
        <f t="shared" si="0"/>
        <v>45</v>
      </c>
      <c r="AY6" s="44">
        <f t="shared" si="0"/>
        <v>46</v>
      </c>
      <c r="AZ6" s="44">
        <f t="shared" si="0"/>
        <v>47</v>
      </c>
      <c r="BA6" s="44">
        <f t="shared" si="0"/>
        <v>48</v>
      </c>
    </row>
    <row r="7" spans="1:53" ht="16.05" customHeight="1" x14ac:dyDescent="0.45">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row>
    <row r="8" spans="1:53" ht="6" customHeight="1" x14ac:dyDescent="0.45"/>
    <row r="9" spans="1:53" ht="22.05" customHeight="1" x14ac:dyDescent="0.5">
      <c r="B9" s="7" t="s">
        <v>164</v>
      </c>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row>
    <row r="10" spans="1:53" ht="18" customHeight="1" x14ac:dyDescent="0.45">
      <c r="B10" s="45" t="s">
        <v>165</v>
      </c>
      <c r="C10" s="45" t="s">
        <v>99</v>
      </c>
      <c r="D10" s="46" t="s">
        <v>166</v>
      </c>
      <c r="E10" s="5"/>
      <c r="F10" s="45" t="s">
        <v>167</v>
      </c>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row>
    <row r="11" spans="1:53" x14ac:dyDescent="0.45">
      <c r="B11" s="25" t="s">
        <v>168</v>
      </c>
      <c r="C11" s="26" t="s">
        <v>127</v>
      </c>
      <c r="D11" s="47">
        <f ca="1">MAX(1,ROUND(BuildTime,0))</f>
        <v>31</v>
      </c>
      <c r="E11" s="28"/>
      <c r="F11" s="26" t="s">
        <v>169</v>
      </c>
      <c r="G11" s="28"/>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row>
    <row r="12" spans="1:53" x14ac:dyDescent="0.45">
      <c r="B12" s="25" t="s">
        <v>170</v>
      </c>
      <c r="C12" s="26" t="s">
        <v>104</v>
      </c>
      <c r="D12" s="48">
        <f ca="1">PriceToday*Market/1000</f>
        <v>0.59150290593223076</v>
      </c>
      <c r="E12" s="28"/>
      <c r="F12" s="26" t="s">
        <v>171</v>
      </c>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row>
    <row r="13" spans="1:53" x14ac:dyDescent="0.45">
      <c r="B13" s="25" t="s">
        <v>172</v>
      </c>
      <c r="C13" s="26" t="s">
        <v>138</v>
      </c>
      <c r="D13" s="33">
        <f ca="1">MIN(Units,MAX(0,BuildMonths-SalesStart+1)*Pace)</f>
        <v>120</v>
      </c>
      <c r="E13" s="28"/>
      <c r="F13" s="26" t="s">
        <v>173</v>
      </c>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row>
    <row r="14" spans="1:53" x14ac:dyDescent="0.45">
      <c r="B14" s="25" t="s">
        <v>174</v>
      </c>
      <c r="C14" s="26"/>
      <c r="D14" s="49">
        <f>InterestRate/12</f>
        <v>5.8333333333333336E-3</v>
      </c>
      <c r="E14" s="28"/>
      <c r="F14" s="26" t="s">
        <v>175</v>
      </c>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row>
    <row r="15" spans="1:53" ht="8" customHeight="1" x14ac:dyDescent="0.45"/>
    <row r="16" spans="1:53" ht="22.05" customHeight="1" x14ac:dyDescent="0.5">
      <c r="B16" s="7" t="s">
        <v>176</v>
      </c>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row>
    <row r="17" spans="2:53" ht="18" customHeight="1" x14ac:dyDescent="0.45">
      <c r="B17" s="13" t="s">
        <v>177</v>
      </c>
    </row>
    <row r="18" spans="2:53" x14ac:dyDescent="0.45">
      <c r="B18" s="25" t="s">
        <v>178</v>
      </c>
      <c r="C18" s="26"/>
      <c r="D18" s="28"/>
      <c r="E18" s="50">
        <v>0</v>
      </c>
      <c r="F18" s="51" cm="1">
        <f t="array" aca="1" ref="F18" ca="1">_xll.VoseBetaProb(MIN(F$6/BuildMonths,1),SAlpha,SBeta,TRUE)</f>
        <v>2.6003172636236836E-3</v>
      </c>
      <c r="G18" s="51" cm="1">
        <f t="array" aca="1" ref="G18" ca="1">_xll.VoseBetaProb(MIN(G$6/BuildMonths,1),SAlpha,SBeta,TRUE)</f>
        <v>1.1518285340349927E-2</v>
      </c>
      <c r="H18" s="51" cm="1">
        <f t="array" aca="1" ref="H18" ca="1">_xll.VoseBetaProb(MIN(H$6/BuildMonths,1),SAlpha,SBeta,TRUE)</f>
        <v>2.7073143093335313E-2</v>
      </c>
      <c r="I18" s="51" cm="1">
        <f t="array" aca="1" ref="I18" ca="1">_xll.VoseBetaProb(MIN(I$6/BuildMonths,1),SAlpha,SBeta,TRUE)</f>
        <v>4.9067577227990156E-2</v>
      </c>
      <c r="J18" s="51" cm="1">
        <f t="array" aca="1" ref="J18" ca="1">_xll.VoseBetaProb(MIN(J$6/BuildMonths,1),SAlpha,SBeta,TRUE)</f>
        <v>7.7092713195703239E-2</v>
      </c>
      <c r="K18" s="51" cm="1">
        <f t="array" aca="1" ref="K18" ca="1">_xll.VoseBetaProb(MIN(K$6/BuildMonths,1),SAlpha,SBeta,TRUE)</f>
        <v>0.11062143607568407</v>
      </c>
      <c r="L18" s="51" cm="1">
        <f t="array" aca="1" ref="L18" ca="1">_xll.VoseBetaProb(MIN(L$6/BuildMonths,1),SAlpha,SBeta,TRUE)</f>
        <v>0.14905403589611216</v>
      </c>
      <c r="M18" s="51" cm="1">
        <f t="array" aca="1" ref="M18" ca="1">_xll.VoseBetaProb(MIN(M$6/BuildMonths,1),SAlpha,SBeta,TRUE)</f>
        <v>0.1917453077298038</v>
      </c>
      <c r="N18" s="51" cm="1">
        <f t="array" aca="1" ref="N18" ca="1">_xll.VoseBetaProb(MIN(N$6/BuildMonths,1),SAlpha,SBeta,TRUE)</f>
        <v>0.23802265019121044</v>
      </c>
      <c r="O18" s="51" cm="1">
        <f t="array" aca="1" ref="O18" ca="1">_xll.VoseBetaProb(MIN(O$6/BuildMonths,1),SAlpha,SBeta,TRUE)</f>
        <v>0.2871991861710943</v>
      </c>
      <c r="P18" s="51" cm="1">
        <f t="array" aca="1" ref="P18" ca="1">_xll.VoseBetaProb(MIN(P$6/BuildMonths,1),SAlpha,SBeta,TRUE)</f>
        <v>0.33858388555277036</v>
      </c>
      <c r="Q18" s="51" cm="1">
        <f t="array" aca="1" ref="Q18" ca="1">_xll.VoseBetaProb(MIN(Q$6/BuildMonths,1),SAlpha,SBeta,TRUE)</f>
        <v>0.39148977536488394</v>
      </c>
      <c r="R18" s="51" cm="1">
        <f t="array" aca="1" ref="R18" ca="1">_xll.VoseBetaProb(MIN(R$6/BuildMonths,1),SAlpha,SBeta,TRUE)</f>
        <v>0.44524088419737201</v>
      </c>
      <c r="S18" s="51" cm="1">
        <f t="array" aca="1" ref="S18" ca="1">_xll.VoseBetaProb(MIN(S$6/BuildMonths,1),SAlpha,SBeta,TRUE)</f>
        <v>0.49917833416727397</v>
      </c>
      <c r="T18" s="51" cm="1">
        <f t="array" aca="1" ref="T18" ca="1">_xll.VoseBetaProb(MIN(T$6/BuildMonths,1),SAlpha,SBeta,TRUE)</f>
        <v>0.55266586196023504</v>
      </c>
      <c r="U18" s="51" cm="1">
        <f t="array" aca="1" ref="U18" ca="1">_xll.VoseBetaProb(MIN(U$6/BuildMonths,1),SAlpha,SBeta,TRUE)</f>
        <v>0.60509497353361252</v>
      </c>
      <c r="V18" s="51" cm="1">
        <f t="array" aca="1" ref="V18" ca="1">_xll.VoseBetaProb(MIN(V$6/BuildMonths,1),SAlpha,SBeta,TRUE)</f>
        <v>0.65588989205413384</v>
      </c>
      <c r="W18" s="51" cm="1">
        <f t="array" aca="1" ref="W18" ca="1">_xll.VoseBetaProb(MIN(W$6/BuildMonths,1),SAlpha,SBeta,TRUE)</f>
        <v>0.70451243395452168</v>
      </c>
      <c r="X18" s="51" cm="1">
        <f t="array" aca="1" ref="X18" ca="1">_xll.VoseBetaProb(MIN(X$6/BuildMonths,1),SAlpha,SBeta,TRUE)</f>
        <v>0.75046693787511309</v>
      </c>
      <c r="Y18" s="51" cm="1">
        <f t="array" aca="1" ref="Y18" ca="1">_xll.VoseBetaProb(MIN(Y$6/BuildMonths,1),SAlpha,SBeta,TRUE)</f>
        <v>0.79330537343836749</v>
      </c>
      <c r="Z18" s="51" cm="1">
        <f t="array" aca="1" ref="Z18" ca="1">_xll.VoseBetaProb(MIN(Z$6/BuildMonths,1),SAlpha,SBeta,TRUE)</f>
        <v>0.83263277164289806</v>
      </c>
      <c r="AA18" s="51" cm="1">
        <f t="array" aca="1" ref="AA18" ca="1">_xll.VoseBetaProb(MIN(AA$6/BuildMonths,1),SAlpha,SBeta,TRUE)</f>
        <v>0.86811314927782002</v>
      </c>
      <c r="AB18" s="51" cm="1">
        <f t="array" aca="1" ref="AB18" ca="1">_xll.VoseBetaProb(MIN(AB$6/BuildMonths,1),SAlpha,SBeta,TRUE)</f>
        <v>0.89947615324662977</v>
      </c>
      <c r="AC18" s="51" cm="1">
        <f t="array" aca="1" ref="AC18" ca="1">_xll.VoseBetaProb(MIN(AC$6/BuildMonths,1),SAlpha,SBeta,TRUE)</f>
        <v>0.92652474121348027</v>
      </c>
      <c r="AD18" s="51" cm="1">
        <f t="array" aca="1" ref="AD18" ca="1">_xll.VoseBetaProb(MIN(AD$6/BuildMonths,1),SAlpha,SBeta,TRUE)</f>
        <v>0.94914437095423099</v>
      </c>
      <c r="AE18" s="51" cm="1">
        <f t="array" aca="1" ref="AE18" ca="1">_xll.VoseBetaProb(MIN(AE$6/BuildMonths,1),SAlpha,SBeta,TRUE)</f>
        <v>0.96731445245793612</v>
      </c>
      <c r="AF18" s="51" cm="1">
        <f t="array" aca="1" ref="AF18" ca="1">_xll.VoseBetaProb(MIN(AF$6/BuildMonths,1),SAlpha,SBeta,TRUE)</f>
        <v>0.98112336364853558</v>
      </c>
      <c r="AG18" s="51" cm="1">
        <f t="array" aca="1" ref="AG18" ca="1">_xll.VoseBetaProb(MIN(AG$6/BuildMonths,1),SAlpha,SBeta,TRUE)</f>
        <v>0.9907895075588371</v>
      </c>
      <c r="AH18" s="51" cm="1">
        <f t="array" aca="1" ref="AH18" ca="1">_xll.VoseBetaProb(MIN(AH$6/BuildMonths,1),SAlpha,SBeta,TRUE)</f>
        <v>0.99669383453809679</v>
      </c>
      <c r="AI18" s="51" cm="1">
        <f t="array" aca="1" ref="AI18" ca="1">_xll.VoseBetaProb(MIN(AI$6/BuildMonths,1),SAlpha,SBeta,TRUE)</f>
        <v>0.99943866704819262</v>
      </c>
      <c r="AJ18" s="51" cm="1">
        <f t="array" aca="1" ref="AJ18" ca="1">_xll.VoseBetaProb(MIN(AJ$6/BuildMonths,1),SAlpha,SBeta,TRUE)</f>
        <v>1</v>
      </c>
      <c r="AK18" s="51" cm="1">
        <f t="array" aca="1" ref="AK18" ca="1">_xll.VoseBetaProb(MIN(AK$6/BuildMonths,1),SAlpha,SBeta,TRUE)</f>
        <v>1</v>
      </c>
      <c r="AL18" s="51" cm="1">
        <f t="array" aca="1" ref="AL18" ca="1">_xll.VoseBetaProb(MIN(AL$6/BuildMonths,1),SAlpha,SBeta,TRUE)</f>
        <v>1</v>
      </c>
      <c r="AM18" s="51" cm="1">
        <f t="array" aca="1" ref="AM18" ca="1">_xll.VoseBetaProb(MIN(AM$6/BuildMonths,1),SAlpha,SBeta,TRUE)</f>
        <v>1</v>
      </c>
      <c r="AN18" s="51" cm="1">
        <f t="array" aca="1" ref="AN18" ca="1">_xll.VoseBetaProb(MIN(AN$6/BuildMonths,1),SAlpha,SBeta,TRUE)</f>
        <v>1</v>
      </c>
      <c r="AO18" s="51" cm="1">
        <f t="array" aca="1" ref="AO18" ca="1">_xll.VoseBetaProb(MIN(AO$6/BuildMonths,1),SAlpha,SBeta,TRUE)</f>
        <v>1</v>
      </c>
      <c r="AP18" s="51" cm="1">
        <f t="array" aca="1" ref="AP18" ca="1">_xll.VoseBetaProb(MIN(AP$6/BuildMonths,1),SAlpha,SBeta,TRUE)</f>
        <v>1</v>
      </c>
      <c r="AQ18" s="51" cm="1">
        <f t="array" aca="1" ref="AQ18" ca="1">_xll.VoseBetaProb(MIN(AQ$6/BuildMonths,1),SAlpha,SBeta,TRUE)</f>
        <v>1</v>
      </c>
      <c r="AR18" s="51" cm="1">
        <f t="array" aca="1" ref="AR18" ca="1">_xll.VoseBetaProb(MIN(AR$6/BuildMonths,1),SAlpha,SBeta,TRUE)</f>
        <v>1</v>
      </c>
      <c r="AS18" s="51" cm="1">
        <f t="array" aca="1" ref="AS18" ca="1">_xll.VoseBetaProb(MIN(AS$6/BuildMonths,1),SAlpha,SBeta,TRUE)</f>
        <v>1</v>
      </c>
      <c r="AT18" s="51" cm="1">
        <f t="array" aca="1" ref="AT18" ca="1">_xll.VoseBetaProb(MIN(AT$6/BuildMonths,1),SAlpha,SBeta,TRUE)</f>
        <v>1</v>
      </c>
      <c r="AU18" s="51" cm="1">
        <f t="array" aca="1" ref="AU18" ca="1">_xll.VoseBetaProb(MIN(AU$6/BuildMonths,1),SAlpha,SBeta,TRUE)</f>
        <v>1</v>
      </c>
      <c r="AV18" s="51" cm="1">
        <f t="array" aca="1" ref="AV18" ca="1">_xll.VoseBetaProb(MIN(AV$6/BuildMonths,1),SAlpha,SBeta,TRUE)</f>
        <v>1</v>
      </c>
      <c r="AW18" s="51" cm="1">
        <f t="array" aca="1" ref="AW18" ca="1">_xll.VoseBetaProb(MIN(AW$6/BuildMonths,1),SAlpha,SBeta,TRUE)</f>
        <v>1</v>
      </c>
      <c r="AX18" s="51" cm="1">
        <f t="array" aca="1" ref="AX18" ca="1">_xll.VoseBetaProb(MIN(AX$6/BuildMonths,1),SAlpha,SBeta,TRUE)</f>
        <v>1</v>
      </c>
      <c r="AY18" s="51" cm="1">
        <f t="array" aca="1" ref="AY18" ca="1">_xll.VoseBetaProb(MIN(AY$6/BuildMonths,1),SAlpha,SBeta,TRUE)</f>
        <v>1</v>
      </c>
      <c r="AZ18" s="51" cm="1">
        <f t="array" aca="1" ref="AZ18" ca="1">_xll.VoseBetaProb(MIN(AZ$6/BuildMonths,1),SAlpha,SBeta,TRUE)</f>
        <v>1</v>
      </c>
      <c r="BA18" s="51" cm="1">
        <f t="array" aca="1" ref="BA18" ca="1">_xll.VoseBetaProb(MIN(BA$6/BuildMonths,1),SAlpha,SBeta,TRUE)</f>
        <v>1</v>
      </c>
    </row>
    <row r="19" spans="2:53" x14ac:dyDescent="0.45">
      <c r="B19" s="25" t="s">
        <v>179</v>
      </c>
      <c r="C19" s="26" t="s">
        <v>104</v>
      </c>
      <c r="D19" s="52">
        <f ca="1">SUM(F19:BA19)</f>
        <v>47.190545799469199</v>
      </c>
      <c r="E19" s="28"/>
      <c r="F19" s="53">
        <f t="shared" ref="F19:BA19" ca="1" si="1">BuildCost*(F18-E18)</f>
        <v>0.12271039092218385</v>
      </c>
      <c r="G19" s="53">
        <f t="shared" ca="1" si="1"/>
        <v>0.42084378096295399</v>
      </c>
      <c r="H19" s="53">
        <f t="shared" ca="1" si="1"/>
        <v>0.73404222719648526</v>
      </c>
      <c r="I19" s="53">
        <f t="shared" ca="1" si="1"/>
        <v>1.037929351364838</v>
      </c>
      <c r="J19" s="53">
        <f t="shared" ca="1" si="1"/>
        <v>1.3225214624207156</v>
      </c>
      <c r="K19" s="53">
        <f t="shared" ca="1" si="1"/>
        <v>1.5822387326654461</v>
      </c>
      <c r="L19" s="53">
        <f t="shared" ca="1" si="1"/>
        <v>1.8136553620185829</v>
      </c>
      <c r="M19" s="53">
        <f t="shared" ca="1" si="1"/>
        <v>2.0146244187054148</v>
      </c>
      <c r="N19" s="53">
        <f t="shared" ca="1" si="1"/>
        <v>2.1838530489027299</v>
      </c>
      <c r="O19" s="53">
        <f t="shared" ca="1" si="1"/>
        <v>2.3206675734179538</v>
      </c>
      <c r="P19" s="53">
        <f t="shared" ca="1" si="1"/>
        <v>2.4248720095629404</v>
      </c>
      <c r="Q19" s="53">
        <f t="shared" ca="1" si="1"/>
        <v>2.4966578162402167</v>
      </c>
      <c r="R19" s="53">
        <f t="shared" ca="1" si="1"/>
        <v>2.5365441631317811</v>
      </c>
      <c r="S19" s="53">
        <f t="shared" ca="1" si="1"/>
        <v>2.5453377031112367</v>
      </c>
      <c r="T19" s="53">
        <f t="shared" ca="1" si="1"/>
        <v>2.5241056300141103</v>
      </c>
      <c r="U19" s="53">
        <f t="shared" ca="1" si="1"/>
        <v>2.4741583909289506</v>
      </c>
      <c r="V19" s="53">
        <f t="shared" ca="1" si="1"/>
        <v>2.3970399288229669</v>
      </c>
      <c r="W19" s="53">
        <f t="shared" ca="1" si="1"/>
        <v>2.2945242904368621</v>
      </c>
      <c r="X19" s="53">
        <f t="shared" ca="1" si="1"/>
        <v>2.1686181219565559</v>
      </c>
      <c r="Y19" s="53">
        <f t="shared" ca="1" si="1"/>
        <v>2.0215691554253663</v>
      </c>
      <c r="Z19" s="53">
        <f t="shared" ca="1" si="1"/>
        <v>1.8558813861448624</v>
      </c>
      <c r="AA19" s="53">
        <f t="shared" ca="1" si="1"/>
        <v>1.674338385763247</v>
      </c>
      <c r="AB19" s="53">
        <f t="shared" ca="1" si="1"/>
        <v>1.4800372751990507</v>
      </c>
      <c r="AC19" s="53">
        <f t="shared" ca="1" si="1"/>
        <v>1.2764376292606299</v>
      </c>
      <c r="AD19" s="53">
        <f t="shared" ca="1" si="1"/>
        <v>1.067432673247932</v>
      </c>
      <c r="AE19" s="53">
        <f t="shared" ca="1" si="1"/>
        <v>0.85745606338068536</v>
      </c>
      <c r="AF19" s="53">
        <f t="shared" ca="1" si="1"/>
        <v>0.6516500559807864</v>
      </c>
      <c r="AG19" s="53">
        <f t="shared" ca="1" si="1"/>
        <v>0.45615060690334397</v>
      </c>
      <c r="AH19" s="53">
        <f t="shared" ca="1" si="1"/>
        <v>0.27862841272979594</v>
      </c>
      <c r="AI19" s="53">
        <f t="shared" ca="1" si="1"/>
        <v>0.1295301442795492</v>
      </c>
      <c r="AJ19" s="53">
        <f t="shared" ca="1" si="1"/>
        <v>2.648960837101743E-2</v>
      </c>
      <c r="AK19" s="53">
        <f t="shared" ca="1" si="1"/>
        <v>0</v>
      </c>
      <c r="AL19" s="53">
        <f t="shared" ca="1" si="1"/>
        <v>0</v>
      </c>
      <c r="AM19" s="53">
        <f t="shared" ca="1" si="1"/>
        <v>0</v>
      </c>
      <c r="AN19" s="53">
        <f t="shared" ca="1" si="1"/>
        <v>0</v>
      </c>
      <c r="AO19" s="53">
        <f t="shared" ca="1" si="1"/>
        <v>0</v>
      </c>
      <c r="AP19" s="53">
        <f t="shared" ca="1" si="1"/>
        <v>0</v>
      </c>
      <c r="AQ19" s="53">
        <f t="shared" ca="1" si="1"/>
        <v>0</v>
      </c>
      <c r="AR19" s="53">
        <f t="shared" ca="1" si="1"/>
        <v>0</v>
      </c>
      <c r="AS19" s="53">
        <f t="shared" ca="1" si="1"/>
        <v>0</v>
      </c>
      <c r="AT19" s="53">
        <f t="shared" ca="1" si="1"/>
        <v>0</v>
      </c>
      <c r="AU19" s="53">
        <f t="shared" ca="1" si="1"/>
        <v>0</v>
      </c>
      <c r="AV19" s="53">
        <f t="shared" ca="1" si="1"/>
        <v>0</v>
      </c>
      <c r="AW19" s="53">
        <f t="shared" ca="1" si="1"/>
        <v>0</v>
      </c>
      <c r="AX19" s="53">
        <f t="shared" ca="1" si="1"/>
        <v>0</v>
      </c>
      <c r="AY19" s="53">
        <f t="shared" ca="1" si="1"/>
        <v>0</v>
      </c>
      <c r="AZ19" s="53">
        <f t="shared" ca="1" si="1"/>
        <v>0</v>
      </c>
      <c r="BA19" s="53">
        <f t="shared" ca="1" si="1"/>
        <v>0</v>
      </c>
    </row>
    <row r="20" spans="2:53" x14ac:dyDescent="0.45">
      <c r="B20" s="25" t="s">
        <v>180</v>
      </c>
      <c r="C20" s="26" t="s">
        <v>104</v>
      </c>
      <c r="D20" s="52">
        <f ca="1">SUM(F20:BA20)</f>
        <v>3.7200000000000024</v>
      </c>
      <c r="E20" s="28"/>
      <c r="F20" s="53">
        <f t="shared" ref="F20:BA20" ca="1" si="2">IF(F$6&lt;=BuildMonths,Overheads,0)</f>
        <v>0.12</v>
      </c>
      <c r="G20" s="53">
        <f t="shared" ca="1" si="2"/>
        <v>0.12</v>
      </c>
      <c r="H20" s="53">
        <f t="shared" ca="1" si="2"/>
        <v>0.12</v>
      </c>
      <c r="I20" s="53">
        <f t="shared" ca="1" si="2"/>
        <v>0.12</v>
      </c>
      <c r="J20" s="53">
        <f t="shared" ca="1" si="2"/>
        <v>0.12</v>
      </c>
      <c r="K20" s="53">
        <f t="shared" ca="1" si="2"/>
        <v>0.12</v>
      </c>
      <c r="L20" s="53">
        <f t="shared" ca="1" si="2"/>
        <v>0.12</v>
      </c>
      <c r="M20" s="53">
        <f t="shared" ca="1" si="2"/>
        <v>0.12</v>
      </c>
      <c r="N20" s="53">
        <f t="shared" ca="1" si="2"/>
        <v>0.12</v>
      </c>
      <c r="O20" s="53">
        <f t="shared" ca="1" si="2"/>
        <v>0.12</v>
      </c>
      <c r="P20" s="53">
        <f t="shared" ca="1" si="2"/>
        <v>0.12</v>
      </c>
      <c r="Q20" s="53">
        <f t="shared" ca="1" si="2"/>
        <v>0.12</v>
      </c>
      <c r="R20" s="53">
        <f t="shared" ca="1" si="2"/>
        <v>0.12</v>
      </c>
      <c r="S20" s="53">
        <f t="shared" ca="1" si="2"/>
        <v>0.12</v>
      </c>
      <c r="T20" s="53">
        <f t="shared" ca="1" si="2"/>
        <v>0.12</v>
      </c>
      <c r="U20" s="53">
        <f t="shared" ca="1" si="2"/>
        <v>0.12</v>
      </c>
      <c r="V20" s="53">
        <f t="shared" ca="1" si="2"/>
        <v>0.12</v>
      </c>
      <c r="W20" s="53">
        <f t="shared" ca="1" si="2"/>
        <v>0.12</v>
      </c>
      <c r="X20" s="53">
        <f t="shared" ca="1" si="2"/>
        <v>0.12</v>
      </c>
      <c r="Y20" s="53">
        <f t="shared" ca="1" si="2"/>
        <v>0.12</v>
      </c>
      <c r="Z20" s="53">
        <f t="shared" ca="1" si="2"/>
        <v>0.12</v>
      </c>
      <c r="AA20" s="53">
        <f t="shared" ca="1" si="2"/>
        <v>0.12</v>
      </c>
      <c r="AB20" s="53">
        <f t="shared" ca="1" si="2"/>
        <v>0.12</v>
      </c>
      <c r="AC20" s="53">
        <f t="shared" ca="1" si="2"/>
        <v>0.12</v>
      </c>
      <c r="AD20" s="53">
        <f t="shared" ca="1" si="2"/>
        <v>0.12</v>
      </c>
      <c r="AE20" s="53">
        <f t="shared" ca="1" si="2"/>
        <v>0.12</v>
      </c>
      <c r="AF20" s="53">
        <f t="shared" ca="1" si="2"/>
        <v>0.12</v>
      </c>
      <c r="AG20" s="53">
        <f t="shared" ca="1" si="2"/>
        <v>0.12</v>
      </c>
      <c r="AH20" s="53">
        <f t="shared" ca="1" si="2"/>
        <v>0.12</v>
      </c>
      <c r="AI20" s="53">
        <f t="shared" ca="1" si="2"/>
        <v>0.12</v>
      </c>
      <c r="AJ20" s="53">
        <f t="shared" ca="1" si="2"/>
        <v>0.12</v>
      </c>
      <c r="AK20" s="53">
        <f t="shared" ca="1" si="2"/>
        <v>0</v>
      </c>
      <c r="AL20" s="53">
        <f t="shared" ca="1" si="2"/>
        <v>0</v>
      </c>
      <c r="AM20" s="53">
        <f t="shared" ca="1" si="2"/>
        <v>0</v>
      </c>
      <c r="AN20" s="53">
        <f t="shared" ca="1" si="2"/>
        <v>0</v>
      </c>
      <c r="AO20" s="53">
        <f t="shared" ca="1" si="2"/>
        <v>0</v>
      </c>
      <c r="AP20" s="53">
        <f t="shared" ca="1" si="2"/>
        <v>0</v>
      </c>
      <c r="AQ20" s="53">
        <f t="shared" ca="1" si="2"/>
        <v>0</v>
      </c>
      <c r="AR20" s="53">
        <f t="shared" ca="1" si="2"/>
        <v>0</v>
      </c>
      <c r="AS20" s="53">
        <f t="shared" ca="1" si="2"/>
        <v>0</v>
      </c>
      <c r="AT20" s="53">
        <f t="shared" ca="1" si="2"/>
        <v>0</v>
      </c>
      <c r="AU20" s="53">
        <f t="shared" ca="1" si="2"/>
        <v>0</v>
      </c>
      <c r="AV20" s="53">
        <f t="shared" ca="1" si="2"/>
        <v>0</v>
      </c>
      <c r="AW20" s="53">
        <f t="shared" ca="1" si="2"/>
        <v>0</v>
      </c>
      <c r="AX20" s="53">
        <f t="shared" ca="1" si="2"/>
        <v>0</v>
      </c>
      <c r="AY20" s="53">
        <f t="shared" ca="1" si="2"/>
        <v>0</v>
      </c>
      <c r="AZ20" s="53">
        <f t="shared" ca="1" si="2"/>
        <v>0</v>
      </c>
      <c r="BA20" s="53">
        <f t="shared" ca="1" si="2"/>
        <v>0</v>
      </c>
    </row>
    <row r="21" spans="2:53" x14ac:dyDescent="0.45">
      <c r="B21" s="54" t="s">
        <v>181</v>
      </c>
      <c r="C21" s="26" t="s">
        <v>104</v>
      </c>
      <c r="D21" s="52">
        <f ca="1">SUM(F21:BA21)</f>
        <v>50.91054579946919</v>
      </c>
      <c r="E21" s="28"/>
      <c r="F21" s="52">
        <f t="shared" ref="F21:BA21" ca="1" si="3">F19+F20</f>
        <v>0.24271039092218383</v>
      </c>
      <c r="G21" s="52">
        <f t="shared" ca="1" si="3"/>
        <v>0.54084378096295405</v>
      </c>
      <c r="H21" s="52">
        <f t="shared" ca="1" si="3"/>
        <v>0.85404222719648526</v>
      </c>
      <c r="I21" s="52">
        <f t="shared" ca="1" si="3"/>
        <v>1.1579293513648379</v>
      </c>
      <c r="J21" s="52">
        <f t="shared" ca="1" si="3"/>
        <v>1.4425214624207157</v>
      </c>
      <c r="K21" s="52">
        <f t="shared" ca="1" si="3"/>
        <v>1.702238732665446</v>
      </c>
      <c r="L21" s="52">
        <f t="shared" ca="1" si="3"/>
        <v>1.933655362018583</v>
      </c>
      <c r="M21" s="52">
        <f t="shared" ca="1" si="3"/>
        <v>2.1346244187054149</v>
      </c>
      <c r="N21" s="52">
        <f t="shared" ca="1" si="3"/>
        <v>2.30385304890273</v>
      </c>
      <c r="O21" s="52">
        <f t="shared" ca="1" si="3"/>
        <v>2.4406675734179539</v>
      </c>
      <c r="P21" s="52">
        <f t="shared" ca="1" si="3"/>
        <v>2.5448720095629405</v>
      </c>
      <c r="Q21" s="52">
        <f t="shared" ca="1" si="3"/>
        <v>2.6166578162402168</v>
      </c>
      <c r="R21" s="52">
        <f t="shared" ca="1" si="3"/>
        <v>2.6565441631317812</v>
      </c>
      <c r="S21" s="52">
        <f t="shared" ca="1" si="3"/>
        <v>2.6653377031112369</v>
      </c>
      <c r="T21" s="52">
        <f t="shared" ca="1" si="3"/>
        <v>2.6441056300141104</v>
      </c>
      <c r="U21" s="52">
        <f t="shared" ca="1" si="3"/>
        <v>2.5941583909289507</v>
      </c>
      <c r="V21" s="52">
        <f t="shared" ca="1" si="3"/>
        <v>2.517039928822967</v>
      </c>
      <c r="W21" s="52">
        <f t="shared" ca="1" si="3"/>
        <v>2.4145242904368622</v>
      </c>
      <c r="X21" s="52">
        <f t="shared" ca="1" si="3"/>
        <v>2.288618121956556</v>
      </c>
      <c r="Y21" s="52">
        <f t="shared" ca="1" si="3"/>
        <v>2.1415691554253664</v>
      </c>
      <c r="Z21" s="52">
        <f t="shared" ca="1" si="3"/>
        <v>1.9758813861448625</v>
      </c>
      <c r="AA21" s="52">
        <f t="shared" ca="1" si="3"/>
        <v>1.7943383857632469</v>
      </c>
      <c r="AB21" s="52">
        <f t="shared" ca="1" si="3"/>
        <v>1.6000372751990506</v>
      </c>
      <c r="AC21" s="52">
        <f t="shared" ca="1" si="3"/>
        <v>1.39643762926063</v>
      </c>
      <c r="AD21" s="52">
        <f t="shared" ca="1" si="3"/>
        <v>1.1874326732479319</v>
      </c>
      <c r="AE21" s="52">
        <f t="shared" ca="1" si="3"/>
        <v>0.97745606338068536</v>
      </c>
      <c r="AF21" s="52">
        <f t="shared" ca="1" si="3"/>
        <v>0.7716500559807864</v>
      </c>
      <c r="AG21" s="52">
        <f t="shared" ca="1" si="3"/>
        <v>0.57615060690334396</v>
      </c>
      <c r="AH21" s="52">
        <f t="shared" ca="1" si="3"/>
        <v>0.39862841272979593</v>
      </c>
      <c r="AI21" s="52">
        <f t="shared" ca="1" si="3"/>
        <v>0.2495301442795492</v>
      </c>
      <c r="AJ21" s="52">
        <f t="shared" ca="1" si="3"/>
        <v>0.14648960837101743</v>
      </c>
      <c r="AK21" s="52">
        <f t="shared" ca="1" si="3"/>
        <v>0</v>
      </c>
      <c r="AL21" s="52">
        <f t="shared" ca="1" si="3"/>
        <v>0</v>
      </c>
      <c r="AM21" s="52">
        <f t="shared" ca="1" si="3"/>
        <v>0</v>
      </c>
      <c r="AN21" s="52">
        <f t="shared" ca="1" si="3"/>
        <v>0</v>
      </c>
      <c r="AO21" s="52">
        <f t="shared" ca="1" si="3"/>
        <v>0</v>
      </c>
      <c r="AP21" s="52">
        <f t="shared" ca="1" si="3"/>
        <v>0</v>
      </c>
      <c r="AQ21" s="52">
        <f t="shared" ca="1" si="3"/>
        <v>0</v>
      </c>
      <c r="AR21" s="52">
        <f t="shared" ca="1" si="3"/>
        <v>0</v>
      </c>
      <c r="AS21" s="52">
        <f t="shared" ca="1" si="3"/>
        <v>0</v>
      </c>
      <c r="AT21" s="52">
        <f t="shared" ca="1" si="3"/>
        <v>0</v>
      </c>
      <c r="AU21" s="52">
        <f t="shared" ca="1" si="3"/>
        <v>0</v>
      </c>
      <c r="AV21" s="52">
        <f t="shared" ca="1" si="3"/>
        <v>0</v>
      </c>
      <c r="AW21" s="52">
        <f t="shared" ca="1" si="3"/>
        <v>0</v>
      </c>
      <c r="AX21" s="52">
        <f t="shared" ca="1" si="3"/>
        <v>0</v>
      </c>
      <c r="AY21" s="52">
        <f t="shared" ca="1" si="3"/>
        <v>0</v>
      </c>
      <c r="AZ21" s="52">
        <f t="shared" ca="1" si="3"/>
        <v>0</v>
      </c>
      <c r="BA21" s="52">
        <f t="shared" ca="1" si="3"/>
        <v>0</v>
      </c>
    </row>
    <row r="22" spans="2:53" ht="8" customHeight="1" x14ac:dyDescent="0.45"/>
    <row r="23" spans="2:53" ht="22.05" customHeight="1" x14ac:dyDescent="0.5">
      <c r="B23" s="7" t="s">
        <v>182</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row>
    <row r="24" spans="2:53" ht="18" customHeight="1" x14ac:dyDescent="0.45">
      <c r="B24" s="13" t="s">
        <v>183</v>
      </c>
    </row>
    <row r="25" spans="2:53" x14ac:dyDescent="0.45">
      <c r="B25" s="25" t="s">
        <v>184</v>
      </c>
      <c r="C25" s="26" t="s">
        <v>127</v>
      </c>
      <c r="D25" s="28"/>
      <c r="E25" s="28"/>
      <c r="F25" s="47">
        <f t="shared" ref="F25:BA25" ca="1" si="4">MAX(0,MIN(F$6,BuildMonths)-SalesStart+1)</f>
        <v>0</v>
      </c>
      <c r="G25" s="47">
        <f t="shared" ca="1" si="4"/>
        <v>0</v>
      </c>
      <c r="H25" s="47">
        <f t="shared" ca="1" si="4"/>
        <v>0</v>
      </c>
      <c r="I25" s="47">
        <f t="shared" ca="1" si="4"/>
        <v>1</v>
      </c>
      <c r="J25" s="47">
        <f t="shared" ca="1" si="4"/>
        <v>2</v>
      </c>
      <c r="K25" s="47">
        <f t="shared" ca="1" si="4"/>
        <v>3</v>
      </c>
      <c r="L25" s="47">
        <f t="shared" ca="1" si="4"/>
        <v>4</v>
      </c>
      <c r="M25" s="47">
        <f t="shared" ca="1" si="4"/>
        <v>5</v>
      </c>
      <c r="N25" s="47">
        <f t="shared" ca="1" si="4"/>
        <v>6</v>
      </c>
      <c r="O25" s="47">
        <f t="shared" ca="1" si="4"/>
        <v>7</v>
      </c>
      <c r="P25" s="47">
        <f t="shared" ca="1" si="4"/>
        <v>8</v>
      </c>
      <c r="Q25" s="47">
        <f t="shared" ca="1" si="4"/>
        <v>9</v>
      </c>
      <c r="R25" s="47">
        <f t="shared" ca="1" si="4"/>
        <v>10</v>
      </c>
      <c r="S25" s="47">
        <f t="shared" ca="1" si="4"/>
        <v>11</v>
      </c>
      <c r="T25" s="47">
        <f t="shared" ca="1" si="4"/>
        <v>12</v>
      </c>
      <c r="U25" s="47">
        <f t="shared" ca="1" si="4"/>
        <v>13</v>
      </c>
      <c r="V25" s="47">
        <f t="shared" ca="1" si="4"/>
        <v>14</v>
      </c>
      <c r="W25" s="47">
        <f t="shared" ca="1" si="4"/>
        <v>15</v>
      </c>
      <c r="X25" s="47">
        <f t="shared" ca="1" si="4"/>
        <v>16</v>
      </c>
      <c r="Y25" s="47">
        <f t="shared" ca="1" si="4"/>
        <v>17</v>
      </c>
      <c r="Z25" s="47">
        <f t="shared" ca="1" si="4"/>
        <v>18</v>
      </c>
      <c r="AA25" s="47">
        <f t="shared" ca="1" si="4"/>
        <v>19</v>
      </c>
      <c r="AB25" s="47">
        <f t="shared" ca="1" si="4"/>
        <v>20</v>
      </c>
      <c r="AC25" s="47">
        <f t="shared" ca="1" si="4"/>
        <v>21</v>
      </c>
      <c r="AD25" s="47">
        <f t="shared" ca="1" si="4"/>
        <v>22</v>
      </c>
      <c r="AE25" s="47">
        <f t="shared" ca="1" si="4"/>
        <v>23</v>
      </c>
      <c r="AF25" s="47">
        <f t="shared" ca="1" si="4"/>
        <v>24</v>
      </c>
      <c r="AG25" s="47">
        <f t="shared" ca="1" si="4"/>
        <v>25</v>
      </c>
      <c r="AH25" s="47">
        <f t="shared" ca="1" si="4"/>
        <v>26</v>
      </c>
      <c r="AI25" s="47">
        <f t="shared" ca="1" si="4"/>
        <v>27</v>
      </c>
      <c r="AJ25" s="47">
        <f t="shared" ca="1" si="4"/>
        <v>28</v>
      </c>
      <c r="AK25" s="47">
        <f t="shared" ca="1" si="4"/>
        <v>28</v>
      </c>
      <c r="AL25" s="47">
        <f t="shared" ca="1" si="4"/>
        <v>28</v>
      </c>
      <c r="AM25" s="47">
        <f t="shared" ca="1" si="4"/>
        <v>28</v>
      </c>
      <c r="AN25" s="47">
        <f t="shared" ca="1" si="4"/>
        <v>28</v>
      </c>
      <c r="AO25" s="47">
        <f t="shared" ca="1" si="4"/>
        <v>28</v>
      </c>
      <c r="AP25" s="47">
        <f t="shared" ca="1" si="4"/>
        <v>28</v>
      </c>
      <c r="AQ25" s="47">
        <f t="shared" ca="1" si="4"/>
        <v>28</v>
      </c>
      <c r="AR25" s="47">
        <f t="shared" ca="1" si="4"/>
        <v>28</v>
      </c>
      <c r="AS25" s="47">
        <f t="shared" ca="1" si="4"/>
        <v>28</v>
      </c>
      <c r="AT25" s="47">
        <f t="shared" ca="1" si="4"/>
        <v>28</v>
      </c>
      <c r="AU25" s="47">
        <f t="shared" ca="1" si="4"/>
        <v>28</v>
      </c>
      <c r="AV25" s="47">
        <f t="shared" ca="1" si="4"/>
        <v>28</v>
      </c>
      <c r="AW25" s="47">
        <f t="shared" ca="1" si="4"/>
        <v>28</v>
      </c>
      <c r="AX25" s="47">
        <f t="shared" ca="1" si="4"/>
        <v>28</v>
      </c>
      <c r="AY25" s="47">
        <f t="shared" ca="1" si="4"/>
        <v>28</v>
      </c>
      <c r="AZ25" s="47">
        <f t="shared" ca="1" si="4"/>
        <v>28</v>
      </c>
      <c r="BA25" s="47">
        <f t="shared" ca="1" si="4"/>
        <v>28</v>
      </c>
    </row>
    <row r="26" spans="2:53" x14ac:dyDescent="0.45">
      <c r="B26" s="25" t="s">
        <v>185</v>
      </c>
      <c r="C26" s="26" t="s">
        <v>138</v>
      </c>
      <c r="D26" s="28"/>
      <c r="E26" s="55">
        <v>0</v>
      </c>
      <c r="F26" s="33">
        <f t="shared" ref="F26:BA26" ca="1" si="5">MIN(Units,F25*Pace)</f>
        <v>0</v>
      </c>
      <c r="G26" s="33">
        <f t="shared" ca="1" si="5"/>
        <v>0</v>
      </c>
      <c r="H26" s="33">
        <f t="shared" ca="1" si="5"/>
        <v>0</v>
      </c>
      <c r="I26" s="33">
        <f t="shared" ca="1" si="5"/>
        <v>4.459424156055146</v>
      </c>
      <c r="J26" s="33">
        <f t="shared" ca="1" si="5"/>
        <v>8.9188483121102919</v>
      </c>
      <c r="K26" s="33">
        <f t="shared" ca="1" si="5"/>
        <v>13.378272468165438</v>
      </c>
      <c r="L26" s="33">
        <f t="shared" ca="1" si="5"/>
        <v>17.837696624220584</v>
      </c>
      <c r="M26" s="33">
        <f t="shared" ca="1" si="5"/>
        <v>22.29712078027573</v>
      </c>
      <c r="N26" s="33">
        <f t="shared" ca="1" si="5"/>
        <v>26.756544936330876</v>
      </c>
      <c r="O26" s="33">
        <f t="shared" ca="1" si="5"/>
        <v>31.215969092386022</v>
      </c>
      <c r="P26" s="33">
        <f t="shared" ca="1" si="5"/>
        <v>35.675393248441168</v>
      </c>
      <c r="Q26" s="33">
        <f t="shared" ca="1" si="5"/>
        <v>40.134817404496317</v>
      </c>
      <c r="R26" s="33">
        <f t="shared" ca="1" si="5"/>
        <v>44.59424156055146</v>
      </c>
      <c r="S26" s="33">
        <f t="shared" ca="1" si="5"/>
        <v>49.053665716606602</v>
      </c>
      <c r="T26" s="33">
        <f t="shared" ca="1" si="5"/>
        <v>53.513089872661752</v>
      </c>
      <c r="U26" s="33">
        <f t="shared" ca="1" si="5"/>
        <v>57.972514028716901</v>
      </c>
      <c r="V26" s="33">
        <f t="shared" ca="1" si="5"/>
        <v>62.431938184772044</v>
      </c>
      <c r="W26" s="33">
        <f t="shared" ca="1" si="5"/>
        <v>66.891362340827186</v>
      </c>
      <c r="X26" s="33">
        <f t="shared" ca="1" si="5"/>
        <v>71.350786496882336</v>
      </c>
      <c r="Y26" s="33">
        <f t="shared" ca="1" si="5"/>
        <v>75.810210652937485</v>
      </c>
      <c r="Z26" s="33">
        <f t="shared" ca="1" si="5"/>
        <v>80.269634808992635</v>
      </c>
      <c r="AA26" s="33">
        <f t="shared" ca="1" si="5"/>
        <v>84.72905896504777</v>
      </c>
      <c r="AB26" s="33">
        <f t="shared" ca="1" si="5"/>
        <v>89.188483121102919</v>
      </c>
      <c r="AC26" s="33">
        <f t="shared" ca="1" si="5"/>
        <v>93.647907277158069</v>
      </c>
      <c r="AD26" s="33">
        <f t="shared" ca="1" si="5"/>
        <v>98.107331433213204</v>
      </c>
      <c r="AE26" s="33">
        <f t="shared" ca="1" si="5"/>
        <v>102.56675558926835</v>
      </c>
      <c r="AF26" s="33">
        <f t="shared" ca="1" si="5"/>
        <v>107.0261797453235</v>
      </c>
      <c r="AG26" s="33">
        <f t="shared" ca="1" si="5"/>
        <v>111.48560390137865</v>
      </c>
      <c r="AH26" s="33">
        <f t="shared" ca="1" si="5"/>
        <v>115.9450280574338</v>
      </c>
      <c r="AI26" s="33">
        <f t="shared" ca="1" si="5"/>
        <v>120</v>
      </c>
      <c r="AJ26" s="33">
        <f t="shared" ca="1" si="5"/>
        <v>120</v>
      </c>
      <c r="AK26" s="33">
        <f t="shared" ca="1" si="5"/>
        <v>120</v>
      </c>
      <c r="AL26" s="33">
        <f t="shared" ca="1" si="5"/>
        <v>120</v>
      </c>
      <c r="AM26" s="33">
        <f t="shared" ca="1" si="5"/>
        <v>120</v>
      </c>
      <c r="AN26" s="33">
        <f t="shared" ca="1" si="5"/>
        <v>120</v>
      </c>
      <c r="AO26" s="33">
        <f t="shared" ca="1" si="5"/>
        <v>120</v>
      </c>
      <c r="AP26" s="33">
        <f t="shared" ca="1" si="5"/>
        <v>120</v>
      </c>
      <c r="AQ26" s="33">
        <f t="shared" ca="1" si="5"/>
        <v>120</v>
      </c>
      <c r="AR26" s="33">
        <f t="shared" ca="1" si="5"/>
        <v>120</v>
      </c>
      <c r="AS26" s="33">
        <f t="shared" ca="1" si="5"/>
        <v>120</v>
      </c>
      <c r="AT26" s="33">
        <f t="shared" ca="1" si="5"/>
        <v>120</v>
      </c>
      <c r="AU26" s="33">
        <f t="shared" ca="1" si="5"/>
        <v>120</v>
      </c>
      <c r="AV26" s="33">
        <f t="shared" ca="1" si="5"/>
        <v>120</v>
      </c>
      <c r="AW26" s="33">
        <f t="shared" ca="1" si="5"/>
        <v>120</v>
      </c>
      <c r="AX26" s="33">
        <f t="shared" ca="1" si="5"/>
        <v>120</v>
      </c>
      <c r="AY26" s="33">
        <f t="shared" ca="1" si="5"/>
        <v>120</v>
      </c>
      <c r="AZ26" s="33">
        <f t="shared" ca="1" si="5"/>
        <v>120</v>
      </c>
      <c r="BA26" s="33">
        <f t="shared" ca="1" si="5"/>
        <v>120</v>
      </c>
    </row>
    <row r="27" spans="2:53" x14ac:dyDescent="0.45">
      <c r="B27" s="25" t="s">
        <v>186</v>
      </c>
      <c r="C27" s="26" t="s">
        <v>127</v>
      </c>
      <c r="D27" s="28"/>
      <c r="E27" s="28"/>
      <c r="F27" s="47">
        <f t="shared" ref="F27:BA27" ca="1" si="6">MAX(0,F$6-BuildMonths)</f>
        <v>0</v>
      </c>
      <c r="G27" s="47">
        <f t="shared" ca="1" si="6"/>
        <v>0</v>
      </c>
      <c r="H27" s="47">
        <f t="shared" ca="1" si="6"/>
        <v>0</v>
      </c>
      <c r="I27" s="47">
        <f t="shared" ca="1" si="6"/>
        <v>0</v>
      </c>
      <c r="J27" s="47">
        <f t="shared" ca="1" si="6"/>
        <v>0</v>
      </c>
      <c r="K27" s="47">
        <f t="shared" ca="1" si="6"/>
        <v>0</v>
      </c>
      <c r="L27" s="47">
        <f t="shared" ca="1" si="6"/>
        <v>0</v>
      </c>
      <c r="M27" s="47">
        <f t="shared" ca="1" si="6"/>
        <v>0</v>
      </c>
      <c r="N27" s="47">
        <f t="shared" ca="1" si="6"/>
        <v>0</v>
      </c>
      <c r="O27" s="47">
        <f t="shared" ca="1" si="6"/>
        <v>0</v>
      </c>
      <c r="P27" s="47">
        <f t="shared" ca="1" si="6"/>
        <v>0</v>
      </c>
      <c r="Q27" s="47">
        <f t="shared" ca="1" si="6"/>
        <v>0</v>
      </c>
      <c r="R27" s="47">
        <f t="shared" ca="1" si="6"/>
        <v>0</v>
      </c>
      <c r="S27" s="47">
        <f t="shared" ca="1" si="6"/>
        <v>0</v>
      </c>
      <c r="T27" s="47">
        <f t="shared" ca="1" si="6"/>
        <v>0</v>
      </c>
      <c r="U27" s="47">
        <f t="shared" ca="1" si="6"/>
        <v>0</v>
      </c>
      <c r="V27" s="47">
        <f t="shared" ca="1" si="6"/>
        <v>0</v>
      </c>
      <c r="W27" s="47">
        <f t="shared" ca="1" si="6"/>
        <v>0</v>
      </c>
      <c r="X27" s="47">
        <f t="shared" ca="1" si="6"/>
        <v>0</v>
      </c>
      <c r="Y27" s="47">
        <f t="shared" ca="1" si="6"/>
        <v>0</v>
      </c>
      <c r="Z27" s="47">
        <f t="shared" ca="1" si="6"/>
        <v>0</v>
      </c>
      <c r="AA27" s="47">
        <f t="shared" ca="1" si="6"/>
        <v>0</v>
      </c>
      <c r="AB27" s="47">
        <f t="shared" ca="1" si="6"/>
        <v>0</v>
      </c>
      <c r="AC27" s="47">
        <f t="shared" ca="1" si="6"/>
        <v>0</v>
      </c>
      <c r="AD27" s="47">
        <f t="shared" ca="1" si="6"/>
        <v>0</v>
      </c>
      <c r="AE27" s="47">
        <f t="shared" ca="1" si="6"/>
        <v>0</v>
      </c>
      <c r="AF27" s="47">
        <f t="shared" ca="1" si="6"/>
        <v>0</v>
      </c>
      <c r="AG27" s="47">
        <f t="shared" ca="1" si="6"/>
        <v>0</v>
      </c>
      <c r="AH27" s="47">
        <f t="shared" ca="1" si="6"/>
        <v>0</v>
      </c>
      <c r="AI27" s="47">
        <f t="shared" ca="1" si="6"/>
        <v>0</v>
      </c>
      <c r="AJ27" s="47">
        <f t="shared" ca="1" si="6"/>
        <v>0</v>
      </c>
      <c r="AK27" s="47">
        <f t="shared" ca="1" si="6"/>
        <v>1</v>
      </c>
      <c r="AL27" s="47">
        <f t="shared" ca="1" si="6"/>
        <v>2</v>
      </c>
      <c r="AM27" s="47">
        <f t="shared" ca="1" si="6"/>
        <v>3</v>
      </c>
      <c r="AN27" s="47">
        <f t="shared" ca="1" si="6"/>
        <v>4</v>
      </c>
      <c r="AO27" s="47">
        <f t="shared" ca="1" si="6"/>
        <v>5</v>
      </c>
      <c r="AP27" s="47">
        <f t="shared" ca="1" si="6"/>
        <v>6</v>
      </c>
      <c r="AQ27" s="47">
        <f t="shared" ca="1" si="6"/>
        <v>7</v>
      </c>
      <c r="AR27" s="47">
        <f t="shared" ca="1" si="6"/>
        <v>8</v>
      </c>
      <c r="AS27" s="47">
        <f t="shared" ca="1" si="6"/>
        <v>9</v>
      </c>
      <c r="AT27" s="47">
        <f t="shared" ca="1" si="6"/>
        <v>10</v>
      </c>
      <c r="AU27" s="47">
        <f t="shared" ca="1" si="6"/>
        <v>11</v>
      </c>
      <c r="AV27" s="47">
        <f t="shared" ca="1" si="6"/>
        <v>12</v>
      </c>
      <c r="AW27" s="47">
        <f t="shared" ca="1" si="6"/>
        <v>13</v>
      </c>
      <c r="AX27" s="47">
        <f t="shared" ca="1" si="6"/>
        <v>14</v>
      </c>
      <c r="AY27" s="47">
        <f t="shared" ca="1" si="6"/>
        <v>15</v>
      </c>
      <c r="AZ27" s="47">
        <f t="shared" ca="1" si="6"/>
        <v>16</v>
      </c>
      <c r="BA27" s="47">
        <f t="shared" ca="1" si="6"/>
        <v>17</v>
      </c>
    </row>
    <row r="28" spans="2:53" x14ac:dyDescent="0.45">
      <c r="B28" s="25" t="s">
        <v>187</v>
      </c>
      <c r="C28" s="26" t="s">
        <v>138</v>
      </c>
      <c r="D28" s="28"/>
      <c r="E28" s="55">
        <v>0</v>
      </c>
      <c r="F28" s="33">
        <f t="shared" ref="F28:BA28" ca="1" si="7">MIN(Units-SoldOffPlan,F27*AfterPace)</f>
        <v>0</v>
      </c>
      <c r="G28" s="33">
        <f t="shared" ca="1" si="7"/>
        <v>0</v>
      </c>
      <c r="H28" s="33">
        <f t="shared" ca="1" si="7"/>
        <v>0</v>
      </c>
      <c r="I28" s="33">
        <f t="shared" ca="1" si="7"/>
        <v>0</v>
      </c>
      <c r="J28" s="33">
        <f t="shared" ca="1" si="7"/>
        <v>0</v>
      </c>
      <c r="K28" s="33">
        <f t="shared" ca="1" si="7"/>
        <v>0</v>
      </c>
      <c r="L28" s="33">
        <f t="shared" ca="1" si="7"/>
        <v>0</v>
      </c>
      <c r="M28" s="33">
        <f t="shared" ca="1" si="7"/>
        <v>0</v>
      </c>
      <c r="N28" s="33">
        <f t="shared" ca="1" si="7"/>
        <v>0</v>
      </c>
      <c r="O28" s="33">
        <f t="shared" ca="1" si="7"/>
        <v>0</v>
      </c>
      <c r="P28" s="33">
        <f t="shared" ca="1" si="7"/>
        <v>0</v>
      </c>
      <c r="Q28" s="33">
        <f t="shared" ca="1" si="7"/>
        <v>0</v>
      </c>
      <c r="R28" s="33">
        <f t="shared" ca="1" si="7"/>
        <v>0</v>
      </c>
      <c r="S28" s="33">
        <f t="shared" ca="1" si="7"/>
        <v>0</v>
      </c>
      <c r="T28" s="33">
        <f t="shared" ca="1" si="7"/>
        <v>0</v>
      </c>
      <c r="U28" s="33">
        <f t="shared" ca="1" si="7"/>
        <v>0</v>
      </c>
      <c r="V28" s="33">
        <f t="shared" ca="1" si="7"/>
        <v>0</v>
      </c>
      <c r="W28" s="33">
        <f t="shared" ca="1" si="7"/>
        <v>0</v>
      </c>
      <c r="X28" s="33">
        <f t="shared" ca="1" si="7"/>
        <v>0</v>
      </c>
      <c r="Y28" s="33">
        <f t="shared" ca="1" si="7"/>
        <v>0</v>
      </c>
      <c r="Z28" s="33">
        <f t="shared" ca="1" si="7"/>
        <v>0</v>
      </c>
      <c r="AA28" s="33">
        <f t="shared" ca="1" si="7"/>
        <v>0</v>
      </c>
      <c r="AB28" s="33">
        <f t="shared" ca="1" si="7"/>
        <v>0</v>
      </c>
      <c r="AC28" s="33">
        <f t="shared" ca="1" si="7"/>
        <v>0</v>
      </c>
      <c r="AD28" s="33">
        <f t="shared" ca="1" si="7"/>
        <v>0</v>
      </c>
      <c r="AE28" s="33">
        <f t="shared" ca="1" si="7"/>
        <v>0</v>
      </c>
      <c r="AF28" s="33">
        <f t="shared" ca="1" si="7"/>
        <v>0</v>
      </c>
      <c r="AG28" s="33">
        <f t="shared" ca="1" si="7"/>
        <v>0</v>
      </c>
      <c r="AH28" s="33">
        <f t="shared" ca="1" si="7"/>
        <v>0</v>
      </c>
      <c r="AI28" s="33">
        <f t="shared" ca="1" si="7"/>
        <v>0</v>
      </c>
      <c r="AJ28" s="33">
        <f t="shared" ca="1" si="7"/>
        <v>0</v>
      </c>
      <c r="AK28" s="33">
        <f t="shared" ca="1" si="7"/>
        <v>0</v>
      </c>
      <c r="AL28" s="33">
        <f t="shared" ca="1" si="7"/>
        <v>0</v>
      </c>
      <c r="AM28" s="33">
        <f t="shared" ca="1" si="7"/>
        <v>0</v>
      </c>
      <c r="AN28" s="33">
        <f t="shared" ca="1" si="7"/>
        <v>0</v>
      </c>
      <c r="AO28" s="33">
        <f t="shared" ca="1" si="7"/>
        <v>0</v>
      </c>
      <c r="AP28" s="33">
        <f t="shared" ca="1" si="7"/>
        <v>0</v>
      </c>
      <c r="AQ28" s="33">
        <f t="shared" ca="1" si="7"/>
        <v>0</v>
      </c>
      <c r="AR28" s="33">
        <f t="shared" ca="1" si="7"/>
        <v>0</v>
      </c>
      <c r="AS28" s="33">
        <f t="shared" ca="1" si="7"/>
        <v>0</v>
      </c>
      <c r="AT28" s="33">
        <f t="shared" ca="1" si="7"/>
        <v>0</v>
      </c>
      <c r="AU28" s="33">
        <f t="shared" ca="1" si="7"/>
        <v>0</v>
      </c>
      <c r="AV28" s="33">
        <f t="shared" ca="1" si="7"/>
        <v>0</v>
      </c>
      <c r="AW28" s="33">
        <f t="shared" ca="1" si="7"/>
        <v>0</v>
      </c>
      <c r="AX28" s="33">
        <f t="shared" ca="1" si="7"/>
        <v>0</v>
      </c>
      <c r="AY28" s="33">
        <f t="shared" ca="1" si="7"/>
        <v>0</v>
      </c>
      <c r="AZ28" s="33">
        <f t="shared" ca="1" si="7"/>
        <v>0</v>
      </c>
      <c r="BA28" s="33">
        <f t="shared" ca="1" si="7"/>
        <v>0</v>
      </c>
    </row>
    <row r="29" spans="2:53" x14ac:dyDescent="0.45">
      <c r="B29" s="25" t="s">
        <v>188</v>
      </c>
      <c r="C29" s="26" t="s">
        <v>104</v>
      </c>
      <c r="D29" s="52">
        <f ca="1">SUM(F29:BA29)</f>
        <v>7.0980348711867727</v>
      </c>
      <c r="E29" s="28"/>
      <c r="F29" s="53">
        <f t="shared" ref="F29:BA29" ca="1" si="8">DepositShare*Price*(F26-E26)</f>
        <v>0</v>
      </c>
      <c r="G29" s="53">
        <f t="shared" ca="1" si="8"/>
        <v>0</v>
      </c>
      <c r="H29" s="53">
        <f t="shared" ca="1" si="8"/>
        <v>0</v>
      </c>
      <c r="I29" s="53">
        <f t="shared" ca="1" si="8"/>
        <v>0.26377623470910044</v>
      </c>
      <c r="J29" s="53">
        <f t="shared" ca="1" si="8"/>
        <v>0.26377623470910044</v>
      </c>
      <c r="K29" s="53">
        <f t="shared" ca="1" si="8"/>
        <v>0.26377623470910044</v>
      </c>
      <c r="L29" s="53">
        <f t="shared" ca="1" si="8"/>
        <v>0.26377623470910044</v>
      </c>
      <c r="M29" s="53">
        <f t="shared" ca="1" si="8"/>
        <v>0.26377623470910044</v>
      </c>
      <c r="N29" s="53">
        <f t="shared" ca="1" si="8"/>
        <v>0.26377623470910044</v>
      </c>
      <c r="O29" s="53">
        <f t="shared" ca="1" si="8"/>
        <v>0.26377623470910044</v>
      </c>
      <c r="P29" s="53">
        <f t="shared" ca="1" si="8"/>
        <v>0.26377623470910044</v>
      </c>
      <c r="Q29" s="53">
        <f t="shared" ca="1" si="8"/>
        <v>0.26377623470910067</v>
      </c>
      <c r="R29" s="53">
        <f t="shared" ca="1" si="8"/>
        <v>0.26377623470910022</v>
      </c>
      <c r="S29" s="53">
        <f t="shared" ca="1" si="8"/>
        <v>0.26377623470910022</v>
      </c>
      <c r="T29" s="53">
        <f t="shared" ca="1" si="8"/>
        <v>0.26377623470910067</v>
      </c>
      <c r="U29" s="53">
        <f t="shared" ca="1" si="8"/>
        <v>0.26377623470910067</v>
      </c>
      <c r="V29" s="53">
        <f t="shared" ca="1" si="8"/>
        <v>0.26377623470910022</v>
      </c>
      <c r="W29" s="53">
        <f t="shared" ca="1" si="8"/>
        <v>0.26377623470910022</v>
      </c>
      <c r="X29" s="53">
        <f t="shared" ca="1" si="8"/>
        <v>0.26377623470910067</v>
      </c>
      <c r="Y29" s="53">
        <f t="shared" ca="1" si="8"/>
        <v>0.26377623470910067</v>
      </c>
      <c r="Z29" s="53">
        <f t="shared" ca="1" si="8"/>
        <v>0.26377623470910067</v>
      </c>
      <c r="AA29" s="53">
        <f t="shared" ca="1" si="8"/>
        <v>0.26377623470909983</v>
      </c>
      <c r="AB29" s="53">
        <f t="shared" ca="1" si="8"/>
        <v>0.26377623470910067</v>
      </c>
      <c r="AC29" s="53">
        <f t="shared" ca="1" si="8"/>
        <v>0.26377623470910067</v>
      </c>
      <c r="AD29" s="53">
        <f t="shared" ca="1" si="8"/>
        <v>0.26377623470909983</v>
      </c>
      <c r="AE29" s="53">
        <f t="shared" ca="1" si="8"/>
        <v>0.26377623470910067</v>
      </c>
      <c r="AF29" s="53">
        <f t="shared" ca="1" si="8"/>
        <v>0.26377623470910067</v>
      </c>
      <c r="AG29" s="53">
        <f t="shared" ca="1" si="8"/>
        <v>0.26377623470910067</v>
      </c>
      <c r="AH29" s="53">
        <f t="shared" ca="1" si="8"/>
        <v>0.26377623470910067</v>
      </c>
      <c r="AI29" s="53">
        <f t="shared" ca="1" si="8"/>
        <v>0.23985276875015688</v>
      </c>
      <c r="AJ29" s="53">
        <f t="shared" ca="1" si="8"/>
        <v>0</v>
      </c>
      <c r="AK29" s="53">
        <f t="shared" ca="1" si="8"/>
        <v>0</v>
      </c>
      <c r="AL29" s="53">
        <f t="shared" ca="1" si="8"/>
        <v>0</v>
      </c>
      <c r="AM29" s="53">
        <f t="shared" ca="1" si="8"/>
        <v>0</v>
      </c>
      <c r="AN29" s="53">
        <f t="shared" ca="1" si="8"/>
        <v>0</v>
      </c>
      <c r="AO29" s="53">
        <f t="shared" ca="1" si="8"/>
        <v>0</v>
      </c>
      <c r="AP29" s="53">
        <f t="shared" ca="1" si="8"/>
        <v>0</v>
      </c>
      <c r="AQ29" s="53">
        <f t="shared" ca="1" si="8"/>
        <v>0</v>
      </c>
      <c r="AR29" s="53">
        <f t="shared" ca="1" si="8"/>
        <v>0</v>
      </c>
      <c r="AS29" s="53">
        <f t="shared" ca="1" si="8"/>
        <v>0</v>
      </c>
      <c r="AT29" s="53">
        <f t="shared" ca="1" si="8"/>
        <v>0</v>
      </c>
      <c r="AU29" s="53">
        <f t="shared" ca="1" si="8"/>
        <v>0</v>
      </c>
      <c r="AV29" s="53">
        <f t="shared" ca="1" si="8"/>
        <v>0</v>
      </c>
      <c r="AW29" s="53">
        <f t="shared" ca="1" si="8"/>
        <v>0</v>
      </c>
      <c r="AX29" s="53">
        <f t="shared" ca="1" si="8"/>
        <v>0</v>
      </c>
      <c r="AY29" s="53">
        <f t="shared" ca="1" si="8"/>
        <v>0</v>
      </c>
      <c r="AZ29" s="53">
        <f t="shared" ca="1" si="8"/>
        <v>0</v>
      </c>
      <c r="BA29" s="53">
        <f t="shared" ca="1" si="8"/>
        <v>0</v>
      </c>
    </row>
    <row r="30" spans="2:53" x14ac:dyDescent="0.45">
      <c r="B30" s="25" t="s">
        <v>189</v>
      </c>
      <c r="C30" s="26" t="s">
        <v>104</v>
      </c>
      <c r="D30" s="52">
        <f ca="1">SUM(F30:BA30)</f>
        <v>63.882313840680922</v>
      </c>
      <c r="E30" s="28"/>
      <c r="F30" s="53">
        <f t="shared" ref="F30:BA30" ca="1" si="9">IF(F$6=BuildMonths+1,(1-DepositShare)*Price*SoldOffPlan,0)</f>
        <v>0</v>
      </c>
      <c r="G30" s="53">
        <f t="shared" ca="1" si="9"/>
        <v>0</v>
      </c>
      <c r="H30" s="53">
        <f t="shared" ca="1" si="9"/>
        <v>0</v>
      </c>
      <c r="I30" s="53">
        <f t="shared" ca="1" si="9"/>
        <v>0</v>
      </c>
      <c r="J30" s="53">
        <f t="shared" ca="1" si="9"/>
        <v>0</v>
      </c>
      <c r="K30" s="53">
        <f t="shared" ca="1" si="9"/>
        <v>0</v>
      </c>
      <c r="L30" s="53">
        <f t="shared" ca="1" si="9"/>
        <v>0</v>
      </c>
      <c r="M30" s="53">
        <f t="shared" ca="1" si="9"/>
        <v>0</v>
      </c>
      <c r="N30" s="53">
        <f t="shared" ca="1" si="9"/>
        <v>0</v>
      </c>
      <c r="O30" s="53">
        <f t="shared" ca="1" si="9"/>
        <v>0</v>
      </c>
      <c r="P30" s="53">
        <f t="shared" ca="1" si="9"/>
        <v>0</v>
      </c>
      <c r="Q30" s="53">
        <f t="shared" ca="1" si="9"/>
        <v>0</v>
      </c>
      <c r="R30" s="53">
        <f t="shared" ca="1" si="9"/>
        <v>0</v>
      </c>
      <c r="S30" s="53">
        <f t="shared" ca="1" si="9"/>
        <v>0</v>
      </c>
      <c r="T30" s="53">
        <f t="shared" ca="1" si="9"/>
        <v>0</v>
      </c>
      <c r="U30" s="53">
        <f t="shared" ca="1" si="9"/>
        <v>0</v>
      </c>
      <c r="V30" s="53">
        <f t="shared" ca="1" si="9"/>
        <v>0</v>
      </c>
      <c r="W30" s="53">
        <f t="shared" ca="1" si="9"/>
        <v>0</v>
      </c>
      <c r="X30" s="53">
        <f t="shared" ca="1" si="9"/>
        <v>0</v>
      </c>
      <c r="Y30" s="53">
        <f t="shared" ca="1" si="9"/>
        <v>0</v>
      </c>
      <c r="Z30" s="53">
        <f t="shared" ca="1" si="9"/>
        <v>0</v>
      </c>
      <c r="AA30" s="53">
        <f t="shared" ca="1" si="9"/>
        <v>0</v>
      </c>
      <c r="AB30" s="53">
        <f t="shared" ca="1" si="9"/>
        <v>0</v>
      </c>
      <c r="AC30" s="53">
        <f t="shared" ca="1" si="9"/>
        <v>0</v>
      </c>
      <c r="AD30" s="53">
        <f t="shared" ca="1" si="9"/>
        <v>0</v>
      </c>
      <c r="AE30" s="53">
        <f t="shared" ca="1" si="9"/>
        <v>0</v>
      </c>
      <c r="AF30" s="53">
        <f t="shared" ca="1" si="9"/>
        <v>0</v>
      </c>
      <c r="AG30" s="53">
        <f t="shared" ca="1" si="9"/>
        <v>0</v>
      </c>
      <c r="AH30" s="53">
        <f t="shared" ca="1" si="9"/>
        <v>0</v>
      </c>
      <c r="AI30" s="53">
        <f t="shared" ca="1" si="9"/>
        <v>0</v>
      </c>
      <c r="AJ30" s="53">
        <f t="shared" ca="1" si="9"/>
        <v>0</v>
      </c>
      <c r="AK30" s="53">
        <f t="shared" ca="1" si="9"/>
        <v>63.882313840680922</v>
      </c>
      <c r="AL30" s="53">
        <f t="shared" ca="1" si="9"/>
        <v>0</v>
      </c>
      <c r="AM30" s="53">
        <f t="shared" ca="1" si="9"/>
        <v>0</v>
      </c>
      <c r="AN30" s="53">
        <f t="shared" ca="1" si="9"/>
        <v>0</v>
      </c>
      <c r="AO30" s="53">
        <f t="shared" ca="1" si="9"/>
        <v>0</v>
      </c>
      <c r="AP30" s="53">
        <f t="shared" ca="1" si="9"/>
        <v>0</v>
      </c>
      <c r="AQ30" s="53">
        <f t="shared" ca="1" si="9"/>
        <v>0</v>
      </c>
      <c r="AR30" s="53">
        <f t="shared" ca="1" si="9"/>
        <v>0</v>
      </c>
      <c r="AS30" s="53">
        <f t="shared" ca="1" si="9"/>
        <v>0</v>
      </c>
      <c r="AT30" s="53">
        <f t="shared" ca="1" si="9"/>
        <v>0</v>
      </c>
      <c r="AU30" s="53">
        <f t="shared" ca="1" si="9"/>
        <v>0</v>
      </c>
      <c r="AV30" s="53">
        <f t="shared" ca="1" si="9"/>
        <v>0</v>
      </c>
      <c r="AW30" s="53">
        <f t="shared" ca="1" si="9"/>
        <v>0</v>
      </c>
      <c r="AX30" s="53">
        <f t="shared" ca="1" si="9"/>
        <v>0</v>
      </c>
      <c r="AY30" s="53">
        <f t="shared" ca="1" si="9"/>
        <v>0</v>
      </c>
      <c r="AZ30" s="53">
        <f t="shared" ca="1" si="9"/>
        <v>0</v>
      </c>
      <c r="BA30" s="53">
        <f t="shared" ca="1" si="9"/>
        <v>0</v>
      </c>
    </row>
    <row r="31" spans="2:53" x14ac:dyDescent="0.45">
      <c r="B31" s="25" t="s">
        <v>154</v>
      </c>
      <c r="C31" s="26" t="s">
        <v>104</v>
      </c>
      <c r="D31" s="52">
        <f ca="1">SUM(F31:BA31)</f>
        <v>0</v>
      </c>
      <c r="E31" s="28"/>
      <c r="F31" s="53">
        <f t="shared" ref="F31:BA31" ca="1" si="10">(1-AfterDiscount)*Price*(F28-E28)</f>
        <v>0</v>
      </c>
      <c r="G31" s="53">
        <f t="shared" ca="1" si="10"/>
        <v>0</v>
      </c>
      <c r="H31" s="53">
        <f t="shared" ca="1" si="10"/>
        <v>0</v>
      </c>
      <c r="I31" s="53">
        <f t="shared" ca="1" si="10"/>
        <v>0</v>
      </c>
      <c r="J31" s="53">
        <f t="shared" ca="1" si="10"/>
        <v>0</v>
      </c>
      <c r="K31" s="53">
        <f t="shared" ca="1" si="10"/>
        <v>0</v>
      </c>
      <c r="L31" s="53">
        <f t="shared" ca="1" si="10"/>
        <v>0</v>
      </c>
      <c r="M31" s="53">
        <f t="shared" ca="1" si="10"/>
        <v>0</v>
      </c>
      <c r="N31" s="53">
        <f t="shared" ca="1" si="10"/>
        <v>0</v>
      </c>
      <c r="O31" s="53">
        <f t="shared" ca="1" si="10"/>
        <v>0</v>
      </c>
      <c r="P31" s="53">
        <f t="shared" ca="1" si="10"/>
        <v>0</v>
      </c>
      <c r="Q31" s="53">
        <f t="shared" ca="1" si="10"/>
        <v>0</v>
      </c>
      <c r="R31" s="53">
        <f t="shared" ca="1" si="10"/>
        <v>0</v>
      </c>
      <c r="S31" s="53">
        <f t="shared" ca="1" si="10"/>
        <v>0</v>
      </c>
      <c r="T31" s="53">
        <f t="shared" ca="1" si="10"/>
        <v>0</v>
      </c>
      <c r="U31" s="53">
        <f t="shared" ca="1" si="10"/>
        <v>0</v>
      </c>
      <c r="V31" s="53">
        <f t="shared" ca="1" si="10"/>
        <v>0</v>
      </c>
      <c r="W31" s="53">
        <f t="shared" ca="1" si="10"/>
        <v>0</v>
      </c>
      <c r="X31" s="53">
        <f t="shared" ca="1" si="10"/>
        <v>0</v>
      </c>
      <c r="Y31" s="53">
        <f t="shared" ca="1" si="10"/>
        <v>0</v>
      </c>
      <c r="Z31" s="53">
        <f t="shared" ca="1" si="10"/>
        <v>0</v>
      </c>
      <c r="AA31" s="53">
        <f t="shared" ca="1" si="10"/>
        <v>0</v>
      </c>
      <c r="AB31" s="53">
        <f t="shared" ca="1" si="10"/>
        <v>0</v>
      </c>
      <c r="AC31" s="53">
        <f t="shared" ca="1" si="10"/>
        <v>0</v>
      </c>
      <c r="AD31" s="53">
        <f t="shared" ca="1" si="10"/>
        <v>0</v>
      </c>
      <c r="AE31" s="53">
        <f t="shared" ca="1" si="10"/>
        <v>0</v>
      </c>
      <c r="AF31" s="53">
        <f t="shared" ca="1" si="10"/>
        <v>0</v>
      </c>
      <c r="AG31" s="53">
        <f t="shared" ca="1" si="10"/>
        <v>0</v>
      </c>
      <c r="AH31" s="53">
        <f t="shared" ca="1" si="10"/>
        <v>0</v>
      </c>
      <c r="AI31" s="53">
        <f t="shared" ca="1" si="10"/>
        <v>0</v>
      </c>
      <c r="AJ31" s="53">
        <f t="shared" ca="1" si="10"/>
        <v>0</v>
      </c>
      <c r="AK31" s="53">
        <f t="shared" ca="1" si="10"/>
        <v>0</v>
      </c>
      <c r="AL31" s="53">
        <f t="shared" ca="1" si="10"/>
        <v>0</v>
      </c>
      <c r="AM31" s="53">
        <f t="shared" ca="1" si="10"/>
        <v>0</v>
      </c>
      <c r="AN31" s="53">
        <f t="shared" ca="1" si="10"/>
        <v>0</v>
      </c>
      <c r="AO31" s="53">
        <f t="shared" ca="1" si="10"/>
        <v>0</v>
      </c>
      <c r="AP31" s="53">
        <f t="shared" ca="1" si="10"/>
        <v>0</v>
      </c>
      <c r="AQ31" s="53">
        <f t="shared" ca="1" si="10"/>
        <v>0</v>
      </c>
      <c r="AR31" s="53">
        <f t="shared" ca="1" si="10"/>
        <v>0</v>
      </c>
      <c r="AS31" s="53">
        <f t="shared" ca="1" si="10"/>
        <v>0</v>
      </c>
      <c r="AT31" s="53">
        <f t="shared" ca="1" si="10"/>
        <v>0</v>
      </c>
      <c r="AU31" s="53">
        <f t="shared" ca="1" si="10"/>
        <v>0</v>
      </c>
      <c r="AV31" s="53">
        <f t="shared" ca="1" si="10"/>
        <v>0</v>
      </c>
      <c r="AW31" s="53">
        <f t="shared" ca="1" si="10"/>
        <v>0</v>
      </c>
      <c r="AX31" s="53">
        <f t="shared" ca="1" si="10"/>
        <v>0</v>
      </c>
      <c r="AY31" s="53">
        <f t="shared" ca="1" si="10"/>
        <v>0</v>
      </c>
      <c r="AZ31" s="53">
        <f t="shared" ca="1" si="10"/>
        <v>0</v>
      </c>
      <c r="BA31" s="53">
        <f t="shared" ca="1" si="10"/>
        <v>0</v>
      </c>
    </row>
    <row r="32" spans="2:53" x14ac:dyDescent="0.45">
      <c r="B32" s="54" t="s">
        <v>190</v>
      </c>
      <c r="C32" s="26" t="s">
        <v>104</v>
      </c>
      <c r="D32" s="52">
        <f ca="1">SUM(F32:BA32)</f>
        <v>70.980348711867691</v>
      </c>
      <c r="E32" s="28"/>
      <c r="F32" s="52">
        <f t="shared" ref="F32:BA32" ca="1" si="11">F29+F30+F31</f>
        <v>0</v>
      </c>
      <c r="G32" s="52">
        <f t="shared" ca="1" si="11"/>
        <v>0</v>
      </c>
      <c r="H32" s="52">
        <f t="shared" ca="1" si="11"/>
        <v>0</v>
      </c>
      <c r="I32" s="52">
        <f t="shared" ca="1" si="11"/>
        <v>0.26377623470910044</v>
      </c>
      <c r="J32" s="52">
        <f t="shared" ca="1" si="11"/>
        <v>0.26377623470910044</v>
      </c>
      <c r="K32" s="52">
        <f t="shared" ca="1" si="11"/>
        <v>0.26377623470910044</v>
      </c>
      <c r="L32" s="52">
        <f t="shared" ca="1" si="11"/>
        <v>0.26377623470910044</v>
      </c>
      <c r="M32" s="52">
        <f t="shared" ca="1" si="11"/>
        <v>0.26377623470910044</v>
      </c>
      <c r="N32" s="52">
        <f t="shared" ca="1" si="11"/>
        <v>0.26377623470910044</v>
      </c>
      <c r="O32" s="52">
        <f t="shared" ca="1" si="11"/>
        <v>0.26377623470910044</v>
      </c>
      <c r="P32" s="52">
        <f t="shared" ca="1" si="11"/>
        <v>0.26377623470910044</v>
      </c>
      <c r="Q32" s="52">
        <f t="shared" ca="1" si="11"/>
        <v>0.26377623470910067</v>
      </c>
      <c r="R32" s="52">
        <f t="shared" ca="1" si="11"/>
        <v>0.26377623470910022</v>
      </c>
      <c r="S32" s="52">
        <f t="shared" ca="1" si="11"/>
        <v>0.26377623470910022</v>
      </c>
      <c r="T32" s="52">
        <f t="shared" ca="1" si="11"/>
        <v>0.26377623470910067</v>
      </c>
      <c r="U32" s="52">
        <f t="shared" ca="1" si="11"/>
        <v>0.26377623470910067</v>
      </c>
      <c r="V32" s="52">
        <f t="shared" ca="1" si="11"/>
        <v>0.26377623470910022</v>
      </c>
      <c r="W32" s="52">
        <f t="shared" ca="1" si="11"/>
        <v>0.26377623470910022</v>
      </c>
      <c r="X32" s="52">
        <f t="shared" ca="1" si="11"/>
        <v>0.26377623470910067</v>
      </c>
      <c r="Y32" s="52">
        <f t="shared" ca="1" si="11"/>
        <v>0.26377623470910067</v>
      </c>
      <c r="Z32" s="52">
        <f t="shared" ca="1" si="11"/>
        <v>0.26377623470910067</v>
      </c>
      <c r="AA32" s="52">
        <f t="shared" ca="1" si="11"/>
        <v>0.26377623470909983</v>
      </c>
      <c r="AB32" s="52">
        <f t="shared" ca="1" si="11"/>
        <v>0.26377623470910067</v>
      </c>
      <c r="AC32" s="52">
        <f t="shared" ca="1" si="11"/>
        <v>0.26377623470910067</v>
      </c>
      <c r="AD32" s="52">
        <f t="shared" ca="1" si="11"/>
        <v>0.26377623470909983</v>
      </c>
      <c r="AE32" s="52">
        <f t="shared" ca="1" si="11"/>
        <v>0.26377623470910067</v>
      </c>
      <c r="AF32" s="52">
        <f t="shared" ca="1" si="11"/>
        <v>0.26377623470910067</v>
      </c>
      <c r="AG32" s="52">
        <f t="shared" ca="1" si="11"/>
        <v>0.26377623470910067</v>
      </c>
      <c r="AH32" s="52">
        <f t="shared" ca="1" si="11"/>
        <v>0.26377623470910067</v>
      </c>
      <c r="AI32" s="52">
        <f t="shared" ca="1" si="11"/>
        <v>0.23985276875015688</v>
      </c>
      <c r="AJ32" s="52">
        <f t="shared" ca="1" si="11"/>
        <v>0</v>
      </c>
      <c r="AK32" s="52">
        <f t="shared" ca="1" si="11"/>
        <v>63.882313840680922</v>
      </c>
      <c r="AL32" s="52">
        <f t="shared" ca="1" si="11"/>
        <v>0</v>
      </c>
      <c r="AM32" s="52">
        <f t="shared" ca="1" si="11"/>
        <v>0</v>
      </c>
      <c r="AN32" s="52">
        <f t="shared" ca="1" si="11"/>
        <v>0</v>
      </c>
      <c r="AO32" s="52">
        <f t="shared" ca="1" si="11"/>
        <v>0</v>
      </c>
      <c r="AP32" s="52">
        <f t="shared" ca="1" si="11"/>
        <v>0</v>
      </c>
      <c r="AQ32" s="52">
        <f t="shared" ca="1" si="11"/>
        <v>0</v>
      </c>
      <c r="AR32" s="52">
        <f t="shared" ca="1" si="11"/>
        <v>0</v>
      </c>
      <c r="AS32" s="52">
        <f t="shared" ca="1" si="11"/>
        <v>0</v>
      </c>
      <c r="AT32" s="52">
        <f t="shared" ca="1" si="11"/>
        <v>0</v>
      </c>
      <c r="AU32" s="52">
        <f t="shared" ca="1" si="11"/>
        <v>0</v>
      </c>
      <c r="AV32" s="52">
        <f t="shared" ca="1" si="11"/>
        <v>0</v>
      </c>
      <c r="AW32" s="52">
        <f t="shared" ca="1" si="11"/>
        <v>0</v>
      </c>
      <c r="AX32" s="52">
        <f t="shared" ca="1" si="11"/>
        <v>0</v>
      </c>
      <c r="AY32" s="52">
        <f t="shared" ca="1" si="11"/>
        <v>0</v>
      </c>
      <c r="AZ32" s="52">
        <f t="shared" ca="1" si="11"/>
        <v>0</v>
      </c>
      <c r="BA32" s="52">
        <f t="shared" ca="1" si="11"/>
        <v>0</v>
      </c>
    </row>
    <row r="33" spans="2:53" ht="8" customHeight="1" x14ac:dyDescent="0.45"/>
    <row r="34" spans="2:53" ht="22.05" customHeight="1" x14ac:dyDescent="0.5">
      <c r="B34" s="7" t="s">
        <v>191</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2:53" ht="18" customHeight="1" x14ac:dyDescent="0.45">
      <c r="B35" s="13" t="s">
        <v>192</v>
      </c>
    </row>
    <row r="36" spans="2:53" x14ac:dyDescent="0.45">
      <c r="B36" s="25" t="s">
        <v>193</v>
      </c>
      <c r="C36" s="26" t="s">
        <v>104</v>
      </c>
      <c r="D36" s="52">
        <f ca="1">SUM(F36:BA36)</f>
        <v>3.5508700878666786</v>
      </c>
      <c r="E36" s="28"/>
      <c r="F36" s="53">
        <f t="shared" ref="F36:BA36" si="12">MAX(0,-E37)*MonthlyRate</f>
        <v>0</v>
      </c>
      <c r="G36" s="53">
        <f t="shared" ca="1" si="12"/>
        <v>0</v>
      </c>
      <c r="H36" s="53">
        <f t="shared" ca="1" si="12"/>
        <v>0</v>
      </c>
      <c r="I36" s="53">
        <f t="shared" ca="1" si="12"/>
        <v>0</v>
      </c>
      <c r="J36" s="53">
        <f t="shared" ca="1" si="12"/>
        <v>0</v>
      </c>
      <c r="K36" s="53">
        <f t="shared" ca="1" si="12"/>
        <v>0</v>
      </c>
      <c r="L36" s="53">
        <f t="shared" ca="1" si="12"/>
        <v>0</v>
      </c>
      <c r="M36" s="53">
        <f t="shared" ca="1" si="12"/>
        <v>0</v>
      </c>
      <c r="N36" s="53">
        <f t="shared" ca="1" si="12"/>
        <v>9.8564932241481922E-3</v>
      </c>
      <c r="O36" s="53">
        <f t="shared" ca="1" si="12"/>
        <v>2.1814437517418565E-2</v>
      </c>
      <c r="P36" s="53">
        <f t="shared" ca="1" si="12"/>
        <v>3.4640221212071817E-2</v>
      </c>
      <c r="Q36" s="53">
        <f t="shared" ca="1" si="12"/>
        <v>4.8148681189122973E-2</v>
      </c>
      <c r="R36" s="53">
        <f t="shared" ca="1" si="12"/>
        <v>6.2154691054991031E-2</v>
      </c>
      <c r="S36" s="53">
        <f t="shared" ca="1" si="12"/>
        <v>7.647507300194413E-2</v>
      </c>
      <c r="T36" s="53">
        <f t="shared" ca="1" si="12"/>
        <v>9.0930286160134599E-2</v>
      </c>
      <c r="U36" s="53">
        <f t="shared" ca="1" si="12"/>
        <v>0.10534596763534795</v>
      </c>
      <c r="V36" s="53">
        <f t="shared" ca="1" si="12"/>
        <v>0.11955438169116993</v>
      </c>
      <c r="W36" s="53">
        <f t="shared" ca="1" si="12"/>
        <v>0.13339582046669929</v>
      </c>
      <c r="X36" s="53">
        <f t="shared" ca="1" si="12"/>
        <v>0.14671999307783365</v>
      </c>
      <c r="Y36" s="53">
        <f t="shared" ca="1" si="12"/>
        <v>0.15938743737973116</v>
      </c>
      <c r="Z36" s="53">
        <f t="shared" ca="1" si="12"/>
        <v>0.17127098946862448</v>
      </c>
      <c r="AA36" s="53">
        <f t="shared" ca="1" si="12"/>
        <v>0.18225735029056672</v>
      </c>
      <c r="AB36" s="53">
        <f t="shared" ca="1" si="12"/>
        <v>0.19224879738174422</v>
      </c>
      <c r="AC36" s="53">
        <f t="shared" ca="1" si="12"/>
        <v>0.20116510476932911</v>
      </c>
      <c r="AD36" s="53">
        <f t="shared" ca="1" si="12"/>
        <v>0.20894575934870083</v>
      </c>
      <c r="AE36" s="53">
        <f t="shared" ca="1" si="12"/>
        <v>0.21555260550304478</v>
      </c>
      <c r="AF36" s="53">
        <f t="shared" ca="1" si="12"/>
        <v>0.2209731280357301</v>
      </c>
      <c r="AG36" s="53">
        <f t="shared" ca="1" si="12"/>
        <v>0.2252247352400234</v>
      </c>
      <c r="AH36" s="53">
        <f t="shared" ca="1" si="12"/>
        <v>0.22836073003339</v>
      </c>
      <c r="AI36" s="53">
        <f t="shared" ca="1" si="12"/>
        <v>0.23047947199703883</v>
      </c>
      <c r="AJ36" s="53">
        <f t="shared" ca="1" si="12"/>
        <v>0.23188038694094301</v>
      </c>
      <c r="AK36" s="53">
        <f t="shared" ca="1" si="12"/>
        <v>0.23408754524692946</v>
      </c>
      <c r="AL36" s="53">
        <f t="shared" ca="1" si="12"/>
        <v>0</v>
      </c>
      <c r="AM36" s="53">
        <f t="shared" ca="1" si="12"/>
        <v>0</v>
      </c>
      <c r="AN36" s="53">
        <f t="shared" ca="1" si="12"/>
        <v>0</v>
      </c>
      <c r="AO36" s="53">
        <f t="shared" ca="1" si="12"/>
        <v>0</v>
      </c>
      <c r="AP36" s="53">
        <f t="shared" ca="1" si="12"/>
        <v>0</v>
      </c>
      <c r="AQ36" s="53">
        <f t="shared" ca="1" si="12"/>
        <v>0</v>
      </c>
      <c r="AR36" s="53">
        <f t="shared" ca="1" si="12"/>
        <v>0</v>
      </c>
      <c r="AS36" s="53">
        <f t="shared" ca="1" si="12"/>
        <v>0</v>
      </c>
      <c r="AT36" s="53">
        <f t="shared" ca="1" si="12"/>
        <v>0</v>
      </c>
      <c r="AU36" s="53">
        <f t="shared" ca="1" si="12"/>
        <v>0</v>
      </c>
      <c r="AV36" s="53">
        <f t="shared" ca="1" si="12"/>
        <v>0</v>
      </c>
      <c r="AW36" s="53">
        <f t="shared" ca="1" si="12"/>
        <v>0</v>
      </c>
      <c r="AX36" s="53">
        <f t="shared" ca="1" si="12"/>
        <v>0</v>
      </c>
      <c r="AY36" s="53">
        <f t="shared" ca="1" si="12"/>
        <v>0</v>
      </c>
      <c r="AZ36" s="53">
        <f t="shared" ca="1" si="12"/>
        <v>0</v>
      </c>
      <c r="BA36" s="53">
        <f t="shared" ca="1" si="12"/>
        <v>0</v>
      </c>
    </row>
    <row r="37" spans="2:53" x14ac:dyDescent="0.45">
      <c r="B37" s="54" t="s">
        <v>194</v>
      </c>
      <c r="C37" s="26" t="s">
        <v>104</v>
      </c>
      <c r="D37" s="28"/>
      <c r="E37" s="56">
        <f>Equity-Land</f>
        <v>7</v>
      </c>
      <c r="F37" s="52">
        <f t="shared" ref="F37:BA37" ca="1" si="13">E37+F32-F21-F36</f>
        <v>6.7572896090778158</v>
      </c>
      <c r="G37" s="52">
        <f t="shared" ca="1" si="13"/>
        <v>6.2164458281148622</v>
      </c>
      <c r="H37" s="52">
        <f t="shared" ca="1" si="13"/>
        <v>5.3624036009183769</v>
      </c>
      <c r="I37" s="52">
        <f t="shared" ca="1" si="13"/>
        <v>4.4682504842626392</v>
      </c>
      <c r="J37" s="52">
        <f t="shared" ca="1" si="13"/>
        <v>3.2895052565510237</v>
      </c>
      <c r="K37" s="52">
        <f t="shared" ca="1" si="13"/>
        <v>1.8510427585946783</v>
      </c>
      <c r="L37" s="52">
        <f t="shared" ca="1" si="13"/>
        <v>0.18116363128519586</v>
      </c>
      <c r="M37" s="52">
        <f t="shared" ca="1" si="13"/>
        <v>-1.6896845527111186</v>
      </c>
      <c r="N37" s="52">
        <f t="shared" ca="1" si="13"/>
        <v>-3.7396178601288965</v>
      </c>
      <c r="O37" s="52">
        <f t="shared" ca="1" si="13"/>
        <v>-5.9383236363551681</v>
      </c>
      <c r="P37" s="52">
        <f t="shared" ca="1" si="13"/>
        <v>-8.2540596324210807</v>
      </c>
      <c r="Q37" s="52">
        <f t="shared" ca="1" si="13"/>
        <v>-10.65508989514132</v>
      </c>
      <c r="R37" s="52">
        <f t="shared" ca="1" si="13"/>
        <v>-13.110012514618992</v>
      </c>
      <c r="S37" s="52">
        <f t="shared" ca="1" si="13"/>
        <v>-15.588049056023074</v>
      </c>
      <c r="T37" s="52">
        <f t="shared" ca="1" si="13"/>
        <v>-18.05930873748822</v>
      </c>
      <c r="U37" s="52">
        <f t="shared" ca="1" si="13"/>
        <v>-20.495036861343415</v>
      </c>
      <c r="V37" s="52">
        <f t="shared" ca="1" si="13"/>
        <v>-22.867854937148451</v>
      </c>
      <c r="W37" s="52">
        <f t="shared" ca="1" si="13"/>
        <v>-25.15199881334291</v>
      </c>
      <c r="X37" s="52">
        <f t="shared" ca="1" si="13"/>
        <v>-27.323560693668199</v>
      </c>
      <c r="Y37" s="52">
        <f t="shared" ca="1" si="13"/>
        <v>-29.360741051764194</v>
      </c>
      <c r="Z37" s="52">
        <f t="shared" ca="1" si="13"/>
        <v>-31.244117192668579</v>
      </c>
      <c r="AA37" s="52">
        <f t="shared" ca="1" si="13"/>
        <v>-32.956936694013294</v>
      </c>
      <c r="AB37" s="52">
        <f t="shared" ca="1" si="13"/>
        <v>-34.485446531884989</v>
      </c>
      <c r="AC37" s="52">
        <f t="shared" ca="1" si="13"/>
        <v>-35.819273031205853</v>
      </c>
      <c r="AD37" s="52">
        <f t="shared" ca="1" si="13"/>
        <v>-36.951875229093389</v>
      </c>
      <c r="AE37" s="52">
        <f t="shared" ca="1" si="13"/>
        <v>-37.881107663268018</v>
      </c>
      <c r="AF37" s="52">
        <f t="shared" ca="1" si="13"/>
        <v>-38.609954612575436</v>
      </c>
      <c r="AG37" s="52">
        <f t="shared" ca="1" si="13"/>
        <v>-39.147553720009711</v>
      </c>
      <c r="AH37" s="52">
        <f t="shared" ca="1" si="13"/>
        <v>-39.510766628063799</v>
      </c>
      <c r="AI37" s="52">
        <f t="shared" ca="1" si="13"/>
        <v>-39.750923475590227</v>
      </c>
      <c r="AJ37" s="52">
        <f t="shared" ca="1" si="13"/>
        <v>-40.129293470902191</v>
      </c>
      <c r="AK37" s="52">
        <f t="shared" ca="1" si="13"/>
        <v>23.518932824531802</v>
      </c>
      <c r="AL37" s="52">
        <f t="shared" ca="1" si="13"/>
        <v>23.518932824531802</v>
      </c>
      <c r="AM37" s="52">
        <f t="shared" ca="1" si="13"/>
        <v>23.518932824531802</v>
      </c>
      <c r="AN37" s="52">
        <f t="shared" ca="1" si="13"/>
        <v>23.518932824531802</v>
      </c>
      <c r="AO37" s="52">
        <f t="shared" ca="1" si="13"/>
        <v>23.518932824531802</v>
      </c>
      <c r="AP37" s="52">
        <f t="shared" ca="1" si="13"/>
        <v>23.518932824531802</v>
      </c>
      <c r="AQ37" s="52">
        <f t="shared" ca="1" si="13"/>
        <v>23.518932824531802</v>
      </c>
      <c r="AR37" s="52">
        <f t="shared" ca="1" si="13"/>
        <v>23.518932824531802</v>
      </c>
      <c r="AS37" s="52">
        <f t="shared" ca="1" si="13"/>
        <v>23.518932824531802</v>
      </c>
      <c r="AT37" s="52">
        <f t="shared" ca="1" si="13"/>
        <v>23.518932824531802</v>
      </c>
      <c r="AU37" s="52">
        <f t="shared" ca="1" si="13"/>
        <v>23.518932824531802</v>
      </c>
      <c r="AV37" s="52">
        <f t="shared" ca="1" si="13"/>
        <v>23.518932824531802</v>
      </c>
      <c r="AW37" s="52">
        <f t="shared" ca="1" si="13"/>
        <v>23.518932824531802</v>
      </c>
      <c r="AX37" s="52">
        <f t="shared" ca="1" si="13"/>
        <v>23.518932824531802</v>
      </c>
      <c r="AY37" s="52">
        <f t="shared" ca="1" si="13"/>
        <v>23.518932824531802</v>
      </c>
      <c r="AZ37" s="52">
        <f t="shared" ca="1" si="13"/>
        <v>23.518932824531802</v>
      </c>
      <c r="BA37" s="52">
        <f t="shared" ca="1" si="13"/>
        <v>23.518932824531802</v>
      </c>
    </row>
    <row r="38" spans="2:53" x14ac:dyDescent="0.45">
      <c r="B38" s="25" t="s">
        <v>195</v>
      </c>
      <c r="C38" s="26" t="s">
        <v>104</v>
      </c>
      <c r="D38" s="28"/>
      <c r="E38" s="28"/>
      <c r="F38" s="53">
        <f t="shared" ref="F38:BA38" ca="1" si="14">MAX(0,-F37)</f>
        <v>0</v>
      </c>
      <c r="G38" s="53">
        <f t="shared" ca="1" si="14"/>
        <v>0</v>
      </c>
      <c r="H38" s="53">
        <f t="shared" ca="1" si="14"/>
        <v>0</v>
      </c>
      <c r="I38" s="53">
        <f t="shared" ca="1" si="14"/>
        <v>0</v>
      </c>
      <c r="J38" s="53">
        <f t="shared" ca="1" si="14"/>
        <v>0</v>
      </c>
      <c r="K38" s="53">
        <f t="shared" ca="1" si="14"/>
        <v>0</v>
      </c>
      <c r="L38" s="53">
        <f t="shared" ca="1" si="14"/>
        <v>0</v>
      </c>
      <c r="M38" s="53">
        <f t="shared" ca="1" si="14"/>
        <v>1.6896845527111186</v>
      </c>
      <c r="N38" s="53">
        <f t="shared" ca="1" si="14"/>
        <v>3.7396178601288965</v>
      </c>
      <c r="O38" s="53">
        <f t="shared" ca="1" si="14"/>
        <v>5.9383236363551681</v>
      </c>
      <c r="P38" s="53">
        <f t="shared" ca="1" si="14"/>
        <v>8.2540596324210807</v>
      </c>
      <c r="Q38" s="53">
        <f t="shared" ca="1" si="14"/>
        <v>10.65508989514132</v>
      </c>
      <c r="R38" s="53">
        <f t="shared" ca="1" si="14"/>
        <v>13.110012514618992</v>
      </c>
      <c r="S38" s="53">
        <f t="shared" ca="1" si="14"/>
        <v>15.588049056023074</v>
      </c>
      <c r="T38" s="53">
        <f t="shared" ca="1" si="14"/>
        <v>18.05930873748822</v>
      </c>
      <c r="U38" s="53">
        <f t="shared" ca="1" si="14"/>
        <v>20.495036861343415</v>
      </c>
      <c r="V38" s="53">
        <f t="shared" ca="1" si="14"/>
        <v>22.867854937148451</v>
      </c>
      <c r="W38" s="53">
        <f t="shared" ca="1" si="14"/>
        <v>25.15199881334291</v>
      </c>
      <c r="X38" s="53">
        <f t="shared" ca="1" si="14"/>
        <v>27.323560693668199</v>
      </c>
      <c r="Y38" s="53">
        <f t="shared" ca="1" si="14"/>
        <v>29.360741051764194</v>
      </c>
      <c r="Z38" s="53">
        <f t="shared" ca="1" si="14"/>
        <v>31.244117192668579</v>
      </c>
      <c r="AA38" s="53">
        <f t="shared" ca="1" si="14"/>
        <v>32.956936694013294</v>
      </c>
      <c r="AB38" s="53">
        <f t="shared" ca="1" si="14"/>
        <v>34.485446531884989</v>
      </c>
      <c r="AC38" s="53">
        <f t="shared" ca="1" si="14"/>
        <v>35.819273031205853</v>
      </c>
      <c r="AD38" s="53">
        <f t="shared" ca="1" si="14"/>
        <v>36.951875229093389</v>
      </c>
      <c r="AE38" s="53">
        <f t="shared" ca="1" si="14"/>
        <v>37.881107663268018</v>
      </c>
      <c r="AF38" s="53">
        <f t="shared" ca="1" si="14"/>
        <v>38.609954612575436</v>
      </c>
      <c r="AG38" s="53">
        <f t="shared" ca="1" si="14"/>
        <v>39.147553720009711</v>
      </c>
      <c r="AH38" s="53">
        <f t="shared" ca="1" si="14"/>
        <v>39.510766628063799</v>
      </c>
      <c r="AI38" s="53">
        <f t="shared" ca="1" si="14"/>
        <v>39.750923475590227</v>
      </c>
      <c r="AJ38" s="53">
        <f t="shared" ca="1" si="14"/>
        <v>40.129293470902191</v>
      </c>
      <c r="AK38" s="53">
        <f t="shared" ca="1" si="14"/>
        <v>0</v>
      </c>
      <c r="AL38" s="53">
        <f t="shared" ca="1" si="14"/>
        <v>0</v>
      </c>
      <c r="AM38" s="53">
        <f t="shared" ca="1" si="14"/>
        <v>0</v>
      </c>
      <c r="AN38" s="53">
        <f t="shared" ca="1" si="14"/>
        <v>0</v>
      </c>
      <c r="AO38" s="53">
        <f t="shared" ca="1" si="14"/>
        <v>0</v>
      </c>
      <c r="AP38" s="53">
        <f t="shared" ca="1" si="14"/>
        <v>0</v>
      </c>
      <c r="AQ38" s="53">
        <f t="shared" ca="1" si="14"/>
        <v>0</v>
      </c>
      <c r="AR38" s="53">
        <f t="shared" ca="1" si="14"/>
        <v>0</v>
      </c>
      <c r="AS38" s="53">
        <f t="shared" ca="1" si="14"/>
        <v>0</v>
      </c>
      <c r="AT38" s="53">
        <f t="shared" ca="1" si="14"/>
        <v>0</v>
      </c>
      <c r="AU38" s="53">
        <f t="shared" ca="1" si="14"/>
        <v>0</v>
      </c>
      <c r="AV38" s="53">
        <f t="shared" ca="1" si="14"/>
        <v>0</v>
      </c>
      <c r="AW38" s="53">
        <f t="shared" ca="1" si="14"/>
        <v>0</v>
      </c>
      <c r="AX38" s="53">
        <f t="shared" ca="1" si="14"/>
        <v>0</v>
      </c>
      <c r="AY38" s="53">
        <f t="shared" ca="1" si="14"/>
        <v>0</v>
      </c>
      <c r="AZ38" s="53">
        <f t="shared" ca="1" si="14"/>
        <v>0</v>
      </c>
      <c r="BA38" s="53">
        <f t="shared" ca="1" si="14"/>
        <v>0</v>
      </c>
    </row>
    <row r="39" spans="2:53" x14ac:dyDescent="0.45">
      <c r="B39" s="25" t="s">
        <v>196</v>
      </c>
      <c r="C39" s="26" t="s">
        <v>104</v>
      </c>
      <c r="D39" s="28"/>
      <c r="E39" s="28"/>
      <c r="F39" s="53">
        <f t="shared" ref="F39:BA39" ca="1" si="15">MAX(0,F37)</f>
        <v>6.7572896090778158</v>
      </c>
      <c r="G39" s="53">
        <f t="shared" ca="1" si="15"/>
        <v>6.2164458281148622</v>
      </c>
      <c r="H39" s="53">
        <f t="shared" ca="1" si="15"/>
        <v>5.3624036009183769</v>
      </c>
      <c r="I39" s="53">
        <f t="shared" ca="1" si="15"/>
        <v>4.4682504842626392</v>
      </c>
      <c r="J39" s="53">
        <f t="shared" ca="1" si="15"/>
        <v>3.2895052565510237</v>
      </c>
      <c r="K39" s="53">
        <f t="shared" ca="1" si="15"/>
        <v>1.8510427585946783</v>
      </c>
      <c r="L39" s="53">
        <f t="shared" ca="1" si="15"/>
        <v>0.18116363128519586</v>
      </c>
      <c r="M39" s="53">
        <f t="shared" ca="1" si="15"/>
        <v>0</v>
      </c>
      <c r="N39" s="53">
        <f t="shared" ca="1" si="15"/>
        <v>0</v>
      </c>
      <c r="O39" s="53">
        <f t="shared" ca="1" si="15"/>
        <v>0</v>
      </c>
      <c r="P39" s="53">
        <f t="shared" ca="1" si="15"/>
        <v>0</v>
      </c>
      <c r="Q39" s="53">
        <f t="shared" ca="1" si="15"/>
        <v>0</v>
      </c>
      <c r="R39" s="53">
        <f t="shared" ca="1" si="15"/>
        <v>0</v>
      </c>
      <c r="S39" s="53">
        <f t="shared" ca="1" si="15"/>
        <v>0</v>
      </c>
      <c r="T39" s="53">
        <f t="shared" ca="1" si="15"/>
        <v>0</v>
      </c>
      <c r="U39" s="53">
        <f t="shared" ca="1" si="15"/>
        <v>0</v>
      </c>
      <c r="V39" s="53">
        <f t="shared" ca="1" si="15"/>
        <v>0</v>
      </c>
      <c r="W39" s="53">
        <f t="shared" ca="1" si="15"/>
        <v>0</v>
      </c>
      <c r="X39" s="53">
        <f t="shared" ca="1" si="15"/>
        <v>0</v>
      </c>
      <c r="Y39" s="53">
        <f t="shared" ca="1" si="15"/>
        <v>0</v>
      </c>
      <c r="Z39" s="53">
        <f t="shared" ca="1" si="15"/>
        <v>0</v>
      </c>
      <c r="AA39" s="53">
        <f t="shared" ca="1" si="15"/>
        <v>0</v>
      </c>
      <c r="AB39" s="53">
        <f t="shared" ca="1" si="15"/>
        <v>0</v>
      </c>
      <c r="AC39" s="53">
        <f t="shared" ca="1" si="15"/>
        <v>0</v>
      </c>
      <c r="AD39" s="53">
        <f t="shared" ca="1" si="15"/>
        <v>0</v>
      </c>
      <c r="AE39" s="53">
        <f t="shared" ca="1" si="15"/>
        <v>0</v>
      </c>
      <c r="AF39" s="53">
        <f t="shared" ca="1" si="15"/>
        <v>0</v>
      </c>
      <c r="AG39" s="53">
        <f t="shared" ca="1" si="15"/>
        <v>0</v>
      </c>
      <c r="AH39" s="53">
        <f t="shared" ca="1" si="15"/>
        <v>0</v>
      </c>
      <c r="AI39" s="53">
        <f t="shared" ca="1" si="15"/>
        <v>0</v>
      </c>
      <c r="AJ39" s="53">
        <f t="shared" ca="1" si="15"/>
        <v>0</v>
      </c>
      <c r="AK39" s="53">
        <f t="shared" ca="1" si="15"/>
        <v>23.518932824531802</v>
      </c>
      <c r="AL39" s="53">
        <f t="shared" ca="1" si="15"/>
        <v>23.518932824531802</v>
      </c>
      <c r="AM39" s="53">
        <f t="shared" ca="1" si="15"/>
        <v>23.518932824531802</v>
      </c>
      <c r="AN39" s="53">
        <f t="shared" ca="1" si="15"/>
        <v>23.518932824531802</v>
      </c>
      <c r="AO39" s="53">
        <f t="shared" ca="1" si="15"/>
        <v>23.518932824531802</v>
      </c>
      <c r="AP39" s="53">
        <f t="shared" ca="1" si="15"/>
        <v>23.518932824531802</v>
      </c>
      <c r="AQ39" s="53">
        <f t="shared" ca="1" si="15"/>
        <v>23.518932824531802</v>
      </c>
      <c r="AR39" s="53">
        <f t="shared" ca="1" si="15"/>
        <v>23.518932824531802</v>
      </c>
      <c r="AS39" s="53">
        <f t="shared" ca="1" si="15"/>
        <v>23.518932824531802</v>
      </c>
      <c r="AT39" s="53">
        <f t="shared" ca="1" si="15"/>
        <v>23.518932824531802</v>
      </c>
      <c r="AU39" s="53">
        <f t="shared" ca="1" si="15"/>
        <v>23.518932824531802</v>
      </c>
      <c r="AV39" s="53">
        <f t="shared" ca="1" si="15"/>
        <v>23.518932824531802</v>
      </c>
      <c r="AW39" s="53">
        <f t="shared" ca="1" si="15"/>
        <v>23.518932824531802</v>
      </c>
      <c r="AX39" s="53">
        <f t="shared" ca="1" si="15"/>
        <v>23.518932824531802</v>
      </c>
      <c r="AY39" s="53">
        <f t="shared" ca="1" si="15"/>
        <v>23.518932824531802</v>
      </c>
      <c r="AZ39" s="53">
        <f t="shared" ca="1" si="15"/>
        <v>23.518932824531802</v>
      </c>
      <c r="BA39" s="53">
        <f t="shared" ca="1" si="15"/>
        <v>23.518932824531802</v>
      </c>
    </row>
    <row r="40" spans="2:53" x14ac:dyDescent="0.45">
      <c r="B40" s="25" t="s">
        <v>197</v>
      </c>
      <c r="C40" s="26" t="s">
        <v>104</v>
      </c>
      <c r="D40" s="28"/>
      <c r="E40" s="28"/>
      <c r="F40" s="57" cm="1">
        <f t="array" aca="1" ref="F40" ca="1">_xll.VoseOutput("Facility drawn month 1","US$m")+F38</f>
        <v>0</v>
      </c>
      <c r="G40" s="57" cm="1">
        <f t="array" aca="1" ref="G40" ca="1">_xll.VoseOutput("Facility drawn month 2","US$m")+G38</f>
        <v>0</v>
      </c>
      <c r="H40" s="57" cm="1">
        <f t="array" aca="1" ref="H40" ca="1">_xll.VoseOutput("Facility drawn month 3","US$m")+H38</f>
        <v>0</v>
      </c>
      <c r="I40" s="57" cm="1">
        <f t="array" aca="1" ref="I40" ca="1">_xll.VoseOutput("Facility drawn month 4","US$m")+I38</f>
        <v>0</v>
      </c>
      <c r="J40" s="57" cm="1">
        <f t="array" aca="1" ref="J40" ca="1">_xll.VoseOutput("Facility drawn month 5","US$m")+J38</f>
        <v>0</v>
      </c>
      <c r="K40" s="57" cm="1">
        <f t="array" aca="1" ref="K40" ca="1">_xll.VoseOutput("Facility drawn month 6","US$m")+K38</f>
        <v>0</v>
      </c>
      <c r="L40" s="57" cm="1">
        <f t="array" aca="1" ref="L40" ca="1">_xll.VoseOutput("Facility drawn month 7","US$m")+L38</f>
        <v>0</v>
      </c>
      <c r="M40" s="57" cm="1">
        <f t="array" aca="1" ref="M40" ca="1">_xll.VoseOutput("Facility drawn month 8","US$m")+M38</f>
        <v>1.6896845527111186</v>
      </c>
      <c r="N40" s="57" cm="1">
        <f t="array" aca="1" ref="N40" ca="1">_xll.VoseOutput("Facility drawn month 9","US$m")+N38</f>
        <v>3.7396178601288965</v>
      </c>
      <c r="O40" s="57" cm="1">
        <f t="array" aca="1" ref="O40" ca="1">_xll.VoseOutput("Facility drawn month 10","US$m")+O38</f>
        <v>5.9383236363551681</v>
      </c>
      <c r="P40" s="57" cm="1">
        <f t="array" aca="1" ref="P40" ca="1">_xll.VoseOutput("Facility drawn month 11","US$m")+P38</f>
        <v>8.2540596324210807</v>
      </c>
      <c r="Q40" s="57" cm="1">
        <f t="array" aca="1" ref="Q40" ca="1">_xll.VoseOutput("Facility drawn month 12","US$m")+Q38</f>
        <v>10.65508989514132</v>
      </c>
      <c r="R40" s="57" cm="1">
        <f t="array" aca="1" ref="R40" ca="1">_xll.VoseOutput("Facility drawn month 13","US$m")+R38</f>
        <v>13.110012514618992</v>
      </c>
      <c r="S40" s="57" cm="1">
        <f t="array" aca="1" ref="S40" ca="1">_xll.VoseOutput("Facility drawn month 14","US$m")+S38</f>
        <v>15.588049056023074</v>
      </c>
      <c r="T40" s="57" cm="1">
        <f t="array" aca="1" ref="T40" ca="1">_xll.VoseOutput("Facility drawn month 15","US$m")+T38</f>
        <v>18.05930873748822</v>
      </c>
      <c r="U40" s="57" cm="1">
        <f t="array" aca="1" ref="U40" ca="1">_xll.VoseOutput("Facility drawn month 16","US$m")+U38</f>
        <v>20.495036861343415</v>
      </c>
      <c r="V40" s="57" cm="1">
        <f t="array" aca="1" ref="V40" ca="1">_xll.VoseOutput("Facility drawn month 17","US$m")+V38</f>
        <v>22.867854937148451</v>
      </c>
      <c r="W40" s="57" cm="1">
        <f t="array" aca="1" ref="W40" ca="1">_xll.VoseOutput("Facility drawn month 18","US$m")+W38</f>
        <v>25.15199881334291</v>
      </c>
      <c r="X40" s="57" cm="1">
        <f t="array" aca="1" ref="X40" ca="1">_xll.VoseOutput("Facility drawn month 19","US$m")+X38</f>
        <v>27.323560693668199</v>
      </c>
      <c r="Y40" s="57" cm="1">
        <f t="array" aca="1" ref="Y40" ca="1">_xll.VoseOutput("Facility drawn month 20","US$m")+Y38</f>
        <v>29.360741051764194</v>
      </c>
      <c r="Z40" s="57" cm="1">
        <f t="array" aca="1" ref="Z40" ca="1">_xll.VoseOutput("Facility drawn month 21","US$m")+Z38</f>
        <v>31.244117192668579</v>
      </c>
      <c r="AA40" s="57" cm="1">
        <f t="array" aca="1" ref="AA40" ca="1">_xll.VoseOutput("Facility drawn month 22","US$m")+AA38</f>
        <v>32.956936694013294</v>
      </c>
      <c r="AB40" s="57" cm="1">
        <f t="array" aca="1" ref="AB40" ca="1">_xll.VoseOutput("Facility drawn month 23","US$m")+AB38</f>
        <v>34.485446531884989</v>
      </c>
      <c r="AC40" s="57" cm="1">
        <f t="array" aca="1" ref="AC40" ca="1">_xll.VoseOutput("Facility drawn month 24","US$m")+AC38</f>
        <v>35.819273031205853</v>
      </c>
      <c r="AD40" s="57" cm="1">
        <f t="array" aca="1" ref="AD40" ca="1">_xll.VoseOutput("Facility drawn month 25","US$m")+AD38</f>
        <v>36.951875229093389</v>
      </c>
      <c r="AE40" s="57" cm="1">
        <f t="array" aca="1" ref="AE40" ca="1">_xll.VoseOutput("Facility drawn month 26","US$m")+AE38</f>
        <v>37.881107663268018</v>
      </c>
      <c r="AF40" s="57" cm="1">
        <f t="array" aca="1" ref="AF40" ca="1">_xll.VoseOutput("Facility drawn month 27","US$m")+AF38</f>
        <v>38.609954612575436</v>
      </c>
      <c r="AG40" s="57" cm="1">
        <f t="array" aca="1" ref="AG40" ca="1">_xll.VoseOutput("Facility drawn month 28","US$m")+AG38</f>
        <v>39.147553720009711</v>
      </c>
      <c r="AH40" s="57" cm="1">
        <f t="array" aca="1" ref="AH40" ca="1">_xll.VoseOutput("Facility drawn month 29","US$m")+AH38</f>
        <v>39.510766628063799</v>
      </c>
      <c r="AI40" s="57" cm="1">
        <f t="array" aca="1" ref="AI40" ca="1">_xll.VoseOutput("Facility drawn month 30","US$m")+AI38</f>
        <v>39.750923475590227</v>
      </c>
      <c r="AJ40" s="57" cm="1">
        <f t="array" aca="1" ref="AJ40" ca="1">_xll.VoseOutput("Facility drawn month 31","US$m")+AJ38</f>
        <v>40.129293470902191</v>
      </c>
      <c r="AK40" s="57" cm="1">
        <f t="array" aca="1" ref="AK40" ca="1">_xll.VoseOutput("Facility drawn month 32","US$m")+AK38</f>
        <v>0</v>
      </c>
      <c r="AL40" s="57" cm="1">
        <f t="array" aca="1" ref="AL40" ca="1">_xll.VoseOutput("Facility drawn month 33","US$m")+AL38</f>
        <v>0</v>
      </c>
      <c r="AM40" s="57" cm="1">
        <f t="array" aca="1" ref="AM40" ca="1">_xll.VoseOutput("Facility drawn month 34","US$m")+AM38</f>
        <v>0</v>
      </c>
      <c r="AN40" s="57" cm="1">
        <f t="array" aca="1" ref="AN40" ca="1">_xll.VoseOutput("Facility drawn month 35","US$m")+AN38</f>
        <v>0</v>
      </c>
      <c r="AO40" s="57" cm="1">
        <f t="array" aca="1" ref="AO40" ca="1">_xll.VoseOutput("Facility drawn month 36","US$m")+AO38</f>
        <v>0</v>
      </c>
      <c r="AP40" s="57" cm="1">
        <f t="array" aca="1" ref="AP40" ca="1">_xll.VoseOutput("Facility drawn month 37","US$m")+AP38</f>
        <v>0</v>
      </c>
      <c r="AQ40" s="57" cm="1">
        <f t="array" aca="1" ref="AQ40" ca="1">_xll.VoseOutput("Facility drawn month 38","US$m")+AQ38</f>
        <v>0</v>
      </c>
      <c r="AR40" s="57" cm="1">
        <f t="array" aca="1" ref="AR40" ca="1">_xll.VoseOutput("Facility drawn month 39","US$m")+AR38</f>
        <v>0</v>
      </c>
      <c r="AS40" s="57" cm="1">
        <f t="array" aca="1" ref="AS40" ca="1">_xll.VoseOutput("Facility drawn month 40","US$m")+AS38</f>
        <v>0</v>
      </c>
      <c r="AT40" s="57" cm="1">
        <f t="array" aca="1" ref="AT40" ca="1">_xll.VoseOutput("Facility drawn month 41","US$m")+AT38</f>
        <v>0</v>
      </c>
      <c r="AU40" s="57" cm="1">
        <f t="array" aca="1" ref="AU40" ca="1">_xll.VoseOutput("Facility drawn month 42","US$m")+AU38</f>
        <v>0</v>
      </c>
      <c r="AV40" s="57" cm="1">
        <f t="array" aca="1" ref="AV40" ca="1">_xll.VoseOutput("Facility drawn month 43","US$m")+AV38</f>
        <v>0</v>
      </c>
      <c r="AW40" s="57" cm="1">
        <f t="array" aca="1" ref="AW40" ca="1">_xll.VoseOutput("Facility drawn month 44","US$m")+AW38</f>
        <v>0</v>
      </c>
      <c r="AX40" s="57" cm="1">
        <f t="array" aca="1" ref="AX40" ca="1">_xll.VoseOutput("Facility drawn month 45","US$m")+AX38</f>
        <v>0</v>
      </c>
      <c r="AY40" s="57" cm="1">
        <f t="array" aca="1" ref="AY40" ca="1">_xll.VoseOutput("Facility drawn month 46","US$m")+AY38</f>
        <v>0</v>
      </c>
      <c r="AZ40" s="57" cm="1">
        <f t="array" aca="1" ref="AZ40" ca="1">_xll.VoseOutput("Facility drawn month 47","US$m")+AZ38</f>
        <v>0</v>
      </c>
      <c r="BA40" s="57" cm="1">
        <f t="array" aca="1" ref="BA40" ca="1">_xll.VoseOutput("Facility drawn month 48","US$m")+BA38</f>
        <v>0</v>
      </c>
    </row>
    <row r="41" spans="2:53" ht="8" customHeight="1" x14ac:dyDescent="0.45"/>
    <row r="42" spans="2:53" ht="22.05" customHeight="1" x14ac:dyDescent="0.5">
      <c r="B42" s="7" t="s">
        <v>198</v>
      </c>
      <c r="C42" s="8"/>
      <c r="D42" s="8"/>
      <c r="E42" s="8"/>
      <c r="F42" s="8"/>
      <c r="G42" s="8"/>
      <c r="H42" s="8"/>
      <c r="I42" s="8"/>
      <c r="J42" s="8"/>
      <c r="K42" s="8"/>
      <c r="L42" s="8"/>
      <c r="M42" s="8"/>
      <c r="N42" s="8"/>
      <c r="P42" s="58" t="s">
        <v>199</v>
      </c>
      <c r="Q42" s="8"/>
      <c r="R42" s="8"/>
      <c r="S42" s="8"/>
      <c r="T42" s="8"/>
      <c r="U42" s="8"/>
      <c r="V42" s="8"/>
      <c r="W42" s="8"/>
      <c r="X42" s="8"/>
      <c r="Y42" s="8"/>
      <c r="Z42" s="8"/>
      <c r="AA42" s="8"/>
      <c r="AB42" s="8"/>
      <c r="AC42" s="8"/>
    </row>
    <row r="43" spans="2:53" ht="18" customHeight="1" x14ac:dyDescent="0.45">
      <c r="B43" s="13" t="s">
        <v>200</v>
      </c>
    </row>
    <row r="44" spans="2:53" ht="18" customHeight="1" x14ac:dyDescent="0.45">
      <c r="B44" s="45" t="s">
        <v>201</v>
      </c>
      <c r="C44" s="45" t="s">
        <v>99</v>
      </c>
      <c r="D44" s="46" t="s">
        <v>166</v>
      </c>
      <c r="E44" s="5"/>
      <c r="F44" s="45" t="s">
        <v>202</v>
      </c>
      <c r="G44" s="5"/>
      <c r="H44" s="5"/>
      <c r="I44" s="5"/>
      <c r="J44" s="5"/>
      <c r="K44" s="5"/>
      <c r="L44" s="5"/>
      <c r="M44" s="5"/>
      <c r="N44" s="5"/>
    </row>
    <row r="45" spans="2:53" x14ac:dyDescent="0.45">
      <c r="B45" s="25" t="s">
        <v>203</v>
      </c>
      <c r="C45" s="26" t="s">
        <v>104</v>
      </c>
      <c r="D45" s="57" cm="1">
        <f t="array" aca="1" ref="D45" ca="1">_xll.VoseOutput("Peak funding","US$m")+MAX(F38:BA38)</f>
        <v>40.129293470902191</v>
      </c>
      <c r="E45" s="28"/>
      <c r="F45" s="26" t="s">
        <v>204</v>
      </c>
      <c r="G45" s="28"/>
      <c r="H45" s="28"/>
      <c r="I45" s="28"/>
      <c r="J45" s="28"/>
      <c r="K45" s="28"/>
      <c r="L45" s="28"/>
      <c r="M45" s="28"/>
      <c r="N45" s="28"/>
    </row>
    <row r="46" spans="2:53" x14ac:dyDescent="0.45">
      <c r="B46" s="25" t="s">
        <v>205</v>
      </c>
      <c r="C46" s="26" t="s">
        <v>149</v>
      </c>
      <c r="D46" s="59" cm="1">
        <f t="array" aca="1" ref="D46" ca="1">_xll.VoseOutput("Month of peak funding","month")+MATCH(PeakFunding,F38:BA38,0)</f>
        <v>31</v>
      </c>
      <c r="E46" s="28"/>
      <c r="F46" s="26"/>
      <c r="G46" s="28"/>
      <c r="H46" s="28"/>
      <c r="I46" s="28"/>
      <c r="J46" s="28"/>
      <c r="K46" s="28"/>
      <c r="L46" s="28"/>
      <c r="M46" s="28"/>
      <c r="N46" s="28"/>
    </row>
    <row r="47" spans="2:53" x14ac:dyDescent="0.45">
      <c r="B47" s="25" t="s">
        <v>206</v>
      </c>
      <c r="C47" s="26" t="s">
        <v>207</v>
      </c>
      <c r="D47" s="59" cm="1">
        <f t="array" aca="1" ref="D47" ca="1">_xll.VoseOutput("Peak above the facility","1 = yes")+IF(PeakFunding&gt;Facility,1,0)</f>
        <v>1</v>
      </c>
      <c r="E47" s="28"/>
      <c r="F47" s="26"/>
      <c r="G47" s="28"/>
      <c r="H47" s="28"/>
      <c r="I47" s="28"/>
      <c r="J47" s="28"/>
      <c r="K47" s="28"/>
      <c r="L47" s="28"/>
      <c r="M47" s="28"/>
      <c r="N47" s="28"/>
    </row>
    <row r="48" spans="2:53" x14ac:dyDescent="0.45">
      <c r="B48" s="25" t="s">
        <v>208</v>
      </c>
      <c r="C48" s="26" t="s">
        <v>104</v>
      </c>
      <c r="D48" s="57" cm="1">
        <f t="array" aca="1" ref="D48" ca="1">_xll.VoseOutput("Interest paid","US$m")+D36</f>
        <v>3.5508700878666786</v>
      </c>
      <c r="E48" s="28"/>
      <c r="F48" s="26"/>
      <c r="G48" s="28"/>
      <c r="H48" s="28"/>
      <c r="I48" s="28"/>
      <c r="J48" s="28"/>
      <c r="K48" s="28"/>
      <c r="L48" s="28"/>
      <c r="M48" s="28"/>
      <c r="N48" s="28"/>
    </row>
    <row r="49" spans="2:14" x14ac:dyDescent="0.45">
      <c r="B49" s="25" t="s">
        <v>209</v>
      </c>
      <c r="C49" s="26" t="s">
        <v>104</v>
      </c>
      <c r="D49" s="57" cm="1">
        <f t="array" aca="1" ref="D49" ca="1">_xll.VoseOutput("Profit","US$m")+D32-Land-D21-TotalInterest</f>
        <v>8.5189328245318219</v>
      </c>
      <c r="E49" s="28"/>
      <c r="F49" s="26" t="s">
        <v>210</v>
      </c>
      <c r="G49" s="28"/>
      <c r="H49" s="28"/>
      <c r="I49" s="28"/>
      <c r="J49" s="28"/>
      <c r="K49" s="28"/>
      <c r="L49" s="28"/>
      <c r="M49" s="28"/>
      <c r="N49" s="28"/>
    </row>
    <row r="50" spans="2:14" x14ac:dyDescent="0.45">
      <c r="B50" s="25" t="s">
        <v>211</v>
      </c>
      <c r="C50" s="26"/>
      <c r="D50" s="60" cm="1">
        <f t="array" aca="1" ref="D50" ca="1">_xll.VoseOutput("Profit on cost","")+Profit/(Land+D21+TotalInterest)</f>
        <v>0.13638712321055543</v>
      </c>
      <c r="E50" s="28"/>
      <c r="F50" s="26" t="s">
        <v>212</v>
      </c>
      <c r="G50" s="28"/>
      <c r="H50" s="28"/>
      <c r="I50" s="28"/>
      <c r="J50" s="28"/>
      <c r="K50" s="28"/>
      <c r="L50" s="28"/>
      <c r="M50" s="28"/>
      <c r="N50" s="28"/>
    </row>
    <row r="51" spans="2:14" ht="8" customHeight="1" x14ac:dyDescent="0.45"/>
    <row r="52" spans="2:14" ht="22.05" customHeight="1" x14ac:dyDescent="0.5">
      <c r="B52" s="7" t="s">
        <v>213</v>
      </c>
      <c r="C52" s="8"/>
      <c r="D52" s="8"/>
      <c r="E52" s="8"/>
      <c r="F52" s="8"/>
      <c r="G52" s="8"/>
      <c r="H52" s="8"/>
      <c r="I52" s="8"/>
      <c r="J52" s="8"/>
      <c r="K52" s="8"/>
      <c r="L52" s="8"/>
      <c r="M52" s="8"/>
      <c r="N52" s="8"/>
    </row>
    <row r="53" spans="2:14" ht="18" customHeight="1" x14ac:dyDescent="0.45">
      <c r="B53" s="13" t="s">
        <v>214</v>
      </c>
    </row>
    <row r="54" spans="2:14" x14ac:dyDescent="0.45">
      <c r="B54" s="25" t="s">
        <v>215</v>
      </c>
      <c r="C54" s="28"/>
      <c r="D54" s="61" t="str">
        <f ca="1">IF(ABS(D19-BuildCost)&lt;0.001,"OK","CHECK")</f>
        <v>OK</v>
      </c>
      <c r="E54" s="28"/>
      <c r="F54" s="28"/>
      <c r="G54" s="28"/>
      <c r="H54" s="28"/>
      <c r="I54" s="28"/>
      <c r="J54" s="28"/>
      <c r="K54" s="28"/>
      <c r="L54" s="28"/>
      <c r="M54" s="28"/>
      <c r="N54" s="28"/>
    </row>
    <row r="55" spans="2:14" x14ac:dyDescent="0.45">
      <c r="B55" s="25" t="s">
        <v>216</v>
      </c>
      <c r="C55" s="28"/>
      <c r="D55" s="61" t="str">
        <f ca="1">IF(BA26+BA28&gt;=Units-0.001,"OK","CHECK")</f>
        <v>OK</v>
      </c>
      <c r="E55" s="28"/>
      <c r="F55" s="28"/>
      <c r="G55" s="28"/>
      <c r="H55" s="28"/>
      <c r="I55" s="28"/>
      <c r="J55" s="28"/>
      <c r="K55" s="28"/>
      <c r="L55" s="28"/>
      <c r="M55" s="28"/>
      <c r="N55" s="28"/>
    </row>
    <row r="56" spans="2:14" x14ac:dyDescent="0.45">
      <c r="B56" s="25" t="s">
        <v>217</v>
      </c>
      <c r="C56" s="28"/>
      <c r="D56" s="61" t="str">
        <f ca="1">IF(BA38&lt;0.001,"OK","CHECK")</f>
        <v>OK</v>
      </c>
      <c r="E56" s="28"/>
      <c r="F56" s="28"/>
      <c r="G56" s="28"/>
      <c r="H56" s="28"/>
      <c r="I56" s="28"/>
      <c r="J56" s="28"/>
      <c r="K56" s="28"/>
      <c r="L56" s="28"/>
      <c r="M56" s="28"/>
      <c r="N56" s="28"/>
    </row>
    <row r="57" spans="2:14" ht="14" customHeight="1" x14ac:dyDescent="0.45"/>
  </sheetData>
  <conditionalFormatting sqref="D54:D56">
    <cfRule type="expression" dxfId="8" priority="1">
      <formula>D54="CHECK"</formula>
    </cfRule>
  </conditionalFormatting>
  <hyperlinks>
    <hyperlink ref="B4" location="'Inputs'!A1" display="◂  Inputs" xr:uid="{00000000-0004-0000-0200-000000000000}"/>
    <hyperlink ref="BA4" location="'Results'!A1" display="Next:  Results  ▸" xr:uid="{00000000-0004-0000-0200-000001000000}"/>
  </hyperlinks>
  <printOptions horizontalCentered="1"/>
  <pageMargins left="0.4" right="0.4" top="0.5" bottom="0.6" header="0.25" footer="0.25"/>
  <pageSetup paperSize="8" scale="80" fitToHeight="0" orientation="landscape" r:id="rId1"/>
  <headerFooter>
    <oddFooter>&amp;L&amp;K3F5876&amp;8&amp;F · &amp;A&amp;R&amp;K3F5876&amp;8Page &amp;P of &amp;N</oddFooter>
  </headerFooter>
  <colBreaks count="1" manualBreakCount="1">
    <brk id="29"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192"/>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218</v>
      </c>
      <c r="C3" s="1"/>
      <c r="D3" s="1"/>
      <c r="E3" s="1"/>
      <c r="F3" s="1"/>
      <c r="G3" s="1"/>
      <c r="H3" s="1"/>
      <c r="I3" s="1"/>
      <c r="J3" s="1"/>
      <c r="K3" s="1"/>
      <c r="L3" s="1"/>
      <c r="M3" s="1"/>
      <c r="N3" s="1"/>
      <c r="O3" s="1"/>
      <c r="P3" s="1"/>
      <c r="Q3" s="1"/>
      <c r="R3" s="1"/>
    </row>
    <row r="4" spans="1:18" ht="20" customHeight="1" x14ac:dyDescent="0.45">
      <c r="A4" s="5"/>
      <c r="B4" s="22" t="s">
        <v>219</v>
      </c>
      <c r="C4" s="5"/>
      <c r="D4" s="5"/>
      <c r="E4" s="5"/>
      <c r="F4" s="5"/>
      <c r="G4" s="5"/>
      <c r="H4" s="5"/>
      <c r="I4" s="5"/>
      <c r="J4" s="5"/>
      <c r="K4" s="5"/>
      <c r="L4" s="5"/>
      <c r="M4" s="5"/>
      <c r="N4" s="5"/>
      <c r="O4" s="5"/>
      <c r="P4" s="5"/>
      <c r="Q4" s="5"/>
      <c r="R4" s="5"/>
    </row>
    <row r="5" spans="1:18" ht="8" customHeight="1" x14ac:dyDescent="0.45"/>
    <row r="6" spans="1:18" ht="26" customHeight="1" x14ac:dyDescent="0.45">
      <c r="B6" s="62" t="str" cm="1">
        <f t="array" aca="1" ref="B6" ca="1">IF(ISNUMBER(_xll.VoseSimMean(PeakFunding)),"✔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63"/>
      <c r="D6" s="63"/>
      <c r="E6" s="63"/>
      <c r="F6" s="63"/>
      <c r="G6" s="63"/>
    </row>
    <row r="7" spans="1:18" x14ac:dyDescent="0.45">
      <c r="B7" s="64" t="str">
        <f ca="1">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220</v>
      </c>
      <c r="C9" s="8"/>
      <c r="D9" s="8"/>
      <c r="E9" s="8"/>
      <c r="F9" s="8"/>
      <c r="G9" s="8"/>
      <c r="I9" s="58" t="s">
        <v>221</v>
      </c>
      <c r="J9" s="8"/>
      <c r="K9" s="8"/>
      <c r="L9" s="8"/>
      <c r="M9" s="8"/>
      <c r="N9" s="8"/>
      <c r="O9" s="8"/>
      <c r="P9" s="8"/>
      <c r="Q9" s="8"/>
      <c r="R9" s="8"/>
    </row>
    <row r="10" spans="1:18" ht="18" customHeight="1" x14ac:dyDescent="0.45">
      <c r="B10" s="13" t="s">
        <v>222</v>
      </c>
    </row>
    <row r="11" spans="1:18" ht="18" customHeight="1" x14ac:dyDescent="0.45">
      <c r="B11" s="23" t="s">
        <v>223</v>
      </c>
      <c r="C11" s="23" t="s">
        <v>99</v>
      </c>
      <c r="D11" s="24" t="s">
        <v>166</v>
      </c>
      <c r="E11" s="5"/>
      <c r="F11" s="5"/>
      <c r="G11" s="5"/>
    </row>
    <row r="12" spans="1:18" x14ac:dyDescent="0.45">
      <c r="B12" s="65" t="s">
        <v>224</v>
      </c>
      <c r="C12" s="26" t="s">
        <v>104</v>
      </c>
      <c r="D12" s="33">
        <f>Facility</f>
        <v>40</v>
      </c>
      <c r="E12" s="28"/>
      <c r="F12" s="28"/>
      <c r="G12" s="28"/>
    </row>
    <row r="13" spans="1:18" ht="22.05" customHeight="1" x14ac:dyDescent="0.45">
      <c r="B13" s="54" t="s">
        <v>225</v>
      </c>
      <c r="C13" s="26" t="s">
        <v>104</v>
      </c>
      <c r="D13" s="66" cm="1">
        <f t="array" aca="1" ref="D13" ca="1">_xll.VoseSimMean(PeakFunding)</f>
        <v>38.582077750645844</v>
      </c>
      <c r="E13" s="28"/>
      <c r="F13" s="28"/>
      <c r="G13" s="28"/>
    </row>
    <row r="14" spans="1:18" x14ac:dyDescent="0.45">
      <c r="B14" s="54" t="s">
        <v>226</v>
      </c>
      <c r="C14" s="26" t="s">
        <v>115</v>
      </c>
      <c r="D14" s="67" cm="1">
        <f t="array" aca="1" ref="D14" ca="1">_xll.VoseSimMean(OverFacility)</f>
        <v>0.25159999999999999</v>
      </c>
      <c r="E14" s="28"/>
      <c r="F14" s="28"/>
      <c r="G14" s="28"/>
    </row>
    <row r="15" spans="1:18" x14ac:dyDescent="0.45">
      <c r="B15" s="25" t="s">
        <v>227</v>
      </c>
      <c r="C15" s="26" t="s">
        <v>149</v>
      </c>
      <c r="D15" s="68" cm="1">
        <f t="array" aca="1" ref="D15" ca="1">_xll.VoseSimPercentile(PeakMonth,0.5)</f>
        <v>30</v>
      </c>
      <c r="E15" s="28"/>
      <c r="F15" s="28"/>
      <c r="G15" s="28"/>
    </row>
    <row r="16" spans="1:18" ht="8" customHeight="1" x14ac:dyDescent="0.45"/>
    <row r="17" spans="2:18" ht="22.05" customHeight="1" x14ac:dyDescent="0.5">
      <c r="B17" s="7" t="s">
        <v>228</v>
      </c>
      <c r="C17" s="8"/>
      <c r="D17" s="8"/>
      <c r="E17" s="8"/>
      <c r="F17" s="8"/>
      <c r="G17" s="8"/>
    </row>
    <row r="18" spans="2:18" ht="18" customHeight="1" x14ac:dyDescent="0.45">
      <c r="B18" s="13" t="s">
        <v>229</v>
      </c>
    </row>
    <row r="19" spans="2:18" ht="18" customHeight="1" x14ac:dyDescent="0.45">
      <c r="B19" s="23" t="s">
        <v>223</v>
      </c>
      <c r="C19" s="23" t="s">
        <v>99</v>
      </c>
      <c r="D19" s="24" t="s">
        <v>166</v>
      </c>
      <c r="E19" s="5"/>
      <c r="F19" s="5"/>
      <c r="G19" s="5"/>
    </row>
    <row r="20" spans="2:18" x14ac:dyDescent="0.45">
      <c r="B20" s="25" t="s">
        <v>230</v>
      </c>
      <c r="C20" s="26" t="s">
        <v>104</v>
      </c>
      <c r="D20" s="69" cm="1">
        <f t="array" aca="1" ref="D20" ca="1">_xll.VoseSimPercentile(PeakFunding,0.5)</f>
        <v>38.407828073562825</v>
      </c>
      <c r="E20" s="28"/>
      <c r="F20" s="28"/>
      <c r="G20" s="28"/>
    </row>
    <row r="21" spans="2:18" x14ac:dyDescent="0.45">
      <c r="B21" s="25" t="s">
        <v>231</v>
      </c>
      <c r="C21" s="26" t="s">
        <v>104</v>
      </c>
      <c r="D21" s="69" cm="1">
        <f t="array" aca="1" ref="D21" ca="1">_xll.VoseSimPercentile(PeakFunding,0.8)</f>
        <v>40.408486253776331</v>
      </c>
      <c r="E21" s="28"/>
      <c r="F21" s="28"/>
      <c r="G21" s="28"/>
    </row>
    <row r="22" spans="2:18" x14ac:dyDescent="0.45">
      <c r="B22" s="25" t="s">
        <v>232</v>
      </c>
      <c r="C22" s="26" t="s">
        <v>104</v>
      </c>
      <c r="D22" s="69" cm="1">
        <f t="array" aca="1" ref="D22" ca="1">_xll.VoseSimPercentile(PeakFunding,0.9)</f>
        <v>41.512598379360654</v>
      </c>
      <c r="E22" s="28"/>
      <c r="F22" s="28"/>
      <c r="G22" s="28"/>
    </row>
    <row r="23" spans="2:18" x14ac:dyDescent="0.45">
      <c r="B23" s="25" t="s">
        <v>233</v>
      </c>
      <c r="C23" s="26" t="s">
        <v>104</v>
      </c>
      <c r="D23" s="69" cm="1">
        <f t="array" aca="1" ref="D23" ca="1">_xll.VoseSimPercentile(PeakFunding,0.95)</f>
        <v>42.294964013274779</v>
      </c>
      <c r="E23" s="28"/>
      <c r="F23" s="28"/>
      <c r="G23" s="28"/>
    </row>
    <row r="24" spans="2:18" x14ac:dyDescent="0.45">
      <c r="B24" s="25" t="s">
        <v>234</v>
      </c>
      <c r="C24" s="26" t="s">
        <v>104</v>
      </c>
      <c r="D24" s="69" cm="1">
        <f t="array" aca="1" ref="D24" ca="1">_xll.VoseSimPercentile(PeakFunding,0.99)</f>
        <v>43.666844592220635</v>
      </c>
      <c r="E24" s="28"/>
      <c r="F24" s="28"/>
      <c r="G24" s="28"/>
    </row>
    <row r="25" spans="2:18" x14ac:dyDescent="0.45">
      <c r="B25" s="54" t="str">
        <f>"For the "&amp;TEXT(Confidence,"0%")&amp;" the bank requires  (Inputs sheet)"</f>
        <v>For the 90% the bank requires  (Inputs sheet)</v>
      </c>
      <c r="C25" s="26" t="s">
        <v>104</v>
      </c>
      <c r="D25" s="69" cm="1">
        <f t="array" aca="1" ref="D25" ca="1">_xll.VoseSimPercentile(PeakFunding,Confidence)</f>
        <v>41.512598379360654</v>
      </c>
      <c r="E25" s="28"/>
      <c r="F25" s="28"/>
      <c r="G25" s="28"/>
      <c r="I25" s="58" t="s">
        <v>235</v>
      </c>
      <c r="J25" s="8"/>
      <c r="K25" s="8"/>
      <c r="L25" s="8"/>
      <c r="M25" s="8"/>
      <c r="N25" s="8"/>
      <c r="O25" s="8"/>
      <c r="P25" s="8"/>
      <c r="Q25" s="8"/>
      <c r="R25" s="8"/>
    </row>
    <row r="26" spans="2:18" x14ac:dyDescent="0.45">
      <c r="B26" s="25" t="str">
        <f>"Is the facility enough at "&amp;TEXT(Confidence,"0%")&amp;" confidence?"</f>
        <v>Is the facility enough at 90% confidence?</v>
      </c>
      <c r="C26" s="28"/>
      <c r="D26" s="54" t="str">
        <f ca="1">IF(ISNUMBER(D25),IF(D25&lt;=Facility,"Yes: it covers that peak","No: that peak is above it"),"–")</f>
        <v>No: that peak is above it</v>
      </c>
      <c r="E26" s="28"/>
      <c r="F26" s="28"/>
      <c r="G26" s="28"/>
    </row>
    <row r="27" spans="2:18" ht="8" customHeight="1" x14ac:dyDescent="0.45"/>
    <row r="28" spans="2:18" ht="22.05" customHeight="1" x14ac:dyDescent="0.5">
      <c r="B28" s="7" t="s">
        <v>236</v>
      </c>
      <c r="C28" s="8"/>
      <c r="D28" s="8"/>
      <c r="E28" s="8"/>
      <c r="F28" s="8"/>
      <c r="G28" s="8"/>
    </row>
    <row r="29" spans="2:18" ht="18" customHeight="1" x14ac:dyDescent="0.45">
      <c r="B29" s="13" t="s">
        <v>237</v>
      </c>
    </row>
    <row r="30" spans="2:18" ht="18" customHeight="1" x14ac:dyDescent="0.45">
      <c r="B30" s="23" t="s">
        <v>223</v>
      </c>
      <c r="C30" s="23" t="s">
        <v>99</v>
      </c>
      <c r="D30" s="24" t="s">
        <v>238</v>
      </c>
      <c r="E30" s="24" t="s">
        <v>239</v>
      </c>
      <c r="F30" s="24" t="s">
        <v>240</v>
      </c>
      <c r="G30" s="24" t="s">
        <v>122</v>
      </c>
    </row>
    <row r="31" spans="2:18" x14ac:dyDescent="0.45">
      <c r="B31" s="25" t="s">
        <v>209</v>
      </c>
      <c r="C31" s="26" t="s">
        <v>104</v>
      </c>
      <c r="D31" s="69" cm="1">
        <f t="array" aca="1" ref="D31" ca="1">_xll.VoseSimPercentile(Profit,0.1)</f>
        <v>4.5106783250897582</v>
      </c>
      <c r="E31" s="69" cm="1">
        <f t="array" aca="1" ref="E31" ca="1">_xll.VoseSimPercentile(Profit,0.5)</f>
        <v>8.975428643969849</v>
      </c>
      <c r="F31" s="69" cm="1">
        <f t="array" aca="1" ref="F31" ca="1">_xll.VoseSimPercentile(Profit,0.9)</f>
        <v>13.388727124374569</v>
      </c>
      <c r="G31" s="69" cm="1">
        <f t="array" aca="1" ref="G31" ca="1">_xll.VoseSimMean(Profit)</f>
        <v>8.9525732145140058</v>
      </c>
    </row>
    <row r="32" spans="2:18" x14ac:dyDescent="0.45">
      <c r="B32" s="25" t="s">
        <v>211</v>
      </c>
      <c r="C32" s="26"/>
      <c r="D32" s="67" cm="1">
        <f t="array" aca="1" ref="D32" ca="1">_xll.VoseSimPercentile(ProfitOnCost,0.1)</f>
        <v>7.2121848430914792E-2</v>
      </c>
      <c r="E32" s="67" cm="1">
        <f t="array" aca="1" ref="E32" ca="1">_xll.VoseSimPercentile(ProfitOnCost,0.5)</f>
        <v>0.14831560122615917</v>
      </c>
      <c r="F32" s="67" cm="1">
        <f t="array" aca="1" ref="F32" ca="1">_xll.VoseSimPercentile(ProfitOnCost,0.9)</f>
        <v>0.22665230959629437</v>
      </c>
      <c r="G32" s="67" cm="1">
        <f t="array" aca="1" ref="G32" ca="1">_xll.VoseSimMean(ProfitOnCost)</f>
        <v>0.14910836736216376</v>
      </c>
    </row>
    <row r="33" spans="2:18" x14ac:dyDescent="0.45">
      <c r="B33" s="25" t="s">
        <v>208</v>
      </c>
      <c r="C33" s="26" t="s">
        <v>104</v>
      </c>
      <c r="D33" s="70" cm="1">
        <f t="array" aca="1" ref="D33" ca="1">_xll.VoseSimPercentile(TotalInterest,0.1)</f>
        <v>2.9161180798260324</v>
      </c>
      <c r="E33" s="70" cm="1">
        <f t="array" aca="1" ref="E33" ca="1">_xll.VoseSimPercentile(TotalInterest,0.5)</f>
        <v>3.2607777289426245</v>
      </c>
      <c r="F33" s="70" cm="1">
        <f t="array" aca="1" ref="F33" ca="1">_xll.VoseSimPercentile(TotalInterest,0.9)</f>
        <v>3.6602949116165324</v>
      </c>
      <c r="G33" s="70" cm="1">
        <f t="array" aca="1" ref="G33" ca="1">_xll.VoseSimMean(TotalInterest)</f>
        <v>3.2773412467521217</v>
      </c>
    </row>
    <row r="34" spans="2:18" x14ac:dyDescent="0.45">
      <c r="B34" s="25" t="s">
        <v>241</v>
      </c>
      <c r="C34" s="26" t="s">
        <v>115</v>
      </c>
      <c r="D34" s="28"/>
      <c r="E34" s="28"/>
      <c r="F34" s="28"/>
      <c r="G34" s="67" cm="1">
        <f t="array" aca="1" ref="G34" ca="1">_xll.VoseSimProbability(Profit,0)</f>
        <v>2.4997500249975004E-3</v>
      </c>
    </row>
    <row r="35" spans="2:18" ht="8" customHeight="1" x14ac:dyDescent="0.45"/>
    <row r="41" spans="2:18" ht="22.05" customHeight="1" x14ac:dyDescent="0.5">
      <c r="B41" s="7" t="s">
        <v>242</v>
      </c>
      <c r="C41" s="8"/>
      <c r="D41" s="8"/>
      <c r="E41" s="8"/>
      <c r="F41" s="8"/>
      <c r="G41" s="8"/>
      <c r="I41" s="58" t="s">
        <v>243</v>
      </c>
      <c r="J41" s="8"/>
      <c r="K41" s="8"/>
      <c r="L41" s="8"/>
      <c r="M41" s="8"/>
      <c r="N41" s="8"/>
      <c r="O41" s="8"/>
      <c r="P41" s="8"/>
      <c r="Q41" s="8"/>
      <c r="R41" s="8"/>
    </row>
    <row r="42" spans="2:18" ht="18" customHeight="1" x14ac:dyDescent="0.45">
      <c r="B42" s="13" t="s">
        <v>244</v>
      </c>
    </row>
    <row r="43" spans="2:18" ht="18" customHeight="1" x14ac:dyDescent="0.45">
      <c r="B43" s="23" t="s">
        <v>245</v>
      </c>
      <c r="C43" s="24" t="s">
        <v>246</v>
      </c>
      <c r="D43" s="24" t="s">
        <v>247</v>
      </c>
      <c r="E43" s="71" t="s">
        <v>248</v>
      </c>
      <c r="F43" s="5"/>
      <c r="G43" s="5"/>
    </row>
    <row r="44" spans="2:18" x14ac:dyDescent="0.45">
      <c r="B44" s="25" t="str">
        <f t="array" aca="1" ref="B44:E47" ca="1">_xll.VoseSimSensitivityMean(PeakFunding,10,1,FALSE)</f>
        <v>Construction cost</v>
      </c>
      <c r="C44" s="70">
        <f ca="1"/>
        <v>35.553024542978825</v>
      </c>
      <c r="D44" s="70">
        <f ca="1"/>
        <v>42.340851514280857</v>
      </c>
      <c r="E44" s="72">
        <f ca="1"/>
        <v>1</v>
      </c>
      <c r="F44" s="28"/>
      <c r="G44" s="28"/>
    </row>
    <row r="45" spans="2:18" x14ac:dyDescent="0.45">
      <c r="B45" s="25" t="str">
        <f ca="1"/>
        <v>Off-plan sales pace</v>
      </c>
      <c r="C45" s="70">
        <f ca="1"/>
        <v>38.180515810801701</v>
      </c>
      <c r="D45" s="70">
        <f ca="1"/>
        <v>39.793864241501005</v>
      </c>
      <c r="E45" s="72">
        <f ca="1"/>
        <v>2</v>
      </c>
      <c r="F45" s="28"/>
      <c r="G45" s="28"/>
    </row>
    <row r="46" spans="2:18" x14ac:dyDescent="0.45">
      <c r="B46" s="25" t="str">
        <f ca="1"/>
        <v>Construction duration</v>
      </c>
      <c r="C46" s="70">
        <f ca="1"/>
        <v>38.042579514266059</v>
      </c>
      <c r="D46" s="70">
        <f ca="1"/>
        <v>39.219906917855248</v>
      </c>
      <c r="E46" s="72">
        <f ca="1"/>
        <v>3</v>
      </c>
      <c r="F46" s="28"/>
      <c r="G46" s="28"/>
    </row>
    <row r="47" spans="2:18" x14ac:dyDescent="0.45">
      <c r="B47" s="25" t="str">
        <f ca="1"/>
        <v>Market price factor</v>
      </c>
      <c r="C47" s="70">
        <f ca="1"/>
        <v>37.973137330628866</v>
      </c>
      <c r="D47" s="70">
        <f ca="1"/>
        <v>39.080876428967159</v>
      </c>
      <c r="E47" s="72">
        <f ca="1"/>
        <v>4</v>
      </c>
      <c r="F47" s="28"/>
      <c r="G47" s="28"/>
    </row>
    <row r="55" spans="2:18" ht="22.05" customHeight="1" x14ac:dyDescent="0.5">
      <c r="B55" s="7" t="s">
        <v>249</v>
      </c>
      <c r="C55" s="8"/>
      <c r="D55" s="8"/>
      <c r="E55" s="8"/>
      <c r="F55" s="8"/>
      <c r="G55" s="8"/>
      <c r="I55" s="58" t="s">
        <v>250</v>
      </c>
      <c r="J55" s="8"/>
      <c r="K55" s="8"/>
      <c r="L55" s="8"/>
      <c r="M55" s="8"/>
      <c r="N55" s="8"/>
      <c r="O55" s="8"/>
      <c r="P55" s="8"/>
      <c r="Q55" s="8"/>
      <c r="R55" s="8"/>
    </row>
    <row r="56" spans="2:18" ht="18" customHeight="1" x14ac:dyDescent="0.45">
      <c r="B56" s="13" t="s">
        <v>251</v>
      </c>
    </row>
    <row r="57" spans="2:18" ht="18" customHeight="1" x14ac:dyDescent="0.45">
      <c r="B57" s="23" t="s">
        <v>245</v>
      </c>
      <c r="C57" s="24" t="s">
        <v>246</v>
      </c>
      <c r="D57" s="24" t="s">
        <v>247</v>
      </c>
      <c r="E57" s="71" t="s">
        <v>248</v>
      </c>
      <c r="F57" s="5"/>
      <c r="G57" s="5"/>
    </row>
    <row r="58" spans="2:18" x14ac:dyDescent="0.45">
      <c r="B58" s="25" t="str">
        <f t="array" aca="1" ref="B58:E61" ca="1">_xll.VoseSimSensitivityMean(Profit,10,1,FALSE)</f>
        <v>Market price factor</v>
      </c>
      <c r="C58" s="70">
        <f ca="1"/>
        <v>4.396798454106035</v>
      </c>
      <c r="D58" s="70">
        <f ca="1"/>
        <v>13.592553575232252</v>
      </c>
      <c r="E58" s="72">
        <f ca="1"/>
        <v>1</v>
      </c>
      <c r="F58" s="28"/>
      <c r="G58" s="28"/>
    </row>
    <row r="59" spans="2:18" x14ac:dyDescent="0.45">
      <c r="B59" s="25" t="str">
        <f ca="1"/>
        <v>Construction cost</v>
      </c>
      <c r="C59" s="70">
        <f ca="1"/>
        <v>5.1653124855644617</v>
      </c>
      <c r="D59" s="70">
        <f ca="1"/>
        <v>12.055909345051614</v>
      </c>
      <c r="E59" s="72">
        <f ca="1"/>
        <v>2</v>
      </c>
      <c r="F59" s="28"/>
      <c r="G59" s="28"/>
    </row>
    <row r="60" spans="2:18" x14ac:dyDescent="0.45">
      <c r="B60" s="25" t="str">
        <f ca="1"/>
        <v>Construction duration</v>
      </c>
      <c r="C60" s="70">
        <f ca="1"/>
        <v>8.2369181632153801</v>
      </c>
      <c r="D60" s="70">
        <f ca="1"/>
        <v>9.6879600701248449</v>
      </c>
      <c r="E60" s="72">
        <f ca="1"/>
        <v>3</v>
      </c>
      <c r="F60" s="28"/>
      <c r="G60" s="28"/>
    </row>
    <row r="61" spans="2:18" x14ac:dyDescent="0.45">
      <c r="B61" s="25" t="str">
        <f ca="1"/>
        <v>Off-plan sales pace</v>
      </c>
      <c r="C61" s="70">
        <f ca="1"/>
        <v>8.1868866648947556</v>
      </c>
      <c r="D61" s="70">
        <f ca="1"/>
        <v>9.3015287929135066</v>
      </c>
      <c r="E61" s="72">
        <f ca="1"/>
        <v>4</v>
      </c>
      <c r="F61" s="28"/>
      <c r="G61" s="28"/>
    </row>
    <row r="69" spans="2:7" ht="22.05" customHeight="1" x14ac:dyDescent="0.5">
      <c r="B69" s="7" t="s">
        <v>252</v>
      </c>
      <c r="C69" s="8"/>
      <c r="D69" s="8"/>
      <c r="E69" s="8"/>
      <c r="F69" s="8"/>
      <c r="G69" s="8"/>
    </row>
    <row r="70" spans="2:7" ht="32" customHeight="1" x14ac:dyDescent="0.45">
      <c r="B70" s="81" t="s">
        <v>253</v>
      </c>
      <c r="C70" s="80"/>
      <c r="D70" s="80"/>
      <c r="E70" s="80"/>
      <c r="F70" s="80"/>
      <c r="G70" s="80"/>
    </row>
    <row r="71" spans="2:7" ht="32" customHeight="1" x14ac:dyDescent="0.45">
      <c r="B71" s="81" t="s">
        <v>254</v>
      </c>
      <c r="C71" s="80"/>
      <c r="D71" s="80"/>
      <c r="E71" s="80"/>
      <c r="F71" s="80"/>
      <c r="G71" s="80"/>
    </row>
    <row r="72" spans="2:7" ht="32" customHeight="1" x14ac:dyDescent="0.45">
      <c r="B72" s="81" t="s">
        <v>255</v>
      </c>
      <c r="C72" s="80"/>
      <c r="D72" s="80"/>
      <c r="E72" s="80"/>
      <c r="F72" s="80"/>
      <c r="G72" s="80"/>
    </row>
    <row r="73" spans="2:7" ht="32" customHeight="1" x14ac:dyDescent="0.45">
      <c r="B73" s="81" t="s">
        <v>256</v>
      </c>
      <c r="C73" s="80"/>
      <c r="D73" s="80"/>
      <c r="E73" s="80"/>
      <c r="F73" s="80"/>
      <c r="G73" s="80"/>
    </row>
    <row r="74" spans="2:7" ht="14" customHeight="1" x14ac:dyDescent="0.45"/>
    <row r="75" spans="2:7" ht="14" customHeight="1" x14ac:dyDescent="0.45"/>
    <row r="76" spans="2:7" ht="22.05" customHeight="1" x14ac:dyDescent="0.5">
      <c r="B76" s="7" t="s">
        <v>257</v>
      </c>
      <c r="C76" s="8"/>
      <c r="D76" s="8"/>
      <c r="E76" s="8"/>
      <c r="F76" s="8"/>
      <c r="G76" s="8"/>
    </row>
    <row r="77" spans="2:7" ht="18" customHeight="1" x14ac:dyDescent="0.45">
      <c r="B77" s="13" t="s">
        <v>258</v>
      </c>
    </row>
    <row r="78" spans="2:7" ht="28.05" hidden="1" customHeight="1" outlineLevel="1" x14ac:dyDescent="0.45">
      <c r="B78" s="24" t="s">
        <v>259</v>
      </c>
      <c r="C78" s="24" t="s">
        <v>260</v>
      </c>
      <c r="D78" s="24" t="s">
        <v>261</v>
      </c>
      <c r="E78" s="5"/>
      <c r="F78" s="5"/>
      <c r="G78" s="5"/>
    </row>
    <row r="79" spans="2:7" hidden="1" outlineLevel="1" x14ac:dyDescent="0.45">
      <c r="B79" s="73">
        <v>0.01</v>
      </c>
      <c r="C79" s="73">
        <f t="shared" ref="C79:C110" si="0">1-B79</f>
        <v>0.99</v>
      </c>
      <c r="D79" s="74" cm="1">
        <f t="array" aca="1" ref="D79" ca="1">IF(ISNUMBER(_xll.VoseSimPercentile(PeakFunding,$B79)),_xll.VoseSimPercentile(PeakFunding,$B79),NA())</f>
        <v>34.641710118374839</v>
      </c>
    </row>
    <row r="80" spans="2:7" hidden="1" outlineLevel="1" x14ac:dyDescent="0.45">
      <c r="B80" s="73">
        <v>0.03</v>
      </c>
      <c r="C80" s="73">
        <f t="shared" si="0"/>
        <v>0.97</v>
      </c>
      <c r="D80" s="74" cm="1">
        <f t="array" aca="1" ref="D80" ca="1">IF(ISNUMBER(_xll.VoseSimPercentile(PeakFunding,$B80)),_xll.VoseSimPercentile(PeakFunding,$B80),NA())</f>
        <v>35.104230791035285</v>
      </c>
    </row>
    <row r="81" spans="2:4" hidden="1" outlineLevel="1" x14ac:dyDescent="0.45">
      <c r="B81" s="73">
        <v>0.05</v>
      </c>
      <c r="C81" s="73">
        <f t="shared" si="0"/>
        <v>0.95</v>
      </c>
      <c r="D81" s="74" cm="1">
        <f t="array" aca="1" ref="D81" ca="1">IF(ISNUMBER(_xll.VoseSimPercentile(PeakFunding,$B81)),_xll.VoseSimPercentile(PeakFunding,$B81),NA())</f>
        <v>35.395816146761675</v>
      </c>
    </row>
    <row r="82" spans="2:4" hidden="1" outlineLevel="1" x14ac:dyDescent="0.45">
      <c r="B82" s="73">
        <v>7.0000000000000007E-2</v>
      </c>
      <c r="C82" s="73">
        <f t="shared" si="0"/>
        <v>0.92999999999999994</v>
      </c>
      <c r="D82" s="74" cm="1">
        <f t="array" aca="1" ref="D82" ca="1">IF(ISNUMBER(_xll.VoseSimPercentile(PeakFunding,$B82)),_xll.VoseSimPercentile(PeakFunding,$B82),NA())</f>
        <v>35.629793352186915</v>
      </c>
    </row>
    <row r="83" spans="2:4" hidden="1" outlineLevel="1" x14ac:dyDescent="0.45">
      <c r="B83" s="73">
        <v>0.09</v>
      </c>
      <c r="C83" s="73">
        <f t="shared" si="0"/>
        <v>0.91</v>
      </c>
      <c r="D83" s="74" cm="1">
        <f t="array" aca="1" ref="D83" ca="1">IF(ISNUMBER(_xll.VoseSimPercentile(PeakFunding,$B83)),_xll.VoseSimPercentile(PeakFunding,$B83),NA())</f>
        <v>35.838275695840807</v>
      </c>
    </row>
    <row r="84" spans="2:4" hidden="1" outlineLevel="1" x14ac:dyDescent="0.45">
      <c r="B84" s="73">
        <v>0.11</v>
      </c>
      <c r="C84" s="73">
        <f t="shared" si="0"/>
        <v>0.89</v>
      </c>
      <c r="D84" s="74" cm="1">
        <f t="array" aca="1" ref="D84" ca="1">IF(ISNUMBER(_xll.VoseSimPercentile(PeakFunding,$B84)),_xll.VoseSimPercentile(PeakFunding,$B84),NA())</f>
        <v>36.018644563434918</v>
      </c>
    </row>
    <row r="85" spans="2:4" hidden="1" outlineLevel="1" x14ac:dyDescent="0.45">
      <c r="B85" s="73">
        <v>0.13</v>
      </c>
      <c r="C85" s="73">
        <f t="shared" si="0"/>
        <v>0.87</v>
      </c>
      <c r="D85" s="74" cm="1">
        <f t="array" aca="1" ref="D85" ca="1">IF(ISNUMBER(_xll.VoseSimPercentile(PeakFunding,$B85)),_xll.VoseSimPercentile(PeakFunding,$B85),NA())</f>
        <v>36.178740975340673</v>
      </c>
    </row>
    <row r="86" spans="2:4" hidden="1" outlineLevel="1" x14ac:dyDescent="0.45">
      <c r="B86" s="73">
        <v>0.15</v>
      </c>
      <c r="C86" s="73">
        <f t="shared" si="0"/>
        <v>0.85</v>
      </c>
      <c r="D86" s="74" cm="1">
        <f t="array" aca="1" ref="D86" ca="1">IF(ISNUMBER(_xll.VoseSimPercentile(PeakFunding,$B86)),_xll.VoseSimPercentile(PeakFunding,$B86),NA())</f>
        <v>36.328973466379864</v>
      </c>
    </row>
    <row r="87" spans="2:4" hidden="1" outlineLevel="1" x14ac:dyDescent="0.45">
      <c r="B87" s="73">
        <v>0.17</v>
      </c>
      <c r="C87" s="73">
        <f t="shared" si="0"/>
        <v>0.83</v>
      </c>
      <c r="D87" s="74" cm="1">
        <f t="array" aca="1" ref="D87" ca="1">IF(ISNUMBER(_xll.VoseSimPercentile(PeakFunding,$B87)),_xll.VoseSimPercentile(PeakFunding,$B87),NA())</f>
        <v>36.471950266527962</v>
      </c>
    </row>
    <row r="88" spans="2:4" hidden="1" outlineLevel="1" x14ac:dyDescent="0.45">
      <c r="B88" s="73">
        <v>0.19</v>
      </c>
      <c r="C88" s="73">
        <f t="shared" si="0"/>
        <v>0.81</v>
      </c>
      <c r="D88" s="74" cm="1">
        <f t="array" aca="1" ref="D88" ca="1">IF(ISNUMBER(_xll.VoseSimPercentile(PeakFunding,$B88)),_xll.VoseSimPercentile(PeakFunding,$B88),NA())</f>
        <v>36.608984176012811</v>
      </c>
    </row>
    <row r="89" spans="2:4" hidden="1" outlineLevel="1" x14ac:dyDescent="0.45">
      <c r="B89" s="73">
        <v>0.21</v>
      </c>
      <c r="C89" s="73">
        <f t="shared" si="0"/>
        <v>0.79</v>
      </c>
      <c r="D89" s="74" cm="1">
        <f t="array" aca="1" ref="D89" ca="1">IF(ISNUMBER(_xll.VoseSimPercentile(PeakFunding,$B89)),_xll.VoseSimPercentile(PeakFunding,$B89),NA())</f>
        <v>36.736160744384819</v>
      </c>
    </row>
    <row r="90" spans="2:4" hidden="1" outlineLevel="1" x14ac:dyDescent="0.45">
      <c r="B90" s="73">
        <v>0.23</v>
      </c>
      <c r="C90" s="73">
        <f t="shared" si="0"/>
        <v>0.77</v>
      </c>
      <c r="D90" s="74" cm="1">
        <f t="array" aca="1" ref="D90" ca="1">IF(ISNUMBER(_xll.VoseSimPercentile(PeakFunding,$B90)),_xll.VoseSimPercentile(PeakFunding,$B90),NA())</f>
        <v>36.877325850810301</v>
      </c>
    </row>
    <row r="91" spans="2:4" hidden="1" outlineLevel="1" x14ac:dyDescent="0.45">
      <c r="B91" s="73">
        <v>0.25</v>
      </c>
      <c r="C91" s="73">
        <f t="shared" si="0"/>
        <v>0.75</v>
      </c>
      <c r="D91" s="74" cm="1">
        <f t="array" aca="1" ref="D91" ca="1">IF(ISNUMBER(_xll.VoseSimPercentile(PeakFunding,$B91)),_xll.VoseSimPercentile(PeakFunding,$B91),NA())</f>
        <v>36.995744905491655</v>
      </c>
    </row>
    <row r="92" spans="2:4" hidden="1" outlineLevel="1" x14ac:dyDescent="0.45">
      <c r="B92" s="73">
        <v>0.27</v>
      </c>
      <c r="C92" s="73">
        <f t="shared" si="0"/>
        <v>0.73</v>
      </c>
      <c r="D92" s="74" cm="1">
        <f t="array" aca="1" ref="D92" ca="1">IF(ISNUMBER(_xll.VoseSimPercentile(PeakFunding,$B92)),_xll.VoseSimPercentile(PeakFunding,$B92),NA())</f>
        <v>37.127942607989354</v>
      </c>
    </row>
    <row r="93" spans="2:4" hidden="1" outlineLevel="1" x14ac:dyDescent="0.45">
      <c r="B93" s="73">
        <v>0.28999999999999998</v>
      </c>
      <c r="C93" s="73">
        <f t="shared" si="0"/>
        <v>0.71</v>
      </c>
      <c r="D93" s="74" cm="1">
        <f t="array" aca="1" ref="D93" ca="1">IF(ISNUMBER(_xll.VoseSimPercentile(PeakFunding,$B93)),_xll.VoseSimPercentile(PeakFunding,$B93),NA())</f>
        <v>37.248915312054891</v>
      </c>
    </row>
    <row r="94" spans="2:4" hidden="1" outlineLevel="1" x14ac:dyDescent="0.45">
      <c r="B94" s="73">
        <v>0.31</v>
      </c>
      <c r="C94" s="73">
        <f t="shared" si="0"/>
        <v>0.69</v>
      </c>
      <c r="D94" s="74" cm="1">
        <f t="array" aca="1" ref="D94" ca="1">IF(ISNUMBER(_xll.VoseSimPercentile(PeakFunding,$B94)),_xll.VoseSimPercentile(PeakFunding,$B94),NA())</f>
        <v>37.363993166297888</v>
      </c>
    </row>
    <row r="95" spans="2:4" hidden="1" outlineLevel="1" x14ac:dyDescent="0.45">
      <c r="B95" s="73">
        <v>0.33</v>
      </c>
      <c r="C95" s="73">
        <f t="shared" si="0"/>
        <v>0.66999999999999993</v>
      </c>
      <c r="D95" s="74" cm="1">
        <f t="array" aca="1" ref="D95" ca="1">IF(ISNUMBER(_xll.VoseSimPercentile(PeakFunding,$B95)),_xll.VoseSimPercentile(PeakFunding,$B95),NA())</f>
        <v>37.485657408566851</v>
      </c>
    </row>
    <row r="96" spans="2:4" hidden="1" outlineLevel="1" x14ac:dyDescent="0.45">
      <c r="B96" s="73">
        <v>0.35</v>
      </c>
      <c r="C96" s="73">
        <f t="shared" si="0"/>
        <v>0.65</v>
      </c>
      <c r="D96" s="74" cm="1">
        <f t="array" aca="1" ref="D96" ca="1">IF(ISNUMBER(_xll.VoseSimPercentile(PeakFunding,$B96)),_xll.VoseSimPercentile(PeakFunding,$B96),NA())</f>
        <v>37.597205783951637</v>
      </c>
    </row>
    <row r="97" spans="2:4" hidden="1" outlineLevel="1" x14ac:dyDescent="0.45">
      <c r="B97" s="73">
        <v>0.37</v>
      </c>
      <c r="C97" s="73">
        <f t="shared" si="0"/>
        <v>0.63</v>
      </c>
      <c r="D97" s="74" cm="1">
        <f t="array" aca="1" ref="D97" ca="1">IF(ISNUMBER(_xll.VoseSimPercentile(PeakFunding,$B97)),_xll.VoseSimPercentile(PeakFunding,$B97),NA())</f>
        <v>37.713383918421492</v>
      </c>
    </row>
    <row r="98" spans="2:4" hidden="1" outlineLevel="1" x14ac:dyDescent="0.45">
      <c r="B98" s="73">
        <v>0.39</v>
      </c>
      <c r="C98" s="73">
        <f t="shared" si="0"/>
        <v>0.61</v>
      </c>
      <c r="D98" s="74" cm="1">
        <f t="array" aca="1" ref="D98" ca="1">IF(ISNUMBER(_xll.VoseSimPercentile(PeakFunding,$B98)),_xll.VoseSimPercentile(PeakFunding,$B98),NA())</f>
        <v>37.821459992924801</v>
      </c>
    </row>
    <row r="99" spans="2:4" hidden="1" outlineLevel="1" x14ac:dyDescent="0.45">
      <c r="B99" s="73">
        <v>0.41</v>
      </c>
      <c r="C99" s="73">
        <f t="shared" si="0"/>
        <v>0.59000000000000008</v>
      </c>
      <c r="D99" s="74" cm="1">
        <f t="array" aca="1" ref="D99" ca="1">IF(ISNUMBER(_xll.VoseSimPercentile(PeakFunding,$B99)),_xll.VoseSimPercentile(PeakFunding,$B99),NA())</f>
        <v>37.925624985345159</v>
      </c>
    </row>
    <row r="100" spans="2:4" hidden="1" outlineLevel="1" x14ac:dyDescent="0.45">
      <c r="B100" s="73">
        <v>0.43</v>
      </c>
      <c r="C100" s="73">
        <f t="shared" si="0"/>
        <v>0.57000000000000006</v>
      </c>
      <c r="D100" s="74" cm="1">
        <f t="array" aca="1" ref="D100" ca="1">IF(ISNUMBER(_xll.VoseSimPercentile(PeakFunding,$B100)),_xll.VoseSimPercentile(PeakFunding,$B100),NA())</f>
        <v>38.026502021041551</v>
      </c>
    </row>
    <row r="101" spans="2:4" hidden="1" outlineLevel="1" x14ac:dyDescent="0.45">
      <c r="B101" s="73">
        <v>0.45</v>
      </c>
      <c r="C101" s="73">
        <f t="shared" si="0"/>
        <v>0.55000000000000004</v>
      </c>
      <c r="D101" s="74" cm="1">
        <f t="array" aca="1" ref="D101" ca="1">IF(ISNUMBER(_xll.VoseSimPercentile(PeakFunding,$B101)),_xll.VoseSimPercentile(PeakFunding,$B101),NA())</f>
        <v>38.137165702164815</v>
      </c>
    </row>
    <row r="102" spans="2:4" hidden="1" outlineLevel="1" x14ac:dyDescent="0.45">
      <c r="B102" s="73">
        <v>0.47</v>
      </c>
      <c r="C102" s="73">
        <f t="shared" si="0"/>
        <v>0.53</v>
      </c>
      <c r="D102" s="74" cm="1">
        <f t="array" aca="1" ref="D102" ca="1">IF(ISNUMBER(_xll.VoseSimPercentile(PeakFunding,$B102)),_xll.VoseSimPercentile(PeakFunding,$B102),NA())</f>
        <v>38.243617190466246</v>
      </c>
    </row>
    <row r="103" spans="2:4" hidden="1" outlineLevel="1" x14ac:dyDescent="0.45">
      <c r="B103" s="73">
        <v>0.49</v>
      </c>
      <c r="C103" s="73">
        <f t="shared" si="0"/>
        <v>0.51</v>
      </c>
      <c r="D103" s="74" cm="1">
        <f t="array" aca="1" ref="D103" ca="1">IF(ISNUMBER(_xll.VoseSimPercentile(PeakFunding,$B103)),_xll.VoseSimPercentile(PeakFunding,$B103),NA())</f>
        <v>38.346658411574964</v>
      </c>
    </row>
    <row r="104" spans="2:4" hidden="1" outlineLevel="1" x14ac:dyDescent="0.45">
      <c r="B104" s="73">
        <v>0.51</v>
      </c>
      <c r="C104" s="73">
        <f t="shared" si="0"/>
        <v>0.49</v>
      </c>
      <c r="D104" s="74" cm="1">
        <f t="array" aca="1" ref="D104" ca="1">IF(ISNUMBER(_xll.VoseSimPercentile(PeakFunding,$B104)),_xll.VoseSimPercentile(PeakFunding,$B104),NA())</f>
        <v>38.468434371076064</v>
      </c>
    </row>
    <row r="105" spans="2:4" hidden="1" outlineLevel="1" x14ac:dyDescent="0.45">
      <c r="B105" s="73">
        <v>0.53</v>
      </c>
      <c r="C105" s="73">
        <f t="shared" si="0"/>
        <v>0.47</v>
      </c>
      <c r="D105" s="74" cm="1">
        <f t="array" aca="1" ref="D105" ca="1">IF(ISNUMBER(_xll.VoseSimPercentile(PeakFunding,$B105)),_xll.VoseSimPercentile(PeakFunding,$B105),NA())</f>
        <v>38.598125122480319</v>
      </c>
    </row>
    <row r="106" spans="2:4" hidden="1" outlineLevel="1" x14ac:dyDescent="0.45">
      <c r="B106" s="73">
        <v>0.55000000000000004</v>
      </c>
      <c r="C106" s="73">
        <f t="shared" si="0"/>
        <v>0.44999999999999996</v>
      </c>
      <c r="D106" s="74" cm="1">
        <f t="array" aca="1" ref="D106" ca="1">IF(ISNUMBER(_xll.VoseSimPercentile(PeakFunding,$B106)),_xll.VoseSimPercentile(PeakFunding,$B106),NA())</f>
        <v>38.701423997040024</v>
      </c>
    </row>
    <row r="107" spans="2:4" hidden="1" outlineLevel="1" x14ac:dyDescent="0.45">
      <c r="B107" s="73">
        <v>0.56999999999999995</v>
      </c>
      <c r="C107" s="73">
        <f t="shared" si="0"/>
        <v>0.43000000000000005</v>
      </c>
      <c r="D107" s="74" cm="1">
        <f t="array" aca="1" ref="D107" ca="1">IF(ISNUMBER(_xll.VoseSimPercentile(PeakFunding,$B107)),_xll.VoseSimPercentile(PeakFunding,$B107),NA())</f>
        <v>38.818117007188327</v>
      </c>
    </row>
    <row r="108" spans="2:4" hidden="1" outlineLevel="1" x14ac:dyDescent="0.45">
      <c r="B108" s="73">
        <v>0.59</v>
      </c>
      <c r="C108" s="73">
        <f t="shared" si="0"/>
        <v>0.41000000000000003</v>
      </c>
      <c r="D108" s="74" cm="1">
        <f t="array" aca="1" ref="D108" ca="1">IF(ISNUMBER(_xll.VoseSimPercentile(PeakFunding,$B108)),_xll.VoseSimPercentile(PeakFunding,$B108),NA())</f>
        <v>38.928551548206038</v>
      </c>
    </row>
    <row r="109" spans="2:4" hidden="1" outlineLevel="1" x14ac:dyDescent="0.45">
      <c r="B109" s="73">
        <v>0.61</v>
      </c>
      <c r="C109" s="73">
        <f t="shared" si="0"/>
        <v>0.39</v>
      </c>
      <c r="D109" s="74" cm="1">
        <f t="array" aca="1" ref="D109" ca="1">IF(ISNUMBER(_xll.VoseSimPercentile(PeakFunding,$B109)),_xll.VoseSimPercentile(PeakFunding,$B109),NA())</f>
        <v>39.066556775334256</v>
      </c>
    </row>
    <row r="110" spans="2:4" hidden="1" outlineLevel="1" x14ac:dyDescent="0.45">
      <c r="B110" s="73">
        <v>0.63</v>
      </c>
      <c r="C110" s="73">
        <f t="shared" si="0"/>
        <v>0.37</v>
      </c>
      <c r="D110" s="74" cm="1">
        <f t="array" aca="1" ref="D110" ca="1">IF(ISNUMBER(_xll.VoseSimPercentile(PeakFunding,$B110)),_xll.VoseSimPercentile(PeakFunding,$B110),NA())</f>
        <v>39.18286859859559</v>
      </c>
    </row>
    <row r="111" spans="2:4" hidden="1" outlineLevel="1" x14ac:dyDescent="0.45">
      <c r="B111" s="73">
        <v>0.65</v>
      </c>
      <c r="C111" s="73">
        <f t="shared" ref="C111:C142" si="1">1-B111</f>
        <v>0.35</v>
      </c>
      <c r="D111" s="74" cm="1">
        <f t="array" aca="1" ref="D111" ca="1">IF(ISNUMBER(_xll.VoseSimPercentile(PeakFunding,$B111)),_xll.VoseSimPercentile(PeakFunding,$B111),NA())</f>
        <v>39.325164189770177</v>
      </c>
    </row>
    <row r="112" spans="2:4" hidden="1" outlineLevel="1" x14ac:dyDescent="0.45">
      <c r="B112" s="73">
        <v>0.67</v>
      </c>
      <c r="C112" s="73">
        <f t="shared" si="1"/>
        <v>0.32999999999999996</v>
      </c>
      <c r="D112" s="74" cm="1">
        <f t="array" aca="1" ref="D112" ca="1">IF(ISNUMBER(_xll.VoseSimPercentile(PeakFunding,$B112)),_xll.VoseSimPercentile(PeakFunding,$B112),NA())</f>
        <v>39.466885970836358</v>
      </c>
    </row>
    <row r="113" spans="2:4" hidden="1" outlineLevel="1" x14ac:dyDescent="0.45">
      <c r="B113" s="73">
        <v>0.69</v>
      </c>
      <c r="C113" s="73">
        <f t="shared" si="1"/>
        <v>0.31000000000000005</v>
      </c>
      <c r="D113" s="74" cm="1">
        <f t="array" aca="1" ref="D113" ca="1">IF(ISNUMBER(_xll.VoseSimPercentile(PeakFunding,$B113)),_xll.VoseSimPercentile(PeakFunding,$B113),NA())</f>
        <v>39.604953532458197</v>
      </c>
    </row>
    <row r="114" spans="2:4" hidden="1" outlineLevel="1" x14ac:dyDescent="0.45">
      <c r="B114" s="73">
        <v>0.71</v>
      </c>
      <c r="C114" s="73">
        <f t="shared" si="1"/>
        <v>0.29000000000000004</v>
      </c>
      <c r="D114" s="74" cm="1">
        <f t="array" aca="1" ref="D114" ca="1">IF(ISNUMBER(_xll.VoseSimPercentile(PeakFunding,$B114)),_xll.VoseSimPercentile(PeakFunding,$B114),NA())</f>
        <v>39.731520978342424</v>
      </c>
    </row>
    <row r="115" spans="2:4" hidden="1" outlineLevel="1" x14ac:dyDescent="0.45">
      <c r="B115" s="73">
        <v>0.73</v>
      </c>
      <c r="C115" s="73">
        <f t="shared" si="1"/>
        <v>0.27</v>
      </c>
      <c r="D115" s="74" cm="1">
        <f t="array" aca="1" ref="D115" ca="1">IF(ISNUMBER(_xll.VoseSimPercentile(PeakFunding,$B115)),_xll.VoseSimPercentile(PeakFunding,$B115),NA())</f>
        <v>39.870169830124048</v>
      </c>
    </row>
    <row r="116" spans="2:4" hidden="1" outlineLevel="1" x14ac:dyDescent="0.45">
      <c r="B116" s="73">
        <v>0.75</v>
      </c>
      <c r="C116" s="73">
        <f t="shared" si="1"/>
        <v>0.25</v>
      </c>
      <c r="D116" s="74" cm="1">
        <f t="array" aca="1" ref="D116" ca="1">IF(ISNUMBER(_xll.VoseSimPercentile(PeakFunding,$B116)),_xll.VoseSimPercentile(PeakFunding,$B116),NA())</f>
        <v>40.009216365453504</v>
      </c>
    </row>
    <row r="117" spans="2:4" hidden="1" outlineLevel="1" x14ac:dyDescent="0.45">
      <c r="B117" s="73">
        <v>0.77</v>
      </c>
      <c r="C117" s="73">
        <f t="shared" si="1"/>
        <v>0.22999999999999998</v>
      </c>
      <c r="D117" s="74" cm="1">
        <f t="array" aca="1" ref="D117" ca="1">IF(ISNUMBER(_xll.VoseSimPercentile(PeakFunding,$B117)),_xll.VoseSimPercentile(PeakFunding,$B117),NA())</f>
        <v>40.179331044772105</v>
      </c>
    </row>
    <row r="118" spans="2:4" hidden="1" outlineLevel="1" x14ac:dyDescent="0.45">
      <c r="B118" s="73">
        <v>0.79</v>
      </c>
      <c r="C118" s="73">
        <f t="shared" si="1"/>
        <v>0.20999999999999996</v>
      </c>
      <c r="D118" s="74" cm="1">
        <f t="array" aca="1" ref="D118" ca="1">IF(ISNUMBER(_xll.VoseSimPercentile(PeakFunding,$B118)),_xll.VoseSimPercentile(PeakFunding,$B118),NA())</f>
        <v>40.324052104983338</v>
      </c>
    </row>
    <row r="119" spans="2:4" hidden="1" outlineLevel="1" x14ac:dyDescent="0.45">
      <c r="B119" s="73">
        <v>0.81</v>
      </c>
      <c r="C119" s="73">
        <f t="shared" si="1"/>
        <v>0.18999999999999995</v>
      </c>
      <c r="D119" s="74" cm="1">
        <f t="array" aca="1" ref="D119" ca="1">IF(ISNUMBER(_xll.VoseSimPercentile(PeakFunding,$B119)),_xll.VoseSimPercentile(PeakFunding,$B119),NA())</f>
        <v>40.485074724947005</v>
      </c>
    </row>
    <row r="120" spans="2:4" hidden="1" outlineLevel="1" x14ac:dyDescent="0.45">
      <c r="B120" s="73">
        <v>0.83</v>
      </c>
      <c r="C120" s="73">
        <f t="shared" si="1"/>
        <v>0.17000000000000004</v>
      </c>
      <c r="D120" s="74" cm="1">
        <f t="array" aca="1" ref="D120" ca="1">IF(ISNUMBER(_xll.VoseSimPercentile(PeakFunding,$B120)),_xll.VoseSimPercentile(PeakFunding,$B120),NA())</f>
        <v>40.670019143568297</v>
      </c>
    </row>
    <row r="121" spans="2:4" hidden="1" outlineLevel="1" x14ac:dyDescent="0.45">
      <c r="B121" s="73">
        <v>0.85</v>
      </c>
      <c r="C121" s="73">
        <f t="shared" si="1"/>
        <v>0.15000000000000002</v>
      </c>
      <c r="D121" s="74" cm="1">
        <f t="array" aca="1" ref="D121" ca="1">IF(ISNUMBER(_xll.VoseSimPercentile(PeakFunding,$B121)),_xll.VoseSimPercentile(PeakFunding,$B121),NA())</f>
        <v>40.898064622925979</v>
      </c>
    </row>
    <row r="122" spans="2:4" hidden="1" outlineLevel="1" x14ac:dyDescent="0.45">
      <c r="B122" s="73">
        <v>0.87</v>
      </c>
      <c r="C122" s="73">
        <f t="shared" si="1"/>
        <v>0.13</v>
      </c>
      <c r="D122" s="74" cm="1">
        <f t="array" aca="1" ref="D122" ca="1">IF(ISNUMBER(_xll.VoseSimPercentile(PeakFunding,$B122)),_xll.VoseSimPercentile(PeakFunding,$B122),NA())</f>
        <v>41.102991604457223</v>
      </c>
    </row>
    <row r="123" spans="2:4" hidden="1" outlineLevel="1" x14ac:dyDescent="0.45">
      <c r="B123" s="73">
        <v>0.89</v>
      </c>
      <c r="C123" s="73">
        <f t="shared" si="1"/>
        <v>0.10999999999999999</v>
      </c>
      <c r="D123" s="74" cm="1">
        <f t="array" aca="1" ref="D123" ca="1">IF(ISNUMBER(_xll.VoseSimPercentile(PeakFunding,$B123)),_xll.VoseSimPercentile(PeakFunding,$B123),NA())</f>
        <v>41.355676963312675</v>
      </c>
    </row>
    <row r="124" spans="2:4" hidden="1" outlineLevel="1" x14ac:dyDescent="0.45">
      <c r="B124" s="73">
        <v>0.91</v>
      </c>
      <c r="C124" s="73">
        <f t="shared" si="1"/>
        <v>8.9999999999999969E-2</v>
      </c>
      <c r="D124" s="74" cm="1">
        <f t="array" aca="1" ref="D124" ca="1">IF(ISNUMBER(_xll.VoseSimPercentile(PeakFunding,$B124)),_xll.VoseSimPercentile(PeakFunding,$B124),NA())</f>
        <v>41.63719874605237</v>
      </c>
    </row>
    <row r="125" spans="2:4" hidden="1" outlineLevel="1" x14ac:dyDescent="0.45">
      <c r="B125" s="73">
        <v>0.93</v>
      </c>
      <c r="C125" s="73">
        <f t="shared" si="1"/>
        <v>6.9999999999999951E-2</v>
      </c>
      <c r="D125" s="74" cm="1">
        <f t="array" aca="1" ref="D125" ca="1">IF(ISNUMBER(_xll.VoseSimPercentile(PeakFunding,$B125)),_xll.VoseSimPercentile(PeakFunding,$B125),NA())</f>
        <v>41.914349811926314</v>
      </c>
    </row>
    <row r="126" spans="2:4" hidden="1" outlineLevel="1" x14ac:dyDescent="0.45">
      <c r="B126" s="73">
        <v>0.95</v>
      </c>
      <c r="C126" s="73">
        <f t="shared" si="1"/>
        <v>5.0000000000000044E-2</v>
      </c>
      <c r="D126" s="74" cm="1">
        <f t="array" aca="1" ref="D126" ca="1">IF(ISNUMBER(_xll.VoseSimPercentile(PeakFunding,$B126)),_xll.VoseSimPercentile(PeakFunding,$B126),NA())</f>
        <v>42.294964013274779</v>
      </c>
    </row>
    <row r="127" spans="2:4" hidden="1" outlineLevel="1" x14ac:dyDescent="0.45">
      <c r="B127" s="73">
        <v>0.97</v>
      </c>
      <c r="C127" s="73">
        <f t="shared" si="1"/>
        <v>3.0000000000000027E-2</v>
      </c>
      <c r="D127" s="74" cm="1">
        <f t="array" aca="1" ref="D127" ca="1">IF(ISNUMBER(_xll.VoseSimPercentile(PeakFunding,$B127)),_xll.VoseSimPercentile(PeakFunding,$B127),NA())</f>
        <v>42.813382633381345</v>
      </c>
    </row>
    <row r="128" spans="2:4" hidden="1" outlineLevel="1" x14ac:dyDescent="0.45">
      <c r="B128" s="73">
        <v>0.99</v>
      </c>
      <c r="C128" s="73">
        <f t="shared" si="1"/>
        <v>1.0000000000000009E-2</v>
      </c>
      <c r="D128" s="74" cm="1">
        <f t="array" aca="1" ref="D128" ca="1">IF(ISNUMBER(_xll.VoseSimPercentile(PeakFunding,$B128)),_xll.VoseSimPercentile(PeakFunding,$B128),NA())</f>
        <v>43.666844592220635</v>
      </c>
    </row>
    <row r="129" spans="2:7" hidden="1" outlineLevel="1" x14ac:dyDescent="0.45"/>
    <row r="130" spans="2:7" hidden="1" outlineLevel="1" x14ac:dyDescent="0.45">
      <c r="B130" s="75" t="s">
        <v>262</v>
      </c>
      <c r="D130" s="76" cm="1">
        <f t="array" aca="1" ref="D130" ca="1">_xll.VoseSimMean(PeakFunding)</f>
        <v>38.582077750645844</v>
      </c>
    </row>
    <row r="131" spans="2:7" ht="18" hidden="1" customHeight="1" outlineLevel="1" x14ac:dyDescent="0.45">
      <c r="B131" s="23" t="s">
        <v>263</v>
      </c>
      <c r="C131" s="5"/>
      <c r="D131" s="5"/>
      <c r="E131" s="5"/>
      <c r="F131" s="24" t="s">
        <v>264</v>
      </c>
      <c r="G131" s="24" t="s">
        <v>265</v>
      </c>
    </row>
    <row r="132" spans="2:7" hidden="1" outlineLevel="1" x14ac:dyDescent="0.45">
      <c r="B132" s="77" t="str">
        <f ca="1">B44</f>
        <v>Construction cost</v>
      </c>
      <c r="F132" s="78">
        <f ca="1">IFERROR(D44-$D$130,NA())</f>
        <v>3.7587737636350127</v>
      </c>
      <c r="G132" s="78">
        <f ca="1">IFERROR(C44-$D$130,NA())</f>
        <v>-3.0290532076670189</v>
      </c>
    </row>
    <row r="133" spans="2:7" hidden="1" outlineLevel="1" x14ac:dyDescent="0.45">
      <c r="B133" s="77" t="str">
        <f ca="1">B45</f>
        <v>Off-plan sales pace</v>
      </c>
      <c r="F133" s="78">
        <f ca="1">IFERROR(D45-$D$130,NA())</f>
        <v>1.211786490855161</v>
      </c>
      <c r="G133" s="78">
        <f ca="1">IFERROR(C45-$D$130,NA())</f>
        <v>-0.40156193984414301</v>
      </c>
    </row>
    <row r="134" spans="2:7" hidden="1" outlineLevel="1" x14ac:dyDescent="0.45">
      <c r="B134" s="77" t="str">
        <f ca="1">B46</f>
        <v>Construction duration</v>
      </c>
      <c r="F134" s="78">
        <f ca="1">IFERROR(D46-$D$130,NA())</f>
        <v>0.63782916720940364</v>
      </c>
      <c r="G134" s="78">
        <f ca="1">IFERROR(C46-$D$130,NA())</f>
        <v>-0.53949823637978511</v>
      </c>
    </row>
    <row r="135" spans="2:7" hidden="1" outlineLevel="1" x14ac:dyDescent="0.45">
      <c r="B135" s="77" t="str">
        <f ca="1">B47</f>
        <v>Market price factor</v>
      </c>
      <c r="F135" s="78">
        <f ca="1">IFERROR(D47-$D$130,NA())</f>
        <v>0.49879867832131453</v>
      </c>
      <c r="G135" s="78">
        <f ca="1">IFERROR(C47-$D$130,NA())</f>
        <v>-0.60894042001697812</v>
      </c>
    </row>
    <row r="136" spans="2:7" hidden="1" outlineLevel="1" x14ac:dyDescent="0.45"/>
    <row r="137" spans="2:7" hidden="1" outlineLevel="1" x14ac:dyDescent="0.45">
      <c r="B137" s="75" t="s">
        <v>266</v>
      </c>
      <c r="D137" s="76" cm="1">
        <f t="array" aca="1" ref="D137" ca="1">_xll.VoseSimMean(Profit)</f>
        <v>8.9525732145140058</v>
      </c>
    </row>
    <row r="138" spans="2:7" ht="18" hidden="1" customHeight="1" outlineLevel="1" x14ac:dyDescent="0.45">
      <c r="B138" s="23" t="s">
        <v>263</v>
      </c>
      <c r="C138" s="5"/>
      <c r="D138" s="5"/>
      <c r="E138" s="5"/>
      <c r="F138" s="24" t="s">
        <v>264</v>
      </c>
      <c r="G138" s="24" t="s">
        <v>265</v>
      </c>
    </row>
    <row r="139" spans="2:7" hidden="1" outlineLevel="1" x14ac:dyDescent="0.45">
      <c r="B139" s="77" t="str">
        <f ca="1">B58</f>
        <v>Market price factor</v>
      </c>
      <c r="F139" s="78">
        <f ca="1">IFERROR(D58-$D$137,NA())</f>
        <v>4.6399803607182459</v>
      </c>
      <c r="G139" s="78">
        <f ca="1">IFERROR(C58-$D$137,NA())</f>
        <v>-4.5557747604079708</v>
      </c>
    </row>
    <row r="140" spans="2:7" hidden="1" outlineLevel="1" x14ac:dyDescent="0.45">
      <c r="B140" s="77" t="str">
        <f ca="1">B59</f>
        <v>Construction cost</v>
      </c>
      <c r="F140" s="78">
        <f ca="1">IFERROR(D59-$D$137,NA())</f>
        <v>3.1033361305376079</v>
      </c>
      <c r="G140" s="78">
        <f ca="1">IFERROR(C59-$D$137,NA())</f>
        <v>-3.7872607289495441</v>
      </c>
    </row>
    <row r="141" spans="2:7" hidden="1" outlineLevel="1" x14ac:dyDescent="0.45">
      <c r="B141" s="77" t="str">
        <f ca="1">B60</f>
        <v>Construction duration</v>
      </c>
      <c r="F141" s="78">
        <f ca="1">IFERROR(D60-$D$137,NA())</f>
        <v>0.73538685561083916</v>
      </c>
      <c r="G141" s="78">
        <f ca="1">IFERROR(C60-$D$137,NA())</f>
        <v>-0.71565505129862572</v>
      </c>
    </row>
    <row r="142" spans="2:7" hidden="1" outlineLevel="1" x14ac:dyDescent="0.45">
      <c r="B142" s="77" t="str">
        <f ca="1">B61</f>
        <v>Off-plan sales pace</v>
      </c>
      <c r="F142" s="78">
        <f ca="1">IFERROR(D61-$D$137,NA())</f>
        <v>0.34895557839950087</v>
      </c>
      <c r="G142" s="78">
        <f ca="1">IFERROR(C61-$D$137,NA())</f>
        <v>-0.7656865496192502</v>
      </c>
    </row>
    <row r="143" spans="2:7" hidden="1" outlineLevel="1" x14ac:dyDescent="0.45"/>
    <row r="144" spans="2:7" ht="28.05" hidden="1" customHeight="1" outlineLevel="1" x14ac:dyDescent="0.45">
      <c r="B144" s="23" t="s">
        <v>267</v>
      </c>
      <c r="C144" s="24" t="s">
        <v>268</v>
      </c>
      <c r="D144" s="24" t="s">
        <v>239</v>
      </c>
      <c r="E144" s="24" t="s">
        <v>269</v>
      </c>
      <c r="F144" s="24" t="s">
        <v>122</v>
      </c>
      <c r="G144" s="5"/>
    </row>
    <row r="145" spans="2:6" hidden="1" outlineLevel="1" x14ac:dyDescent="0.45">
      <c r="B145" s="77">
        <f>'Cash flow'!F6</f>
        <v>1</v>
      </c>
      <c r="C145" s="74" cm="1">
        <f t="array" aca="1" ref="C145" ca="1">IF(ISNUMBER(_xll.VoseSimPercentile('Cash flow'!F40,0.1)),_xll.VoseSimPercentile('Cash flow'!F40,0.1),NA())</f>
        <v>0</v>
      </c>
      <c r="D145" s="74" cm="1">
        <f t="array" aca="1" ref="D145" ca="1">IF(ISNUMBER(_xll.VoseSimPercentile('Cash flow'!F40,0.5)),_xll.VoseSimPercentile('Cash flow'!F40,0.5),NA())</f>
        <v>0</v>
      </c>
      <c r="E145" s="74" cm="1">
        <f t="array" aca="1" ref="E145" ca="1">IF(ISNUMBER(_xll.VoseSimPercentile('Cash flow'!F40,0.9)),_xll.VoseSimPercentile('Cash flow'!F40,0.9),NA())</f>
        <v>0</v>
      </c>
      <c r="F145" s="74" cm="1">
        <f t="array" aca="1" ref="F145" ca="1">IF(ISNUMBER(_xll.VoseSimMean('Cash flow'!F40)),_xll.VoseSimMean('Cash flow'!F40),NA())</f>
        <v>0</v>
      </c>
    </row>
    <row r="146" spans="2:6" hidden="1" outlineLevel="1" x14ac:dyDescent="0.45">
      <c r="B146" s="77">
        <f>'Cash flow'!G6</f>
        <v>2</v>
      </c>
      <c r="C146" s="74" cm="1">
        <f t="array" aca="1" ref="C146" ca="1">IF(ISNUMBER(_xll.VoseSimPercentile('Cash flow'!G40,0.1)),_xll.VoseSimPercentile('Cash flow'!G40,0.1),NA())</f>
        <v>0</v>
      </c>
      <c r="D146" s="74" cm="1">
        <f t="array" aca="1" ref="D146" ca="1">IF(ISNUMBER(_xll.VoseSimPercentile('Cash flow'!G40,0.5)),_xll.VoseSimPercentile('Cash flow'!G40,0.5),NA())</f>
        <v>0</v>
      </c>
      <c r="E146" s="74" cm="1">
        <f t="array" aca="1" ref="E146" ca="1">IF(ISNUMBER(_xll.VoseSimPercentile('Cash flow'!G40,0.9)),_xll.VoseSimPercentile('Cash flow'!G40,0.9),NA())</f>
        <v>0</v>
      </c>
      <c r="F146" s="74" cm="1">
        <f t="array" aca="1" ref="F146" ca="1">IF(ISNUMBER(_xll.VoseSimMean('Cash flow'!G40)),_xll.VoseSimMean('Cash flow'!G40),NA())</f>
        <v>0</v>
      </c>
    </row>
    <row r="147" spans="2:6" hidden="1" outlineLevel="1" x14ac:dyDescent="0.45">
      <c r="B147" s="77">
        <f>'Cash flow'!H6</f>
        <v>3</v>
      </c>
      <c r="C147" s="74" cm="1">
        <f t="array" aca="1" ref="C147" ca="1">IF(ISNUMBER(_xll.VoseSimPercentile('Cash flow'!H40,0.1)),_xll.VoseSimPercentile('Cash flow'!H40,0.1),NA())</f>
        <v>0</v>
      </c>
      <c r="D147" s="74" cm="1">
        <f t="array" aca="1" ref="D147" ca="1">IF(ISNUMBER(_xll.VoseSimPercentile('Cash flow'!H40,0.5)),_xll.VoseSimPercentile('Cash flow'!H40,0.5),NA())</f>
        <v>0</v>
      </c>
      <c r="E147" s="74" cm="1">
        <f t="array" aca="1" ref="E147" ca="1">IF(ISNUMBER(_xll.VoseSimPercentile('Cash flow'!H40,0.9)),_xll.VoseSimPercentile('Cash flow'!H40,0.9),NA())</f>
        <v>0</v>
      </c>
      <c r="F147" s="74" cm="1">
        <f t="array" aca="1" ref="F147" ca="1">IF(ISNUMBER(_xll.VoseSimMean('Cash flow'!H40)),_xll.VoseSimMean('Cash flow'!H40),NA())</f>
        <v>0</v>
      </c>
    </row>
    <row r="148" spans="2:6" hidden="1" outlineLevel="1" x14ac:dyDescent="0.45">
      <c r="B148" s="77">
        <f>'Cash flow'!I6</f>
        <v>4</v>
      </c>
      <c r="C148" s="74" cm="1">
        <f t="array" aca="1" ref="C148" ca="1">IF(ISNUMBER(_xll.VoseSimPercentile('Cash flow'!I40,0.1)),_xll.VoseSimPercentile('Cash flow'!I40,0.1),NA())</f>
        <v>0</v>
      </c>
      <c r="D148" s="74" cm="1">
        <f t="array" aca="1" ref="D148" ca="1">IF(ISNUMBER(_xll.VoseSimPercentile('Cash flow'!I40,0.5)),_xll.VoseSimPercentile('Cash flow'!I40,0.5),NA())</f>
        <v>0</v>
      </c>
      <c r="E148" s="74" cm="1">
        <f t="array" aca="1" ref="E148" ca="1">IF(ISNUMBER(_xll.VoseSimPercentile('Cash flow'!I40,0.9)),_xll.VoseSimPercentile('Cash flow'!I40,0.9),NA())</f>
        <v>0</v>
      </c>
      <c r="F148" s="74" cm="1">
        <f t="array" aca="1" ref="F148" ca="1">IF(ISNUMBER(_xll.VoseSimMean('Cash flow'!I40)),_xll.VoseSimMean('Cash flow'!I40),NA())</f>
        <v>0</v>
      </c>
    </row>
    <row r="149" spans="2:6" hidden="1" outlineLevel="1" x14ac:dyDescent="0.45">
      <c r="B149" s="77">
        <f>'Cash flow'!J6</f>
        <v>5</v>
      </c>
      <c r="C149" s="74" cm="1">
        <f t="array" aca="1" ref="C149" ca="1">IF(ISNUMBER(_xll.VoseSimPercentile('Cash flow'!J40,0.1)),_xll.VoseSimPercentile('Cash flow'!J40,0.1),NA())</f>
        <v>0</v>
      </c>
      <c r="D149" s="74" cm="1">
        <f t="array" aca="1" ref="D149" ca="1">IF(ISNUMBER(_xll.VoseSimPercentile('Cash flow'!J40,0.5)),_xll.VoseSimPercentile('Cash flow'!J40,0.5),NA())</f>
        <v>0</v>
      </c>
      <c r="E149" s="74" cm="1">
        <f t="array" aca="1" ref="E149" ca="1">IF(ISNUMBER(_xll.VoseSimPercentile('Cash flow'!J40,0.9)),_xll.VoseSimPercentile('Cash flow'!J40,0.9),NA())</f>
        <v>0</v>
      </c>
      <c r="F149" s="74" cm="1">
        <f t="array" aca="1" ref="F149" ca="1">IF(ISNUMBER(_xll.VoseSimMean('Cash flow'!J40)),_xll.VoseSimMean('Cash flow'!J40),NA())</f>
        <v>0</v>
      </c>
    </row>
    <row r="150" spans="2:6" hidden="1" outlineLevel="1" x14ac:dyDescent="0.45">
      <c r="B150" s="77">
        <f>'Cash flow'!K6</f>
        <v>6</v>
      </c>
      <c r="C150" s="74" cm="1">
        <f t="array" aca="1" ref="C150" ca="1">IF(ISNUMBER(_xll.VoseSimPercentile('Cash flow'!K40,0.1)),_xll.VoseSimPercentile('Cash flow'!K40,0.1),NA())</f>
        <v>0</v>
      </c>
      <c r="D150" s="74" cm="1">
        <f t="array" aca="1" ref="D150" ca="1">IF(ISNUMBER(_xll.VoseSimPercentile('Cash flow'!K40,0.5)),_xll.VoseSimPercentile('Cash flow'!K40,0.5),NA())</f>
        <v>0</v>
      </c>
      <c r="E150" s="74" cm="1">
        <f t="array" aca="1" ref="E150" ca="1">IF(ISNUMBER(_xll.VoseSimPercentile('Cash flow'!K40,0.9)),_xll.VoseSimPercentile('Cash flow'!K40,0.9),NA())</f>
        <v>0</v>
      </c>
      <c r="F150" s="74" cm="1">
        <f t="array" aca="1" ref="F150" ca="1">IF(ISNUMBER(_xll.VoseSimMean('Cash flow'!K40)),_xll.VoseSimMean('Cash flow'!K40),NA())</f>
        <v>4.8729724665111916E-4</v>
      </c>
    </row>
    <row r="151" spans="2:6" hidden="1" outlineLevel="1" x14ac:dyDescent="0.45">
      <c r="B151" s="77">
        <f>'Cash flow'!L6</f>
        <v>7</v>
      </c>
      <c r="C151" s="74" cm="1">
        <f t="array" aca="1" ref="C151" ca="1">IF(ISNUMBER(_xll.VoseSimPercentile('Cash flow'!L40,0.1)),_xll.VoseSimPercentile('Cash flow'!L40,0.1),NA())</f>
        <v>0</v>
      </c>
      <c r="D151" s="74" cm="1">
        <f t="array" aca="1" ref="D151" ca="1">IF(ISNUMBER(_xll.VoseSimPercentile('Cash flow'!L40,0.5)),_xll.VoseSimPercentile('Cash flow'!L40,0.5),NA())</f>
        <v>0</v>
      </c>
      <c r="E151" s="74" cm="1">
        <f t="array" aca="1" ref="E151" ca="1">IF(ISNUMBER(_xll.VoseSimPercentile('Cash flow'!L40,0.9)),_xll.VoseSimPercentile('Cash flow'!L40,0.9),NA())</f>
        <v>1.0256133473502174</v>
      </c>
      <c r="F151" s="74" cm="1">
        <f t="array" aca="1" ref="F151" ca="1">IF(ISNUMBER(_xll.VoseSimMean('Cash flow'!L40)),_xll.VoseSimMean('Cash flow'!L40),NA())</f>
        <v>0.28845009009212835</v>
      </c>
    </row>
    <row r="152" spans="2:6" hidden="1" outlineLevel="1" x14ac:dyDescent="0.45">
      <c r="B152" s="77">
        <f>'Cash flow'!M6</f>
        <v>8</v>
      </c>
      <c r="C152" s="74" cm="1">
        <f t="array" aca="1" ref="C152" ca="1">IF(ISNUMBER(_xll.VoseSimPercentile('Cash flow'!M40,0.1)),_xll.VoseSimPercentile('Cash flow'!M40,0.1),NA())</f>
        <v>0.19475378828080947</v>
      </c>
      <c r="D152" s="74" cm="1">
        <f t="array" aca="1" ref="D152" ca="1">IF(ISNUMBER(_xll.VoseSimPercentile('Cash flow'!M40,0.5)),_xll.VoseSimPercentile('Cash flow'!M40,0.5),NA())</f>
        <v>1.6295505336428076</v>
      </c>
      <c r="E152" s="74" cm="1">
        <f t="array" aca="1" ref="E152" ca="1">IF(ISNUMBER(_xll.VoseSimPercentile('Cash flow'!M40,0.9)),_xll.VoseSimPercentile('Cash flow'!M40,0.9),NA())</f>
        <v>3.1948147779828324</v>
      </c>
      <c r="F152" s="74" cm="1">
        <f t="array" aca="1" ref="F152" ca="1">IF(ISNUMBER(_xll.VoseSimMean('Cash flow'!M40)),_xll.VoseSimMean('Cash flow'!M40),NA())</f>
        <v>1.6901033473136</v>
      </c>
    </row>
    <row r="153" spans="2:6" hidden="1" outlineLevel="1" x14ac:dyDescent="0.45">
      <c r="B153" s="77">
        <f>'Cash flow'!N6</f>
        <v>9</v>
      </c>
      <c r="C153" s="74" cm="1">
        <f t="array" aca="1" ref="C153" ca="1">IF(ISNUMBER(_xll.VoseSimPercentile('Cash flow'!N40,0.1)),_xll.VoseSimPercentile('Cash flow'!N40,0.1),NA())</f>
        <v>1.9137521214933881</v>
      </c>
      <c r="D153" s="74" cm="1">
        <f t="array" aca="1" ref="D153" ca="1">IF(ISNUMBER(_xll.VoseSimPercentile('Cash flow'!N40,0.5)),_xll.VoseSimPercentile('Cash flow'!N40,0.5),NA())</f>
        <v>3.6590470209895409</v>
      </c>
      <c r="E153" s="74" cm="1">
        <f t="array" aca="1" ref="E153" ca="1">IF(ISNUMBER(_xll.VoseSimPercentile('Cash flow'!N40,0.9)),_xll.VoseSimPercentile('Cash flow'!N40,0.9),NA())</f>
        <v>5.544360298360866</v>
      </c>
      <c r="F153" s="74" cm="1">
        <f t="array" aca="1" ref="F153" ca="1">IF(ISNUMBER(_xll.VoseSimMean('Cash flow'!N40)),_xll.VoseSimMean('Cash flow'!N40),NA())</f>
        <v>3.6971576060063063</v>
      </c>
    </row>
    <row r="154" spans="2:6" hidden="1" outlineLevel="1" x14ac:dyDescent="0.45">
      <c r="B154" s="77">
        <f>'Cash flow'!O6</f>
        <v>10</v>
      </c>
      <c r="C154" s="74" cm="1">
        <f t="array" aca="1" ref="C154" ca="1">IF(ISNUMBER(_xll.VoseSimPercentile('Cash flow'!O40,0.1)),_xll.VoseSimPercentile('Cash flow'!O40,0.1),NA())</f>
        <v>3.7687167342316479</v>
      </c>
      <c r="D154" s="74" cm="1">
        <f t="array" aca="1" ref="D154" ca="1">IF(ISNUMBER(_xll.VoseSimPercentile('Cash flow'!O40,0.5)),_xll.VoseSimPercentile('Cash flow'!O40,0.5),NA())</f>
        <v>5.8294467064283602</v>
      </c>
      <c r="E154" s="74" cm="1">
        <f t="array" aca="1" ref="E154" ca="1">IF(ISNUMBER(_xll.VoseSimPercentile('Cash flow'!O40,0.9)),_xll.VoseSimPercentile('Cash flow'!O40,0.9),NA())</f>
        <v>8.0308502594072149</v>
      </c>
      <c r="F154" s="74" cm="1">
        <f t="array" aca="1" ref="F154" ca="1">IF(ISNUMBER(_xll.VoseSimMean('Cash flow'!O40)),_xll.VoseSimMean('Cash flow'!O40),NA())</f>
        <v>5.8695015219074858</v>
      </c>
    </row>
    <row r="155" spans="2:6" hidden="1" outlineLevel="1" x14ac:dyDescent="0.45">
      <c r="B155" s="77">
        <f>'Cash flow'!P6</f>
        <v>11</v>
      </c>
      <c r="C155" s="74" cm="1">
        <f t="array" aca="1" ref="C155" ca="1">IF(ISNUMBER(_xll.VoseSimPercentile('Cash flow'!P40,0.1)),_xll.VoseSimPercentile('Cash flow'!P40,0.1),NA())</f>
        <v>5.7371342559725065</v>
      </c>
      <c r="D155" s="74" cm="1">
        <f t="array" aca="1" ref="D155" ca="1">IF(ISNUMBER(_xll.VoseSimPercentile('Cash flow'!P40,0.5)),_xll.VoseSimPercentile('Cash flow'!P40,0.5),NA())</f>
        <v>8.1081962999217883</v>
      </c>
      <c r="E155" s="74" cm="1">
        <f t="array" aca="1" ref="E155" ca="1">IF(ISNUMBER(_xll.VoseSimPercentile('Cash flow'!P40,0.9)),_xll.VoseSimPercentile('Cash flow'!P40,0.9),NA())</f>
        <v>10.624414773548656</v>
      </c>
      <c r="F155" s="74" cm="1">
        <f t="array" aca="1" ref="F155" ca="1">IF(ISNUMBER(_xll.VoseSimMean('Cash flow'!P40)),_xll.VoseSimMean('Cash flow'!P40),NA())</f>
        <v>8.1499423682399073</v>
      </c>
    </row>
    <row r="156" spans="2:6" hidden="1" outlineLevel="1" x14ac:dyDescent="0.45">
      <c r="B156" s="77">
        <f>'Cash flow'!Q6</f>
        <v>12</v>
      </c>
      <c r="C156" s="74" cm="1">
        <f t="array" aca="1" ref="C156" ca="1">IF(ISNUMBER(_xll.VoseSimPercentile('Cash flow'!Q40,0.1)),_xll.VoseSimPercentile('Cash flow'!Q40,0.1),NA())</f>
        <v>7.7981436920755636</v>
      </c>
      <c r="D156" s="74" cm="1">
        <f t="array" aca="1" ref="D156" ca="1">IF(ISNUMBER(_xll.VoseSimPercentile('Cash flow'!Q40,0.5)),_xll.VoseSimPercentile('Cash flow'!Q40,0.5),NA())</f>
        <v>10.465265676744137</v>
      </c>
      <c r="E156" s="74" cm="1">
        <f t="array" aca="1" ref="E156" ca="1">IF(ISNUMBER(_xll.VoseSimPercentile('Cash flow'!Q40,0.9)),_xll.VoseSimPercentile('Cash flow'!Q40,0.9),NA())</f>
        <v>13.280219712973468</v>
      </c>
      <c r="F156" s="74" cm="1">
        <f t="array" aca="1" ref="F156" ca="1">IF(ISNUMBER(_xll.VoseSimMean('Cash flow'!Q40)),_xll.VoseSimMean('Cash flow'!Q40),NA())</f>
        <v>10.504999734938716</v>
      </c>
    </row>
    <row r="157" spans="2:6" hidden="1" outlineLevel="1" x14ac:dyDescent="0.45">
      <c r="B157" s="77">
        <f>'Cash flow'!R6</f>
        <v>13</v>
      </c>
      <c r="C157" s="74" cm="1">
        <f t="array" aca="1" ref="C157" ca="1">IF(ISNUMBER(_xll.VoseSimPercentile('Cash flow'!R40,0.1)),_xll.VoseSimPercentile('Cash flow'!R40,0.1),NA())</f>
        <v>9.9167852415758748</v>
      </c>
      <c r="D157" s="74" cm="1">
        <f t="array" aca="1" ref="D157" ca="1">IF(ISNUMBER(_xll.VoseSimPercentile('Cash flow'!R40,0.5)),_xll.VoseSimPercentile('Cash flow'!R40,0.5),NA())</f>
        <v>12.871204378255111</v>
      </c>
      <c r="E157" s="74" cm="1">
        <f t="array" aca="1" ref="E157" ca="1">IF(ISNUMBER(_xll.VoseSimPercentile('Cash flow'!R40,0.9)),_xll.VoseSimPercentile('Cash flow'!R40,0.9),NA())</f>
        <v>15.941715412979516</v>
      </c>
      <c r="F157" s="74" cm="1">
        <f t="array" aca="1" ref="F157" ca="1">IF(ISNUMBER(_xll.VoseSimMean('Cash flow'!R40)),_xll.VoseSimMean('Cash flow'!R40),NA())</f>
        <v>12.90179994595305</v>
      </c>
    </row>
    <row r="158" spans="2:6" hidden="1" outlineLevel="1" x14ac:dyDescent="0.45">
      <c r="B158" s="77">
        <f>'Cash flow'!S6</f>
        <v>14</v>
      </c>
      <c r="C158" s="74" cm="1">
        <f t="array" aca="1" ref="C158" ca="1">IF(ISNUMBER(_xll.VoseSimPercentile('Cash flow'!S40,0.1)),_xll.VoseSimPercentile('Cash flow'!S40,0.1),NA())</f>
        <v>12.08153893780649</v>
      </c>
      <c r="D158" s="74" cm="1">
        <f t="array" aca="1" ref="D158" ca="1">IF(ISNUMBER(_xll.VoseSimPercentile('Cash flow'!S40,0.5)),_xll.VoseSimPercentile('Cash flow'!S40,0.5),NA())</f>
        <v>15.289570637259819</v>
      </c>
      <c r="E158" s="74" cm="1">
        <f t="array" aca="1" ref="E158" ca="1">IF(ISNUMBER(_xll.VoseSimPercentile('Cash flow'!S40,0.9)),_xll.VoseSimPercentile('Cash flow'!S40,0.9),NA())</f>
        <v>18.582193926112609</v>
      </c>
      <c r="F158" s="74" cm="1">
        <f t="array" aca="1" ref="F158" ca="1">IF(ISNUMBER(_xll.VoseSimMean('Cash flow'!S40)),_xll.VoseSimMean('Cash flow'!S40),NA())</f>
        <v>15.308302060966104</v>
      </c>
    </row>
    <row r="159" spans="2:6" hidden="1" outlineLevel="1" x14ac:dyDescent="0.45">
      <c r="B159" s="77">
        <f>'Cash flow'!T6</f>
        <v>15</v>
      </c>
      <c r="C159" s="74" cm="1">
        <f t="array" aca="1" ref="C159" ca="1">IF(ISNUMBER(_xll.VoseSimPercentile('Cash flow'!T40,0.1)),_xll.VoseSimPercentile('Cash flow'!T40,0.1),NA())</f>
        <v>14.254280303191882</v>
      </c>
      <c r="D159" s="74" cm="1">
        <f t="array" aca="1" ref="D159" ca="1">IF(ISNUMBER(_xll.VoseSimPercentile('Cash flow'!T40,0.5)),_xll.VoseSimPercentile('Cash flow'!T40,0.5),NA())</f>
        <v>17.673523236723813</v>
      </c>
      <c r="E159" s="74" cm="1">
        <f t="array" aca="1" ref="E159" ca="1">IF(ISNUMBER(_xll.VoseSimPercentile('Cash flow'!T40,0.9)),_xll.VoseSimPercentile('Cash flow'!T40,0.9),NA())</f>
        <v>21.169854776463971</v>
      </c>
      <c r="F159" s="74" cm="1">
        <f t="array" aca="1" ref="F159" ca="1">IF(ISNUMBER(_xll.VoseSimMean('Cash flow'!T40)),_xll.VoseSimMean('Cash flow'!T40),NA())</f>
        <v>17.69359131032591</v>
      </c>
    </row>
    <row r="160" spans="2:6" hidden="1" outlineLevel="1" x14ac:dyDescent="0.45">
      <c r="B160" s="77">
        <f>'Cash flow'!U6</f>
        <v>16</v>
      </c>
      <c r="C160" s="74" cm="1">
        <f t="array" aca="1" ref="C160" ca="1">IF(ISNUMBER(_xll.VoseSimPercentile('Cash flow'!U40,0.1)),_xll.VoseSimPercentile('Cash flow'!U40,0.1),NA())</f>
        <v>16.414262506462261</v>
      </c>
      <c r="D160" s="74" cm="1">
        <f t="array" aca="1" ref="D160" ca="1">IF(ISNUMBER(_xll.VoseSimPercentile('Cash flow'!U40,0.5)),_xll.VoseSimPercentile('Cash flow'!U40,0.5),NA())</f>
        <v>20.001941070721379</v>
      </c>
      <c r="E160" s="74" cm="1">
        <f t="array" aca="1" ref="E160" ca="1">IF(ISNUMBER(_xll.VoseSimPercentile('Cash flow'!U40,0.9)),_xll.VoseSimPercentile('Cash flow'!U40,0.9),NA())</f>
        <v>23.652757800891223</v>
      </c>
      <c r="F160" s="74" cm="1">
        <f t="array" aca="1" ref="F160" ca="1">IF(ISNUMBER(_xll.VoseSimMean('Cash flow'!U40)),_xll.VoseSimMean('Cash flow'!U40),NA())</f>
        <v>20.028158956520944</v>
      </c>
    </row>
    <row r="161" spans="2:6" hidden="1" outlineLevel="1" x14ac:dyDescent="0.45">
      <c r="B161" s="77">
        <f>'Cash flow'!V6</f>
        <v>17</v>
      </c>
      <c r="C161" s="74" cm="1">
        <f t="array" aca="1" ref="C161" ca="1">IF(ISNUMBER(_xll.VoseSimPercentile('Cash flow'!V40,0.1)),_xll.VoseSimPercentile('Cash flow'!V40,0.1),NA())</f>
        <v>18.518829460070123</v>
      </c>
      <c r="D161" s="74" cm="1">
        <f t="array" aca="1" ref="D161" ca="1">IF(ISNUMBER(_xll.VoseSimPercentile('Cash flow'!V40,0.5)),_xll.VoseSimPercentile('Cash flow'!V40,0.5),NA())</f>
        <v>22.271437226606349</v>
      </c>
      <c r="E161" s="74" cm="1">
        <f t="array" aca="1" ref="E161" ca="1">IF(ISNUMBER(_xll.VoseSimPercentile('Cash flow'!V40,0.9)),_xll.VoseSimPercentile('Cash flow'!V40,0.9),NA())</f>
        <v>26.046251076728684</v>
      </c>
      <c r="F161" s="74" cm="1">
        <f t="array" aca="1" ref="F161" ca="1">IF(ISNUMBER(_xll.VoseSimMean('Cash flow'!V40)),_xll.VoseSimMean('Cash flow'!V40),NA())</f>
        <v>22.28417716990921</v>
      </c>
    </row>
    <row r="162" spans="2:6" hidden="1" outlineLevel="1" x14ac:dyDescent="0.45">
      <c r="B162" s="77">
        <f>'Cash flow'!W6</f>
        <v>18</v>
      </c>
      <c r="C162" s="74" cm="1">
        <f t="array" aca="1" ref="C162" ca="1">IF(ISNUMBER(_xll.VoseSimPercentile('Cash flow'!W40,0.1)),_xll.VoseSimPercentile('Cash flow'!W40,0.1),NA())</f>
        <v>20.564693444466609</v>
      </c>
      <c r="D162" s="74" cm="1">
        <f t="array" aca="1" ref="D162" ca="1">IF(ISNUMBER(_xll.VoseSimPercentile('Cash flow'!W40,0.5)),_xll.VoseSimPercentile('Cash flow'!W40,0.5),NA())</f>
        <v>24.434262903168499</v>
      </c>
      <c r="E162" s="74" cm="1">
        <f t="array" aca="1" ref="E162" ca="1">IF(ISNUMBER(_xll.VoseSimPercentile('Cash flow'!W40,0.9)),_xll.VoseSimPercentile('Cash flow'!W40,0.9),NA())</f>
        <v>28.28468753258095</v>
      </c>
      <c r="F162" s="74" cm="1">
        <f t="array" aca="1" ref="F162" ca="1">IF(ISNUMBER(_xll.VoseSimMean('Cash flow'!W40)),_xll.VoseSimMean('Cash flow'!W40),NA())</f>
        <v>24.435776685325287</v>
      </c>
    </row>
    <row r="163" spans="2:6" hidden="1" outlineLevel="1" x14ac:dyDescent="0.45">
      <c r="B163" s="77">
        <f>'Cash flow'!X6</f>
        <v>19</v>
      </c>
      <c r="C163" s="74" cm="1">
        <f t="array" aca="1" ref="C163" ca="1">IF(ISNUMBER(_xll.VoseSimPercentile('Cash flow'!X40,0.1)),_xll.VoseSimPercentile('Cash flow'!X40,0.1),NA())</f>
        <v>22.553875005461432</v>
      </c>
      <c r="D163" s="74" cm="1">
        <f t="array" aca="1" ref="D163" ca="1">IF(ISNUMBER(_xll.VoseSimPercentile('Cash flow'!X40,0.5)),_xll.VoseSimPercentile('Cash flow'!X40,0.5),NA())</f>
        <v>26.474149047262223</v>
      </c>
      <c r="E163" s="74" cm="1">
        <f t="array" aca="1" ref="E163" ca="1">IF(ISNUMBER(_xll.VoseSimPercentile('Cash flow'!X40,0.9)),_xll.VoseSimPercentile('Cash flow'!X40,0.9),NA())</f>
        <v>30.362973094479944</v>
      </c>
      <c r="F163" s="74" cm="1">
        <f t="array" aca="1" ref="F163" ca="1">IF(ISNUMBER(_xll.VoseSimMean('Cash flow'!X40)),_xll.VoseSimMean('Cash flow'!X40),NA())</f>
        <v>26.459694247819723</v>
      </c>
    </row>
    <row r="164" spans="2:6" hidden="1" outlineLevel="1" x14ac:dyDescent="0.45">
      <c r="B164" s="77">
        <f>'Cash flow'!Y6</f>
        <v>20</v>
      </c>
      <c r="C164" s="74" cm="1">
        <f t="array" aca="1" ref="C164" ca="1">IF(ISNUMBER(_xll.VoseSimPercentile('Cash flow'!Y40,0.1)),_xll.VoseSimPercentile('Cash flow'!Y40,0.1),NA())</f>
        <v>24.424233647427613</v>
      </c>
      <c r="D164" s="74" cm="1">
        <f t="array" aca="1" ref="D164" ca="1">IF(ISNUMBER(_xll.VoseSimPercentile('Cash flow'!Y40,0.5)),_xll.VoseSimPercentile('Cash flow'!Y40,0.5),NA())</f>
        <v>28.345930386800021</v>
      </c>
      <c r="E164" s="74" cm="1">
        <f t="array" aca="1" ref="E164" ca="1">IF(ISNUMBER(_xll.VoseSimPercentile('Cash flow'!Y40,0.9)),_xll.VoseSimPercentile('Cash flow'!Y40,0.9),NA())</f>
        <v>32.232568766151125</v>
      </c>
      <c r="F164" s="74" cm="1">
        <f t="array" aca="1" ref="F164" ca="1">IF(ISNUMBER(_xll.VoseSimMean('Cash flow'!Y40)),_xll.VoseSimMean('Cash flow'!Y40),NA())</f>
        <v>28.338996378374805</v>
      </c>
    </row>
    <row r="165" spans="2:6" hidden="1" outlineLevel="1" x14ac:dyDescent="0.45">
      <c r="B165" s="77">
        <f>'Cash flow'!Z6</f>
        <v>21</v>
      </c>
      <c r="C165" s="74" cm="1">
        <f t="array" aca="1" ref="C165" ca="1">IF(ISNUMBER(_xll.VoseSimPercentile('Cash flow'!Z40,0.1)),_xll.VoseSimPercentile('Cash flow'!Z40,0.1),NA())</f>
        <v>26.221539974406319</v>
      </c>
      <c r="D165" s="74" cm="1">
        <f t="array" aca="1" ref="D165" ca="1">IF(ISNUMBER(_xll.VoseSimPercentile('Cash flow'!Z40,0.5)),_xll.VoseSimPercentile('Cash flow'!Z40,0.5),NA())</f>
        <v>30.070707547116857</v>
      </c>
      <c r="E165" s="74" cm="1">
        <f t="array" aca="1" ref="E165" ca="1">IF(ISNUMBER(_xll.VoseSimPercentile('Cash flow'!Z40,0.9)),_xll.VoseSimPercentile('Cash flow'!Z40,0.9),NA())</f>
        <v>33.894632369670497</v>
      </c>
      <c r="F165" s="74" cm="1">
        <f t="array" aca="1" ref="F165" ca="1">IF(ISNUMBER(_xll.VoseSimMean('Cash flow'!Z40)),_xll.VoseSimMean('Cash flow'!Z40),NA())</f>
        <v>30.064016875412108</v>
      </c>
    </row>
    <row r="166" spans="2:6" hidden="1" outlineLevel="1" x14ac:dyDescent="0.45">
      <c r="B166" s="77">
        <f>'Cash flow'!AA6</f>
        <v>22</v>
      </c>
      <c r="C166" s="74" cm="1">
        <f t="array" aca="1" ref="C166" ca="1">IF(ISNUMBER(_xll.VoseSimPercentile('Cash flow'!AA40,0.1)),_xll.VoseSimPercentile('Cash flow'!AA40,0.1),NA())</f>
        <v>27.892612517977668</v>
      </c>
      <c r="D166" s="74" cm="1">
        <f t="array" aca="1" ref="D166" ca="1">IF(ISNUMBER(_xll.VoseSimPercentile('Cash flow'!AA40,0.5)),_xll.VoseSimPercentile('Cash flow'!AA40,0.5),NA())</f>
        <v>31.633117619449308</v>
      </c>
      <c r="E166" s="74" cm="1">
        <f t="array" aca="1" ref="E166" ca="1">IF(ISNUMBER(_xll.VoseSimPercentile('Cash flow'!AA40,0.9)),_xll.VoseSimPercentile('Cash flow'!AA40,0.9),NA())</f>
        <v>35.403169070608691</v>
      </c>
      <c r="F166" s="74" cm="1">
        <f t="array" aca="1" ref="F166" ca="1">IF(ISNUMBER(_xll.VoseSimMean('Cash flow'!AA40)),_xll.VoseSimMean('Cash flow'!AA40),NA())</f>
        <v>31.627255657124554</v>
      </c>
    </row>
    <row r="167" spans="2:6" hidden="1" outlineLevel="1" x14ac:dyDescent="0.45">
      <c r="B167" s="77">
        <f>'Cash flow'!AB6</f>
        <v>23</v>
      </c>
      <c r="C167" s="74" cm="1">
        <f t="array" aca="1" ref="C167" ca="1">IF(ISNUMBER(_xll.VoseSimPercentile('Cash flow'!AB40,0.1)),_xll.VoseSimPercentile('Cash flow'!AB40,0.1),NA())</f>
        <v>29.433107700534578</v>
      </c>
      <c r="D167" s="74" cm="1">
        <f t="array" aca="1" ref="D167" ca="1">IF(ISNUMBER(_xll.VoseSimPercentile('Cash flow'!AB40,0.5)),_xll.VoseSimPercentile('Cash flow'!AB40,0.5),NA())</f>
        <v>33.028338326059135</v>
      </c>
      <c r="E167" s="74" cm="1">
        <f t="array" aca="1" ref="E167" ca="1">IF(ISNUMBER(_xll.VoseSimPercentile('Cash flow'!AB40,0.9)),_xll.VoseSimPercentile('Cash flow'!AB40,0.9),NA())</f>
        <v>36.647696897476479</v>
      </c>
      <c r="F167" s="74" cm="1">
        <f t="array" aca="1" ref="F167" ca="1">IF(ISNUMBER(_xll.VoseSimMean('Cash flow'!AB40)),_xll.VoseSimMean('Cash flow'!AB40),NA())</f>
        <v>33.023496260541215</v>
      </c>
    </row>
    <row r="168" spans="2:6" hidden="1" outlineLevel="1" x14ac:dyDescent="0.45">
      <c r="B168" s="77">
        <f>'Cash flow'!AC6</f>
        <v>24</v>
      </c>
      <c r="C168" s="74" cm="1">
        <f t="array" aca="1" ref="C168" ca="1">IF(ISNUMBER(_xll.VoseSimPercentile('Cash flow'!AC40,0.1)),_xll.VoseSimPercentile('Cash flow'!AC40,0.1),NA())</f>
        <v>30.835933337794785</v>
      </c>
      <c r="D168" s="74" cm="1">
        <f t="array" aca="1" ref="D168" ca="1">IF(ISNUMBER(_xll.VoseSimPercentile('Cash flow'!AC40,0.5)),_xll.VoseSimPercentile('Cash flow'!AC40,0.5),NA())</f>
        <v>34.220916526702638</v>
      </c>
      <c r="E168" s="74" cm="1">
        <f t="array" aca="1" ref="E168" ca="1">IF(ISNUMBER(_xll.VoseSimPercentile('Cash flow'!AC40,0.9)),_xll.VoseSimPercentile('Cash flow'!AC40,0.9),NA())</f>
        <v>37.731346415063321</v>
      </c>
      <c r="F168" s="74" cm="1">
        <f t="array" aca="1" ref="F168" ca="1">IF(ISNUMBER(_xll.VoseSimMean('Cash flow'!AC40)),_xll.VoseSimMean('Cash flow'!AC40),NA())</f>
        <v>34.248308985450329</v>
      </c>
    </row>
    <row r="169" spans="2:6" hidden="1" outlineLevel="1" x14ac:dyDescent="0.45">
      <c r="B169" s="77">
        <f>'Cash flow'!AD6</f>
        <v>25</v>
      </c>
      <c r="C169" s="74" cm="1">
        <f t="array" aca="1" ref="C169" ca="1">IF(ISNUMBER(_xll.VoseSimPercentile('Cash flow'!AD40,0.1)),_xll.VoseSimPercentile('Cash flow'!AD40,0.1),NA())</f>
        <v>32.066947630580891</v>
      </c>
      <c r="D169" s="74" cm="1">
        <f t="array" aca="1" ref="D169" ca="1">IF(ISNUMBER(_xll.VoseSimPercentile('Cash flow'!AD40,0.5)),_xll.VoseSimPercentile('Cash flow'!AD40,0.5),NA())</f>
        <v>35.245435865792494</v>
      </c>
      <c r="E169" s="74" cm="1">
        <f t="array" aca="1" ref="E169" ca="1">IF(ISNUMBER(_xll.VoseSimPercentile('Cash flow'!AD40,0.9)),_xll.VoseSimPercentile('Cash flow'!AD40,0.9),NA())</f>
        <v>38.627532218139983</v>
      </c>
      <c r="F169" s="74" cm="1">
        <f t="array" aca="1" ref="F169" ca="1">IF(ISNUMBER(_xll.VoseSimMean('Cash flow'!AD40)),_xll.VoseSimMean('Cash flow'!AD40),NA())</f>
        <v>35.300510682471085</v>
      </c>
    </row>
    <row r="170" spans="2:6" hidden="1" outlineLevel="1" x14ac:dyDescent="0.45">
      <c r="B170" s="77">
        <f>'Cash flow'!AE6</f>
        <v>26</v>
      </c>
      <c r="C170" s="74" cm="1">
        <f t="array" aca="1" ref="C170" ca="1">IF(ISNUMBER(_xll.VoseSimPercentile('Cash flow'!AE40,0.1)),_xll.VoseSimPercentile('Cash flow'!AE40,0.1),NA())</f>
        <v>33.164216926307468</v>
      </c>
      <c r="D170" s="74" cm="1">
        <f t="array" aca="1" ref="D170" ca="1">IF(ISNUMBER(_xll.VoseSimPercentile('Cash flow'!AE40,0.5)),_xll.VoseSimPercentile('Cash flow'!AE40,0.5),NA())</f>
        <v>36.095640623698984</v>
      </c>
      <c r="E170" s="74" cm="1">
        <f t="array" aca="1" ref="E170" ca="1">IF(ISNUMBER(_xll.VoseSimPercentile('Cash flow'!AE40,0.9)),_xll.VoseSimPercentile('Cash flow'!AE40,0.9),NA())</f>
        <v>39.354527974125595</v>
      </c>
      <c r="F170" s="74" cm="1">
        <f t="array" aca="1" ref="F170" ca="1">IF(ISNUMBER(_xll.VoseSimMean('Cash flow'!AE40)),_xll.VoseSimMean('Cash flow'!AE40),NA())</f>
        <v>36.18277103397034</v>
      </c>
    </row>
    <row r="171" spans="2:6" hidden="1" outlineLevel="1" x14ac:dyDescent="0.45">
      <c r="B171" s="77">
        <f>'Cash flow'!AF6</f>
        <v>27</v>
      </c>
      <c r="C171" s="74" cm="1">
        <f t="array" aca="1" ref="C171" ca="1">IF(ISNUMBER(_xll.VoseSimPercentile('Cash flow'!AF40,0.1)),_xll.VoseSimPercentile('Cash flow'!AF40,0.1),NA())</f>
        <v>34.010194877466233</v>
      </c>
      <c r="D171" s="74" cm="1">
        <f t="array" aca="1" ref="D171" ca="1">IF(ISNUMBER(_xll.VoseSimPercentile('Cash flow'!AF40,0.5)),_xll.VoseSimPercentile('Cash flow'!AF40,0.5),NA())</f>
        <v>36.778642859432971</v>
      </c>
      <c r="E171" s="74" cm="1">
        <f t="array" aca="1" ref="E171" ca="1">IF(ISNUMBER(_xll.VoseSimPercentile('Cash flow'!AF40,0.9)),_xll.VoseSimPercentile('Cash flow'!AF40,0.9),NA())</f>
        <v>39.935730532791688</v>
      </c>
      <c r="F171" s="74" cm="1">
        <f t="array" aca="1" ref="F171" ca="1">IF(ISNUMBER(_xll.VoseSimMean('Cash flow'!AF40)),_xll.VoseSimMean('Cash flow'!AF40),NA())</f>
        <v>36.755192730200598</v>
      </c>
    </row>
    <row r="172" spans="2:6" hidden="1" outlineLevel="1" x14ac:dyDescent="0.45">
      <c r="B172" s="77">
        <f>'Cash flow'!AG6</f>
        <v>28</v>
      </c>
      <c r="C172" s="74" cm="1">
        <f t="array" aca="1" ref="C172" ca="1">IF(ISNUMBER(_xll.VoseSimPercentile('Cash flow'!AG40,0.1)),_xll.VoseSimPercentile('Cash flow'!AG40,0.1),NA())</f>
        <v>33.987642345886087</v>
      </c>
      <c r="D172" s="74" cm="1">
        <f t="array" aca="1" ref="D172" ca="1">IF(ISNUMBER(_xll.VoseSimPercentile('Cash flow'!AG40,0.5)),_xll.VoseSimPercentile('Cash flow'!AG40,0.5),NA())</f>
        <v>37.151757919151422</v>
      </c>
      <c r="E172" s="74" cm="1">
        <f t="array" aca="1" ref="E172" ca="1">IF(ISNUMBER(_xll.VoseSimPercentile('Cash flow'!AG40,0.9)),_xll.VoseSimPercentile('Cash flow'!AG40,0.9),NA())</f>
        <v>40.31412946121327</v>
      </c>
      <c r="F172" s="74" cm="1">
        <f t="array" aca="1" ref="F172" ca="1">IF(ISNUMBER(_xll.VoseSimMean('Cash flow'!AG40)),_xll.VoseSimMean('Cash flow'!AG40),NA())</f>
        <v>35.256567710322109</v>
      </c>
    </row>
    <row r="173" spans="2:6" hidden="1" outlineLevel="1" x14ac:dyDescent="0.45">
      <c r="B173" s="77">
        <f>'Cash flow'!AH6</f>
        <v>29</v>
      </c>
      <c r="C173" s="74" cm="1">
        <f t="array" aca="1" ref="C173" ca="1">IF(ISNUMBER(_xll.VoseSimPercentile('Cash flow'!AH40,0.1)),_xll.VoseSimPercentile('Cash flow'!AH40,0.1),NA())</f>
        <v>0</v>
      </c>
      <c r="D173" s="74" cm="1">
        <f t="array" aca="1" ref="D173" ca="1">IF(ISNUMBER(_xll.VoseSimPercentile('Cash flow'!AH40,0.5)),_xll.VoseSimPercentile('Cash flow'!AH40,0.5),NA())</f>
        <v>37.041881441421033</v>
      </c>
      <c r="E173" s="74" cm="1">
        <f t="array" aca="1" ref="E173" ca="1">IF(ISNUMBER(_xll.VoseSimPercentile('Cash flow'!AH40,0.9)),_xll.VoseSimPercentile('Cash flow'!AH40,0.9),NA())</f>
        <v>40.449273700552496</v>
      </c>
      <c r="F173" s="74" cm="1">
        <f t="array" aca="1" ref="F173" ca="1">IF(ISNUMBER(_xll.VoseSimMean('Cash flow'!AH40)),_xll.VoseSimMean('Cash flow'!AH40),NA())</f>
        <v>30.752384915084733</v>
      </c>
    </row>
    <row r="174" spans="2:6" hidden="1" outlineLevel="1" x14ac:dyDescent="0.45">
      <c r="B174" s="77">
        <f>'Cash flow'!AI6</f>
        <v>30</v>
      </c>
      <c r="C174" s="74" cm="1">
        <f t="array" aca="1" ref="C174" ca="1">IF(ISNUMBER(_xll.VoseSimPercentile('Cash flow'!AI40,0.1)),_xll.VoseSimPercentile('Cash flow'!AI40,0.1),NA())</f>
        <v>0</v>
      </c>
      <c r="D174" s="74" cm="1">
        <f t="array" aca="1" ref="D174" ca="1">IF(ISNUMBER(_xll.VoseSimPercentile('Cash flow'!AI40,0.5)),_xll.VoseSimPercentile('Cash flow'!AI40,0.5),NA())</f>
        <v>36.412419420694143</v>
      </c>
      <c r="E174" s="74" cm="1">
        <f t="array" aca="1" ref="E174" ca="1">IF(ISNUMBER(_xll.VoseSimPercentile('Cash flow'!AI40,0.9)),_xll.VoseSimPercentile('Cash flow'!AI40,0.9),NA())</f>
        <v>40.404048012126992</v>
      </c>
      <c r="F174" s="74" cm="1">
        <f t="array" aca="1" ref="F174" ca="1">IF(ISNUMBER(_xll.VoseSimMean('Cash flow'!AI40)),_xll.VoseSimMean('Cash flow'!AI40),NA())</f>
        <v>24.466695749893344</v>
      </c>
    </row>
    <row r="175" spans="2:6" hidden="1" outlineLevel="1" x14ac:dyDescent="0.45">
      <c r="B175" s="77">
        <f>'Cash flow'!AJ6</f>
        <v>31</v>
      </c>
      <c r="C175" s="74" cm="1">
        <f t="array" aca="1" ref="C175" ca="1">IF(ISNUMBER(_xll.VoseSimPercentile('Cash flow'!AJ40,0.1)),_xll.VoseSimPercentile('Cash flow'!AJ40,0.1),NA())</f>
        <v>0</v>
      </c>
      <c r="D175" s="74" cm="1">
        <f t="array" aca="1" ref="D175" ca="1">IF(ISNUMBER(_xll.VoseSimPercentile('Cash flow'!AJ40,0.5)),_xll.VoseSimPercentile('Cash flow'!AJ40,0.5),NA())</f>
        <v>0</v>
      </c>
      <c r="E175" s="74" cm="1">
        <f t="array" aca="1" ref="E175" ca="1">IF(ISNUMBER(_xll.VoseSimPercentile('Cash flow'!AJ40,0.9)),_xll.VoseSimPercentile('Cash flow'!AJ40,0.9),NA())</f>
        <v>40.14615262983456</v>
      </c>
      <c r="F175" s="74" cm="1">
        <f t="array" aca="1" ref="F175" ca="1">IF(ISNUMBER(_xll.VoseSimMean('Cash flow'!AJ40)),_xll.VoseSimMean('Cash flow'!AJ40),NA())</f>
        <v>17.491208674576143</v>
      </c>
    </row>
    <row r="176" spans="2:6" hidden="1" outlineLevel="1" x14ac:dyDescent="0.45">
      <c r="B176" s="77">
        <f>'Cash flow'!AK6</f>
        <v>32</v>
      </c>
      <c r="C176" s="74" cm="1">
        <f t="array" aca="1" ref="C176" ca="1">IF(ISNUMBER(_xll.VoseSimPercentile('Cash flow'!AK40,0.1)),_xll.VoseSimPercentile('Cash flow'!AK40,0.1),NA())</f>
        <v>0</v>
      </c>
      <c r="D176" s="74" cm="1">
        <f t="array" aca="1" ref="D176" ca="1">IF(ISNUMBER(_xll.VoseSimPercentile('Cash flow'!AK40,0.5)),_xll.VoseSimPercentile('Cash flow'!AK40,0.5),NA())</f>
        <v>0</v>
      </c>
      <c r="E176" s="74" cm="1">
        <f t="array" aca="1" ref="E176" ca="1">IF(ISNUMBER(_xll.VoseSimPercentile('Cash flow'!AK40,0.9)),_xll.VoseSimPercentile('Cash flow'!AK40,0.9),NA())</f>
        <v>39.468806852724789</v>
      </c>
      <c r="F176" s="74" cm="1">
        <f t="array" aca="1" ref="F176" ca="1">IF(ISNUMBER(_xll.VoseSimMean('Cash flow'!AK40)),_xll.VoseSimMean('Cash flow'!AK40),NA())</f>
        <v>10.915762992610947</v>
      </c>
    </row>
    <row r="177" spans="2:6" hidden="1" outlineLevel="1" x14ac:dyDescent="0.45">
      <c r="B177" s="77">
        <f>'Cash flow'!AL6</f>
        <v>33</v>
      </c>
      <c r="C177" s="74" cm="1">
        <f t="array" aca="1" ref="C177" ca="1">IF(ISNUMBER(_xll.VoseSimPercentile('Cash flow'!AL40,0.1)),_xll.VoseSimPercentile('Cash flow'!AL40,0.1),NA())</f>
        <v>0</v>
      </c>
      <c r="D177" s="74" cm="1">
        <f t="array" aca="1" ref="D177" ca="1">IF(ISNUMBER(_xll.VoseSimPercentile('Cash flow'!AL40,0.5)),_xll.VoseSimPercentile('Cash flow'!AL40,0.5),NA())</f>
        <v>0</v>
      </c>
      <c r="E177" s="74" cm="1">
        <f t="array" aca="1" ref="E177" ca="1">IF(ISNUMBER(_xll.VoseSimPercentile('Cash flow'!AL40,0.9)),_xll.VoseSimPercentile('Cash flow'!AL40,0.9),NA())</f>
        <v>37.714020563921181</v>
      </c>
      <c r="F177" s="74" cm="1">
        <f t="array" aca="1" ref="F177" ca="1">IF(ISNUMBER(_xll.VoseSimMean('Cash flow'!AL40)),_xll.VoseSimMean('Cash flow'!AL40),NA())</f>
        <v>5.5578023126424094</v>
      </c>
    </row>
    <row r="178" spans="2:6" hidden="1" outlineLevel="1" x14ac:dyDescent="0.45">
      <c r="B178" s="77">
        <f>'Cash flow'!AM6</f>
        <v>34</v>
      </c>
      <c r="C178" s="74" cm="1">
        <f t="array" aca="1" ref="C178" ca="1">IF(ISNUMBER(_xll.VoseSimPercentile('Cash flow'!AM40,0.1)),_xll.VoseSimPercentile('Cash flow'!AM40,0.1),NA())</f>
        <v>0</v>
      </c>
      <c r="D178" s="74" cm="1">
        <f t="array" aca="1" ref="D178" ca="1">IF(ISNUMBER(_xll.VoseSimPercentile('Cash flow'!AM40,0.5)),_xll.VoseSimPercentile('Cash flow'!AM40,0.5),NA())</f>
        <v>0</v>
      </c>
      <c r="E178" s="74" cm="1">
        <f t="array" aca="1" ref="E178" ca="1">IF(ISNUMBER(_xll.VoseSimPercentile('Cash flow'!AM40,0.9)),_xll.VoseSimPercentile('Cash flow'!AM40,0.9),NA())</f>
        <v>0</v>
      </c>
      <c r="F178" s="74" cm="1">
        <f t="array" aca="1" ref="F178" ca="1">IF(ISNUMBER(_xll.VoseSimMean('Cash flow'!AM40)),_xll.VoseSimMean('Cash flow'!AM40),NA())</f>
        <v>2.0456336031678801</v>
      </c>
    </row>
    <row r="179" spans="2:6" hidden="1" outlineLevel="1" x14ac:dyDescent="0.45">
      <c r="B179" s="77">
        <f>'Cash flow'!AN6</f>
        <v>35</v>
      </c>
      <c r="C179" s="74" cm="1">
        <f t="array" aca="1" ref="C179" ca="1">IF(ISNUMBER(_xll.VoseSimPercentile('Cash flow'!AN40,0.1)),_xll.VoseSimPercentile('Cash flow'!AN40,0.1),NA())</f>
        <v>0</v>
      </c>
      <c r="D179" s="74" cm="1">
        <f t="array" aca="1" ref="D179" ca="1">IF(ISNUMBER(_xll.VoseSimPercentile('Cash flow'!AN40,0.5)),_xll.VoseSimPercentile('Cash flow'!AN40,0.5),NA())</f>
        <v>0</v>
      </c>
      <c r="E179" s="74" cm="1">
        <f t="array" aca="1" ref="E179" ca="1">IF(ISNUMBER(_xll.VoseSimPercentile('Cash flow'!AN40,0.9)),_xll.VoseSimPercentile('Cash flow'!AN40,0.9),NA())</f>
        <v>0</v>
      </c>
      <c r="F179" s="74" cm="1">
        <f t="array" aca="1" ref="F179" ca="1">IF(ISNUMBER(_xll.VoseSimMean('Cash flow'!AN40)),_xll.VoseSimMean('Cash flow'!AN40),NA())</f>
        <v>0.47708903770981215</v>
      </c>
    </row>
    <row r="180" spans="2:6" hidden="1" outlineLevel="1" x14ac:dyDescent="0.45">
      <c r="B180" s="77">
        <f>'Cash flow'!AO6</f>
        <v>36</v>
      </c>
      <c r="C180" s="74" cm="1">
        <f t="array" aca="1" ref="C180" ca="1">IF(ISNUMBER(_xll.VoseSimPercentile('Cash flow'!AO40,0.1)),_xll.VoseSimPercentile('Cash flow'!AO40,0.1),NA())</f>
        <v>0</v>
      </c>
      <c r="D180" s="74" cm="1">
        <f t="array" aca="1" ref="D180" ca="1">IF(ISNUMBER(_xll.VoseSimPercentile('Cash flow'!AO40,0.5)),_xll.VoseSimPercentile('Cash flow'!AO40,0.5),NA())</f>
        <v>0</v>
      </c>
      <c r="E180" s="74" cm="1">
        <f t="array" aca="1" ref="E180" ca="1">IF(ISNUMBER(_xll.VoseSimPercentile('Cash flow'!AO40,0.9)),_xll.VoseSimPercentile('Cash flow'!AO40,0.9),NA())</f>
        <v>0</v>
      </c>
      <c r="F180" s="74" cm="1">
        <f t="array" aca="1" ref="F180" ca="1">IF(ISNUMBER(_xll.VoseSimMean('Cash flow'!AO40)),_xll.VoseSimMean('Cash flow'!AO40),NA())</f>
        <v>1.6609866850227063E-2</v>
      </c>
    </row>
    <row r="181" spans="2:6" hidden="1" outlineLevel="1" x14ac:dyDescent="0.45">
      <c r="B181" s="77">
        <f>'Cash flow'!AP6</f>
        <v>37</v>
      </c>
      <c r="C181" s="74" cm="1">
        <f t="array" aca="1" ref="C181" ca="1">IF(ISNUMBER(_xll.VoseSimPercentile('Cash flow'!AP40,0.1)),_xll.VoseSimPercentile('Cash flow'!AP40,0.1),NA())</f>
        <v>0</v>
      </c>
      <c r="D181" s="74" cm="1">
        <f t="array" aca="1" ref="D181" ca="1">IF(ISNUMBER(_xll.VoseSimPercentile('Cash flow'!AP40,0.5)),_xll.VoseSimPercentile('Cash flow'!AP40,0.5),NA())</f>
        <v>0</v>
      </c>
      <c r="E181" s="74" cm="1">
        <f t="array" aca="1" ref="E181" ca="1">IF(ISNUMBER(_xll.VoseSimPercentile('Cash flow'!AP40,0.9)),_xll.VoseSimPercentile('Cash flow'!AP40,0.9),NA())</f>
        <v>0</v>
      </c>
      <c r="F181" s="74" cm="1">
        <f t="array" aca="1" ref="F181" ca="1">IF(ISNUMBER(_xll.VoseSimMean('Cash flow'!AP40)),_xll.VoseSimMean('Cash flow'!AP40),NA())</f>
        <v>0</v>
      </c>
    </row>
    <row r="182" spans="2:6" hidden="1" outlineLevel="1" x14ac:dyDescent="0.45">
      <c r="B182" s="77">
        <f>'Cash flow'!AQ6</f>
        <v>38</v>
      </c>
      <c r="C182" s="74" cm="1">
        <f t="array" aca="1" ref="C182" ca="1">IF(ISNUMBER(_xll.VoseSimPercentile('Cash flow'!AQ40,0.1)),_xll.VoseSimPercentile('Cash flow'!AQ40,0.1),NA())</f>
        <v>0</v>
      </c>
      <c r="D182" s="74" cm="1">
        <f t="array" aca="1" ref="D182" ca="1">IF(ISNUMBER(_xll.VoseSimPercentile('Cash flow'!AQ40,0.5)),_xll.VoseSimPercentile('Cash flow'!AQ40,0.5),NA())</f>
        <v>0</v>
      </c>
      <c r="E182" s="74" cm="1">
        <f t="array" aca="1" ref="E182" ca="1">IF(ISNUMBER(_xll.VoseSimPercentile('Cash flow'!AQ40,0.9)),_xll.VoseSimPercentile('Cash flow'!AQ40,0.9),NA())</f>
        <v>0</v>
      </c>
      <c r="F182" s="74" cm="1">
        <f t="array" aca="1" ref="F182" ca="1">IF(ISNUMBER(_xll.VoseSimMean('Cash flow'!AQ40)),_xll.VoseSimMean('Cash flow'!AQ40),NA())</f>
        <v>0</v>
      </c>
    </row>
    <row r="183" spans="2:6" hidden="1" outlineLevel="1" x14ac:dyDescent="0.45">
      <c r="B183" s="77">
        <f>'Cash flow'!AR6</f>
        <v>39</v>
      </c>
      <c r="C183" s="74" cm="1">
        <f t="array" aca="1" ref="C183" ca="1">IF(ISNUMBER(_xll.VoseSimPercentile('Cash flow'!AR40,0.1)),_xll.VoseSimPercentile('Cash flow'!AR40,0.1),NA())</f>
        <v>0</v>
      </c>
      <c r="D183" s="74" cm="1">
        <f t="array" aca="1" ref="D183" ca="1">IF(ISNUMBER(_xll.VoseSimPercentile('Cash flow'!AR40,0.5)),_xll.VoseSimPercentile('Cash flow'!AR40,0.5),NA())</f>
        <v>0</v>
      </c>
      <c r="E183" s="74" cm="1">
        <f t="array" aca="1" ref="E183" ca="1">IF(ISNUMBER(_xll.VoseSimPercentile('Cash flow'!AR40,0.9)),_xll.VoseSimPercentile('Cash flow'!AR40,0.9),NA())</f>
        <v>0</v>
      </c>
      <c r="F183" s="74" cm="1">
        <f t="array" aca="1" ref="F183" ca="1">IF(ISNUMBER(_xll.VoseSimMean('Cash flow'!AR40)),_xll.VoseSimMean('Cash flow'!AR40),NA())</f>
        <v>0</v>
      </c>
    </row>
    <row r="184" spans="2:6" hidden="1" outlineLevel="1" x14ac:dyDescent="0.45">
      <c r="B184" s="77">
        <f>'Cash flow'!AS6</f>
        <v>40</v>
      </c>
      <c r="C184" s="74" cm="1">
        <f t="array" aca="1" ref="C184" ca="1">IF(ISNUMBER(_xll.VoseSimPercentile('Cash flow'!AS40,0.1)),_xll.VoseSimPercentile('Cash flow'!AS40,0.1),NA())</f>
        <v>0</v>
      </c>
      <c r="D184" s="74" cm="1">
        <f t="array" aca="1" ref="D184" ca="1">IF(ISNUMBER(_xll.VoseSimPercentile('Cash flow'!AS40,0.5)),_xll.VoseSimPercentile('Cash flow'!AS40,0.5),NA())</f>
        <v>0</v>
      </c>
      <c r="E184" s="74" cm="1">
        <f t="array" aca="1" ref="E184" ca="1">IF(ISNUMBER(_xll.VoseSimPercentile('Cash flow'!AS40,0.9)),_xll.VoseSimPercentile('Cash flow'!AS40,0.9),NA())</f>
        <v>0</v>
      </c>
      <c r="F184" s="74" cm="1">
        <f t="array" aca="1" ref="F184" ca="1">IF(ISNUMBER(_xll.VoseSimMean('Cash flow'!AS40)),_xll.VoseSimMean('Cash flow'!AS40),NA())</f>
        <v>0</v>
      </c>
    </row>
    <row r="185" spans="2:6" hidden="1" outlineLevel="1" x14ac:dyDescent="0.45">
      <c r="B185" s="77">
        <f>'Cash flow'!AT6</f>
        <v>41</v>
      </c>
      <c r="C185" s="74" cm="1">
        <f t="array" aca="1" ref="C185" ca="1">IF(ISNUMBER(_xll.VoseSimPercentile('Cash flow'!AT40,0.1)),_xll.VoseSimPercentile('Cash flow'!AT40,0.1),NA())</f>
        <v>0</v>
      </c>
      <c r="D185" s="74" cm="1">
        <f t="array" aca="1" ref="D185" ca="1">IF(ISNUMBER(_xll.VoseSimPercentile('Cash flow'!AT40,0.5)),_xll.VoseSimPercentile('Cash flow'!AT40,0.5),NA())</f>
        <v>0</v>
      </c>
      <c r="E185" s="74" cm="1">
        <f t="array" aca="1" ref="E185" ca="1">IF(ISNUMBER(_xll.VoseSimPercentile('Cash flow'!AT40,0.9)),_xll.VoseSimPercentile('Cash flow'!AT40,0.9),NA())</f>
        <v>0</v>
      </c>
      <c r="F185" s="74" cm="1">
        <f t="array" aca="1" ref="F185" ca="1">IF(ISNUMBER(_xll.VoseSimMean('Cash flow'!AT40)),_xll.VoseSimMean('Cash flow'!AT40),NA())</f>
        <v>0</v>
      </c>
    </row>
    <row r="186" spans="2:6" hidden="1" outlineLevel="1" x14ac:dyDescent="0.45">
      <c r="B186" s="77">
        <f>'Cash flow'!AU6</f>
        <v>42</v>
      </c>
      <c r="C186" s="74" cm="1">
        <f t="array" aca="1" ref="C186" ca="1">IF(ISNUMBER(_xll.VoseSimPercentile('Cash flow'!AU40,0.1)),_xll.VoseSimPercentile('Cash flow'!AU40,0.1),NA())</f>
        <v>0</v>
      </c>
      <c r="D186" s="74" cm="1">
        <f t="array" aca="1" ref="D186" ca="1">IF(ISNUMBER(_xll.VoseSimPercentile('Cash flow'!AU40,0.5)),_xll.VoseSimPercentile('Cash flow'!AU40,0.5),NA())</f>
        <v>0</v>
      </c>
      <c r="E186" s="74" cm="1">
        <f t="array" aca="1" ref="E186" ca="1">IF(ISNUMBER(_xll.VoseSimPercentile('Cash flow'!AU40,0.9)),_xll.VoseSimPercentile('Cash flow'!AU40,0.9),NA())</f>
        <v>0</v>
      </c>
      <c r="F186" s="74" cm="1">
        <f t="array" aca="1" ref="F186" ca="1">IF(ISNUMBER(_xll.VoseSimMean('Cash flow'!AU40)),_xll.VoseSimMean('Cash flow'!AU40),NA())</f>
        <v>0</v>
      </c>
    </row>
    <row r="187" spans="2:6" hidden="1" outlineLevel="1" x14ac:dyDescent="0.45">
      <c r="B187" s="77">
        <f>'Cash flow'!AV6</f>
        <v>43</v>
      </c>
      <c r="C187" s="74" cm="1">
        <f t="array" aca="1" ref="C187" ca="1">IF(ISNUMBER(_xll.VoseSimPercentile('Cash flow'!AV40,0.1)),_xll.VoseSimPercentile('Cash flow'!AV40,0.1),NA())</f>
        <v>0</v>
      </c>
      <c r="D187" s="74" cm="1">
        <f t="array" aca="1" ref="D187" ca="1">IF(ISNUMBER(_xll.VoseSimPercentile('Cash flow'!AV40,0.5)),_xll.VoseSimPercentile('Cash flow'!AV40,0.5),NA())</f>
        <v>0</v>
      </c>
      <c r="E187" s="74" cm="1">
        <f t="array" aca="1" ref="E187" ca="1">IF(ISNUMBER(_xll.VoseSimPercentile('Cash flow'!AV40,0.9)),_xll.VoseSimPercentile('Cash flow'!AV40,0.9),NA())</f>
        <v>0</v>
      </c>
      <c r="F187" s="74" cm="1">
        <f t="array" aca="1" ref="F187" ca="1">IF(ISNUMBER(_xll.VoseSimMean('Cash flow'!AV40)),_xll.VoseSimMean('Cash flow'!AV40),NA())</f>
        <v>0</v>
      </c>
    </row>
    <row r="188" spans="2:6" hidden="1" outlineLevel="1" x14ac:dyDescent="0.45">
      <c r="B188" s="77">
        <f>'Cash flow'!AW6</f>
        <v>44</v>
      </c>
      <c r="C188" s="74" cm="1">
        <f t="array" aca="1" ref="C188" ca="1">IF(ISNUMBER(_xll.VoseSimPercentile('Cash flow'!AW40,0.1)),_xll.VoseSimPercentile('Cash flow'!AW40,0.1),NA())</f>
        <v>0</v>
      </c>
      <c r="D188" s="74" cm="1">
        <f t="array" aca="1" ref="D188" ca="1">IF(ISNUMBER(_xll.VoseSimPercentile('Cash flow'!AW40,0.5)),_xll.VoseSimPercentile('Cash flow'!AW40,0.5),NA())</f>
        <v>0</v>
      </c>
      <c r="E188" s="74" cm="1">
        <f t="array" aca="1" ref="E188" ca="1">IF(ISNUMBER(_xll.VoseSimPercentile('Cash flow'!AW40,0.9)),_xll.VoseSimPercentile('Cash flow'!AW40,0.9),NA())</f>
        <v>0</v>
      </c>
      <c r="F188" s="74" cm="1">
        <f t="array" aca="1" ref="F188" ca="1">IF(ISNUMBER(_xll.VoseSimMean('Cash flow'!AW40)),_xll.VoseSimMean('Cash flow'!AW40),NA())</f>
        <v>0</v>
      </c>
    </row>
    <row r="189" spans="2:6" hidden="1" outlineLevel="1" x14ac:dyDescent="0.45">
      <c r="B189" s="77">
        <f>'Cash flow'!AX6</f>
        <v>45</v>
      </c>
      <c r="C189" s="74" cm="1">
        <f t="array" aca="1" ref="C189" ca="1">IF(ISNUMBER(_xll.VoseSimPercentile('Cash flow'!AX40,0.1)),_xll.VoseSimPercentile('Cash flow'!AX40,0.1),NA())</f>
        <v>0</v>
      </c>
      <c r="D189" s="74" cm="1">
        <f t="array" aca="1" ref="D189" ca="1">IF(ISNUMBER(_xll.VoseSimPercentile('Cash flow'!AX40,0.5)),_xll.VoseSimPercentile('Cash flow'!AX40,0.5),NA())</f>
        <v>0</v>
      </c>
      <c r="E189" s="74" cm="1">
        <f t="array" aca="1" ref="E189" ca="1">IF(ISNUMBER(_xll.VoseSimPercentile('Cash flow'!AX40,0.9)),_xll.VoseSimPercentile('Cash flow'!AX40,0.9),NA())</f>
        <v>0</v>
      </c>
      <c r="F189" s="74" cm="1">
        <f t="array" aca="1" ref="F189" ca="1">IF(ISNUMBER(_xll.VoseSimMean('Cash flow'!AX40)),_xll.VoseSimMean('Cash flow'!AX40),NA())</f>
        <v>0</v>
      </c>
    </row>
    <row r="190" spans="2:6" hidden="1" outlineLevel="1" x14ac:dyDescent="0.45">
      <c r="B190" s="77">
        <f>'Cash flow'!AY6</f>
        <v>46</v>
      </c>
      <c r="C190" s="74" cm="1">
        <f t="array" aca="1" ref="C190" ca="1">IF(ISNUMBER(_xll.VoseSimPercentile('Cash flow'!AY40,0.1)),_xll.VoseSimPercentile('Cash flow'!AY40,0.1),NA())</f>
        <v>0</v>
      </c>
      <c r="D190" s="74" cm="1">
        <f t="array" aca="1" ref="D190" ca="1">IF(ISNUMBER(_xll.VoseSimPercentile('Cash flow'!AY40,0.5)),_xll.VoseSimPercentile('Cash flow'!AY40,0.5),NA())</f>
        <v>0</v>
      </c>
      <c r="E190" s="74" cm="1">
        <f t="array" aca="1" ref="E190" ca="1">IF(ISNUMBER(_xll.VoseSimPercentile('Cash flow'!AY40,0.9)),_xll.VoseSimPercentile('Cash flow'!AY40,0.9),NA())</f>
        <v>0</v>
      </c>
      <c r="F190" s="74" cm="1">
        <f t="array" aca="1" ref="F190" ca="1">IF(ISNUMBER(_xll.VoseSimMean('Cash flow'!AY40)),_xll.VoseSimMean('Cash flow'!AY40),NA())</f>
        <v>0</v>
      </c>
    </row>
    <row r="191" spans="2:6" hidden="1" outlineLevel="1" x14ac:dyDescent="0.45">
      <c r="B191" s="77">
        <f>'Cash flow'!AZ6</f>
        <v>47</v>
      </c>
      <c r="C191" s="74" cm="1">
        <f t="array" aca="1" ref="C191" ca="1">IF(ISNUMBER(_xll.VoseSimPercentile('Cash flow'!AZ40,0.1)),_xll.VoseSimPercentile('Cash flow'!AZ40,0.1),NA())</f>
        <v>0</v>
      </c>
      <c r="D191" s="74" cm="1">
        <f t="array" aca="1" ref="D191" ca="1">IF(ISNUMBER(_xll.VoseSimPercentile('Cash flow'!AZ40,0.5)),_xll.VoseSimPercentile('Cash flow'!AZ40,0.5),NA())</f>
        <v>0</v>
      </c>
      <c r="E191" s="74" cm="1">
        <f t="array" aca="1" ref="E191" ca="1">IF(ISNUMBER(_xll.VoseSimPercentile('Cash flow'!AZ40,0.9)),_xll.VoseSimPercentile('Cash flow'!AZ40,0.9),NA())</f>
        <v>0</v>
      </c>
      <c r="F191" s="74" cm="1">
        <f t="array" aca="1" ref="F191" ca="1">IF(ISNUMBER(_xll.VoseSimMean('Cash flow'!AZ40)),_xll.VoseSimMean('Cash flow'!AZ40),NA())</f>
        <v>0</v>
      </c>
    </row>
    <row r="192" spans="2:6" hidden="1" outlineLevel="1" x14ac:dyDescent="0.45">
      <c r="B192" s="77">
        <f>'Cash flow'!BA6</f>
        <v>48</v>
      </c>
      <c r="C192" s="74" cm="1">
        <f t="array" aca="1" ref="C192" ca="1">IF(ISNUMBER(_xll.VoseSimPercentile('Cash flow'!BA40,0.1)),_xll.VoseSimPercentile('Cash flow'!BA40,0.1),NA())</f>
        <v>0</v>
      </c>
      <c r="D192" s="74" cm="1">
        <f t="array" aca="1" ref="D192" ca="1">IF(ISNUMBER(_xll.VoseSimPercentile('Cash flow'!BA40,0.5)),_xll.VoseSimPercentile('Cash flow'!BA40,0.5),NA())</f>
        <v>0</v>
      </c>
      <c r="E192" s="74" cm="1">
        <f t="array" aca="1" ref="E192" ca="1">IF(ISNUMBER(_xll.VoseSimPercentile('Cash flow'!BA40,0.9)),_xll.VoseSimPercentile('Cash flow'!BA40,0.9),NA())</f>
        <v>0</v>
      </c>
      <c r="F192" s="74" cm="1">
        <f t="array" aca="1" ref="F192" ca="1">IF(ISNUMBER(_xll.VoseSimMean('Cash flow'!BA40)),_xll.VoseSimMean('Cash flow'!BA40),NA())</f>
        <v>0</v>
      </c>
    </row>
  </sheetData>
  <mergeCells count="4">
    <mergeCell ref="B70:G70"/>
    <mergeCell ref="B73:G73"/>
    <mergeCell ref="B72:G72"/>
    <mergeCell ref="B71:G71"/>
  </mergeCells>
  <conditionalFormatting sqref="B7">
    <cfRule type="expression" dxfId="7" priority="2">
      <formula>LEFT($B$7,1)="✗"</formula>
    </cfRule>
  </conditionalFormatting>
  <conditionalFormatting sqref="B6:G6">
    <cfRule type="expression" dxfId="6" priority="1">
      <formula>LEFT($B$6,1)&lt;&gt;"✔"</formula>
    </cfRule>
  </conditionalFormatting>
  <conditionalFormatting sqref="C145:F192">
    <cfRule type="expression" dxfId="5" priority="8">
      <formula>ISNA(C145)</formula>
    </cfRule>
  </conditionalFormatting>
  <conditionalFormatting sqref="D26">
    <cfRule type="expression" dxfId="4" priority="3">
      <formula>AND(ISNUMBER($D$25),$D$25&lt;=Facility)</formula>
    </cfRule>
    <cfRule type="expression" dxfId="3" priority="4">
      <formula>AND(ISNUMBER($D$25),NOT($D$25&lt;=Facility))</formula>
    </cfRule>
  </conditionalFormatting>
  <conditionalFormatting sqref="D79:D128">
    <cfRule type="expression" dxfId="2" priority="5">
      <formula>ISNA(D79)</formula>
    </cfRule>
  </conditionalFormatting>
  <conditionalFormatting sqref="F132:G135">
    <cfRule type="expression" dxfId="1" priority="6">
      <formula>ISNA(F132)</formula>
    </cfRule>
  </conditionalFormatting>
  <conditionalFormatting sqref="F139:G142">
    <cfRule type="expression" dxfId="0" priority="7">
      <formula>ISNA(F139)</formula>
    </cfRule>
  </conditionalFormatting>
  <hyperlinks>
    <hyperlink ref="B4" location="'Cash flow'!A1" display="◂  Cash flow"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40"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1ABD9-0CA0-4915-B800-57AFC177369D}">
  <dimension ref="A1:B1"/>
  <sheetViews>
    <sheetView workbookViewId="0"/>
  </sheetViews>
  <sheetFormatPr defaultRowHeight="14.25" x14ac:dyDescent="0.45"/>
  <sheetData>
    <row r="1" spans="1:2" x14ac:dyDescent="0.45">
      <c r="A1" s="83" t="s">
        <v>270</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ECAB8-CB16-4BDF-9D52-FF4D349DE432}">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90B53-6655-47F8-BA9A-AF9A51C9F358}">
  <dimension ref="B3:B582"/>
  <sheetViews>
    <sheetView workbookViewId="0"/>
  </sheetViews>
  <sheetFormatPr defaultRowHeight="14.25" x14ac:dyDescent="0.45"/>
  <sheetData>
    <row r="3" spans="2:2" x14ac:dyDescent="0.45">
      <c r="B3">
        <v>0</v>
      </c>
    </row>
    <row r="4" spans="2:2" x14ac:dyDescent="0.45">
      <c r="B4">
        <v>0</v>
      </c>
    </row>
    <row r="5" spans="2:2" x14ac:dyDescent="0.45">
      <c r="B5">
        <v>0</v>
      </c>
    </row>
    <row r="6" spans="2:2" x14ac:dyDescent="0.45">
      <c r="B6">
        <v>0</v>
      </c>
    </row>
    <row r="7" spans="2:2" x14ac:dyDescent="0.45">
      <c r="B7">
        <v>0</v>
      </c>
    </row>
    <row r="8" spans="2:2" x14ac:dyDescent="0.45">
      <c r="B8">
        <v>2000</v>
      </c>
    </row>
    <row r="9" spans="2:2" x14ac:dyDescent="0.45">
      <c r="B9">
        <v>0</v>
      </c>
    </row>
    <row r="10" spans="2:2" x14ac:dyDescent="0.45">
      <c r="B10">
        <v>0</v>
      </c>
    </row>
    <row r="11" spans="2:2" x14ac:dyDescent="0.45">
      <c r="B11">
        <v>0</v>
      </c>
    </row>
    <row r="12" spans="2:2" x14ac:dyDescent="0.45">
      <c r="B12">
        <v>0</v>
      </c>
    </row>
    <row r="13" spans="2:2" x14ac:dyDescent="0.45">
      <c r="B13">
        <v>0</v>
      </c>
    </row>
    <row r="14" spans="2:2" x14ac:dyDescent="0.45">
      <c r="B14">
        <v>0</v>
      </c>
    </row>
    <row r="15" spans="2:2" x14ac:dyDescent="0.45">
      <c r="B15">
        <v>0</v>
      </c>
    </row>
    <row r="16" spans="2:2" x14ac:dyDescent="0.45">
      <c r="B16">
        <v>0</v>
      </c>
    </row>
    <row r="17" spans="2:2" x14ac:dyDescent="0.45">
      <c r="B17">
        <v>0</v>
      </c>
    </row>
    <row r="18" spans="2:2" x14ac:dyDescent="0.45">
      <c r="B18">
        <v>2000</v>
      </c>
    </row>
    <row r="19" spans="2:2" x14ac:dyDescent="0.45">
      <c r="B19">
        <v>0</v>
      </c>
    </row>
    <row r="20" spans="2:2" x14ac:dyDescent="0.45">
      <c r="B20">
        <v>0</v>
      </c>
    </row>
    <row r="21" spans="2:2" x14ac:dyDescent="0.45">
      <c r="B21">
        <v>0</v>
      </c>
    </row>
    <row r="22" spans="2:2" x14ac:dyDescent="0.45">
      <c r="B22">
        <v>0</v>
      </c>
    </row>
    <row r="23" spans="2:2" x14ac:dyDescent="0.45">
      <c r="B23">
        <v>0</v>
      </c>
    </row>
    <row r="24" spans="2:2" x14ac:dyDescent="0.45">
      <c r="B24">
        <v>0</v>
      </c>
    </row>
    <row r="25" spans="2:2" x14ac:dyDescent="0.45">
      <c r="B25">
        <v>0</v>
      </c>
    </row>
    <row r="26" spans="2:2" x14ac:dyDescent="0.45">
      <c r="B26">
        <v>0</v>
      </c>
    </row>
    <row r="27" spans="2:2" x14ac:dyDescent="0.45">
      <c r="B27">
        <v>0</v>
      </c>
    </row>
    <row r="28" spans="2:2" x14ac:dyDescent="0.45">
      <c r="B28">
        <v>2000</v>
      </c>
    </row>
    <row r="29" spans="2:2" x14ac:dyDescent="0.45">
      <c r="B29">
        <v>0</v>
      </c>
    </row>
    <row r="30" spans="2:2" x14ac:dyDescent="0.45">
      <c r="B30">
        <v>0</v>
      </c>
    </row>
    <row r="31" spans="2:2" x14ac:dyDescent="0.45">
      <c r="B31">
        <v>0</v>
      </c>
    </row>
    <row r="32" spans="2:2" x14ac:dyDescent="0.45">
      <c r="B32">
        <v>0</v>
      </c>
    </row>
    <row r="33" spans="2:2" x14ac:dyDescent="0.45">
      <c r="B33">
        <v>0</v>
      </c>
    </row>
    <row r="34" spans="2:2" x14ac:dyDescent="0.45">
      <c r="B34">
        <v>0</v>
      </c>
    </row>
    <row r="35" spans="2:2" x14ac:dyDescent="0.45">
      <c r="B35">
        <v>0</v>
      </c>
    </row>
    <row r="36" spans="2:2" x14ac:dyDescent="0.45">
      <c r="B36">
        <v>0</v>
      </c>
    </row>
    <row r="37" spans="2:2" x14ac:dyDescent="0.45">
      <c r="B37">
        <v>0</v>
      </c>
    </row>
    <row r="38" spans="2:2" x14ac:dyDescent="0.45">
      <c r="B38">
        <v>2000</v>
      </c>
    </row>
    <row r="39" spans="2:2" x14ac:dyDescent="0.45">
      <c r="B39">
        <v>0</v>
      </c>
    </row>
    <row r="40" spans="2:2" x14ac:dyDescent="0.45">
      <c r="B40">
        <v>0</v>
      </c>
    </row>
    <row r="41" spans="2:2" x14ac:dyDescent="0.45">
      <c r="B41">
        <v>0</v>
      </c>
    </row>
    <row r="42" spans="2:2" x14ac:dyDescent="0.45">
      <c r="B42">
        <v>0</v>
      </c>
    </row>
    <row r="43" spans="2:2" x14ac:dyDescent="0.45">
      <c r="B43">
        <v>0</v>
      </c>
    </row>
    <row r="44" spans="2:2" x14ac:dyDescent="0.45">
      <c r="B44">
        <v>0</v>
      </c>
    </row>
    <row r="45" spans="2:2" x14ac:dyDescent="0.45">
      <c r="B45">
        <v>0</v>
      </c>
    </row>
    <row r="46" spans="2:2" x14ac:dyDescent="0.45">
      <c r="B46">
        <v>0</v>
      </c>
    </row>
    <row r="47" spans="2:2" x14ac:dyDescent="0.45">
      <c r="B47">
        <v>0</v>
      </c>
    </row>
    <row r="48" spans="2:2" x14ac:dyDescent="0.45">
      <c r="B48">
        <v>2000</v>
      </c>
    </row>
    <row r="49" spans="2:2" x14ac:dyDescent="0.45">
      <c r="B49">
        <v>0</v>
      </c>
    </row>
    <row r="50" spans="2:2" x14ac:dyDescent="0.45">
      <c r="B50">
        <v>0</v>
      </c>
    </row>
    <row r="51" spans="2:2" x14ac:dyDescent="0.45">
      <c r="B51">
        <v>0</v>
      </c>
    </row>
    <row r="52" spans="2:2" x14ac:dyDescent="0.45">
      <c r="B52">
        <v>0</v>
      </c>
    </row>
    <row r="53" spans="2:2" x14ac:dyDescent="0.45">
      <c r="B53">
        <v>1997</v>
      </c>
    </row>
    <row r="54" spans="2:2" x14ac:dyDescent="0.45">
      <c r="B54">
        <v>1</v>
      </c>
    </row>
    <row r="55" spans="2:2" x14ac:dyDescent="0.45">
      <c r="B55">
        <v>0</v>
      </c>
    </row>
    <row r="56" spans="2:2" x14ac:dyDescent="0.45">
      <c r="B56">
        <v>0</v>
      </c>
    </row>
    <row r="57" spans="2:2" x14ac:dyDescent="0.45">
      <c r="B57">
        <v>0</v>
      </c>
    </row>
    <row r="58" spans="2:2" x14ac:dyDescent="0.45">
      <c r="B58">
        <v>1</v>
      </c>
    </row>
    <row r="59" spans="2:2" x14ac:dyDescent="0.45">
      <c r="B59">
        <v>0</v>
      </c>
    </row>
    <row r="60" spans="2:2" x14ac:dyDescent="0.45">
      <c r="B60">
        <v>0</v>
      </c>
    </row>
    <row r="61" spans="2:2" x14ac:dyDescent="0.45">
      <c r="B61">
        <v>0</v>
      </c>
    </row>
    <row r="62" spans="2:2" x14ac:dyDescent="0.45">
      <c r="B62">
        <v>1</v>
      </c>
    </row>
    <row r="63" spans="2:2" x14ac:dyDescent="0.45">
      <c r="B63">
        <v>1379</v>
      </c>
    </row>
    <row r="64" spans="2:2" x14ac:dyDescent="0.45">
      <c r="B64">
        <v>175</v>
      </c>
    </row>
    <row r="65" spans="2:2" x14ac:dyDescent="0.45">
      <c r="B65">
        <v>171</v>
      </c>
    </row>
    <row r="66" spans="2:2" x14ac:dyDescent="0.45">
      <c r="B66">
        <v>116</v>
      </c>
    </row>
    <row r="67" spans="2:2" x14ac:dyDescent="0.45">
      <c r="B67">
        <v>77</v>
      </c>
    </row>
    <row r="68" spans="2:2" x14ac:dyDescent="0.45">
      <c r="B68">
        <v>42</v>
      </c>
    </row>
    <row r="69" spans="2:2" x14ac:dyDescent="0.45">
      <c r="B69">
        <v>25</v>
      </c>
    </row>
    <row r="70" spans="2:2" x14ac:dyDescent="0.45">
      <c r="B70">
        <v>13</v>
      </c>
    </row>
    <row r="71" spans="2:2" x14ac:dyDescent="0.45">
      <c r="B71">
        <v>1</v>
      </c>
    </row>
    <row r="72" spans="2:2" x14ac:dyDescent="0.45">
      <c r="B72">
        <v>1</v>
      </c>
    </row>
    <row r="73" spans="2:2" x14ac:dyDescent="0.45">
      <c r="B73">
        <v>356</v>
      </c>
    </row>
    <row r="74" spans="2:2" x14ac:dyDescent="0.45">
      <c r="B74">
        <v>349</v>
      </c>
    </row>
    <row r="75" spans="2:2" x14ac:dyDescent="0.45">
      <c r="B75">
        <v>337</v>
      </c>
    </row>
    <row r="76" spans="2:2" x14ac:dyDescent="0.45">
      <c r="B76">
        <v>315</v>
      </c>
    </row>
    <row r="77" spans="2:2" x14ac:dyDescent="0.45">
      <c r="B77">
        <v>269</v>
      </c>
    </row>
    <row r="78" spans="2:2" x14ac:dyDescent="0.45">
      <c r="B78">
        <v>206</v>
      </c>
    </row>
    <row r="79" spans="2:2" x14ac:dyDescent="0.45">
      <c r="B79">
        <v>109</v>
      </c>
    </row>
    <row r="80" spans="2:2" x14ac:dyDescent="0.45">
      <c r="B80">
        <v>43</v>
      </c>
    </row>
    <row r="81" spans="2:2" x14ac:dyDescent="0.45">
      <c r="B81">
        <v>14</v>
      </c>
    </row>
    <row r="82" spans="2:2" x14ac:dyDescent="0.45">
      <c r="B82">
        <v>2</v>
      </c>
    </row>
    <row r="83" spans="2:2" x14ac:dyDescent="0.45">
      <c r="B83">
        <v>43</v>
      </c>
    </row>
    <row r="84" spans="2:2" x14ac:dyDescent="0.45">
      <c r="B84">
        <v>173</v>
      </c>
    </row>
    <row r="85" spans="2:2" x14ac:dyDescent="0.45">
      <c r="B85">
        <v>349</v>
      </c>
    </row>
    <row r="86" spans="2:2" x14ac:dyDescent="0.45">
      <c r="B86">
        <v>419</v>
      </c>
    </row>
    <row r="87" spans="2:2" x14ac:dyDescent="0.45">
      <c r="B87">
        <v>380</v>
      </c>
    </row>
    <row r="88" spans="2:2" x14ac:dyDescent="0.45">
      <c r="B88">
        <v>319</v>
      </c>
    </row>
    <row r="89" spans="2:2" x14ac:dyDescent="0.45">
      <c r="B89">
        <v>198</v>
      </c>
    </row>
    <row r="90" spans="2:2" x14ac:dyDescent="0.45">
      <c r="B90">
        <v>90</v>
      </c>
    </row>
    <row r="91" spans="2:2" x14ac:dyDescent="0.45">
      <c r="B91">
        <v>27</v>
      </c>
    </row>
    <row r="92" spans="2:2" x14ac:dyDescent="0.45">
      <c r="B92">
        <v>2</v>
      </c>
    </row>
    <row r="93" spans="2:2" x14ac:dyDescent="0.45">
      <c r="B93">
        <v>45</v>
      </c>
    </row>
    <row r="94" spans="2:2" x14ac:dyDescent="0.45">
      <c r="B94">
        <v>166</v>
      </c>
    </row>
    <row r="95" spans="2:2" x14ac:dyDescent="0.45">
      <c r="B95">
        <v>346</v>
      </c>
    </row>
    <row r="96" spans="2:2" x14ac:dyDescent="0.45">
      <c r="B96">
        <v>418</v>
      </c>
    </row>
    <row r="97" spans="2:2" x14ac:dyDescent="0.45">
      <c r="B97">
        <v>385</v>
      </c>
    </row>
    <row r="98" spans="2:2" x14ac:dyDescent="0.45">
      <c r="B98">
        <v>316</v>
      </c>
    </row>
    <row r="99" spans="2:2" x14ac:dyDescent="0.45">
      <c r="B99">
        <v>204</v>
      </c>
    </row>
    <row r="100" spans="2:2" x14ac:dyDescent="0.45">
      <c r="B100">
        <v>90</v>
      </c>
    </row>
    <row r="101" spans="2:2" x14ac:dyDescent="0.45">
      <c r="B101">
        <v>28</v>
      </c>
    </row>
    <row r="102" spans="2:2" x14ac:dyDescent="0.45">
      <c r="B102">
        <v>2</v>
      </c>
    </row>
    <row r="103" spans="2:2" x14ac:dyDescent="0.45">
      <c r="B103">
        <v>43</v>
      </c>
    </row>
    <row r="104" spans="2:2" x14ac:dyDescent="0.45">
      <c r="B104">
        <v>165</v>
      </c>
    </row>
    <row r="105" spans="2:2" x14ac:dyDescent="0.45">
      <c r="B105">
        <v>342</v>
      </c>
    </row>
    <row r="106" spans="2:2" x14ac:dyDescent="0.45">
      <c r="B106">
        <v>420</v>
      </c>
    </row>
    <row r="107" spans="2:2" x14ac:dyDescent="0.45">
      <c r="B107">
        <v>374</v>
      </c>
    </row>
    <row r="108" spans="2:2" x14ac:dyDescent="0.45">
      <c r="B108">
        <v>327</v>
      </c>
    </row>
    <row r="109" spans="2:2" x14ac:dyDescent="0.45">
      <c r="B109">
        <v>207</v>
      </c>
    </row>
    <row r="110" spans="2:2" x14ac:dyDescent="0.45">
      <c r="B110">
        <v>91</v>
      </c>
    </row>
    <row r="111" spans="2:2" x14ac:dyDescent="0.45">
      <c r="B111">
        <v>29</v>
      </c>
    </row>
    <row r="112" spans="2:2" x14ac:dyDescent="0.45">
      <c r="B112">
        <v>2</v>
      </c>
    </row>
    <row r="113" spans="2:2" x14ac:dyDescent="0.45">
      <c r="B113">
        <v>42</v>
      </c>
    </row>
    <row r="114" spans="2:2" x14ac:dyDescent="0.45">
      <c r="B114">
        <v>160</v>
      </c>
    </row>
    <row r="115" spans="2:2" x14ac:dyDescent="0.45">
      <c r="B115">
        <v>327</v>
      </c>
    </row>
    <row r="116" spans="2:2" x14ac:dyDescent="0.45">
      <c r="B116">
        <v>415</v>
      </c>
    </row>
    <row r="117" spans="2:2" x14ac:dyDescent="0.45">
      <c r="B117">
        <v>389</v>
      </c>
    </row>
    <row r="118" spans="2:2" x14ac:dyDescent="0.45">
      <c r="B118">
        <v>326</v>
      </c>
    </row>
    <row r="119" spans="2:2" x14ac:dyDescent="0.45">
      <c r="B119">
        <v>220</v>
      </c>
    </row>
    <row r="120" spans="2:2" x14ac:dyDescent="0.45">
      <c r="B120">
        <v>89</v>
      </c>
    </row>
    <row r="121" spans="2:2" x14ac:dyDescent="0.45">
      <c r="B121">
        <v>30</v>
      </c>
    </row>
    <row r="122" spans="2:2" x14ac:dyDescent="0.45">
      <c r="B122">
        <v>2</v>
      </c>
    </row>
    <row r="123" spans="2:2" x14ac:dyDescent="0.45">
      <c r="B123">
        <v>41</v>
      </c>
    </row>
    <row r="124" spans="2:2" x14ac:dyDescent="0.45">
      <c r="B124">
        <v>152</v>
      </c>
    </row>
    <row r="125" spans="2:2" x14ac:dyDescent="0.45">
      <c r="B125">
        <v>329</v>
      </c>
    </row>
    <row r="126" spans="2:2" x14ac:dyDescent="0.45">
      <c r="B126">
        <v>404</v>
      </c>
    </row>
    <row r="127" spans="2:2" x14ac:dyDescent="0.45">
      <c r="B127">
        <v>397</v>
      </c>
    </row>
    <row r="128" spans="2:2" x14ac:dyDescent="0.45">
      <c r="B128">
        <v>326</v>
      </c>
    </row>
    <row r="129" spans="2:2" x14ac:dyDescent="0.45">
      <c r="B129">
        <v>225</v>
      </c>
    </row>
    <row r="130" spans="2:2" x14ac:dyDescent="0.45">
      <c r="B130">
        <v>93</v>
      </c>
    </row>
    <row r="131" spans="2:2" x14ac:dyDescent="0.45">
      <c r="B131">
        <v>31</v>
      </c>
    </row>
    <row r="132" spans="2:2" x14ac:dyDescent="0.45">
      <c r="B132">
        <v>2</v>
      </c>
    </row>
    <row r="133" spans="2:2" x14ac:dyDescent="0.45">
      <c r="B133">
        <v>38</v>
      </c>
    </row>
    <row r="134" spans="2:2" x14ac:dyDescent="0.45">
      <c r="B134">
        <v>148</v>
      </c>
    </row>
    <row r="135" spans="2:2" x14ac:dyDescent="0.45">
      <c r="B135">
        <v>318</v>
      </c>
    </row>
    <row r="136" spans="2:2" x14ac:dyDescent="0.45">
      <c r="B136">
        <v>407</v>
      </c>
    </row>
    <row r="137" spans="2:2" x14ac:dyDescent="0.45">
      <c r="B137">
        <v>394</v>
      </c>
    </row>
    <row r="138" spans="2:2" x14ac:dyDescent="0.45">
      <c r="B138">
        <v>335</v>
      </c>
    </row>
    <row r="139" spans="2:2" x14ac:dyDescent="0.45">
      <c r="B139">
        <v>230</v>
      </c>
    </row>
    <row r="140" spans="2:2" x14ac:dyDescent="0.45">
      <c r="B140">
        <v>95</v>
      </c>
    </row>
    <row r="141" spans="2:2" x14ac:dyDescent="0.45">
      <c r="B141">
        <v>32</v>
      </c>
    </row>
    <row r="142" spans="2:2" x14ac:dyDescent="0.45">
      <c r="B142">
        <v>3</v>
      </c>
    </row>
    <row r="143" spans="2:2" x14ac:dyDescent="0.45">
      <c r="B143">
        <v>38</v>
      </c>
    </row>
    <row r="144" spans="2:2" x14ac:dyDescent="0.45">
      <c r="B144">
        <v>138</v>
      </c>
    </row>
    <row r="145" spans="2:2" x14ac:dyDescent="0.45">
      <c r="B145">
        <v>306</v>
      </c>
    </row>
    <row r="146" spans="2:2" x14ac:dyDescent="0.45">
      <c r="B146">
        <v>411</v>
      </c>
    </row>
    <row r="147" spans="2:2" x14ac:dyDescent="0.45">
      <c r="B147">
        <v>399</v>
      </c>
    </row>
    <row r="148" spans="2:2" x14ac:dyDescent="0.45">
      <c r="B148">
        <v>335</v>
      </c>
    </row>
    <row r="149" spans="2:2" x14ac:dyDescent="0.45">
      <c r="B149">
        <v>236</v>
      </c>
    </row>
    <row r="150" spans="2:2" x14ac:dyDescent="0.45">
      <c r="B150">
        <v>99</v>
      </c>
    </row>
    <row r="151" spans="2:2" x14ac:dyDescent="0.45">
      <c r="B151">
        <v>35</v>
      </c>
    </row>
    <row r="152" spans="2:2" x14ac:dyDescent="0.45">
      <c r="B152">
        <v>3</v>
      </c>
    </row>
    <row r="153" spans="2:2" x14ac:dyDescent="0.45">
      <c r="B153">
        <v>37</v>
      </c>
    </row>
    <row r="154" spans="2:2" x14ac:dyDescent="0.45">
      <c r="B154">
        <v>131</v>
      </c>
    </row>
    <row r="155" spans="2:2" x14ac:dyDescent="0.45">
      <c r="B155">
        <v>293</v>
      </c>
    </row>
    <row r="156" spans="2:2" x14ac:dyDescent="0.45">
      <c r="B156">
        <v>410</v>
      </c>
    </row>
    <row r="157" spans="2:2" x14ac:dyDescent="0.45">
      <c r="B157">
        <v>400</v>
      </c>
    </row>
    <row r="158" spans="2:2" x14ac:dyDescent="0.45">
      <c r="B158">
        <v>346</v>
      </c>
    </row>
    <row r="159" spans="2:2" x14ac:dyDescent="0.45">
      <c r="B159">
        <v>239</v>
      </c>
    </row>
    <row r="160" spans="2:2" x14ac:dyDescent="0.45">
      <c r="B160">
        <v>105</v>
      </c>
    </row>
    <row r="161" spans="2:2" x14ac:dyDescent="0.45">
      <c r="B161">
        <v>36</v>
      </c>
    </row>
    <row r="162" spans="2:2" x14ac:dyDescent="0.45">
      <c r="B162">
        <v>3</v>
      </c>
    </row>
    <row r="163" spans="2:2" x14ac:dyDescent="0.45">
      <c r="B163">
        <v>35</v>
      </c>
    </row>
    <row r="164" spans="2:2" x14ac:dyDescent="0.45">
      <c r="B164">
        <v>124</v>
      </c>
    </row>
    <row r="165" spans="2:2" x14ac:dyDescent="0.45">
      <c r="B165">
        <v>276</v>
      </c>
    </row>
    <row r="166" spans="2:2" x14ac:dyDescent="0.45">
      <c r="B166">
        <v>415</v>
      </c>
    </row>
    <row r="167" spans="2:2" x14ac:dyDescent="0.45">
      <c r="B167">
        <v>400</v>
      </c>
    </row>
    <row r="168" spans="2:2" x14ac:dyDescent="0.45">
      <c r="B168">
        <v>346</v>
      </c>
    </row>
    <row r="169" spans="2:2" x14ac:dyDescent="0.45">
      <c r="B169">
        <v>255</v>
      </c>
    </row>
    <row r="170" spans="2:2" x14ac:dyDescent="0.45">
      <c r="B170">
        <v>109</v>
      </c>
    </row>
    <row r="171" spans="2:2" x14ac:dyDescent="0.45">
      <c r="B171">
        <v>36</v>
      </c>
    </row>
    <row r="172" spans="2:2" x14ac:dyDescent="0.45">
      <c r="B172">
        <v>4</v>
      </c>
    </row>
    <row r="173" spans="2:2" x14ac:dyDescent="0.45">
      <c r="B173">
        <v>34</v>
      </c>
    </row>
    <row r="174" spans="2:2" x14ac:dyDescent="0.45">
      <c r="B174">
        <v>114</v>
      </c>
    </row>
    <row r="175" spans="2:2" x14ac:dyDescent="0.45">
      <c r="B175">
        <v>272</v>
      </c>
    </row>
    <row r="176" spans="2:2" x14ac:dyDescent="0.45">
      <c r="B176">
        <v>408</v>
      </c>
    </row>
    <row r="177" spans="2:2" x14ac:dyDescent="0.45">
      <c r="B177">
        <v>391</v>
      </c>
    </row>
    <row r="178" spans="2:2" x14ac:dyDescent="0.45">
      <c r="B178">
        <v>358</v>
      </c>
    </row>
    <row r="179" spans="2:2" x14ac:dyDescent="0.45">
      <c r="B179">
        <v>266</v>
      </c>
    </row>
    <row r="180" spans="2:2" x14ac:dyDescent="0.45">
      <c r="B180">
        <v>113</v>
      </c>
    </row>
    <row r="181" spans="2:2" x14ac:dyDescent="0.45">
      <c r="B181">
        <v>39</v>
      </c>
    </row>
    <row r="182" spans="2:2" x14ac:dyDescent="0.45">
      <c r="B182">
        <v>5</v>
      </c>
    </row>
    <row r="183" spans="2:2" x14ac:dyDescent="0.45">
      <c r="B183">
        <v>33</v>
      </c>
    </row>
    <row r="184" spans="2:2" x14ac:dyDescent="0.45">
      <c r="B184">
        <v>109</v>
      </c>
    </row>
    <row r="185" spans="2:2" x14ac:dyDescent="0.45">
      <c r="B185">
        <v>272</v>
      </c>
    </row>
    <row r="186" spans="2:2" x14ac:dyDescent="0.45">
      <c r="B186">
        <v>407</v>
      </c>
    </row>
    <row r="187" spans="2:2" x14ac:dyDescent="0.45">
      <c r="B187">
        <v>394</v>
      </c>
    </row>
    <row r="188" spans="2:2" x14ac:dyDescent="0.45">
      <c r="B188">
        <v>373</v>
      </c>
    </row>
    <row r="189" spans="2:2" x14ac:dyDescent="0.45">
      <c r="B189">
        <v>261</v>
      </c>
    </row>
    <row r="190" spans="2:2" x14ac:dyDescent="0.45">
      <c r="B190">
        <v>112</v>
      </c>
    </row>
    <row r="191" spans="2:2" x14ac:dyDescent="0.45">
      <c r="B191">
        <v>34</v>
      </c>
    </row>
    <row r="192" spans="2:2" x14ac:dyDescent="0.45">
      <c r="B192">
        <v>5</v>
      </c>
    </row>
    <row r="193" spans="2:2" x14ac:dyDescent="0.45">
      <c r="B193">
        <v>30</v>
      </c>
    </row>
    <row r="194" spans="2:2" x14ac:dyDescent="0.45">
      <c r="B194">
        <v>107</v>
      </c>
    </row>
    <row r="195" spans="2:2" x14ac:dyDescent="0.45">
      <c r="B195">
        <v>267</v>
      </c>
    </row>
    <row r="196" spans="2:2" x14ac:dyDescent="0.45">
      <c r="B196">
        <v>406</v>
      </c>
    </row>
    <row r="197" spans="2:2" x14ac:dyDescent="0.45">
      <c r="B197">
        <v>406</v>
      </c>
    </row>
    <row r="198" spans="2:2" x14ac:dyDescent="0.45">
      <c r="B198">
        <v>371</v>
      </c>
    </row>
    <row r="199" spans="2:2" x14ac:dyDescent="0.45">
      <c r="B199">
        <v>269</v>
      </c>
    </row>
    <row r="200" spans="2:2" x14ac:dyDescent="0.45">
      <c r="B200">
        <v>106</v>
      </c>
    </row>
    <row r="201" spans="2:2" x14ac:dyDescent="0.45">
      <c r="B201">
        <v>32</v>
      </c>
    </row>
    <row r="202" spans="2:2" x14ac:dyDescent="0.45">
      <c r="B202">
        <v>6</v>
      </c>
    </row>
    <row r="203" spans="2:2" x14ac:dyDescent="0.45">
      <c r="B203">
        <v>28</v>
      </c>
    </row>
    <row r="204" spans="2:2" x14ac:dyDescent="0.45">
      <c r="B204">
        <v>107</v>
      </c>
    </row>
    <row r="205" spans="2:2" x14ac:dyDescent="0.45">
      <c r="B205">
        <v>251</v>
      </c>
    </row>
    <row r="206" spans="2:2" x14ac:dyDescent="0.45">
      <c r="B206">
        <v>411</v>
      </c>
    </row>
    <row r="207" spans="2:2" x14ac:dyDescent="0.45">
      <c r="B207">
        <v>429</v>
      </c>
    </row>
    <row r="208" spans="2:2" x14ac:dyDescent="0.45">
      <c r="B208">
        <v>360</v>
      </c>
    </row>
    <row r="209" spans="2:2" x14ac:dyDescent="0.45">
      <c r="B209">
        <v>273</v>
      </c>
    </row>
    <row r="210" spans="2:2" x14ac:dyDescent="0.45">
      <c r="B210">
        <v>106</v>
      </c>
    </row>
    <row r="211" spans="2:2" x14ac:dyDescent="0.45">
      <c r="B211">
        <v>28</v>
      </c>
    </row>
    <row r="212" spans="2:2" x14ac:dyDescent="0.45">
      <c r="B212">
        <v>7</v>
      </c>
    </row>
    <row r="213" spans="2:2" x14ac:dyDescent="0.45">
      <c r="B213">
        <v>25</v>
      </c>
    </row>
    <row r="214" spans="2:2" x14ac:dyDescent="0.45">
      <c r="B214">
        <v>100</v>
      </c>
    </row>
    <row r="215" spans="2:2" x14ac:dyDescent="0.45">
      <c r="B215">
        <v>244</v>
      </c>
    </row>
    <row r="216" spans="2:2" x14ac:dyDescent="0.45">
      <c r="B216">
        <v>416</v>
      </c>
    </row>
    <row r="217" spans="2:2" x14ac:dyDescent="0.45">
      <c r="B217">
        <v>432</v>
      </c>
    </row>
    <row r="218" spans="2:2" x14ac:dyDescent="0.45">
      <c r="B218">
        <v>374</v>
      </c>
    </row>
    <row r="219" spans="2:2" x14ac:dyDescent="0.45">
      <c r="B219">
        <v>266</v>
      </c>
    </row>
    <row r="220" spans="2:2" x14ac:dyDescent="0.45">
      <c r="B220">
        <v>105</v>
      </c>
    </row>
    <row r="221" spans="2:2" x14ac:dyDescent="0.45">
      <c r="B221">
        <v>30</v>
      </c>
    </row>
    <row r="222" spans="2:2" x14ac:dyDescent="0.45">
      <c r="B222">
        <v>8</v>
      </c>
    </row>
    <row r="223" spans="2:2" x14ac:dyDescent="0.45">
      <c r="B223">
        <v>27</v>
      </c>
    </row>
    <row r="224" spans="2:2" x14ac:dyDescent="0.45">
      <c r="B224">
        <v>93</v>
      </c>
    </row>
    <row r="225" spans="2:2" x14ac:dyDescent="0.45">
      <c r="B225">
        <v>241</v>
      </c>
    </row>
    <row r="226" spans="2:2" x14ac:dyDescent="0.45">
      <c r="B226">
        <v>423</v>
      </c>
    </row>
    <row r="227" spans="2:2" x14ac:dyDescent="0.45">
      <c r="B227">
        <v>450</v>
      </c>
    </row>
    <row r="228" spans="2:2" x14ac:dyDescent="0.45">
      <c r="B228">
        <v>370</v>
      </c>
    </row>
    <row r="229" spans="2:2" x14ac:dyDescent="0.45">
      <c r="B229">
        <v>262</v>
      </c>
    </row>
    <row r="230" spans="2:2" x14ac:dyDescent="0.45">
      <c r="B230">
        <v>100</v>
      </c>
    </row>
    <row r="231" spans="2:2" x14ac:dyDescent="0.45">
      <c r="B231">
        <v>27</v>
      </c>
    </row>
    <row r="232" spans="2:2" x14ac:dyDescent="0.45">
      <c r="B232">
        <v>7</v>
      </c>
    </row>
    <row r="233" spans="2:2" x14ac:dyDescent="0.45">
      <c r="B233">
        <v>19</v>
      </c>
    </row>
    <row r="234" spans="2:2" x14ac:dyDescent="0.45">
      <c r="B234">
        <v>90</v>
      </c>
    </row>
    <row r="235" spans="2:2" x14ac:dyDescent="0.45">
      <c r="B235">
        <v>244</v>
      </c>
    </row>
    <row r="236" spans="2:2" x14ac:dyDescent="0.45">
      <c r="B236">
        <v>433</v>
      </c>
    </row>
    <row r="237" spans="2:2" x14ac:dyDescent="0.45">
      <c r="B237">
        <v>473</v>
      </c>
    </row>
    <row r="238" spans="2:2" x14ac:dyDescent="0.45">
      <c r="B238">
        <v>365</v>
      </c>
    </row>
    <row r="239" spans="2:2" x14ac:dyDescent="0.45">
      <c r="B239">
        <v>247</v>
      </c>
    </row>
    <row r="240" spans="2:2" x14ac:dyDescent="0.45">
      <c r="B240">
        <v>97</v>
      </c>
    </row>
    <row r="241" spans="2:2" x14ac:dyDescent="0.45">
      <c r="B241">
        <v>26</v>
      </c>
    </row>
    <row r="242" spans="2:2" x14ac:dyDescent="0.45">
      <c r="B242">
        <v>6</v>
      </c>
    </row>
    <row r="243" spans="2:2" x14ac:dyDescent="0.45">
      <c r="B243">
        <v>23</v>
      </c>
    </row>
    <row r="244" spans="2:2" x14ac:dyDescent="0.45">
      <c r="B244">
        <v>93</v>
      </c>
    </row>
    <row r="245" spans="2:2" x14ac:dyDescent="0.45">
      <c r="B245">
        <v>253</v>
      </c>
    </row>
    <row r="246" spans="2:2" x14ac:dyDescent="0.45">
      <c r="B246">
        <v>455</v>
      </c>
    </row>
    <row r="247" spans="2:2" x14ac:dyDescent="0.45">
      <c r="B247">
        <v>472</v>
      </c>
    </row>
    <row r="248" spans="2:2" x14ac:dyDescent="0.45">
      <c r="B248">
        <v>364</v>
      </c>
    </row>
    <row r="249" spans="2:2" x14ac:dyDescent="0.45">
      <c r="B249">
        <v>218</v>
      </c>
    </row>
    <row r="250" spans="2:2" x14ac:dyDescent="0.45">
      <c r="B250">
        <v>95</v>
      </c>
    </row>
    <row r="251" spans="2:2" x14ac:dyDescent="0.45">
      <c r="B251">
        <v>22</v>
      </c>
    </row>
    <row r="252" spans="2:2" x14ac:dyDescent="0.45">
      <c r="B252">
        <v>5</v>
      </c>
    </row>
    <row r="253" spans="2:2" x14ac:dyDescent="0.45">
      <c r="B253">
        <v>26</v>
      </c>
    </row>
    <row r="254" spans="2:2" x14ac:dyDescent="0.45">
      <c r="B254">
        <v>101</v>
      </c>
    </row>
    <row r="255" spans="2:2" x14ac:dyDescent="0.45">
      <c r="B255">
        <v>295</v>
      </c>
    </row>
    <row r="256" spans="2:2" x14ac:dyDescent="0.45">
      <c r="B256">
        <v>470</v>
      </c>
    </row>
    <row r="257" spans="2:2" x14ac:dyDescent="0.45">
      <c r="B257">
        <v>453</v>
      </c>
    </row>
    <row r="258" spans="2:2" x14ac:dyDescent="0.45">
      <c r="B258">
        <v>337</v>
      </c>
    </row>
    <row r="259" spans="2:2" x14ac:dyDescent="0.45">
      <c r="B259">
        <v>211</v>
      </c>
    </row>
    <row r="260" spans="2:2" x14ac:dyDescent="0.45">
      <c r="B260">
        <v>81</v>
      </c>
    </row>
    <row r="261" spans="2:2" x14ac:dyDescent="0.45">
      <c r="B261">
        <v>20</v>
      </c>
    </row>
    <row r="262" spans="2:2" x14ac:dyDescent="0.45">
      <c r="B262">
        <v>6</v>
      </c>
    </row>
    <row r="263" spans="2:2" x14ac:dyDescent="0.45">
      <c r="B263">
        <v>14</v>
      </c>
    </row>
    <row r="264" spans="2:2" x14ac:dyDescent="0.45">
      <c r="B264">
        <v>0</v>
      </c>
    </row>
    <row r="265" spans="2:2" x14ac:dyDescent="0.45">
      <c r="B265">
        <v>0</v>
      </c>
    </row>
    <row r="266" spans="2:2" x14ac:dyDescent="0.45">
      <c r="B266">
        <v>0</v>
      </c>
    </row>
    <row r="267" spans="2:2" x14ac:dyDescent="0.45">
      <c r="B267">
        <v>0</v>
      </c>
    </row>
    <row r="268" spans="2:2" x14ac:dyDescent="0.45">
      <c r="B268">
        <v>0</v>
      </c>
    </row>
    <row r="269" spans="2:2" x14ac:dyDescent="0.45">
      <c r="B269">
        <v>7</v>
      </c>
    </row>
    <row r="270" spans="2:2" x14ac:dyDescent="0.45">
      <c r="B270">
        <v>766</v>
      </c>
    </row>
    <row r="271" spans="2:2" x14ac:dyDescent="0.45">
      <c r="B271">
        <v>1084</v>
      </c>
    </row>
    <row r="272" spans="2:2" x14ac:dyDescent="0.45">
      <c r="B272">
        <v>129</v>
      </c>
    </row>
    <row r="273" spans="2:2" x14ac:dyDescent="0.45">
      <c r="B273">
        <v>124</v>
      </c>
    </row>
    <row r="274" spans="2:2" x14ac:dyDescent="0.45">
      <c r="B274">
        <v>0</v>
      </c>
    </row>
    <row r="275" spans="2:2" x14ac:dyDescent="0.45">
      <c r="B275">
        <v>0</v>
      </c>
    </row>
    <row r="276" spans="2:2" x14ac:dyDescent="0.45">
      <c r="B276">
        <v>0</v>
      </c>
    </row>
    <row r="277" spans="2:2" x14ac:dyDescent="0.45">
      <c r="B277">
        <v>0</v>
      </c>
    </row>
    <row r="278" spans="2:2" x14ac:dyDescent="0.45">
      <c r="B278">
        <v>0</v>
      </c>
    </row>
    <row r="279" spans="2:2" x14ac:dyDescent="0.45">
      <c r="B279">
        <v>1</v>
      </c>
    </row>
    <row r="280" spans="2:2" x14ac:dyDescent="0.45">
      <c r="B280">
        <v>602</v>
      </c>
    </row>
    <row r="281" spans="2:2" x14ac:dyDescent="0.45">
      <c r="B281">
        <v>1123</v>
      </c>
    </row>
    <row r="282" spans="2:2" x14ac:dyDescent="0.45">
      <c r="B282">
        <v>150</v>
      </c>
    </row>
    <row r="283" spans="2:2" x14ac:dyDescent="0.45">
      <c r="B283">
        <v>381</v>
      </c>
    </row>
    <row r="284" spans="2:2" x14ac:dyDescent="0.45">
      <c r="B284">
        <v>0</v>
      </c>
    </row>
    <row r="285" spans="2:2" x14ac:dyDescent="0.45">
      <c r="B285">
        <v>0</v>
      </c>
    </row>
    <row r="286" spans="2:2" x14ac:dyDescent="0.45">
      <c r="B286">
        <v>0</v>
      </c>
    </row>
    <row r="287" spans="2:2" x14ac:dyDescent="0.45">
      <c r="B287">
        <v>0</v>
      </c>
    </row>
    <row r="288" spans="2:2" x14ac:dyDescent="0.45">
      <c r="B288">
        <v>0</v>
      </c>
    </row>
    <row r="289" spans="2:2" x14ac:dyDescent="0.45">
      <c r="B289">
        <v>0</v>
      </c>
    </row>
    <row r="290" spans="2:2" x14ac:dyDescent="0.45">
      <c r="B290">
        <v>442</v>
      </c>
    </row>
    <row r="291" spans="2:2" x14ac:dyDescent="0.45">
      <c r="B291">
        <v>1023</v>
      </c>
    </row>
    <row r="292" spans="2:2" x14ac:dyDescent="0.45">
      <c r="B292">
        <v>154</v>
      </c>
    </row>
    <row r="293" spans="2:2" x14ac:dyDescent="0.45">
      <c r="B293">
        <v>718</v>
      </c>
    </row>
    <row r="294" spans="2:2" x14ac:dyDescent="0.45">
      <c r="B294">
        <v>0</v>
      </c>
    </row>
    <row r="295" spans="2:2" x14ac:dyDescent="0.45">
      <c r="B295">
        <v>0</v>
      </c>
    </row>
    <row r="296" spans="2:2" x14ac:dyDescent="0.45">
      <c r="B296">
        <v>0</v>
      </c>
    </row>
    <row r="297" spans="2:2" x14ac:dyDescent="0.45">
      <c r="B297">
        <v>0</v>
      </c>
    </row>
    <row r="298" spans="2:2" x14ac:dyDescent="0.45">
      <c r="B298">
        <v>0</v>
      </c>
    </row>
    <row r="299" spans="2:2" x14ac:dyDescent="0.45">
      <c r="B299">
        <v>0</v>
      </c>
    </row>
    <row r="300" spans="2:2" x14ac:dyDescent="0.45">
      <c r="B300">
        <v>324</v>
      </c>
    </row>
    <row r="301" spans="2:2" x14ac:dyDescent="0.45">
      <c r="B301">
        <v>826</v>
      </c>
    </row>
    <row r="302" spans="2:2" x14ac:dyDescent="0.45">
      <c r="B302">
        <v>132</v>
      </c>
    </row>
    <row r="303" spans="2:2" x14ac:dyDescent="0.45">
      <c r="B303">
        <v>1074</v>
      </c>
    </row>
    <row r="304" spans="2:2" x14ac:dyDescent="0.45">
      <c r="B304">
        <v>0</v>
      </c>
    </row>
    <row r="305" spans="2:2" x14ac:dyDescent="0.45">
      <c r="B305">
        <v>0</v>
      </c>
    </row>
    <row r="306" spans="2:2" x14ac:dyDescent="0.45">
      <c r="B306">
        <v>0</v>
      </c>
    </row>
    <row r="307" spans="2:2" x14ac:dyDescent="0.45">
      <c r="B307">
        <v>0</v>
      </c>
    </row>
    <row r="308" spans="2:2" x14ac:dyDescent="0.45">
      <c r="B308">
        <v>0</v>
      </c>
    </row>
    <row r="309" spans="2:2" x14ac:dyDescent="0.45">
      <c r="B309">
        <v>0</v>
      </c>
    </row>
    <row r="310" spans="2:2" x14ac:dyDescent="0.45">
      <c r="B310">
        <v>208</v>
      </c>
    </row>
    <row r="311" spans="2:2" x14ac:dyDescent="0.45">
      <c r="B311">
        <v>619</v>
      </c>
    </row>
    <row r="312" spans="2:2" x14ac:dyDescent="0.45">
      <c r="B312">
        <v>99</v>
      </c>
    </row>
    <row r="313" spans="2:2" x14ac:dyDescent="0.45">
      <c r="B313">
        <v>1430</v>
      </c>
    </row>
    <row r="314" spans="2:2" x14ac:dyDescent="0.45">
      <c r="B314">
        <v>0</v>
      </c>
    </row>
    <row r="315" spans="2:2" x14ac:dyDescent="0.45">
      <c r="B315">
        <v>0</v>
      </c>
    </row>
    <row r="316" spans="2:2" x14ac:dyDescent="0.45">
      <c r="B316">
        <v>0</v>
      </c>
    </row>
    <row r="317" spans="2:2" x14ac:dyDescent="0.45">
      <c r="B317">
        <v>0</v>
      </c>
    </row>
    <row r="318" spans="2:2" x14ac:dyDescent="0.45">
      <c r="B318">
        <v>0</v>
      </c>
    </row>
    <row r="319" spans="2:2" x14ac:dyDescent="0.45">
      <c r="B319">
        <v>0</v>
      </c>
    </row>
    <row r="320" spans="2:2" x14ac:dyDescent="0.45">
      <c r="B320">
        <v>67</v>
      </c>
    </row>
    <row r="321" spans="2:2" x14ac:dyDescent="0.45">
      <c r="B321">
        <v>397</v>
      </c>
    </row>
    <row r="322" spans="2:2" x14ac:dyDescent="0.45">
      <c r="B322">
        <v>106</v>
      </c>
    </row>
    <row r="323" spans="2:2" x14ac:dyDescent="0.45">
      <c r="B323">
        <v>1710</v>
      </c>
    </row>
    <row r="324" spans="2:2" x14ac:dyDescent="0.45">
      <c r="B324">
        <v>0</v>
      </c>
    </row>
    <row r="325" spans="2:2" x14ac:dyDescent="0.45">
      <c r="B325">
        <v>0</v>
      </c>
    </row>
    <row r="326" spans="2:2" x14ac:dyDescent="0.45">
      <c r="B326">
        <v>0</v>
      </c>
    </row>
    <row r="327" spans="2:2" x14ac:dyDescent="0.45">
      <c r="B327">
        <v>0</v>
      </c>
    </row>
    <row r="328" spans="2:2" x14ac:dyDescent="0.45">
      <c r="B328">
        <v>0</v>
      </c>
    </row>
    <row r="329" spans="2:2" x14ac:dyDescent="0.45">
      <c r="B329">
        <v>0</v>
      </c>
    </row>
    <row r="330" spans="2:2" x14ac:dyDescent="0.45">
      <c r="B330">
        <v>3</v>
      </c>
    </row>
    <row r="331" spans="2:2" x14ac:dyDescent="0.45">
      <c r="B331">
        <v>185</v>
      </c>
    </row>
    <row r="332" spans="2:2" x14ac:dyDescent="0.45">
      <c r="B332">
        <v>102</v>
      </c>
    </row>
    <row r="333" spans="2:2" x14ac:dyDescent="0.45">
      <c r="B333">
        <v>1893</v>
      </c>
    </row>
    <row r="334" spans="2:2" x14ac:dyDescent="0.45">
      <c r="B334">
        <v>0</v>
      </c>
    </row>
    <row r="335" spans="2:2" x14ac:dyDescent="0.45">
      <c r="B335">
        <v>0</v>
      </c>
    </row>
    <row r="336" spans="2:2" x14ac:dyDescent="0.45">
      <c r="B336">
        <v>0</v>
      </c>
    </row>
    <row r="337" spans="2:2" x14ac:dyDescent="0.45">
      <c r="B337">
        <v>0</v>
      </c>
    </row>
    <row r="338" spans="2:2" x14ac:dyDescent="0.45">
      <c r="B338">
        <v>0</v>
      </c>
    </row>
    <row r="339" spans="2:2" x14ac:dyDescent="0.45">
      <c r="B339">
        <v>0</v>
      </c>
    </row>
    <row r="340" spans="2:2" x14ac:dyDescent="0.45">
      <c r="B340">
        <v>1</v>
      </c>
    </row>
    <row r="341" spans="2:2" x14ac:dyDescent="0.45">
      <c r="B341">
        <v>64</v>
      </c>
    </row>
    <row r="342" spans="2:2" x14ac:dyDescent="0.45">
      <c r="B342">
        <v>42</v>
      </c>
    </row>
    <row r="343" spans="2:2" x14ac:dyDescent="0.45">
      <c r="B343">
        <v>1973</v>
      </c>
    </row>
    <row r="344" spans="2:2" x14ac:dyDescent="0.45">
      <c r="B344">
        <v>0</v>
      </c>
    </row>
    <row r="345" spans="2:2" x14ac:dyDescent="0.45">
      <c r="B345">
        <v>0</v>
      </c>
    </row>
    <row r="346" spans="2:2" x14ac:dyDescent="0.45">
      <c r="B346">
        <v>0</v>
      </c>
    </row>
    <row r="347" spans="2:2" x14ac:dyDescent="0.45">
      <c r="B347">
        <v>0</v>
      </c>
    </row>
    <row r="348" spans="2:2" x14ac:dyDescent="0.45">
      <c r="B348">
        <v>0</v>
      </c>
    </row>
    <row r="349" spans="2:2" x14ac:dyDescent="0.45">
      <c r="B349">
        <v>0</v>
      </c>
    </row>
    <row r="350" spans="2:2" x14ac:dyDescent="0.45">
      <c r="B350">
        <v>0</v>
      </c>
    </row>
    <row r="351" spans="2:2" x14ac:dyDescent="0.45">
      <c r="B351">
        <v>19</v>
      </c>
    </row>
    <row r="352" spans="2:2" x14ac:dyDescent="0.45">
      <c r="B352">
        <v>8</v>
      </c>
    </row>
    <row r="353" spans="2:2" x14ac:dyDescent="0.45">
      <c r="B353">
        <v>0</v>
      </c>
    </row>
    <row r="354" spans="2:2" x14ac:dyDescent="0.45">
      <c r="B354">
        <v>0</v>
      </c>
    </row>
    <row r="355" spans="2:2" x14ac:dyDescent="0.45">
      <c r="B355">
        <v>0</v>
      </c>
    </row>
    <row r="356" spans="2:2" x14ac:dyDescent="0.45">
      <c r="B356">
        <v>0</v>
      </c>
    </row>
    <row r="357" spans="2:2" x14ac:dyDescent="0.45">
      <c r="B357">
        <v>0</v>
      </c>
    </row>
    <row r="358" spans="2:2" x14ac:dyDescent="0.45">
      <c r="B358">
        <v>2000</v>
      </c>
    </row>
    <row r="359" spans="2:2" x14ac:dyDescent="0.45">
      <c r="B359">
        <v>0</v>
      </c>
    </row>
    <row r="360" spans="2:2" x14ac:dyDescent="0.45">
      <c r="B360">
        <v>0</v>
      </c>
    </row>
    <row r="361" spans="2:2" x14ac:dyDescent="0.45">
      <c r="B361">
        <v>0</v>
      </c>
    </row>
    <row r="362" spans="2:2" x14ac:dyDescent="0.45">
      <c r="B362">
        <v>0</v>
      </c>
    </row>
    <row r="363" spans="2:2" x14ac:dyDescent="0.45">
      <c r="B363">
        <v>0</v>
      </c>
    </row>
    <row r="364" spans="2:2" x14ac:dyDescent="0.45">
      <c r="B364">
        <v>0</v>
      </c>
    </row>
    <row r="365" spans="2:2" x14ac:dyDescent="0.45">
      <c r="B365">
        <v>0</v>
      </c>
    </row>
    <row r="366" spans="2:2" x14ac:dyDescent="0.45">
      <c r="B366">
        <v>0</v>
      </c>
    </row>
    <row r="367" spans="2:2" x14ac:dyDescent="0.45">
      <c r="B367">
        <v>0</v>
      </c>
    </row>
    <row r="368" spans="2:2" x14ac:dyDescent="0.45">
      <c r="B368">
        <v>2000</v>
      </c>
    </row>
    <row r="369" spans="2:2" x14ac:dyDescent="0.45">
      <c r="B369">
        <v>0</v>
      </c>
    </row>
    <row r="370" spans="2:2" x14ac:dyDescent="0.45">
      <c r="B370">
        <v>0</v>
      </c>
    </row>
    <row r="371" spans="2:2" x14ac:dyDescent="0.45">
      <c r="B371">
        <v>0</v>
      </c>
    </row>
    <row r="372" spans="2:2" x14ac:dyDescent="0.45">
      <c r="B372">
        <v>0</v>
      </c>
    </row>
    <row r="373" spans="2:2" x14ac:dyDescent="0.45">
      <c r="B373">
        <v>0</v>
      </c>
    </row>
    <row r="374" spans="2:2" x14ac:dyDescent="0.45">
      <c r="B374">
        <v>0</v>
      </c>
    </row>
    <row r="375" spans="2:2" x14ac:dyDescent="0.45">
      <c r="B375">
        <v>0</v>
      </c>
    </row>
    <row r="376" spans="2:2" x14ac:dyDescent="0.45">
      <c r="B376">
        <v>0</v>
      </c>
    </row>
    <row r="377" spans="2:2" x14ac:dyDescent="0.45">
      <c r="B377">
        <v>0</v>
      </c>
    </row>
    <row r="378" spans="2:2" x14ac:dyDescent="0.45">
      <c r="B378">
        <v>2000</v>
      </c>
    </row>
    <row r="379" spans="2:2" x14ac:dyDescent="0.45">
      <c r="B379">
        <v>0</v>
      </c>
    </row>
    <row r="380" spans="2:2" x14ac:dyDescent="0.45">
      <c r="B380">
        <v>0</v>
      </c>
    </row>
    <row r="381" spans="2:2" x14ac:dyDescent="0.45">
      <c r="B381">
        <v>0</v>
      </c>
    </row>
    <row r="382" spans="2:2" x14ac:dyDescent="0.45">
      <c r="B382">
        <v>0</v>
      </c>
    </row>
    <row r="383" spans="2:2" x14ac:dyDescent="0.45">
      <c r="B383">
        <v>0</v>
      </c>
    </row>
    <row r="384" spans="2:2" x14ac:dyDescent="0.45">
      <c r="B384">
        <v>0</v>
      </c>
    </row>
    <row r="385" spans="2:2" x14ac:dyDescent="0.45">
      <c r="B385">
        <v>0</v>
      </c>
    </row>
    <row r="386" spans="2:2" x14ac:dyDescent="0.45">
      <c r="B386">
        <v>0</v>
      </c>
    </row>
    <row r="387" spans="2:2" x14ac:dyDescent="0.45">
      <c r="B387">
        <v>0</v>
      </c>
    </row>
    <row r="388" spans="2:2" x14ac:dyDescent="0.45">
      <c r="B388">
        <v>2000</v>
      </c>
    </row>
    <row r="389" spans="2:2" x14ac:dyDescent="0.45">
      <c r="B389">
        <v>0</v>
      </c>
    </row>
    <row r="390" spans="2:2" x14ac:dyDescent="0.45">
      <c r="B390">
        <v>0</v>
      </c>
    </row>
    <row r="391" spans="2:2" x14ac:dyDescent="0.45">
      <c r="B391">
        <v>0</v>
      </c>
    </row>
    <row r="392" spans="2:2" x14ac:dyDescent="0.45">
      <c r="B392">
        <v>0</v>
      </c>
    </row>
    <row r="393" spans="2:2" x14ac:dyDescent="0.45">
      <c r="B393">
        <v>0</v>
      </c>
    </row>
    <row r="394" spans="2:2" x14ac:dyDescent="0.45">
      <c r="B394">
        <v>0</v>
      </c>
    </row>
    <row r="395" spans="2:2" x14ac:dyDescent="0.45">
      <c r="B395">
        <v>0</v>
      </c>
    </row>
    <row r="396" spans="2:2" x14ac:dyDescent="0.45">
      <c r="B396">
        <v>0</v>
      </c>
    </row>
    <row r="397" spans="2:2" x14ac:dyDescent="0.45">
      <c r="B397">
        <v>0</v>
      </c>
    </row>
    <row r="398" spans="2:2" x14ac:dyDescent="0.45">
      <c r="B398">
        <v>2000</v>
      </c>
    </row>
    <row r="399" spans="2:2" x14ac:dyDescent="0.45">
      <c r="B399">
        <v>0</v>
      </c>
    </row>
    <row r="400" spans="2:2" x14ac:dyDescent="0.45">
      <c r="B400">
        <v>0</v>
      </c>
    </row>
    <row r="401" spans="2:2" x14ac:dyDescent="0.45">
      <c r="B401">
        <v>0</v>
      </c>
    </row>
    <row r="402" spans="2:2" x14ac:dyDescent="0.45">
      <c r="B402">
        <v>0</v>
      </c>
    </row>
    <row r="403" spans="2:2" x14ac:dyDescent="0.45">
      <c r="B403">
        <v>0</v>
      </c>
    </row>
    <row r="404" spans="2:2" x14ac:dyDescent="0.45">
      <c r="B404">
        <v>0</v>
      </c>
    </row>
    <row r="405" spans="2:2" x14ac:dyDescent="0.45">
      <c r="B405">
        <v>0</v>
      </c>
    </row>
    <row r="406" spans="2:2" x14ac:dyDescent="0.45">
      <c r="B406">
        <v>0</v>
      </c>
    </row>
    <row r="407" spans="2:2" x14ac:dyDescent="0.45">
      <c r="B407">
        <v>0</v>
      </c>
    </row>
    <row r="408" spans="2:2" x14ac:dyDescent="0.45">
      <c r="B408">
        <v>2000</v>
      </c>
    </row>
    <row r="409" spans="2:2" x14ac:dyDescent="0.45">
      <c r="B409">
        <v>0</v>
      </c>
    </row>
    <row r="410" spans="2:2" x14ac:dyDescent="0.45">
      <c r="B410">
        <v>0</v>
      </c>
    </row>
    <row r="411" spans="2:2" x14ac:dyDescent="0.45">
      <c r="B411">
        <v>0</v>
      </c>
    </row>
    <row r="412" spans="2:2" x14ac:dyDescent="0.45">
      <c r="B412">
        <v>0</v>
      </c>
    </row>
    <row r="413" spans="2:2" x14ac:dyDescent="0.45">
      <c r="B413">
        <v>0</v>
      </c>
    </row>
    <row r="414" spans="2:2" x14ac:dyDescent="0.45">
      <c r="B414">
        <v>0</v>
      </c>
    </row>
    <row r="415" spans="2:2" x14ac:dyDescent="0.45">
      <c r="B415">
        <v>0</v>
      </c>
    </row>
    <row r="416" spans="2:2" x14ac:dyDescent="0.45">
      <c r="B416">
        <v>0</v>
      </c>
    </row>
    <row r="417" spans="2:2" x14ac:dyDescent="0.45">
      <c r="B417">
        <v>0</v>
      </c>
    </row>
    <row r="418" spans="2:2" x14ac:dyDescent="0.45">
      <c r="B418">
        <v>2000</v>
      </c>
    </row>
    <row r="419" spans="2:2" x14ac:dyDescent="0.45">
      <c r="B419">
        <v>0</v>
      </c>
    </row>
    <row r="420" spans="2:2" x14ac:dyDescent="0.45">
      <c r="B420">
        <v>0</v>
      </c>
    </row>
    <row r="421" spans="2:2" x14ac:dyDescent="0.45">
      <c r="B421">
        <v>0</v>
      </c>
    </row>
    <row r="422" spans="2:2" x14ac:dyDescent="0.45">
      <c r="B422">
        <v>0</v>
      </c>
    </row>
    <row r="423" spans="2:2" x14ac:dyDescent="0.45">
      <c r="B423">
        <v>0</v>
      </c>
    </row>
    <row r="424" spans="2:2" x14ac:dyDescent="0.45">
      <c r="B424">
        <v>0</v>
      </c>
    </row>
    <row r="425" spans="2:2" x14ac:dyDescent="0.45">
      <c r="B425">
        <v>0</v>
      </c>
    </row>
    <row r="426" spans="2:2" x14ac:dyDescent="0.45">
      <c r="B426">
        <v>0</v>
      </c>
    </row>
    <row r="427" spans="2:2" x14ac:dyDescent="0.45">
      <c r="B427">
        <v>0</v>
      </c>
    </row>
    <row r="428" spans="2:2" x14ac:dyDescent="0.45">
      <c r="B428">
        <v>2000</v>
      </c>
    </row>
    <row r="429" spans="2:2" x14ac:dyDescent="0.45">
      <c r="B429">
        <v>0</v>
      </c>
    </row>
    <row r="430" spans="2:2" x14ac:dyDescent="0.45">
      <c r="B430">
        <v>0</v>
      </c>
    </row>
    <row r="431" spans="2:2" x14ac:dyDescent="0.45">
      <c r="B431">
        <v>0</v>
      </c>
    </row>
    <row r="432" spans="2:2" x14ac:dyDescent="0.45">
      <c r="B432">
        <v>0</v>
      </c>
    </row>
    <row r="433" spans="2:2" x14ac:dyDescent="0.45">
      <c r="B433">
        <v>0</v>
      </c>
    </row>
    <row r="434" spans="2:2" x14ac:dyDescent="0.45">
      <c r="B434">
        <v>0</v>
      </c>
    </row>
    <row r="435" spans="2:2" x14ac:dyDescent="0.45">
      <c r="B435">
        <v>0</v>
      </c>
    </row>
    <row r="436" spans="2:2" x14ac:dyDescent="0.45">
      <c r="B436">
        <v>0</v>
      </c>
    </row>
    <row r="437" spans="2:2" x14ac:dyDescent="0.45">
      <c r="B437">
        <v>0</v>
      </c>
    </row>
    <row r="438" spans="2:2" x14ac:dyDescent="0.45">
      <c r="B438">
        <v>2000</v>
      </c>
    </row>
    <row r="439" spans="2:2" x14ac:dyDescent="0.45">
      <c r="B439">
        <v>0</v>
      </c>
    </row>
    <row r="440" spans="2:2" x14ac:dyDescent="0.45">
      <c r="B440">
        <v>0</v>
      </c>
    </row>
    <row r="441" spans="2:2" x14ac:dyDescent="0.45">
      <c r="B441">
        <v>0</v>
      </c>
    </row>
    <row r="442" spans="2:2" x14ac:dyDescent="0.45">
      <c r="B442">
        <v>0</v>
      </c>
    </row>
    <row r="443" spans="2:2" x14ac:dyDescent="0.45">
      <c r="B443">
        <v>0</v>
      </c>
    </row>
    <row r="444" spans="2:2" x14ac:dyDescent="0.45">
      <c r="B444">
        <v>0</v>
      </c>
    </row>
    <row r="445" spans="2:2" x14ac:dyDescent="0.45">
      <c r="B445">
        <v>0</v>
      </c>
    </row>
    <row r="446" spans="2:2" x14ac:dyDescent="0.45">
      <c r="B446">
        <v>0</v>
      </c>
    </row>
    <row r="447" spans="2:2" x14ac:dyDescent="0.45">
      <c r="B447">
        <v>0</v>
      </c>
    </row>
    <row r="448" spans="2:2" x14ac:dyDescent="0.45">
      <c r="B448">
        <v>2000</v>
      </c>
    </row>
    <row r="449" spans="2:2" x14ac:dyDescent="0.45">
      <c r="B449">
        <v>0</v>
      </c>
    </row>
    <row r="450" spans="2:2" x14ac:dyDescent="0.45">
      <c r="B450">
        <v>0</v>
      </c>
    </row>
    <row r="451" spans="2:2" x14ac:dyDescent="0.45">
      <c r="B451">
        <v>0</v>
      </c>
    </row>
    <row r="452" spans="2:2" x14ac:dyDescent="0.45">
      <c r="B452">
        <v>0</v>
      </c>
    </row>
    <row r="453" spans="2:2" x14ac:dyDescent="0.45">
      <c r="B453">
        <v>0</v>
      </c>
    </row>
    <row r="454" spans="2:2" x14ac:dyDescent="0.45">
      <c r="B454">
        <v>0</v>
      </c>
    </row>
    <row r="455" spans="2:2" x14ac:dyDescent="0.45">
      <c r="B455">
        <v>0</v>
      </c>
    </row>
    <row r="456" spans="2:2" x14ac:dyDescent="0.45">
      <c r="B456">
        <v>0</v>
      </c>
    </row>
    <row r="457" spans="2:2" x14ac:dyDescent="0.45">
      <c r="B457">
        <v>0</v>
      </c>
    </row>
    <row r="458" spans="2:2" x14ac:dyDescent="0.45">
      <c r="B458">
        <v>2000</v>
      </c>
    </row>
    <row r="459" spans="2:2" x14ac:dyDescent="0.45">
      <c r="B459">
        <v>0</v>
      </c>
    </row>
    <row r="460" spans="2:2" x14ac:dyDescent="0.45">
      <c r="B460">
        <v>0</v>
      </c>
    </row>
    <row r="461" spans="2:2" x14ac:dyDescent="0.45">
      <c r="B461">
        <v>0</v>
      </c>
    </row>
    <row r="462" spans="2:2" x14ac:dyDescent="0.45">
      <c r="B462">
        <v>0</v>
      </c>
    </row>
    <row r="463" spans="2:2" x14ac:dyDescent="0.45">
      <c r="B463">
        <v>0</v>
      </c>
    </row>
    <row r="464" spans="2:2" x14ac:dyDescent="0.45">
      <c r="B464">
        <v>0</v>
      </c>
    </row>
    <row r="465" spans="2:2" x14ac:dyDescent="0.45">
      <c r="B465">
        <v>0</v>
      </c>
    </row>
    <row r="466" spans="2:2" x14ac:dyDescent="0.45">
      <c r="B466">
        <v>0</v>
      </c>
    </row>
    <row r="467" spans="2:2" x14ac:dyDescent="0.45">
      <c r="B467">
        <v>0</v>
      </c>
    </row>
    <row r="468" spans="2:2" x14ac:dyDescent="0.45">
      <c r="B468">
        <v>2000</v>
      </c>
    </row>
    <row r="469" spans="2:2" x14ac:dyDescent="0.45">
      <c r="B469">
        <v>0</v>
      </c>
    </row>
    <row r="470" spans="2:2" x14ac:dyDescent="0.45">
      <c r="B470">
        <v>0</v>
      </c>
    </row>
    <row r="471" spans="2:2" x14ac:dyDescent="0.45">
      <c r="B471">
        <v>0</v>
      </c>
    </row>
    <row r="472" spans="2:2" x14ac:dyDescent="0.45">
      <c r="B472">
        <v>0</v>
      </c>
    </row>
    <row r="473" spans="2:2" x14ac:dyDescent="0.45">
      <c r="B473">
        <v>0</v>
      </c>
    </row>
    <row r="474" spans="2:2" x14ac:dyDescent="0.45">
      <c r="B474">
        <v>0</v>
      </c>
    </row>
    <row r="475" spans="2:2" x14ac:dyDescent="0.45">
      <c r="B475">
        <v>0</v>
      </c>
    </row>
    <row r="476" spans="2:2" x14ac:dyDescent="0.45">
      <c r="B476">
        <v>0</v>
      </c>
    </row>
    <row r="477" spans="2:2" x14ac:dyDescent="0.45">
      <c r="B477">
        <v>0</v>
      </c>
    </row>
    <row r="478" spans="2:2" x14ac:dyDescent="0.45">
      <c r="B478">
        <v>2000</v>
      </c>
    </row>
    <row r="479" spans="2:2" x14ac:dyDescent="0.45">
      <c r="B479">
        <v>0</v>
      </c>
    </row>
    <row r="480" spans="2:2" x14ac:dyDescent="0.45">
      <c r="B480">
        <v>0</v>
      </c>
    </row>
    <row r="481" spans="2:2" x14ac:dyDescent="0.45">
      <c r="B481">
        <v>0</v>
      </c>
    </row>
    <row r="482" spans="2:2" x14ac:dyDescent="0.45">
      <c r="B482">
        <v>0</v>
      </c>
    </row>
    <row r="483" spans="2:2" x14ac:dyDescent="0.45">
      <c r="B483">
        <v>41</v>
      </c>
    </row>
    <row r="484" spans="2:2" x14ac:dyDescent="0.45">
      <c r="B484">
        <v>239</v>
      </c>
    </row>
    <row r="485" spans="2:2" x14ac:dyDescent="0.45">
      <c r="B485">
        <v>357</v>
      </c>
    </row>
    <row r="486" spans="2:2" x14ac:dyDescent="0.45">
      <c r="B486">
        <v>445</v>
      </c>
    </row>
    <row r="487" spans="2:2" x14ac:dyDescent="0.45">
      <c r="B487">
        <v>369</v>
      </c>
    </row>
    <row r="488" spans="2:2" x14ac:dyDescent="0.45">
      <c r="B488">
        <v>275</v>
      </c>
    </row>
    <row r="489" spans="2:2" x14ac:dyDescent="0.45">
      <c r="B489">
        <v>161</v>
      </c>
    </row>
    <row r="490" spans="2:2" x14ac:dyDescent="0.45">
      <c r="B490">
        <v>84</v>
      </c>
    </row>
    <row r="491" spans="2:2" x14ac:dyDescent="0.45">
      <c r="B491">
        <v>25</v>
      </c>
    </row>
    <row r="492" spans="2:2" x14ac:dyDescent="0.45">
      <c r="B492">
        <v>4</v>
      </c>
    </row>
    <row r="493" spans="2:2" x14ac:dyDescent="0.45">
      <c r="B493">
        <v>14</v>
      </c>
    </row>
    <row r="494" spans="2:2" x14ac:dyDescent="0.45">
      <c r="B494">
        <v>110</v>
      </c>
    </row>
    <row r="495" spans="2:2" x14ac:dyDescent="0.45">
      <c r="B495">
        <v>257</v>
      </c>
    </row>
    <row r="496" spans="2:2" x14ac:dyDescent="0.45">
      <c r="B496">
        <v>337</v>
      </c>
    </row>
    <row r="497" spans="2:2" x14ac:dyDescent="0.45">
      <c r="B497">
        <v>356</v>
      </c>
    </row>
    <row r="498" spans="2:2" x14ac:dyDescent="0.45">
      <c r="B498">
        <v>356</v>
      </c>
    </row>
    <row r="499" spans="2:2" x14ac:dyDescent="0.45">
      <c r="B499">
        <v>280</v>
      </c>
    </row>
    <row r="500" spans="2:2" x14ac:dyDescent="0.45">
      <c r="B500">
        <v>183</v>
      </c>
    </row>
    <row r="501" spans="2:2" x14ac:dyDescent="0.45">
      <c r="B501">
        <v>80</v>
      </c>
    </row>
    <row r="502" spans="2:2" x14ac:dyDescent="0.45">
      <c r="B502">
        <v>27</v>
      </c>
    </row>
    <row r="503" spans="2:2" x14ac:dyDescent="0.45">
      <c r="B503">
        <v>1469</v>
      </c>
    </row>
    <row r="504" spans="2:2" x14ac:dyDescent="0.45">
      <c r="B504">
        <v>0</v>
      </c>
    </row>
    <row r="505" spans="2:2" x14ac:dyDescent="0.45">
      <c r="B505">
        <v>0</v>
      </c>
    </row>
    <row r="506" spans="2:2" x14ac:dyDescent="0.45">
      <c r="B506">
        <v>0</v>
      </c>
    </row>
    <row r="507" spans="2:2" x14ac:dyDescent="0.45">
      <c r="B507">
        <v>0</v>
      </c>
    </row>
    <row r="508" spans="2:2" x14ac:dyDescent="0.45">
      <c r="B508">
        <v>0</v>
      </c>
    </row>
    <row r="509" spans="2:2" x14ac:dyDescent="0.45">
      <c r="B509">
        <v>0</v>
      </c>
    </row>
    <row r="510" spans="2:2" x14ac:dyDescent="0.45">
      <c r="B510">
        <v>0</v>
      </c>
    </row>
    <row r="511" spans="2:2" x14ac:dyDescent="0.45">
      <c r="B511">
        <v>0</v>
      </c>
    </row>
    <row r="512" spans="2:2" x14ac:dyDescent="0.45">
      <c r="B512">
        <v>531</v>
      </c>
    </row>
    <row r="513" spans="2:2" x14ac:dyDescent="0.45">
      <c r="B513">
        <v>13</v>
      </c>
    </row>
    <row r="514" spans="2:2" x14ac:dyDescent="0.45">
      <c r="B514">
        <v>110</v>
      </c>
    </row>
    <row r="515" spans="2:2" x14ac:dyDescent="0.45">
      <c r="B515">
        <v>301</v>
      </c>
    </row>
    <row r="516" spans="2:2" x14ac:dyDescent="0.45">
      <c r="B516">
        <v>418</v>
      </c>
    </row>
    <row r="517" spans="2:2" x14ac:dyDescent="0.45">
      <c r="B517">
        <v>454</v>
      </c>
    </row>
    <row r="518" spans="2:2" x14ac:dyDescent="0.45">
      <c r="B518">
        <v>349</v>
      </c>
    </row>
    <row r="519" spans="2:2" x14ac:dyDescent="0.45">
      <c r="B519">
        <v>207</v>
      </c>
    </row>
    <row r="520" spans="2:2" x14ac:dyDescent="0.45">
      <c r="B520">
        <v>96</v>
      </c>
    </row>
    <row r="521" spans="2:2" x14ac:dyDescent="0.45">
      <c r="B521">
        <v>44</v>
      </c>
    </row>
    <row r="522" spans="2:2" x14ac:dyDescent="0.45">
      <c r="B522">
        <v>8</v>
      </c>
    </row>
    <row r="523" spans="2:2" x14ac:dyDescent="0.45">
      <c r="B523">
        <v>16</v>
      </c>
    </row>
    <row r="524" spans="2:2" x14ac:dyDescent="0.45">
      <c r="B524">
        <v>40</v>
      </c>
    </row>
    <row r="525" spans="2:2" x14ac:dyDescent="0.45">
      <c r="B525">
        <v>136</v>
      </c>
    </row>
    <row r="526" spans="2:2" x14ac:dyDescent="0.45">
      <c r="B526">
        <v>278</v>
      </c>
    </row>
    <row r="527" spans="2:2" x14ac:dyDescent="0.45">
      <c r="B527">
        <v>356</v>
      </c>
    </row>
    <row r="528" spans="2:2" x14ac:dyDescent="0.45">
      <c r="B528">
        <v>422</v>
      </c>
    </row>
    <row r="529" spans="2:2" x14ac:dyDescent="0.45">
      <c r="B529">
        <v>378</v>
      </c>
    </row>
    <row r="530" spans="2:2" x14ac:dyDescent="0.45">
      <c r="B530">
        <v>244</v>
      </c>
    </row>
    <row r="531" spans="2:2" x14ac:dyDescent="0.45">
      <c r="B531">
        <v>98</v>
      </c>
    </row>
    <row r="532" spans="2:2" x14ac:dyDescent="0.45">
      <c r="B532">
        <v>32</v>
      </c>
    </row>
    <row r="533" spans="2:2" x14ac:dyDescent="0.45">
      <c r="B533">
        <v>19</v>
      </c>
    </row>
    <row r="534" spans="2:2" x14ac:dyDescent="0.45">
      <c r="B534">
        <v>62</v>
      </c>
    </row>
    <row r="535" spans="2:2" x14ac:dyDescent="0.45">
      <c r="B535">
        <v>171</v>
      </c>
    </row>
    <row r="536" spans="2:2" x14ac:dyDescent="0.45">
      <c r="B536">
        <v>292</v>
      </c>
    </row>
    <row r="537" spans="2:2" x14ac:dyDescent="0.45">
      <c r="B537">
        <v>404</v>
      </c>
    </row>
    <row r="538" spans="2:2" x14ac:dyDescent="0.45">
      <c r="B538">
        <v>403</v>
      </c>
    </row>
    <row r="539" spans="2:2" x14ac:dyDescent="0.45">
      <c r="B539">
        <v>341</v>
      </c>
    </row>
    <row r="540" spans="2:2" x14ac:dyDescent="0.45">
      <c r="B540">
        <v>194</v>
      </c>
    </row>
    <row r="541" spans="2:2" x14ac:dyDescent="0.45">
      <c r="B541">
        <v>88</v>
      </c>
    </row>
    <row r="542" spans="2:2" x14ac:dyDescent="0.45">
      <c r="B542">
        <v>26</v>
      </c>
    </row>
    <row r="543" spans="2:2" x14ac:dyDescent="0.45">
      <c r="B543">
        <v>107</v>
      </c>
    </row>
    <row r="544" spans="2:2" x14ac:dyDescent="0.45">
      <c r="B544">
        <v>288</v>
      </c>
    </row>
    <row r="545" spans="2:2" x14ac:dyDescent="0.45">
      <c r="B545">
        <v>336</v>
      </c>
    </row>
    <row r="546" spans="2:2" x14ac:dyDescent="0.45">
      <c r="B546">
        <v>378</v>
      </c>
    </row>
    <row r="547" spans="2:2" x14ac:dyDescent="0.45">
      <c r="B547">
        <v>308</v>
      </c>
    </row>
    <row r="548" spans="2:2" x14ac:dyDescent="0.45">
      <c r="B548">
        <v>248</v>
      </c>
    </row>
    <row r="549" spans="2:2" x14ac:dyDescent="0.45">
      <c r="B549">
        <v>179</v>
      </c>
    </row>
    <row r="550" spans="2:2" x14ac:dyDescent="0.45">
      <c r="B550">
        <v>99</v>
      </c>
    </row>
    <row r="551" spans="2:2" x14ac:dyDescent="0.45">
      <c r="B551">
        <v>40</v>
      </c>
    </row>
    <row r="552" spans="2:2" x14ac:dyDescent="0.45">
      <c r="B552">
        <v>17</v>
      </c>
    </row>
    <row r="553" spans="2:2" x14ac:dyDescent="0.45">
      <c r="B553">
        <v>70</v>
      </c>
    </row>
    <row r="554" spans="2:2" x14ac:dyDescent="0.45">
      <c r="B554">
        <v>186</v>
      </c>
    </row>
    <row r="555" spans="2:2" x14ac:dyDescent="0.45">
      <c r="B555">
        <v>271</v>
      </c>
    </row>
    <row r="556" spans="2:2" x14ac:dyDescent="0.45">
      <c r="B556">
        <v>333</v>
      </c>
    </row>
    <row r="557" spans="2:2" x14ac:dyDescent="0.45">
      <c r="B557">
        <v>354</v>
      </c>
    </row>
    <row r="558" spans="2:2" x14ac:dyDescent="0.45">
      <c r="B558">
        <v>294</v>
      </c>
    </row>
    <row r="559" spans="2:2" x14ac:dyDescent="0.45">
      <c r="B559">
        <v>248</v>
      </c>
    </row>
    <row r="560" spans="2:2" x14ac:dyDescent="0.45">
      <c r="B560">
        <v>155</v>
      </c>
    </row>
    <row r="561" spans="2:2" x14ac:dyDescent="0.45">
      <c r="B561">
        <v>62</v>
      </c>
    </row>
    <row r="562" spans="2:2" x14ac:dyDescent="0.45">
      <c r="B562">
        <v>27</v>
      </c>
    </row>
    <row r="563" spans="2:2" x14ac:dyDescent="0.45">
      <c r="B563">
        <v>39</v>
      </c>
    </row>
    <row r="564" spans="2:2" x14ac:dyDescent="0.45">
      <c r="B564">
        <v>117</v>
      </c>
    </row>
    <row r="565" spans="2:2" x14ac:dyDescent="0.45">
      <c r="B565">
        <v>225</v>
      </c>
    </row>
    <row r="566" spans="2:2" x14ac:dyDescent="0.45">
      <c r="B566">
        <v>301</v>
      </c>
    </row>
    <row r="567" spans="2:2" x14ac:dyDescent="0.45">
      <c r="B567">
        <v>336</v>
      </c>
    </row>
    <row r="568" spans="2:2" x14ac:dyDescent="0.45">
      <c r="B568">
        <v>330</v>
      </c>
    </row>
    <row r="569" spans="2:2" x14ac:dyDescent="0.45">
      <c r="B569">
        <v>292</v>
      </c>
    </row>
    <row r="570" spans="2:2" x14ac:dyDescent="0.45">
      <c r="B570">
        <v>206</v>
      </c>
    </row>
    <row r="571" spans="2:2" x14ac:dyDescent="0.45">
      <c r="B571">
        <v>122</v>
      </c>
    </row>
    <row r="572" spans="2:2" x14ac:dyDescent="0.45">
      <c r="B572">
        <v>32</v>
      </c>
    </row>
    <row r="573" spans="2:2" x14ac:dyDescent="0.45">
      <c r="B573">
        <v>67</v>
      </c>
    </row>
    <row r="574" spans="2:2" x14ac:dyDescent="0.45">
      <c r="B574">
        <v>210</v>
      </c>
    </row>
    <row r="575" spans="2:2" x14ac:dyDescent="0.45">
      <c r="B575">
        <v>303</v>
      </c>
    </row>
    <row r="576" spans="2:2" x14ac:dyDescent="0.45">
      <c r="B576">
        <v>330</v>
      </c>
    </row>
    <row r="577" spans="2:2" x14ac:dyDescent="0.45">
      <c r="B577">
        <v>361</v>
      </c>
    </row>
    <row r="578" spans="2:2" x14ac:dyDescent="0.45">
      <c r="B578">
        <v>296</v>
      </c>
    </row>
    <row r="579" spans="2:2" x14ac:dyDescent="0.45">
      <c r="B579">
        <v>213</v>
      </c>
    </row>
    <row r="580" spans="2:2" x14ac:dyDescent="0.45">
      <c r="B580">
        <v>146</v>
      </c>
    </row>
    <row r="581" spans="2:2" x14ac:dyDescent="0.45">
      <c r="B581">
        <v>60</v>
      </c>
    </row>
    <row r="582" spans="2:2" x14ac:dyDescent="0.45">
      <c r="B582">
        <v>14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300">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9C32EE72-516D-4348-9A36-906AA9C5E708}">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50</vt:i4>
      </vt:variant>
    </vt:vector>
  </HeadingPairs>
  <TitlesOfParts>
    <vt:vector size="57" baseType="lpstr">
      <vt:lpstr>About</vt:lpstr>
      <vt:lpstr>Inputs</vt:lpstr>
      <vt:lpstr>Cash flow</vt:lpstr>
      <vt:lpstr>Results</vt:lpstr>
      <vt:lpstr>ModelRiskDSN</vt:lpstr>
      <vt:lpstr>ModelRiskSYS1</vt:lpstr>
      <vt:lpstr>ModelRiskCharts</vt:lpstr>
      <vt:lpstr>AfterDiscount</vt:lpstr>
      <vt:lpstr>AfterPace</vt:lpstr>
      <vt:lpstr>BuildCost</vt:lpstr>
      <vt:lpstr>BuildCost_Hi</vt:lpstr>
      <vt:lpstr>BuildCost_Lo</vt:lpstr>
      <vt:lpstr>BuildCost_Mean</vt:lpstr>
      <vt:lpstr>BuildCost_ML</vt:lpstr>
      <vt:lpstr>BuildMonths</vt:lpstr>
      <vt:lpstr>BuildTime</vt:lpstr>
      <vt:lpstr>BuildTime_Hi</vt:lpstr>
      <vt:lpstr>BuildTime_Lo</vt:lpstr>
      <vt:lpstr>BuildTime_Mean</vt:lpstr>
      <vt:lpstr>BuildTime_ML</vt:lpstr>
      <vt:lpstr>Checks</vt:lpstr>
      <vt:lpstr>Confidence</vt:lpstr>
      <vt:lpstr>DepositShare</vt:lpstr>
      <vt:lpstr>Equity</vt:lpstr>
      <vt:lpstr>Facility</vt:lpstr>
      <vt:lpstr>InputMeans</vt:lpstr>
      <vt:lpstr>InterestRate</vt:lpstr>
      <vt:lpstr>Land</vt:lpstr>
      <vt:lpstr>Market</vt:lpstr>
      <vt:lpstr>Market_Hi</vt:lpstr>
      <vt:lpstr>Market_Lo</vt:lpstr>
      <vt:lpstr>Market_Mean</vt:lpstr>
      <vt:lpstr>Market_ML</vt:lpstr>
      <vt:lpstr>MonthlyRate</vt:lpstr>
      <vt:lpstr>OverFacility</vt:lpstr>
      <vt:lpstr>Overheads</vt:lpstr>
      <vt:lpstr>Pace</vt:lpstr>
      <vt:lpstr>Pace_Hi</vt:lpstr>
      <vt:lpstr>Pace_Lo</vt:lpstr>
      <vt:lpstr>Pace_Mean</vt:lpstr>
      <vt:lpstr>Pace_ML</vt:lpstr>
      <vt:lpstr>PeakFunding</vt:lpstr>
      <vt:lpstr>PeakMonth</vt:lpstr>
      <vt:lpstr>Price</vt:lpstr>
      <vt:lpstr>PriceToday</vt:lpstr>
      <vt:lpstr>Results!Print_Area</vt:lpstr>
      <vt:lpstr>'Cash flow'!Print_Titles</vt:lpstr>
      <vt:lpstr>Inputs!Print_Titles</vt:lpstr>
      <vt:lpstr>Results!Print_Titles</vt:lpstr>
      <vt:lpstr>Profit</vt:lpstr>
      <vt:lpstr>ProfitOnCost</vt:lpstr>
      <vt:lpstr>SalesStart</vt:lpstr>
      <vt:lpstr>SAlpha</vt:lpstr>
      <vt:lpstr>SBeta</vt:lpstr>
      <vt:lpstr>SoldOffPlan</vt:lpstr>
      <vt:lpstr>TotalInterest</vt:lpstr>
      <vt:lpstr>Units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PC-08 Construction Cash Flow and Peak Funding</dc:title>
  <dc:subject>ModelRisk industry example library — Projects and construction</dc:subject>
  <dc:creator>Vose Software</dc:creator>
  <cp:keywords>ModelRisk; Monte Carlo; Projects and construction</cp:keywords>
  <dc:description>A residential development's monthly cash flow — S-curve spend, off-plan sales and a revolving facility — and its peak funding risk.</dc:description>
  <cp:lastModifiedBy>Timour Koupeev</cp:lastModifiedBy>
  <cp:lastPrinted>2026-10-05T10:28:49Z</cp:lastPrinted>
  <dcterms:created xsi:type="dcterms:W3CDTF">2026-10-05T10:25:44Z</dcterms:created>
  <dcterms:modified xsi:type="dcterms:W3CDTF">2026-10-05T10:28:51Z</dcterms:modified>
</cp:coreProperties>
</file>