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Projects and construction\"/>
    </mc:Choice>
  </mc:AlternateContent>
  <xr:revisionPtr revIDLastSave="0" documentId="8_{0AB22C6D-BBE2-4A69-ACF4-09AC32750291}"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Changes" sheetId="3" r:id="rId3"/>
    <sheet name="Results" sheetId="4" r:id="rId4"/>
    <sheet name="ModelRiskDSN" sheetId="5" state="hidden" r:id="rId5"/>
    <sheet name="ModelRiskSYS1" sheetId="6" state="hidden" r:id="rId6"/>
    <sheet name="ModelRiskCharts" sheetId="7" state="hidden" r:id="rId7"/>
  </sheets>
  <definedNames>
    <definedName name="Allowance">Changes!$D$23</definedName>
    <definedName name="AllowancePct">Inputs!$D$13</definedName>
    <definedName name="Checks">Changes!$D$29:$D$30</definedName>
    <definedName name="Client_Cost">Changes!$D$13</definedName>
    <definedName name="Client_Mean">Inputs!$D$20</definedName>
    <definedName name="Client_N">Changes!$D$12</definedName>
    <definedName name="Client_Rate">Inputs!$D$18</definedName>
    <definedName name="Client_RateCV">Inputs!$D$19</definedName>
    <definedName name="Client_RateDrawn">Changes!$D$11</definedName>
    <definedName name="Client_Scale">Changes!$D$10</definedName>
    <definedName name="Client_SD">Inputs!$D$21</definedName>
    <definedName name="Client_Shape">Changes!$D$9</definedName>
    <definedName name="ContractSum">Inputs!$D$11</definedName>
    <definedName name="Design_Cost">Changes!$D$15</definedName>
    <definedName name="Design_Mean">Inputs!$D$27</definedName>
    <definedName name="Design_N">Changes!$D$14</definedName>
    <definedName name="Design_Rate">Inputs!$D$26</definedName>
    <definedName name="Design_SD">Inputs!$D$28</definedName>
    <definedName name="Exceeds">Changes!$D$24</definedName>
    <definedName name="Expected">Changes!$D$25</definedName>
    <definedName name="Months">Inputs!$D$12</definedName>
    <definedName name="_xlnm.Print_Area" localSheetId="3">Results!$A$1:$R$51</definedName>
    <definedName name="_xlnm.Print_Titles" localSheetId="1">Inputs!$1:$4</definedName>
    <definedName name="_xlnm.Print_Titles" localSheetId="3">Results!$1:$4</definedName>
    <definedName name="Rework_Cost">Changes!$D$17</definedName>
    <definedName name="Rework_Mean">Inputs!$D$34</definedName>
    <definedName name="Rework_N">Changes!$D$16</definedName>
    <definedName name="Rework_Rate">Inputs!$D$33</definedName>
    <definedName name="Rework_SD">Inputs!$D$35</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TotalChange">Changes!$D$22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6" i="4" l="1"/>
  <c r="C105" i="4"/>
  <c r="C104" i="4"/>
  <c r="C103" i="4"/>
  <c r="C102" i="4"/>
  <c r="C101" i="4"/>
  <c r="C100" i="4"/>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C69" i="4"/>
  <c r="C68" i="4"/>
  <c r="C67" i="4"/>
  <c r="C66" i="4"/>
  <c r="C65" i="4"/>
  <c r="C64" i="4"/>
  <c r="C63" i="4"/>
  <c r="C62" i="4"/>
  <c r="C61" i="4"/>
  <c r="C60" i="4"/>
  <c r="C59" i="4"/>
  <c r="C58" i="4"/>
  <c r="C57" i="4"/>
  <c r="D30" i="3"/>
  <c r="D29" i="3"/>
  <c r="B7" i="4"/>
  <c r="D25" i="3"/>
  <c r="D17" i="4" s="1"/>
  <c r="D23" i="3"/>
  <c r="D12" i="4" s="1"/>
  <c r="D9" i="3"/>
  <c r="D10" i="3"/>
  <c r="D11" i="3" a="1"/>
  <c r="D16" i="3" a="1"/>
  <c r="D14" i="3" a="1"/>
  <c r="D14" i="3" l="1"/>
  <c r="D16" i="3"/>
  <c r="D11" i="3"/>
  <c r="F31" i="4" a="1"/>
  <c r="D31" i="4" a="1"/>
  <c r="E31" i="4" a="1"/>
  <c r="G31" i="4" a="1"/>
  <c r="D32" i="4" a="1"/>
  <c r="E32" i="4" a="1"/>
  <c r="G32" i="4" a="1"/>
  <c r="F32" i="4" a="1"/>
  <c r="D15" i="3" a="1"/>
  <c r="D17" i="3" a="1"/>
  <c r="D12" i="3" a="1"/>
  <c r="F32" i="4" l="1"/>
  <c r="G32" i="4"/>
  <c r="E32" i="4"/>
  <c r="D32" i="4"/>
  <c r="G31" i="4"/>
  <c r="E31" i="4"/>
  <c r="D31" i="4"/>
  <c r="F31" i="4"/>
  <c r="D12" i="3"/>
  <c r="D17" i="3"/>
  <c r="D15" i="3"/>
  <c r="F30" i="4" a="1"/>
  <c r="G30" i="4" a="1"/>
  <c r="D30" i="4" a="1"/>
  <c r="E30" i="4" a="1"/>
  <c r="F24" i="4" a="1"/>
  <c r="D24" i="4" a="1"/>
  <c r="G24" i="4" a="1"/>
  <c r="E24" i="4" a="1"/>
  <c r="D23" i="4" a="1"/>
  <c r="G23" i="4" a="1"/>
  <c r="E23" i="4" a="1"/>
  <c r="F23" i="4" a="1"/>
  <c r="D13" i="3" a="1"/>
  <c r="F23" i="4" l="1"/>
  <c r="E23" i="4"/>
  <c r="G23" i="4"/>
  <c r="D23" i="4"/>
  <c r="E24" i="4"/>
  <c r="G24" i="4"/>
  <c r="D24" i="4"/>
  <c r="F24" i="4"/>
  <c r="E30" i="4"/>
  <c r="D30" i="4"/>
  <c r="G30" i="4"/>
  <c r="F30" i="4"/>
  <c r="D13" i="3"/>
  <c r="F22" i="4" a="1"/>
  <c r="E22" i="4" a="1"/>
  <c r="G22" i="4" a="1"/>
  <c r="D22" i="4" a="1"/>
  <c r="D22" i="4" l="1"/>
  <c r="G22" i="4"/>
  <c r="E22" i="4"/>
  <c r="F22" i="4"/>
  <c r="D22" i="3" a="1"/>
  <c r="D22" i="3" s="1"/>
  <c r="D67" i="4" a="1"/>
  <c r="D76" i="4" a="1"/>
  <c r="D95" i="4" a="1"/>
  <c r="B6" i="4" a="1"/>
  <c r="D94" i="4" a="1"/>
  <c r="D91" i="4" a="1"/>
  <c r="D106" i="4" a="1"/>
  <c r="D90" i="4" a="1"/>
  <c r="D85" i="4" a="1"/>
  <c r="D65" i="4" a="1"/>
  <c r="D63" i="4" a="1"/>
  <c r="D58" i="4" a="1"/>
  <c r="D98" i="4" a="1"/>
  <c r="D61" i="4" a="1"/>
  <c r="D59" i="4" a="1"/>
  <c r="D104" i="4" a="1"/>
  <c r="D87" i="4" a="1"/>
  <c r="D105" i="4" a="1"/>
  <c r="D64" i="4" a="1"/>
  <c r="D14" i="4" a="1"/>
  <c r="D92" i="4" a="1"/>
  <c r="D60" i="4" a="1"/>
  <c r="D79" i="4" a="1"/>
  <c r="D77" i="4" a="1"/>
  <c r="D88" i="4" a="1"/>
  <c r="D74" i="4" a="1"/>
  <c r="D108" i="4" a="1"/>
  <c r="D75" i="4" a="1"/>
  <c r="D82" i="4" a="1"/>
  <c r="D73" i="4" a="1"/>
  <c r="D93" i="4" a="1"/>
  <c r="D84" i="4" a="1"/>
  <c r="D16" i="4" a="1"/>
  <c r="D70" i="4" a="1"/>
  <c r="D99" i="4" a="1"/>
  <c r="D25" i="4" a="1"/>
  <c r="E25" i="4" a="1"/>
  <c r="D72" i="4" a="1"/>
  <c r="D89" i="4" a="1"/>
  <c r="D68" i="4" a="1"/>
  <c r="F25" i="4" a="1"/>
  <c r="D100" i="4" a="1"/>
  <c r="D86" i="4" a="1"/>
  <c r="D83" i="4" a="1"/>
  <c r="D81" i="4" a="1"/>
  <c r="D101" i="4" a="1"/>
  <c r="D78" i="4" a="1"/>
  <c r="B36" i="4" a="1"/>
  <c r="D102" i="4" a="1"/>
  <c r="D97" i="4" a="1"/>
  <c r="G25" i="4" a="1"/>
  <c r="D103" i="4" a="1"/>
  <c r="D71" i="4" a="1"/>
  <c r="D66" i="4" a="1"/>
  <c r="D69" i="4" a="1"/>
  <c r="D57" i="4" a="1"/>
  <c r="D80" i="4" a="1"/>
  <c r="D96" i="4" a="1"/>
  <c r="D62" i="4" a="1"/>
  <c r="D62" i="4" l="1"/>
  <c r="D96" i="4"/>
  <c r="D80" i="4"/>
  <c r="D57" i="4"/>
  <c r="D69" i="4"/>
  <c r="D66" i="4"/>
  <c r="D71" i="4"/>
  <c r="D103" i="4"/>
  <c r="G25" i="4"/>
  <c r="D97" i="4"/>
  <c r="D102" i="4"/>
  <c r="B36" i="4"/>
  <c r="B110" i="4" s="1"/>
  <c r="B37" i="4"/>
  <c r="B111" i="4" s="1"/>
  <c r="D39" i="4"/>
  <c r="C37" i="4"/>
  <c r="E39" i="4"/>
  <c r="E38" i="4"/>
  <c r="D38" i="4"/>
  <c r="D37" i="4"/>
  <c r="D36" i="4"/>
  <c r="C38" i="4"/>
  <c r="C36" i="4"/>
  <c r="B39" i="4"/>
  <c r="B113" i="4" s="1"/>
  <c r="E36" i="4"/>
  <c r="B38" i="4"/>
  <c r="B112" i="4" s="1"/>
  <c r="C39" i="4"/>
  <c r="E37" i="4"/>
  <c r="D78" i="4"/>
  <c r="D101" i="4"/>
  <c r="D81" i="4"/>
  <c r="D83" i="4"/>
  <c r="D86" i="4"/>
  <c r="D100" i="4"/>
  <c r="F25" i="4"/>
  <c r="D68" i="4"/>
  <c r="D89" i="4"/>
  <c r="D72" i="4"/>
  <c r="E25" i="4"/>
  <c r="D25" i="4"/>
  <c r="D99" i="4"/>
  <c r="D70" i="4"/>
  <c r="D16" i="4"/>
  <c r="D84" i="4"/>
  <c r="D93" i="4"/>
  <c r="D73" i="4"/>
  <c r="D82" i="4"/>
  <c r="D75" i="4"/>
  <c r="D108" i="4"/>
  <c r="D74" i="4"/>
  <c r="D88" i="4"/>
  <c r="D77" i="4"/>
  <c r="D79" i="4"/>
  <c r="D60" i="4"/>
  <c r="D92" i="4"/>
  <c r="D14" i="4"/>
  <c r="D15" i="4" s="1"/>
  <c r="D64" i="4"/>
  <c r="D105" i="4"/>
  <c r="D87" i="4"/>
  <c r="D104" i="4"/>
  <c r="D59" i="4"/>
  <c r="D61" i="4"/>
  <c r="D98" i="4"/>
  <c r="D58" i="4"/>
  <c r="D63" i="4"/>
  <c r="D65" i="4"/>
  <c r="D85" i="4"/>
  <c r="D90" i="4"/>
  <c r="D106" i="4"/>
  <c r="D91" i="4"/>
  <c r="D94" i="4"/>
  <c r="B6" i="4"/>
  <c r="D95" i="4"/>
  <c r="D76" i="4"/>
  <c r="D67" i="4"/>
  <c r="D24" i="3" a="1"/>
  <c r="D24" i="3" s="1"/>
  <c r="D13" i="4" a="1"/>
  <c r="F110" i="4" l="1"/>
  <c r="G113" i="4"/>
  <c r="F112" i="4"/>
  <c r="D13" i="4"/>
  <c r="G111" i="4"/>
  <c r="G110" i="4"/>
  <c r="F113" i="4"/>
  <c r="G112" i="4"/>
  <c r="F111"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<sst xmlns="http://schemas.openxmlformats.org/spreadsheetml/2006/main" count="305" uniqueCount="225">
  <si>
    <t>Rework and Change Orders</t>
  </si>
  <si>
    <t>ModelRisk example  ·  Projects and construction  ·  PC-06</t>
  </si>
  <si>
    <t>Is a 5% change allowance enough?  Change orders and rework as a random number of events of random size.</t>
  </si>
  <si>
    <t>Next:  Inputs  ▸</t>
  </si>
  <si>
    <t>Model card</t>
  </si>
  <si>
    <t>Industry</t>
  </si>
  <si>
    <t>Projects and construction</t>
  </si>
  <si>
    <t>Difficulty</t>
  </si>
  <si>
    <t>★★☆☆☆   Three classes of change, each a random number of events with random costs, added up with VoseAggregateMC.</t>
  </si>
  <si>
    <t>Business question</t>
  </si>
  <si>
    <t>Over a 24-month building contract worth US$60 million, client changes, design errors and rework will add cost. How much, how likely is the 5% change allowance to be exceeded, and what allowance would give 80% confidence?</t>
  </si>
  <si>
    <t>Who it is for</t>
  </si>
  <si>
    <t>Cost managers, quantity surveyors, contract administrators and clients setting change allowances.</t>
  </si>
  <si>
    <t>Main outputs</t>
  </si>
  <si>
    <t>Total cost of changes and rework: mean, P50 / P80 / P90 · the chance of exceeding the allowance · the allowance needed for 80% confidence · the number of change orders and its range · the contribution of each class.</t>
  </si>
  <si>
    <t>ModelRisk techniques</t>
  </si>
  <si>
    <t>Frequency × severity: a Poisson number of events per class, each with a Lognormal cost, summed by VoseAggregateMC · an uncertain event rate (Gamma), which makes the count more variable than Poisson (a Poisson–Gamma mixture) · P80 allowance.</t>
  </si>
  <si>
    <t>File</t>
  </si>
  <si>
    <t>PC-06 Rework and change orders  ·  Version 1.0  ·  October 2026  ·  built with ModelRisk 10</t>
  </si>
  <si>
    <t>The business question</t>
  </si>
  <si>
    <t>A US$60 million school building will take 24 months. The cost plan carries a 5% allowance for changes, the usual figure. Changes come from three sources. The client will instruct changes — a few a month, but nobody knows the rate for this client, so the rate itself is uncertain. The design will have errors and omissions that the contractor is entitled to be paid for. And defective work will have to be redone. Each change is small on its own, but a few are expensive, and their number is uncertain. The model counts the events in each class, gives each one a cost, adds them up, and asks whether the 5% allowance is enough — and what allowance would be.</t>
  </si>
  <si>
    <t>How the model works</t>
  </si>
  <si>
    <t>Three sheets after this one, read from left to right. Each one feeds the next.</t>
  </si>
  <si>
    <t>1  Inputs</t>
  </si>
  <si>
    <t>The contract sum, its duration and the allowance; for each class, the expected number of events per month and the mean and spread of an event's cost. The client's change rate has its own uncertainty.</t>
  </si>
  <si>
    <t>2  Changes</t>
  </si>
  <si>
    <t>The number of events in each class is Poisson with mean = rate × months (for client changes, the rate is first drawn from a Gamma). VoseAggregateMC then adds up that many Lognormal costs.</t>
  </si>
  <si>
    <t>3  Results</t>
  </si>
  <si>
    <t>The total change cost against the allowance, the allowance that would cover it with 80% confidence, the number of client change orders, and how each class contributes.</t>
  </si>
  <si>
    <t>How to use it</t>
  </si>
  <si>
    <t>Step 1</t>
  </si>
  <si>
    <t>Calibrate the rates and costs from the change logs of similar projects (number per month, average and spread of cost).</t>
  </si>
  <si>
    <t>Step 2</t>
  </si>
  <si>
    <t>Set the contract sum, duration and allowance on the Inputs sheet.</t>
  </si>
  <si>
    <t>Step 3</t>
  </si>
  <si>
    <t>Run a simulation from the ModelRisk ribbon (10,000 samples with a fixed seed are set).</t>
  </si>
  <si>
    <t>Step 4</t>
  </si>
  <si>
    <t>Compare the allowance with the P80 change cost; the drivers show which class to manage.</t>
  </si>
  <si>
    <t>Workbook map</t>
  </si>
  <si>
    <t>Inputs</t>
  </si>
  <si>
    <t>Contract, duration and allowance; rates and costs of the three classes.</t>
  </si>
  <si>
    <t>Changes</t>
  </si>
  <si>
    <t>This iteration's counts and costs; outputs and checks.</t>
  </si>
  <si>
    <t>Results</t>
  </si>
  <si>
    <t>Change cost and the allowance, ranges by class, number of change orders, drivers.</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</si>
  <si>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</si>
  <si>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</si>
  <si>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</si>
  <si>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</si>
  <si>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</si>
  <si>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</si>
  <si>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</si>
  <si>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</si>
  <si>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</si>
  <si>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</si>
  <si>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</si>
  <si>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</si>
  <si>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Money</t>
  </si>
  <si>
    <t>US$ million (US$m); event costs entered in US$m (0.045 = US$45,000).</t>
  </si>
  <si>
    <t>Rates</t>
  </si>
  <si>
    <t>Expected number of events per month of the contract.</t>
  </si>
  <si>
    <t>Allowance</t>
  </si>
  <si>
    <t>A percentage of the contract sum reserved for changes.</t>
  </si>
  <si>
    <t>P80</t>
  </si>
  <si>
    <t>The cost with an 80% chance of not being exceeded.</t>
  </si>
  <si>
    <t>Key assumptions and limitations</t>
  </si>
  <si>
    <t>Events</t>
  </si>
  <si>
    <t>Events occur at random through the contract (Poisson); costs are independent of each other and of their number.</t>
  </si>
  <si>
    <t>Client rate</t>
  </si>
  <si>
    <t>The client's average rate is uncertain (Gamma, 30% coefficient of variation): some clients change much more.</t>
  </si>
  <si>
    <t>Scope</t>
  </si>
  <si>
    <t>Only change and rework costs; their effect on time is not modelled (see PC-02 and PC-04).</t>
  </si>
  <si>
    <t>Data</t>
  </si>
  <si>
    <t>The project, rates and costs are invented for this example.</t>
  </si>
  <si>
    <t>ModelRisk functions used</t>
  </si>
  <si>
    <t>VosePoisson, VoseGamma</t>
  </si>
  <si>
    <t>The number of events per class; the client's uncertain change rate.</t>
  </si>
  <si>
    <t>VoseAggregateMC, VoseLognormalObject</t>
  </si>
  <si>
    <t>The total cost of a random number of Lognormal events.</t>
  </si>
  <si>
    <t>VoseInput, VoseOutput</t>
  </si>
  <si>
    <t>Name the uncertain quantities and the outputs.</t>
  </si>
  <si>
    <t>VoseSimMean, VoseSimPercentile, VoseSimProbability</t>
  </si>
  <si>
    <t>Statistics of the simulation for the tables and charts on the Results sheet.</t>
  </si>
  <si>
    <t>VoseSimSensitivityMean</t>
  </si>
  <si>
    <t>The tornado chart: every VoseInput ranked by how far the mean total moves across its range.</t>
  </si>
  <si>
    <t>Further reading</t>
  </si>
  <si>
    <t>Change orders</t>
  </si>
  <si>
    <t>Hanna, A. S. et al. (2002). Impact of change orders on labor efficiency for mechanical construction. Journal of Construction Engineering and Management 128(1), 57–64.</t>
  </si>
  <si>
    <t>Aggregate distributions</t>
  </si>
  <si>
    <t>Vose, D. (2008). Risk Analysis: A Quantitative Guide, 3rd edition. Wiley — chapter on aggregate distributions.</t>
  </si>
  <si>
    <t>© 2026 Vose Software   ·   www.vosesoftware.com   ·   An illustrative example: the figures are invented for teaching and do not describe a real company, project or asset.</t>
  </si>
  <si>
    <t>INPUTS   ·   Every assumption the model uses, with its uncertainty and its basis. Change only the yellow cells.</t>
  </si>
  <si>
    <t>◂  About</t>
  </si>
  <si>
    <t>Next:  Changes  ▸</t>
  </si>
  <si>
    <t>How to read this sheet:  yellow cells are inputs.</t>
  </si>
  <si>
    <t>1   Contract</t>
  </si>
  <si>
    <t>The contract the changes are measured against.</t>
  </si>
  <si>
    <t>Assumption</t>
  </si>
  <si>
    <t>Unit</t>
  </si>
  <si>
    <t>Value in model</t>
  </si>
  <si>
    <t>Uncertainty</t>
  </si>
  <si>
    <t>Basis / source (illustrative)</t>
  </si>
  <si>
    <t>Contract sum</t>
  </si>
  <si>
    <t>US$m</t>
  </si>
  <si>
    <t>Fixed</t>
  </si>
  <si>
    <t>Lump-sum building contract.</t>
  </si>
  <si>
    <t>Contract duration</t>
  </si>
  <si>
    <t>months</t>
  </si>
  <si>
    <t>Start on site to practical completion.</t>
  </si>
  <si>
    <t>Change allowance</t>
  </si>
  <si>
    <t>of the contract sum</t>
  </si>
  <si>
    <t>The usual allowance in the client's cost plan.</t>
  </si>
  <si>
    <t>2   Client-instructed changes</t>
  </si>
  <si>
    <t>Variations the client asks for. The client's rate is itself uncertain.</t>
  </si>
  <si>
    <t>Expected changes per month</t>
  </si>
  <si>
    <t>per month</t>
  </si>
  <si>
    <t>Similar school projects: 30 to 45 changes over two years.</t>
  </si>
  <si>
    <t>Uncertainty of that rate</t>
  </si>
  <si>
    <t>coefficient of variation</t>
  </si>
  <si>
    <t>Some clients change far more than others: the rate is drawn from a Gamma with this spread.</t>
  </si>
  <si>
    <t>Mean cost of a change</t>
  </si>
  <si>
    <t>Change logs: US$45,000 on average.</t>
  </si>
  <si>
    <t>Standard deviation of the cost</t>
  </si>
  <si>
    <t>Most are small, a few are large.</t>
  </si>
  <si>
    <t>3   Design errors and omissions</t>
  </si>
  <si>
    <t>Changes the design team causes and the client pays for.</t>
  </si>
  <si>
    <t>Expected events per month</t>
  </si>
  <si>
    <t>Design 85% complete at tender.</t>
  </si>
  <si>
    <t>Mean cost of an event</t>
  </si>
  <si>
    <t>4   Rework of defects</t>
  </si>
  <si>
    <t>Work that has to be redone; recovered from nobody.</t>
  </si>
  <si>
    <t>Quality records of the main contractor.</t>
  </si>
  <si>
    <t>CHANGES   ·   This iteration: how many events of each class, and what they cost in total.</t>
  </si>
  <si>
    <t>◂  Inputs</t>
  </si>
  <si>
    <t>Next:  Results  ▸</t>
  </si>
  <si>
    <t>1   Number and cost of events in this iteration</t>
  </si>
  <si>
    <t>Count: Poisson(rate × months). Cost: VoseAggregateMC of that many Lognormal costs.</t>
  </si>
  <si>
    <t>Quantity</t>
  </si>
  <si>
    <t>Value</t>
  </si>
  <si>
    <t>How it is calculated</t>
  </si>
  <si>
    <t>Gamma shape of the client's rate</t>
  </si>
  <si>
    <t>1 ÷ CV²: a Gamma's coefficient of variation is 1 ÷ √shape</t>
  </si>
  <si>
    <t>Gamma scale of the client's rate</t>
  </si>
  <si>
    <t>Expected rate ÷ shape, so that shape × scale = the expected rate</t>
  </si>
  <si>
    <t>Client's change rate in this iteration</t>
  </si>
  <si>
    <t>VoseGamma(shape, scale): mean = the expected rate, spread = the coefficient of variation on Inputs</t>
  </si>
  <si>
    <t>Client-instructed changes: number</t>
  </si>
  <si>
    <t>events</t>
  </si>
  <si>
    <t>Poisson with mean Client_RateDrawn × months. Not marked as an input: the class total below carries it</t>
  </si>
  <si>
    <t>Client-instructed changes: total cost</t>
  </si>
  <si>
    <t>VoseAggregateMC: the sum of that many Lognormal event costs</t>
  </si>
  <si>
    <t>Design errors and omissions: number</t>
  </si>
  <si>
    <t>Poisson with mean Design_Rate × months. Not marked as an input: the class total below carries it</t>
  </si>
  <si>
    <t>Design errors and omissions: total cost</t>
  </si>
  <si>
    <t>Rework of defects: number</t>
  </si>
  <si>
    <t>Poisson with mean Rework_Rate × months. Not marked as an input: the class total below carries it</t>
  </si>
  <si>
    <t>Rework of defects: total cost</t>
  </si>
  <si>
    <t>2   Value in this iteration</t>
  </si>
  <si>
    <t>Key outputs, recorded by ModelRisk at every sample (VoseOutput). Their statistics appear on the Results sheet.</t>
  </si>
  <si>
    <t>Output</t>
  </si>
  <si>
    <t>Meaning</t>
  </si>
  <si>
    <t>Total cost of changes and rework</t>
  </si>
  <si>
    <t>Sum of the three classes.</t>
  </si>
  <si>
    <t>From the Inputs sheet.</t>
  </si>
  <si>
    <t>Exceeds the allowance?  (1 = yes)</t>
  </si>
  <si>
    <t>1 / 0</t>
  </si>
  <si>
    <t>Expected cost, calculated exactly</t>
  </si>
  <si>
    <t>Rate × months × mean cost, summed: what the simulation's mean should match.</t>
  </si>
  <si>
    <t>3   Model checks</t>
  </si>
  <si>
    <t>Should all read OK. A CHECK means an input has been set outside the range the model is built for.</t>
  </si>
  <si>
    <t>Rates, costs and spreads are positive</t>
  </si>
  <si>
    <t>The coefficient of variation of the client rate is above zero</t>
  </si>
  <si>
    <t>RESULTS   ·   Filled in automatically from the last simulation. Run a simulation after changing any input.</t>
  </si>
  <si>
    <t>◂  Changes</t>
  </si>
  <si>
    <t>1   Is the allowance enough?</t>
  </si>
  <si>
    <t>Total cost of changes and rework — S-curve</t>
  </si>
  <si>
    <t>The total cost of changes and rework against the allowance in the cost plan.</t>
  </si>
  <si>
    <t>Measure</t>
  </si>
  <si>
    <t>Change allowance  (Inputs sheet)</t>
  </si>
  <si>
    <t>Chance of exceeding the allowance</t>
  </si>
  <si>
    <t>probability</t>
  </si>
  <si>
    <t>P80 cost of changes and rework</t>
  </si>
  <si>
    <t>Allowance needed for 80% confidence</t>
  </si>
  <si>
    <t>of contract</t>
  </si>
  <si>
    <t>Expected cost of changes and rework</t>
  </si>
  <si>
    <t>Expected cost, calculated exactly  (check)</t>
  </si>
  <si>
    <t>2   Cost by class</t>
  </si>
  <si>
    <t>P50 / P80 / P90: a 50%, 80% and 90% chance of not being exceeded.</t>
  </si>
  <si>
    <t>P50</t>
  </si>
  <si>
    <t>P90</t>
  </si>
  <si>
    <t>Mean</t>
  </si>
  <si>
    <t>Client-instructed changes</t>
  </si>
  <si>
    <t>Design errors and omissions</t>
  </si>
  <si>
    <t>Rework of defects</t>
  </si>
  <si>
    <t>Total</t>
  </si>
  <si>
    <t>3   Number of events</t>
  </si>
  <si>
    <t>10th percentile, median and 90th percentile.</t>
  </si>
  <si>
    <t>10th pct</t>
  </si>
  <si>
    <t>Median</t>
  </si>
  <si>
    <t>90th pct</t>
  </si>
  <si>
    <t>Client change orders</t>
  </si>
  <si>
    <t>orders</t>
  </si>
  <si>
    <t>Rework items</t>
  </si>
  <si>
    <t>4   What drives the total</t>
  </si>
  <si>
    <t>What drives the total change cost  (US$m)</t>
  </si>
  <si>
    <t>Lowest and highest mean total over ten equal groups of each input (VoseSimSensitivityMean), drawn from the overall mean.</t>
  </si>
  <si>
    <t>Input (ranked by influence)</t>
  </si>
  <si>
    <t>Lowest mean</t>
  </si>
  <si>
    <t>Highest mean</t>
  </si>
  <si>
    <t>Rank</t>
  </si>
  <si>
    <t>5   How to read these results</t>
  </si>
  <si>
    <t>•  The expected cost of changes is above the 5% allowance, so the allowance is more likely than not to be exceeded; the P80 shows what allowance would give 80% confidence.</t>
  </si>
  <si>
    <t>•  The client's change rate is uncertain, so the number of change orders varies much more than a Poisson count with a known rate would: a demanding client can double the count. The client's changes lead the tornado chart: their total cost has the longest bar, and the uncertain rate behind it one of the next. The tornado ranks only the rate and the class totals: the counts in between are part of the same chain, not separate causes.</t>
  </si>
  <si>
    <t>•  Rework items are frequent but small and similar in size, so their total is much more predictable than the cost of client changes, where a few large changes dominate.</t>
  </si>
  <si>
    <t>•  Change control that reduces the client's rate, or a more complete design at tender, attacks the drivers at the top of the ranking.</t>
  </si>
  <si>
    <t>Chart data</t>
  </si>
  <si>
    <t>Statistics of the last simulation behind the charts and the ranking above. Grouped: click + in the left margin to show them.</t>
  </si>
  <si>
    <t>Cumulative probability</t>
  </si>
  <si>
    <t>Exceedance</t>
  </si>
  <si>
    <t>TotalChange</t>
  </si>
  <si>
    <t>Overall mean of TotalChange</t>
  </si>
  <si>
    <t>Ranked input (chart)</t>
  </si>
  <si>
    <t>Highest − mean</t>
  </si>
  <si>
    <t>Lowest − mean</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</si>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</sst>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_);\(#,##0.0\);&quot;–&quot;_)"/>
    <numFmt numFmtId="165" formatCode="0.0%"/>
    <numFmt numFmtId="166" formatCode="#,##0.00_);\(#,##0.00\);&quot;–&quot;_)"/>
    <numFmt numFmtId="167" formatCode="0.000"/>
    <numFmt numFmtId="168" formatCode="0.0%;\-0.0%;0.0%;&quot;–&quot;"/>
    <numFmt numFmtId="169" formatCode="#,##0.00_);\(#,##0.00\);&quot;–&quot;_);&quot;–&quot;"/>
    <numFmt numFmtId="170" formatCode="0;\-0;0;&quot;–&quot;"/>
  </numFmts>
  <fonts count="23"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b/>
      <sz val="10"/>
      <color rgb="FF15803D"/>
      <name val="Calibri"/>
    </font>
    <font>
      <sz val="10"/>
      <color rgb="FF3F5876"/>
      <name val="Calibri"/>
    </font>
    <font>
      <b/>
      <sz val="13"/>
      <color rgb="FF0E4F92"/>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1">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67">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1" fontId="1" fillId="2" borderId="7" xfId="1" applyNumberFormat="1" applyBorder="1">
      <alignment horizontal="right" vertical="center"/>
    </xf>
    <xf numFmtId="165" fontId="1" fillId="2" borderId="7" xfId="1" applyNumberFormat="1" applyBorder="1">
      <alignment horizontal="right" vertical="center"/>
    </xf>
    <xf numFmtId="166" fontId="1" fillId="2" borderId="7" xfId="1" applyNumberFormat="1" applyBorder="1">
      <alignment horizontal="right" vertical="center"/>
    </xf>
    <xf numFmtId="9" fontId="1" fillId="2" borderId="7" xfId="1" applyNumberFormat="1" applyBorder="1">
      <alignment horizontal="right" vertical="center"/>
    </xf>
    <xf numFmtId="167" fontId="1" fillId="2" borderId="7" xfId="1" applyNumberFormat="1" applyBorder="1">
      <alignment horizontal="right" vertical="center"/>
    </xf>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166" fontId="3" fillId="0" borderId="8" xfId="3" applyNumberFormat="1" applyBorder="1">
      <alignment horizontal="right" vertical="center"/>
    </xf>
    <xf numFmtId="167" fontId="3" fillId="0" borderId="8" xfId="3" applyNumberFormat="1" applyBorder="1">
      <alignment horizontal="right" vertical="center"/>
    </xf>
    <xf numFmtId="166" fontId="2" fillId="3" borderId="7" xfId="2" applyNumberFormat="1" applyBorder="1">
      <alignment horizontal="right" vertical="center"/>
    </xf>
    <xf numFmtId="1" fontId="2" fillId="3" borderId="7" xfId="2" applyNumberFormat="1" applyBorder="1">
      <alignment horizontal="right" vertical="center"/>
    </xf>
    <xf numFmtId="166" fontId="4" fillId="4" borderId="9" xfId="4" applyNumberFormat="1" applyBorder="1">
      <alignment horizontal="right" vertical="center"/>
    </xf>
    <xf numFmtId="1" fontId="4" fillId="4" borderId="9" xfId="4" applyNumberFormat="1" applyBorder="1">
      <alignment horizontal="right" vertical="center"/>
    </xf>
    <xf numFmtId="0" fontId="19" fillId="0" borderId="6" xfId="0" applyFont="1" applyBorder="1" applyAlignment="1">
      <alignment horizontal="center" vertical="center"/>
    </xf>
    <xf numFmtId="0" fontId="15" fillId="5" borderId="10" xfId="0" applyFont="1" applyFill="1" applyBorder="1" applyAlignment="1">
      <alignment horizontal="left" vertical="center" indent="1"/>
    </xf>
    <xf numFmtId="0" fontId="0" fillId="5" borderId="10" xfId="0" applyFill="1" applyBorder="1"/>
    <xf numFmtId="0" fontId="18" fillId="0" borderId="0" xfId="0" applyFont="1" applyAlignment="1">
      <alignment horizontal="left" vertical="center" indent="1"/>
    </xf>
    <xf numFmtId="0" fontId="22" fillId="0" borderId="5" xfId="0" applyFont="1" applyBorder="1"/>
    <xf numFmtId="0" fontId="20" fillId="0" borderId="6" xfId="0" applyFont="1" applyBorder="1" applyAlignment="1">
      <alignment horizontal="left" vertical="center" indent="1"/>
    </xf>
    <xf numFmtId="0" fontId="12" fillId="0" borderId="6" xfId="0" applyFont="1" applyBorder="1" applyAlignment="1">
      <alignment horizontal="left" vertical="center" indent="1"/>
    </xf>
    <xf numFmtId="168" fontId="21" fillId="5" borderId="7" xfId="5" applyNumberFormat="1" applyFont="1" applyBorder="1">
      <alignment horizontal="right" vertical="center"/>
    </xf>
    <xf numFmtId="169" fontId="1" fillId="5" borderId="7" xfId="5" applyNumberFormat="1" applyBorder="1">
      <alignment horizontal="right" vertical="center"/>
    </xf>
    <xf numFmtId="168" fontId="1" fillId="5" borderId="7" xfId="5" applyNumberFormat="1" applyBorder="1">
      <alignment horizontal="right" vertical="center"/>
    </xf>
    <xf numFmtId="170" fontId="1" fillId="5" borderId="7" xfId="5" applyNumberFormat="1" applyBorder="1">
      <alignment horizontal="right" vertical="center"/>
    </xf>
    <xf numFmtId="0" fontId="17" fillId="7" borderId="4" xfId="0" applyFont="1" applyFill="1" applyBorder="1" applyAlignment="1">
      <alignment horizontal="center" vertical="center" wrapText="1"/>
    </xf>
    <xf numFmtId="170" fontId="1" fillId="5" borderId="7" xfId="5" applyNumberFormat="1" applyBorder="1" applyAlignment="1">
      <alignment horizontal="center" vertical="center"/>
    </xf>
    <xf numFmtId="9" fontId="3" fillId="0" borderId="2" xfId="3" applyNumberFormat="1">
      <alignment horizontal="right" vertical="center"/>
    </xf>
    <xf numFmtId="4" fontId="3" fillId="0" borderId="2" xfId="3" applyNumberFormat="1">
      <alignment horizontal="right" vertical="center"/>
    </xf>
    <xf numFmtId="0" fontId="3" fillId="0" borderId="0" xfId="0" applyFont="1" applyAlignment="1">
      <alignment horizontal="left" vertical="center" indent="1"/>
    </xf>
    <xf numFmtId="169" fontId="1" fillId="5" borderId="1" xfId="5" applyNumberFormat="1">
      <alignment horizontal="right" vertical="center"/>
    </xf>
    <xf numFmtId="0" fontId="20" fillId="0" borderId="0" xfId="0" applyFont="1" applyAlignment="1">
      <alignment horizontal="left" vertical="center" indent="1"/>
    </xf>
    <xf numFmtId="166" fontId="3" fillId="0" borderId="2" xfId="3" applyNumberFormat="1">
      <alignment horizontal="right" vertical="center"/>
    </xf>
    <xf numFmtId="0" fontId="3" fillId="0" borderId="0" xfId="0" applyFont="1" applyAlignment="1">
      <alignment horizontal="left" vertical="top" wrapText="1" indent="1"/>
    </xf>
    <xf numFmtId="0" fontId="0" fillId="0" borderId="0" xfId="0"/>
    <xf numFmtId="0" fontId="16" fillId="0" borderId="0" xfId="0" applyFont="1"/>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5">
    <dxf>
      <font>
        <color rgb="FF8AA0BA"/>
      </font>
    </dxf>
    <dxf>
      <font>
        <color rgb="FF8AA0BA"/>
      </font>
    </dxf>
    <dxf>
      <font>
        <color rgb="FFB45309"/>
      </font>
      <fill>
        <patternFill patternType="solid">
          <fgColor rgb="FFFEF3C7"/>
          <bgColor rgb="FFFEF3C7"/>
        </patternFill>
      </fill>
    </dxf>
    <dxf>
      <font>
        <b/>
        <color rgb="FFB91C1C"/>
      </font>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Total change cost</c:v>
          </c:tx>
          <c:spPr>
            <a:ln w="25400">
              <a:solidFill>
                <a:srgbClr val="0E4F92"/>
              </a:solidFill>
              <a:prstDash val="solid"/>
            </a:ln>
          </c:spPr>
          <c:marker>
            <c:symbol val="none"/>
          </c:marker>
          <c:xVal>
            <c:numRef>
              <c:f>Results!$D$57:$D$106</c:f>
              <c:numCache>
                <c:formatCode>#,##0.00</c:formatCode>
                <c:ptCount val="50"/>
                <c:pt idx="0">
                  <c:v>1.7237618848922809</c:v>
                </c:pt>
                <c:pt idx="1">
                  <c:v>1.9501876187365683</c:v>
                </c:pt>
                <c:pt idx="2">
                  <c:v>2.0857916086383388</c:v>
                </c:pt>
                <c:pt idx="3">
                  <c:v>2.1975657764017109</c:v>
                </c:pt>
                <c:pt idx="4">
                  <c:v>2.285045375750153</c:v>
                </c:pt>
                <c:pt idx="5">
                  <c:v>2.3619663100820403</c:v>
                </c:pt>
                <c:pt idx="6">
                  <c:v>2.4438068234467556</c:v>
                </c:pt>
                <c:pt idx="7">
                  <c:v>2.5140814527456903</c:v>
                </c:pt>
                <c:pt idx="8">
                  <c:v>2.5779805683070682</c:v>
                </c:pt>
                <c:pt idx="9">
                  <c:v>2.6358355379134641</c:v>
                </c:pt>
                <c:pt idx="10">
                  <c:v>2.6989940453467325</c:v>
                </c:pt>
                <c:pt idx="11">
                  <c:v>2.7525709143517405</c:v>
                </c:pt>
                <c:pt idx="12">
                  <c:v>2.801961459330824</c:v>
                </c:pt>
                <c:pt idx="13">
                  <c:v>2.8505871983520592</c:v>
                </c:pt>
                <c:pt idx="14">
                  <c:v>2.8962859420148677</c:v>
                </c:pt>
                <c:pt idx="15">
                  <c:v>2.9445031612434076</c:v>
                </c:pt>
                <c:pt idx="16">
                  <c:v>2.9868015407056241</c:v>
                </c:pt>
                <c:pt idx="17">
                  <c:v>3.029973471377791</c:v>
                </c:pt>
                <c:pt idx="18">
                  <c:v>3.0711676419485516</c:v>
                </c:pt>
                <c:pt idx="19">
                  <c:v>3.1178375209277722</c:v>
                </c:pt>
                <c:pt idx="20">
                  <c:v>3.1644589672314796</c:v>
                </c:pt>
                <c:pt idx="21">
                  <c:v>3.2075472884251206</c:v>
                </c:pt>
                <c:pt idx="22">
                  <c:v>3.2532398954503732</c:v>
                </c:pt>
                <c:pt idx="23">
                  <c:v>3.296522964918231</c:v>
                </c:pt>
                <c:pt idx="24">
                  <c:v>3.3346779242379276</c:v>
                </c:pt>
                <c:pt idx="25">
                  <c:v>3.3785149828389329</c:v>
                </c:pt>
                <c:pt idx="26">
                  <c:v>3.4305896840266197</c:v>
                </c:pt>
                <c:pt idx="27">
                  <c:v>3.4742477756294265</c:v>
                </c:pt>
                <c:pt idx="28">
                  <c:v>3.5265691295149981</c:v>
                </c:pt>
                <c:pt idx="29">
                  <c:v>3.5797335042692962</c:v>
                </c:pt>
                <c:pt idx="30">
                  <c:v>3.6225450094018354</c:v>
                </c:pt>
                <c:pt idx="31">
                  <c:v>3.6725803916164979</c:v>
                </c:pt>
                <c:pt idx="32">
                  <c:v>3.7276335954397579</c:v>
                </c:pt>
                <c:pt idx="33">
                  <c:v>3.7839384661818833</c:v>
                </c:pt>
                <c:pt idx="34">
                  <c:v>3.8411724974471415</c:v>
                </c:pt>
                <c:pt idx="35">
                  <c:v>3.8921603116222871</c:v>
                </c:pt>
                <c:pt idx="36">
                  <c:v>3.9501282374884701</c:v>
                </c:pt>
                <c:pt idx="37">
                  <c:v>4.0134420279651923</c:v>
                </c:pt>
                <c:pt idx="38">
                  <c:v>4.0781868977982763</c:v>
                </c:pt>
                <c:pt idx="39">
                  <c:v>4.1428362164495036</c:v>
                </c:pt>
                <c:pt idx="40">
                  <c:v>4.213291827239865</c:v>
                </c:pt>
                <c:pt idx="41">
                  <c:v>4.3035852891501349</c:v>
                </c:pt>
                <c:pt idx="42">
                  <c:v>4.4064012841695979</c:v>
                </c:pt>
                <c:pt idx="43">
                  <c:v>4.5193031351807686</c:v>
                </c:pt>
                <c:pt idx="44">
                  <c:v>4.6390705526698541</c:v>
                </c:pt>
                <c:pt idx="45">
                  <c:v>4.7863135124815965</c:v>
                </c:pt>
                <c:pt idx="46">
                  <c:v>4.953399320036814</c:v>
                </c:pt>
                <c:pt idx="47">
                  <c:v>5.1470312310544966</c:v>
                </c:pt>
                <c:pt idx="48">
                  <c:v>5.4837871058195704</c:v>
                </c:pt>
                <c:pt idx="49">
                  <c:v>6.2363278176895802</c:v>
                </c:pt>
              </c:numCache>
            </c:numRef>
          </c:xVal>
          <c:yVal>
            <c:numRef>
              <c:f>Results!$B$57:$B$106</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9FF1-4D29-867A-8D6D3F7F12EE}"/>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US$m</a:t>
                </a:r>
              </a:p>
            </c:rich>
          </c:tx>
          <c:overlay val="0"/>
        </c:title>
        <c:numFmt formatCode="0.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bar"/>
        <c:grouping val="clustered"/>
        <c:varyColors val="0"/>
        <c:ser>
          <c:idx val="0"/>
          <c:order val="0"/>
          <c:tx>
            <c:v>Highest group mean</c:v>
          </c:tx>
          <c:spPr>
            <a:solidFill>
              <a:srgbClr val="0E4F92"/>
            </a:solidFill>
            <a:ln>
              <a:noFill/>
              <a:prstDash val="solid"/>
            </a:ln>
          </c:spPr>
          <c:invertIfNegative val="0"/>
          <c:cat>
            <c:strRef>
              <c:f>Results!$B$110:$B$113</c:f>
              <c:strCache>
                <c:ptCount val="4"/>
                <c:pt idx="0">
                  <c:v>Client-instructed changes: cost</c:v>
                </c:pt>
                <c:pt idx="1">
                  <c:v>Design errors and omissions: cost</c:v>
                </c:pt>
                <c:pt idx="2">
                  <c:v>Client change rate</c:v>
                </c:pt>
                <c:pt idx="3">
                  <c:v>Rework of defects: cost</c:v>
                </c:pt>
              </c:strCache>
            </c:strRef>
          </c:cat>
          <c:val>
            <c:numRef>
              <c:f>Results!$F$110:$F$113</c:f>
              <c:numCache>
                <c:formatCode>#,##0.00_);\(#,##0.00\);"–"_)</c:formatCode>
                <c:ptCount val="4"/>
                <c:pt idx="0">
                  <c:v>1.5508946130071743</c:v>
                </c:pt>
                <c:pt idx="1">
                  <c:v>1.1165875127558431</c:v>
                </c:pt>
                <c:pt idx="2">
                  <c:v>0.97099781439640065</c:v>
                </c:pt>
                <c:pt idx="3">
                  <c:v>0.31414644162275485</c:v>
                </c:pt>
              </c:numCache>
            </c:numRef>
          </c:val>
          <c:extLst>
            <c:ext xmlns:c16="http://schemas.microsoft.com/office/drawing/2014/chart" uri="{C3380CC4-5D6E-409C-BE32-E72D297353CC}">
              <c16:uniqueId val="{00000000-C87E-4600-B165-5D550F88F128}"/>
            </c:ext>
          </c:extLst>
        </c:ser>
        <c:ser>
          <c:idx val="1"/>
          <c:order val="1"/>
          <c:tx>
            <c:v>Lowest group mean</c:v>
          </c:tx>
          <c:spPr>
            <a:solidFill>
              <a:srgbClr val="B91C1C"/>
            </a:solidFill>
            <a:ln>
              <a:noFill/>
              <a:prstDash val="solid"/>
            </a:ln>
          </c:spPr>
          <c:invertIfNegative val="0"/>
          <c:cat>
            <c:strRef>
              <c:f>Results!$B$110:$B$113</c:f>
              <c:strCache>
                <c:ptCount val="4"/>
                <c:pt idx="0">
                  <c:v>Client-instructed changes: cost</c:v>
                </c:pt>
                <c:pt idx="1">
                  <c:v>Design errors and omissions: cost</c:v>
                </c:pt>
                <c:pt idx="2">
                  <c:v>Client change rate</c:v>
                </c:pt>
                <c:pt idx="3">
                  <c:v>Rework of defects: cost</c:v>
                </c:pt>
              </c:strCache>
            </c:strRef>
          </c:cat>
          <c:val>
            <c:numRef>
              <c:f>Results!$G$110:$G$113</c:f>
              <c:numCache>
                <c:formatCode>#,##0.00_);\(#,##0.00\);"–"_)</c:formatCode>
                <c:ptCount val="4"/>
                <c:pt idx="0">
                  <c:v>-1.0704231368375505</c:v>
                </c:pt>
                <c:pt idx="1">
                  <c:v>-0.709447325576118</c:v>
                </c:pt>
                <c:pt idx="2">
                  <c:v>-0.78753092429489024</c:v>
                </c:pt>
                <c:pt idx="3">
                  <c:v>-0.28878749061044262</c:v>
                </c:pt>
              </c:numCache>
            </c:numRef>
          </c:val>
          <c:extLst>
            <c:ext xmlns:c16="http://schemas.microsoft.com/office/drawing/2014/chart" uri="{C3380CC4-5D6E-409C-BE32-E72D297353CC}">
              <c16:uniqueId val="{00000001-C87E-4600-B165-5D550F88F128}"/>
            </c:ext>
          </c:extLst>
        </c:ser>
        <c:dLbls>
          <c:showLegendKey val="0"/>
          <c:showVal val="0"/>
          <c:showCatName val="0"/>
          <c:showSerName val="0"/>
          <c:showPercent val="0"/>
          <c:showBubbleSize val="0"/>
        </c:dLbls>
        <c:gapWidth val="35"/>
        <c:overlap val="100"/>
        <c:axId val="10"/>
        <c:axId val="100"/>
      </c:barChart>
      <c:catAx>
        <c:axId val="10"/>
        <c:scaling>
          <c:orientation val="maxMin"/>
        </c:scaling>
        <c:delete val="0"/>
        <c:axPos val="l"/>
        <c:numFmt formatCode="General" sourceLinked="1"/>
        <c:majorTickMark val="none"/>
        <c:minorTickMark val="none"/>
        <c:tickLblPos val="low"/>
        <c:crossAx val="100"/>
        <c:crosses val="autoZero"/>
        <c:auto val="1"/>
        <c:lblAlgn val="ctr"/>
        <c:lblOffset val="100"/>
        <c:noMultiLvlLbl val="1"/>
      </c:catAx>
      <c:valAx>
        <c:axId val="100"/>
        <c:scaling>
          <c:orientation val="minMax"/>
        </c:scaling>
        <c:delete val="0"/>
        <c:axPos val="b"/>
        <c:majorGridlines>
          <c:spPr>
            <a:ln>
              <a:solidFill>
                <a:srgbClr val="E4E9F0"/>
              </a:solidFill>
              <a:prstDash val="solid"/>
            </a:ln>
          </c:spPr>
        </c:majorGridlines>
        <c:numFmt formatCode="0.0" sourceLinked="0"/>
        <c:majorTickMark val="none"/>
        <c:minorTickMark val="none"/>
        <c:tickLblPos val="nextTo"/>
        <c:crossAx val="10"/>
        <c:crosses val="max"/>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664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33</xdr:row>
      <xdr:rowOff>0</xdr:rowOff>
    </xdr:from>
    <xdr:ext cx="6263999" cy="2160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3"/>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x14ac:dyDescent="0.45">
      <c r="B8" s="9" t="s">
        <v>7</v>
      </c>
      <c r="C8" s="10" t="s">
        <v>8</v>
      </c>
    </row>
    <row r="9" spans="1:4" ht="26.25" x14ac:dyDescent="0.45">
      <c r="B9" s="9" t="s">
        <v>9</v>
      </c>
      <c r="C9" s="11" t="s">
        <v>10</v>
      </c>
    </row>
    <row r="10" spans="1:4" x14ac:dyDescent="0.45">
      <c r="B10" s="9" t="s">
        <v>11</v>
      </c>
      <c r="C10" s="10" t="s">
        <v>12</v>
      </c>
    </row>
    <row r="11" spans="1:4" ht="26.25" x14ac:dyDescent="0.45">
      <c r="B11" s="9" t="s">
        <v>13</v>
      </c>
      <c r="C11" s="10" t="s">
        <v>14</v>
      </c>
    </row>
    <row r="12" spans="1:4" ht="26.25"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57" customHeight="1" x14ac:dyDescent="0.45">
      <c r="B16" s="62" t="s">
        <v>20</v>
      </c>
      <c r="C16" s="63"/>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ht="26.25" x14ac:dyDescent="0.45">
      <c r="B28" s="9" t="s">
        <v>23</v>
      </c>
      <c r="C28" s="10" t="s">
        <v>24</v>
      </c>
    </row>
    <row r="29" spans="2:3" ht="26.25" x14ac:dyDescent="0.45">
      <c r="B29" s="9" t="s">
        <v>25</v>
      </c>
      <c r="C29" s="10" t="s">
        <v>26</v>
      </c>
    </row>
    <row r="30" spans="2:3" ht="26.25" x14ac:dyDescent="0.45">
      <c r="B30" s="9" t="s">
        <v>27</v>
      </c>
      <c r="C30" s="10" t="s">
        <v>28</v>
      </c>
    </row>
    <row r="31" spans="2:3" ht="12" customHeight="1" x14ac:dyDescent="0.45"/>
    <row r="32" spans="2:3" ht="22.05" customHeight="1" x14ac:dyDescent="0.5">
      <c r="B32" s="7" t="s">
        <v>29</v>
      </c>
      <c r="C32" s="8"/>
    </row>
    <row r="33" spans="2:3" x14ac:dyDescent="0.45">
      <c r="B33" s="9" t="s">
        <v>30</v>
      </c>
      <c r="C33" s="10" t="s">
        <v>31</v>
      </c>
    </row>
    <row r="34" spans="2:3" x14ac:dyDescent="0.45">
      <c r="B34" s="9" t="s">
        <v>32</v>
      </c>
      <c r="C34" s="10" t="s">
        <v>33</v>
      </c>
    </row>
    <row r="35" spans="2:3" x14ac:dyDescent="0.45">
      <c r="B35" s="9" t="s">
        <v>34</v>
      </c>
      <c r="C35" s="10" t="s">
        <v>35</v>
      </c>
    </row>
    <row r="36" spans="2:3" x14ac:dyDescent="0.45">
      <c r="B36" s="9" t="s">
        <v>36</v>
      </c>
      <c r="C36" s="10" t="s">
        <v>37</v>
      </c>
    </row>
    <row r="37" spans="2:3" ht="12" customHeight="1" x14ac:dyDescent="0.45"/>
    <row r="38" spans="2:3" ht="22.05" customHeight="1" x14ac:dyDescent="0.5">
      <c r="B38" s="7" t="s">
        <v>38</v>
      </c>
      <c r="C38" s="8"/>
    </row>
    <row r="39" spans="2:3" x14ac:dyDescent="0.45">
      <c r="B39" s="14" t="s">
        <v>39</v>
      </c>
      <c r="C39" s="10" t="s">
        <v>40</v>
      </c>
    </row>
    <row r="40" spans="2:3" x14ac:dyDescent="0.45">
      <c r="B40" s="14" t="s">
        <v>41</v>
      </c>
      <c r="C40" s="10" t="s">
        <v>42</v>
      </c>
    </row>
    <row r="41" spans="2:3" x14ac:dyDescent="0.45">
      <c r="B41" s="14" t="s">
        <v>43</v>
      </c>
      <c r="C41" s="10" t="s">
        <v>44</v>
      </c>
    </row>
    <row r="42" spans="2:3" ht="12" customHeight="1" x14ac:dyDescent="0.45"/>
    <row r="43" spans="2:3" ht="22.05" customHeight="1" x14ac:dyDescent="0.5">
      <c r="B43" s="7" t="s">
        <v>45</v>
      </c>
      <c r="C43" s="8"/>
    </row>
    <row r="44" spans="2:3" x14ac:dyDescent="0.45">
      <c r="B44" s="15" t="s">
        <v>46</v>
      </c>
      <c r="C44" s="12" t="s">
        <v>47</v>
      </c>
    </row>
    <row r="45" spans="2:3" x14ac:dyDescent="0.45">
      <c r="B45" s="16" t="s">
        <v>48</v>
      </c>
      <c r="C45" s="12" t="s">
        <v>49</v>
      </c>
    </row>
    <row r="46" spans="2:3" x14ac:dyDescent="0.45">
      <c r="B46" s="17" t="s">
        <v>50</v>
      </c>
      <c r="C46" s="12" t="s">
        <v>51</v>
      </c>
    </row>
    <row r="47" spans="2:3" x14ac:dyDescent="0.45">
      <c r="B47" s="18" t="s">
        <v>52</v>
      </c>
      <c r="C47" s="12" t="s">
        <v>53</v>
      </c>
    </row>
    <row r="48" spans="2:3" x14ac:dyDescent="0.45">
      <c r="B48" s="19" t="s">
        <v>54</v>
      </c>
      <c r="C48" s="12" t="s">
        <v>55</v>
      </c>
    </row>
    <row r="49" spans="2:3" ht="12" customHeight="1" x14ac:dyDescent="0.45"/>
    <row r="50" spans="2:3" ht="22.05" customHeight="1" x14ac:dyDescent="0.5">
      <c r="B50" s="7" t="s">
        <v>56</v>
      </c>
      <c r="C50" s="8"/>
    </row>
    <row r="51" spans="2:3" x14ac:dyDescent="0.45">
      <c r="B51" s="9" t="s">
        <v>57</v>
      </c>
      <c r="C51" s="10" t="s">
        <v>58</v>
      </c>
    </row>
    <row r="52" spans="2:3" x14ac:dyDescent="0.45">
      <c r="B52" s="9" t="s">
        <v>59</v>
      </c>
      <c r="C52" s="10" t="s">
        <v>60</v>
      </c>
    </row>
    <row r="53" spans="2:3" x14ac:dyDescent="0.45">
      <c r="B53" s="9" t="s">
        <v>61</v>
      </c>
      <c r="C53" s="10" t="s">
        <v>62</v>
      </c>
    </row>
    <row r="54" spans="2:3" x14ac:dyDescent="0.45">
      <c r="B54" s="9" t="s">
        <v>63</v>
      </c>
      <c r="C54" s="10" t="s">
        <v>64</v>
      </c>
    </row>
    <row r="55" spans="2:3" ht="12" customHeight="1" x14ac:dyDescent="0.45"/>
    <row r="56" spans="2:3" ht="22.05" customHeight="1" x14ac:dyDescent="0.5">
      <c r="B56" s="7" t="s">
        <v>65</v>
      </c>
      <c r="C56" s="8"/>
    </row>
    <row r="57" spans="2:3" x14ac:dyDescent="0.45">
      <c r="B57" s="9" t="s">
        <v>66</v>
      </c>
      <c r="C57" s="10" t="s">
        <v>67</v>
      </c>
    </row>
    <row r="58" spans="2:3" x14ac:dyDescent="0.45">
      <c r="B58" s="9" t="s">
        <v>68</v>
      </c>
      <c r="C58" s="10" t="s">
        <v>69</v>
      </c>
    </row>
    <row r="59" spans="2:3" x14ac:dyDescent="0.45">
      <c r="B59" s="9" t="s">
        <v>70</v>
      </c>
      <c r="C59" s="10" t="s">
        <v>71</v>
      </c>
    </row>
    <row r="60" spans="2:3" x14ac:dyDescent="0.45">
      <c r="B60" s="9" t="s">
        <v>72</v>
      </c>
      <c r="C60" s="10" t="s">
        <v>73</v>
      </c>
    </row>
    <row r="61" spans="2:3" ht="12" customHeight="1" x14ac:dyDescent="0.45"/>
    <row r="62" spans="2:3" ht="22.05" customHeight="1" x14ac:dyDescent="0.5">
      <c r="B62" s="7" t="s">
        <v>74</v>
      </c>
      <c r="C62" s="8"/>
    </row>
    <row r="63" spans="2:3" x14ac:dyDescent="0.45">
      <c r="B63" s="20" t="s">
        <v>75</v>
      </c>
      <c r="C63" s="10" t="s">
        <v>76</v>
      </c>
    </row>
    <row r="64" spans="2:3" ht="26.25" x14ac:dyDescent="0.45">
      <c r="B64" s="20" t="s">
        <v>77</v>
      </c>
      <c r="C64" s="10" t="s">
        <v>78</v>
      </c>
    </row>
    <row r="65" spans="2:3" x14ac:dyDescent="0.45">
      <c r="B65" s="20" t="s">
        <v>79</v>
      </c>
      <c r="C65" s="10" t="s">
        <v>80</v>
      </c>
    </row>
    <row r="66" spans="2:3" ht="39.4" x14ac:dyDescent="0.45">
      <c r="B66" s="20" t="s">
        <v>81</v>
      </c>
      <c r="C66" s="10" t="s">
        <v>82</v>
      </c>
    </row>
    <row r="67" spans="2:3" x14ac:dyDescent="0.45">
      <c r="B67" s="20" t="s">
        <v>83</v>
      </c>
      <c r="C67" s="10" t="s">
        <v>84</v>
      </c>
    </row>
    <row r="68" spans="2:3" ht="12" customHeight="1" x14ac:dyDescent="0.45"/>
    <row r="69" spans="2:3" ht="22.05" customHeight="1" x14ac:dyDescent="0.5">
      <c r="B69" s="7" t="s">
        <v>85</v>
      </c>
      <c r="C69" s="8"/>
    </row>
    <row r="70" spans="2:3" ht="26.25" x14ac:dyDescent="0.45">
      <c r="B70" s="9" t="s">
        <v>86</v>
      </c>
      <c r="C70" s="10" t="s">
        <v>87</v>
      </c>
    </row>
    <row r="71" spans="2:3" x14ac:dyDescent="0.45">
      <c r="B71" s="9" t="s">
        <v>88</v>
      </c>
      <c r="C71" s="10" t="s">
        <v>89</v>
      </c>
    </row>
    <row r="72" spans="2:3" ht="16.05" customHeight="1" x14ac:dyDescent="0.45"/>
    <row r="73" spans="2:3" x14ac:dyDescent="0.45">
      <c r="B73" s="64" t="s">
        <v>90</v>
      </c>
      <c r="C73" s="63"/>
    </row>
  </sheetData>
  <mergeCells count="2">
    <mergeCell ref="B16:C16"/>
    <mergeCell ref="B73:C73"/>
  </mergeCells>
  <hyperlinks>
    <hyperlink ref="D4" location="'Inputs'!A1" display="Next:  Inputs  ▸" xr:uid="{00000000-0004-0000-0000-000000000000}"/>
    <hyperlink ref="B39" location="'Inputs'!A1" display="Inputs" xr:uid="{00000000-0004-0000-0000-000001000000}"/>
    <hyperlink ref="B40" location="'Changes'!A1" display="Changes" xr:uid="{00000000-0004-0000-0000-000002000000}"/>
    <hyperlink ref="B41" location="'Results'!A1" display="Results" xr:uid="{00000000-0004-0000-0000-000003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36"/>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91</v>
      </c>
      <c r="C3" s="1"/>
      <c r="D3" s="1"/>
      <c r="E3" s="1"/>
      <c r="F3" s="1"/>
      <c r="G3" s="1"/>
      <c r="H3" s="1"/>
      <c r="I3" s="1"/>
      <c r="J3" s="1"/>
    </row>
    <row r="4" spans="1:10" ht="20" customHeight="1" x14ac:dyDescent="0.45">
      <c r="A4" s="5"/>
      <c r="B4" s="22" t="s">
        <v>92</v>
      </c>
      <c r="C4" s="5"/>
      <c r="D4" s="5"/>
      <c r="E4" s="5"/>
      <c r="F4" s="5"/>
      <c r="G4" s="5"/>
      <c r="H4" s="5"/>
      <c r="I4" s="5"/>
      <c r="J4" s="6" t="s">
        <v>93</v>
      </c>
    </row>
    <row r="5" spans="1:10" ht="8" customHeight="1" x14ac:dyDescent="0.45"/>
    <row r="6" spans="1:10" ht="20" customHeight="1" x14ac:dyDescent="0.45">
      <c r="B6" s="65" t="s">
        <v>94</v>
      </c>
      <c r="C6" s="63"/>
      <c r="D6" s="63"/>
      <c r="E6" s="63"/>
      <c r="F6" s="63"/>
      <c r="G6" s="63"/>
      <c r="H6" s="63"/>
      <c r="I6" s="63"/>
      <c r="J6" s="63"/>
    </row>
    <row r="7" spans="1:10" ht="6" customHeight="1" x14ac:dyDescent="0.45"/>
    <row r="8" spans="1:10" ht="22.05" customHeight="1" x14ac:dyDescent="0.5">
      <c r="B8" s="7" t="s">
        <v>95</v>
      </c>
      <c r="C8" s="8"/>
      <c r="D8" s="8"/>
      <c r="E8" s="8"/>
      <c r="F8" s="8"/>
      <c r="G8" s="8"/>
      <c r="H8" s="8"/>
      <c r="I8" s="8"/>
      <c r="J8" s="8"/>
    </row>
    <row r="9" spans="1:10" ht="18" customHeight="1" x14ac:dyDescent="0.45">
      <c r="B9" s="13" t="s">
        <v>96</v>
      </c>
    </row>
    <row r="10" spans="1:10" ht="18" customHeight="1" x14ac:dyDescent="0.45">
      <c r="B10" s="23" t="s">
        <v>97</v>
      </c>
      <c r="C10" s="23" t="s">
        <v>98</v>
      </c>
      <c r="D10" s="24" t="s">
        <v>99</v>
      </c>
      <c r="E10" s="23" t="s">
        <v>100</v>
      </c>
      <c r="F10" s="5"/>
      <c r="G10" s="5"/>
      <c r="H10" s="5"/>
      <c r="I10" s="5"/>
      <c r="J10" s="23" t="s">
        <v>101</v>
      </c>
    </row>
    <row r="11" spans="1:10" x14ac:dyDescent="0.45">
      <c r="B11" s="25" t="s">
        <v>102</v>
      </c>
      <c r="C11" s="26" t="s">
        <v>103</v>
      </c>
      <c r="D11" s="27">
        <v>60</v>
      </c>
      <c r="E11" s="26" t="s">
        <v>104</v>
      </c>
      <c r="F11" s="28"/>
      <c r="G11" s="28"/>
      <c r="H11" s="28"/>
      <c r="I11" s="28"/>
      <c r="J11" s="29" t="s">
        <v>105</v>
      </c>
    </row>
    <row r="12" spans="1:10" x14ac:dyDescent="0.45">
      <c r="B12" s="25" t="s">
        <v>106</v>
      </c>
      <c r="C12" s="26" t="s">
        <v>107</v>
      </c>
      <c r="D12" s="30">
        <v>24</v>
      </c>
      <c r="E12" s="26" t="s">
        <v>104</v>
      </c>
      <c r="F12" s="28"/>
      <c r="G12" s="28"/>
      <c r="H12" s="28"/>
      <c r="I12" s="28"/>
      <c r="J12" s="29" t="s">
        <v>108</v>
      </c>
    </row>
    <row r="13" spans="1:10" x14ac:dyDescent="0.45">
      <c r="B13" s="25" t="s">
        <v>109</v>
      </c>
      <c r="C13" s="26" t="s">
        <v>110</v>
      </c>
      <c r="D13" s="31">
        <v>0.05</v>
      </c>
      <c r="E13" s="26" t="s">
        <v>104</v>
      </c>
      <c r="F13" s="28"/>
      <c r="G13" s="28"/>
      <c r="H13" s="28"/>
      <c r="I13" s="28"/>
      <c r="J13" s="29" t="s">
        <v>111</v>
      </c>
    </row>
    <row r="14" spans="1:10" ht="8" customHeight="1" x14ac:dyDescent="0.45"/>
    <row r="15" spans="1:10" ht="22.05" customHeight="1" x14ac:dyDescent="0.5">
      <c r="B15" s="7" t="s">
        <v>112</v>
      </c>
      <c r="C15" s="8"/>
      <c r="D15" s="8"/>
      <c r="E15" s="8"/>
      <c r="F15" s="8"/>
      <c r="G15" s="8"/>
      <c r="H15" s="8"/>
      <c r="I15" s="8"/>
      <c r="J15" s="8"/>
    </row>
    <row r="16" spans="1:10" ht="18" customHeight="1" x14ac:dyDescent="0.45">
      <c r="B16" s="13" t="s">
        <v>113</v>
      </c>
    </row>
    <row r="17" spans="2:10" ht="18" customHeight="1" x14ac:dyDescent="0.45">
      <c r="B17" s="23" t="s">
        <v>97</v>
      </c>
      <c r="C17" s="23" t="s">
        <v>98</v>
      </c>
      <c r="D17" s="24" t="s">
        <v>99</v>
      </c>
      <c r="E17" s="23" t="s">
        <v>100</v>
      </c>
      <c r="F17" s="5"/>
      <c r="G17" s="5"/>
      <c r="H17" s="5"/>
      <c r="I17" s="5"/>
      <c r="J17" s="23" t="s">
        <v>101</v>
      </c>
    </row>
    <row r="18" spans="2:10" x14ac:dyDescent="0.45">
      <c r="B18" s="25" t="s">
        <v>114</v>
      </c>
      <c r="C18" s="26" t="s">
        <v>115</v>
      </c>
      <c r="D18" s="32">
        <v>1.6</v>
      </c>
      <c r="E18" s="26" t="s">
        <v>104</v>
      </c>
      <c r="F18" s="28"/>
      <c r="G18" s="28"/>
      <c r="H18" s="28"/>
      <c r="I18" s="28"/>
      <c r="J18" s="29" t="s">
        <v>116</v>
      </c>
    </row>
    <row r="19" spans="2:10" ht="23.25" x14ac:dyDescent="0.45">
      <c r="B19" s="25" t="s">
        <v>117</v>
      </c>
      <c r="C19" s="26" t="s">
        <v>118</v>
      </c>
      <c r="D19" s="33">
        <v>0.3</v>
      </c>
      <c r="E19" s="26" t="s">
        <v>104</v>
      </c>
      <c r="F19" s="28"/>
      <c r="G19" s="28"/>
      <c r="H19" s="28"/>
      <c r="I19" s="28"/>
      <c r="J19" s="29" t="s">
        <v>119</v>
      </c>
    </row>
    <row r="20" spans="2:10" x14ac:dyDescent="0.45">
      <c r="B20" s="25" t="s">
        <v>120</v>
      </c>
      <c r="C20" s="26" t="s">
        <v>103</v>
      </c>
      <c r="D20" s="34">
        <v>4.4999999999999998E-2</v>
      </c>
      <c r="E20" s="26" t="s">
        <v>104</v>
      </c>
      <c r="F20" s="28"/>
      <c r="G20" s="28"/>
      <c r="H20" s="28"/>
      <c r="I20" s="28"/>
      <c r="J20" s="29" t="s">
        <v>121</v>
      </c>
    </row>
    <row r="21" spans="2:10" x14ac:dyDescent="0.45">
      <c r="B21" s="25" t="s">
        <v>122</v>
      </c>
      <c r="C21" s="26" t="s">
        <v>103</v>
      </c>
      <c r="D21" s="34">
        <v>0.08</v>
      </c>
      <c r="E21" s="26" t="s">
        <v>104</v>
      </c>
      <c r="F21" s="28"/>
      <c r="G21" s="28"/>
      <c r="H21" s="28"/>
      <c r="I21" s="28"/>
      <c r="J21" s="29" t="s">
        <v>123</v>
      </c>
    </row>
    <row r="22" spans="2:10" ht="8" customHeight="1" x14ac:dyDescent="0.45"/>
    <row r="23" spans="2:10" ht="22.05" customHeight="1" x14ac:dyDescent="0.5">
      <c r="B23" s="7" t="s">
        <v>124</v>
      </c>
      <c r="C23" s="8"/>
      <c r="D23" s="8"/>
      <c r="E23" s="8"/>
      <c r="F23" s="8"/>
      <c r="G23" s="8"/>
      <c r="H23" s="8"/>
      <c r="I23" s="8"/>
      <c r="J23" s="8"/>
    </row>
    <row r="24" spans="2:10" ht="18" customHeight="1" x14ac:dyDescent="0.45">
      <c r="B24" s="13" t="s">
        <v>125</v>
      </c>
    </row>
    <row r="25" spans="2:10" ht="18" customHeight="1" x14ac:dyDescent="0.45">
      <c r="B25" s="23" t="s">
        <v>97</v>
      </c>
      <c r="C25" s="23" t="s">
        <v>98</v>
      </c>
      <c r="D25" s="24" t="s">
        <v>99</v>
      </c>
      <c r="E25" s="23" t="s">
        <v>100</v>
      </c>
      <c r="F25" s="5"/>
      <c r="G25" s="5"/>
      <c r="H25" s="5"/>
      <c r="I25" s="5"/>
      <c r="J25" s="23" t="s">
        <v>101</v>
      </c>
    </row>
    <row r="26" spans="2:10" x14ac:dyDescent="0.45">
      <c r="B26" s="25" t="s">
        <v>126</v>
      </c>
      <c r="C26" s="26" t="s">
        <v>115</v>
      </c>
      <c r="D26" s="32">
        <v>0.6</v>
      </c>
      <c r="E26" s="26" t="s">
        <v>104</v>
      </c>
      <c r="F26" s="28"/>
      <c r="G26" s="28"/>
      <c r="H26" s="28"/>
      <c r="I26" s="28"/>
      <c r="J26" s="29" t="s">
        <v>127</v>
      </c>
    </row>
    <row r="27" spans="2:10" x14ac:dyDescent="0.45">
      <c r="B27" s="25" t="s">
        <v>128</v>
      </c>
      <c r="C27" s="26" t="s">
        <v>103</v>
      </c>
      <c r="D27" s="34">
        <v>0.08</v>
      </c>
      <c r="E27" s="26" t="s">
        <v>104</v>
      </c>
      <c r="F27" s="28"/>
      <c r="G27" s="28"/>
      <c r="H27" s="28"/>
      <c r="I27" s="28"/>
      <c r="J27" s="29"/>
    </row>
    <row r="28" spans="2:10" x14ac:dyDescent="0.45">
      <c r="B28" s="25" t="s">
        <v>122</v>
      </c>
      <c r="C28" s="26" t="s">
        <v>103</v>
      </c>
      <c r="D28" s="34">
        <v>0.12</v>
      </c>
      <c r="E28" s="26" t="s">
        <v>104</v>
      </c>
      <c r="F28" s="28"/>
      <c r="G28" s="28"/>
      <c r="H28" s="28"/>
      <c r="I28" s="28"/>
      <c r="J28" s="29"/>
    </row>
    <row r="29" spans="2:10" ht="8" customHeight="1" x14ac:dyDescent="0.45"/>
    <row r="30" spans="2:10" ht="22.05" customHeight="1" x14ac:dyDescent="0.5">
      <c r="B30" s="7" t="s">
        <v>129</v>
      </c>
      <c r="C30" s="8"/>
      <c r="D30" s="8"/>
      <c r="E30" s="8"/>
      <c r="F30" s="8"/>
      <c r="G30" s="8"/>
      <c r="H30" s="8"/>
      <c r="I30" s="8"/>
      <c r="J30" s="8"/>
    </row>
    <row r="31" spans="2:10" ht="18" customHeight="1" x14ac:dyDescent="0.45">
      <c r="B31" s="13" t="s">
        <v>130</v>
      </c>
    </row>
    <row r="32" spans="2:10" ht="18" customHeight="1" x14ac:dyDescent="0.45">
      <c r="B32" s="23" t="s">
        <v>97</v>
      </c>
      <c r="C32" s="23" t="s">
        <v>98</v>
      </c>
      <c r="D32" s="24" t="s">
        <v>99</v>
      </c>
      <c r="E32" s="23" t="s">
        <v>100</v>
      </c>
      <c r="F32" s="5"/>
      <c r="G32" s="5"/>
      <c r="H32" s="5"/>
      <c r="I32" s="5"/>
      <c r="J32" s="23" t="s">
        <v>101</v>
      </c>
    </row>
    <row r="33" spans="2:10" x14ac:dyDescent="0.45">
      <c r="B33" s="25" t="s">
        <v>126</v>
      </c>
      <c r="C33" s="26" t="s">
        <v>115</v>
      </c>
      <c r="D33" s="32">
        <v>1.2</v>
      </c>
      <c r="E33" s="26" t="s">
        <v>104</v>
      </c>
      <c r="F33" s="28"/>
      <c r="G33" s="28"/>
      <c r="H33" s="28"/>
      <c r="I33" s="28"/>
      <c r="J33" s="29" t="s">
        <v>131</v>
      </c>
    </row>
    <row r="34" spans="2:10" x14ac:dyDescent="0.45">
      <c r="B34" s="25" t="s">
        <v>128</v>
      </c>
      <c r="C34" s="26" t="s">
        <v>103</v>
      </c>
      <c r="D34" s="34">
        <v>0.02</v>
      </c>
      <c r="E34" s="26" t="s">
        <v>104</v>
      </c>
      <c r="F34" s="28"/>
      <c r="G34" s="28"/>
      <c r="H34" s="28"/>
      <c r="I34" s="28"/>
      <c r="J34" s="29"/>
    </row>
    <row r="35" spans="2:10" x14ac:dyDescent="0.45">
      <c r="B35" s="25" t="s">
        <v>122</v>
      </c>
      <c r="C35" s="26" t="s">
        <v>103</v>
      </c>
      <c r="D35" s="34">
        <v>2.5000000000000001E-2</v>
      </c>
      <c r="E35" s="26" t="s">
        <v>104</v>
      </c>
      <c r="F35" s="28"/>
      <c r="G35" s="28"/>
      <c r="H35" s="28"/>
      <c r="I35" s="28"/>
      <c r="J35" s="29"/>
    </row>
    <row r="36" spans="2:10" ht="8" customHeight="1" x14ac:dyDescent="0.45"/>
  </sheetData>
  <mergeCells count="1">
    <mergeCell ref="B6:J6"/>
  </mergeCells>
  <dataValidations count="4">
    <dataValidation type="decimal" operator="greaterThan" showErrorMessage="1" errorTitle="Positive value" error="Enter a value greater than zero." sqref="D11 D33:D35 D26:D28 D20:D21 D18" xr:uid="{00000000-0002-0000-0100-000000000000}">
      <formula1>0</formula1>
    </dataValidation>
    <dataValidation type="whole" showErrorMessage="1" errorTitle="Whole number" error="Enter a whole number." sqref="D12" xr:uid="{00000000-0002-0000-0100-000001000000}">
      <formula1>0</formula1>
      <formula2>1000000</formula2>
    </dataValidation>
    <dataValidation type="decimal" showErrorMessage="1" errorTitle="Probability" error="Enter a value between 0% and 100%." sqref="D13" xr:uid="{00000000-0002-0000-0100-000002000000}">
      <formula1>0</formula1>
      <formula2>1</formula2>
    </dataValidation>
    <dataValidation type="decimal" showErrorMessage="1" errorTitle="Value" error="Enter a value of zero or more." sqref="D19" xr:uid="{00000000-0002-0000-0100-000004000000}">
      <formula1>0</formula1>
      <formula2>1000000000000</formula2>
    </dataValidation>
  </dataValidations>
  <hyperlinks>
    <hyperlink ref="B4" location="'About'!A1" display="◂  About" xr:uid="{00000000-0004-0000-0100-000000000000}"/>
    <hyperlink ref="J4" location="'Changes'!A1" display="Next:  Changes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AA0BA"/>
    <pageSetUpPr fitToPage="1"/>
  </sheetPr>
  <dimension ref="A1:F31"/>
  <sheetViews>
    <sheetView showGridLines="0" workbookViewId="0"/>
  </sheetViews>
  <sheetFormatPr defaultRowHeight="14.25" x14ac:dyDescent="0.45"/>
  <cols>
    <col min="1" max="1" width="2" customWidth="1"/>
    <col min="2" max="2" width="50" customWidth="1"/>
    <col min="3" max="3" width="14" customWidth="1"/>
    <col min="4" max="4" width="13" customWidth="1"/>
    <col min="5" max="5" width="2" customWidth="1"/>
    <col min="6" max="6" width="70" customWidth="1"/>
  </cols>
  <sheetData>
    <row r="1" spans="1:6" ht="6" customHeight="1" x14ac:dyDescent="0.45"/>
    <row r="2" spans="1:6" ht="30" customHeight="1" x14ac:dyDescent="0.45">
      <c r="A2" s="1"/>
      <c r="B2" s="21" t="s">
        <v>0</v>
      </c>
      <c r="C2" s="1"/>
      <c r="D2" s="1"/>
      <c r="E2" s="1"/>
      <c r="F2" s="3" t="s">
        <v>1</v>
      </c>
    </row>
    <row r="3" spans="1:6" ht="20" customHeight="1" x14ac:dyDescent="0.45">
      <c r="A3" s="1"/>
      <c r="B3" s="4" t="s">
        <v>132</v>
      </c>
      <c r="C3" s="1"/>
      <c r="D3" s="1"/>
      <c r="E3" s="1"/>
      <c r="F3" s="1"/>
    </row>
    <row r="4" spans="1:6" ht="20" customHeight="1" x14ac:dyDescent="0.45">
      <c r="A4" s="5"/>
      <c r="B4" s="22" t="s">
        <v>133</v>
      </c>
      <c r="C4" s="5"/>
      <c r="D4" s="5"/>
      <c r="E4" s="5"/>
      <c r="F4" s="6" t="s">
        <v>134</v>
      </c>
    </row>
    <row r="5" spans="1:6" ht="8" customHeight="1" x14ac:dyDescent="0.45"/>
    <row r="6" spans="1:6" ht="22.05" customHeight="1" x14ac:dyDescent="0.5">
      <c r="B6" s="7" t="s">
        <v>135</v>
      </c>
      <c r="C6" s="8"/>
      <c r="D6" s="8"/>
      <c r="E6" s="8"/>
      <c r="F6" s="8"/>
    </row>
    <row r="7" spans="1:6" ht="18" customHeight="1" x14ac:dyDescent="0.45">
      <c r="B7" s="13" t="s">
        <v>136</v>
      </c>
    </row>
    <row r="8" spans="1:6" ht="18" customHeight="1" x14ac:dyDescent="0.45">
      <c r="B8" s="35" t="s">
        <v>137</v>
      </c>
      <c r="C8" s="35" t="s">
        <v>98</v>
      </c>
      <c r="D8" s="36" t="s">
        <v>138</v>
      </c>
      <c r="E8" s="5"/>
      <c r="F8" s="35" t="s">
        <v>139</v>
      </c>
    </row>
    <row r="9" spans="1:6" x14ac:dyDescent="0.45">
      <c r="B9" s="25" t="s">
        <v>140</v>
      </c>
      <c r="C9" s="26"/>
      <c r="D9" s="37">
        <f>1/Client_RateCV^2</f>
        <v>11.111111111111111</v>
      </c>
      <c r="E9" s="28"/>
      <c r="F9" s="26" t="s">
        <v>141</v>
      </c>
    </row>
    <row r="10" spans="1:6" x14ac:dyDescent="0.45">
      <c r="B10" s="25" t="s">
        <v>142</v>
      </c>
      <c r="C10" s="26" t="s">
        <v>115</v>
      </c>
      <c r="D10" s="38">
        <f>Client_Rate/Client_Shape</f>
        <v>0.14400000000000002</v>
      </c>
      <c r="E10" s="28"/>
      <c r="F10" s="26" t="s">
        <v>143</v>
      </c>
    </row>
    <row r="11" spans="1:6" x14ac:dyDescent="0.45">
      <c r="B11" s="25" t="s">
        <v>144</v>
      </c>
      <c r="C11" s="26" t="s">
        <v>115</v>
      </c>
      <c r="D11" s="39" cm="1">
        <f t="array" aca="1" ref="D11" ca="1">_xll.VoseInput("Client change rate","per month")+_xll.VoseGamma(Client_Shape,Client_Scale)</f>
        <v>1.874264500388592</v>
      </c>
      <c r="E11" s="28"/>
      <c r="F11" s="26" t="s">
        <v>145</v>
      </c>
    </row>
    <row r="12" spans="1:6" x14ac:dyDescent="0.45">
      <c r="B12" s="25" t="s">
        <v>146</v>
      </c>
      <c r="C12" s="26" t="s">
        <v>147</v>
      </c>
      <c r="D12" s="40" cm="1">
        <f t="array" aca="1" ref="D12" ca="1">_xll.VosePoisson(Client_RateDrawn*Months)</f>
        <v>46</v>
      </c>
      <c r="E12" s="28"/>
      <c r="F12" s="26" t="s">
        <v>148</v>
      </c>
    </row>
    <row r="13" spans="1:6" x14ac:dyDescent="0.45">
      <c r="B13" s="25" t="s">
        <v>149</v>
      </c>
      <c r="C13" s="26" t="s">
        <v>103</v>
      </c>
      <c r="D13" s="39" cm="1">
        <f t="array" aca="1" ref="D13" ca="1">_xll.VoseInput("Client-instructed changes: cost","US$m")+_xll.VoseAggregateMC(Client_N,_xll.VoseLognormalObject(Client_Mean,Client_SD))</f>
        <v>1.9201462928069477</v>
      </c>
      <c r="E13" s="28"/>
      <c r="F13" s="26" t="s">
        <v>150</v>
      </c>
    </row>
    <row r="14" spans="1:6" x14ac:dyDescent="0.45">
      <c r="B14" s="25" t="s">
        <v>151</v>
      </c>
      <c r="C14" s="26" t="s">
        <v>147</v>
      </c>
      <c r="D14" s="40" cm="1">
        <f t="array" aca="1" ref="D14" ca="1">_xll.VosePoisson(Design_Rate*Months)</f>
        <v>18</v>
      </c>
      <c r="E14" s="28"/>
      <c r="F14" s="26" t="s">
        <v>152</v>
      </c>
    </row>
    <row r="15" spans="1:6" x14ac:dyDescent="0.45">
      <c r="B15" s="25" t="s">
        <v>153</v>
      </c>
      <c r="C15" s="26" t="s">
        <v>103</v>
      </c>
      <c r="D15" s="39" cm="1">
        <f t="array" aca="1" ref="D15" ca="1">_xll.VoseInput("Design errors and omissions: cost","US$m")+_xll.VoseAggregateMC(Design_N,_xll.VoseLognormalObject(Design_Mean,Design_SD))</f>
        <v>1.265702247115789</v>
      </c>
      <c r="E15" s="28"/>
      <c r="F15" s="26" t="s">
        <v>150</v>
      </c>
    </row>
    <row r="16" spans="1:6" x14ac:dyDescent="0.45">
      <c r="B16" s="25" t="s">
        <v>154</v>
      </c>
      <c r="C16" s="26" t="s">
        <v>147</v>
      </c>
      <c r="D16" s="40" cm="1">
        <f t="array" aca="1" ref="D16" ca="1">_xll.VosePoisson(Rework_Rate*Months)</f>
        <v>25</v>
      </c>
      <c r="E16" s="28"/>
      <c r="F16" s="26" t="s">
        <v>155</v>
      </c>
    </row>
    <row r="17" spans="2:6" x14ac:dyDescent="0.45">
      <c r="B17" s="25" t="s">
        <v>156</v>
      </c>
      <c r="C17" s="26" t="s">
        <v>103</v>
      </c>
      <c r="D17" s="39" cm="1">
        <f t="array" aca="1" ref="D17" ca="1">_xll.VoseInput("Rework of defects: cost","US$m")+_xll.VoseAggregateMC(Rework_N,_xll.VoseLognormalObject(Rework_Mean,Rework_SD))</f>
        <v>0.45728242967174804</v>
      </c>
      <c r="E17" s="28"/>
      <c r="F17" s="26" t="s">
        <v>150</v>
      </c>
    </row>
    <row r="18" spans="2:6" ht="8" customHeight="1" x14ac:dyDescent="0.45"/>
    <row r="19" spans="2:6" ht="22.05" customHeight="1" x14ac:dyDescent="0.5">
      <c r="B19" s="7" t="s">
        <v>157</v>
      </c>
      <c r="C19" s="8"/>
      <c r="D19" s="8"/>
      <c r="E19" s="8"/>
      <c r="F19" s="8"/>
    </row>
    <row r="20" spans="2:6" ht="18" customHeight="1" x14ac:dyDescent="0.45">
      <c r="B20" s="13" t="s">
        <v>158</v>
      </c>
    </row>
    <row r="21" spans="2:6" ht="18" customHeight="1" x14ac:dyDescent="0.45">
      <c r="B21" s="35" t="s">
        <v>159</v>
      </c>
      <c r="C21" s="35" t="s">
        <v>98</v>
      </c>
      <c r="D21" s="36" t="s">
        <v>138</v>
      </c>
      <c r="E21" s="5"/>
      <c r="F21" s="35" t="s">
        <v>160</v>
      </c>
    </row>
    <row r="22" spans="2:6" x14ac:dyDescent="0.45">
      <c r="B22" s="25" t="s">
        <v>161</v>
      </c>
      <c r="C22" s="26" t="s">
        <v>103</v>
      </c>
      <c r="D22" s="41" cm="1">
        <f t="array" aca="1" ref="D22" ca="1">_xll.VoseOutput("Total change cost","US$m")+Client_Cost+Design_Cost+Rework_Cost</f>
        <v>3.6431309695944849</v>
      </c>
      <c r="E22" s="28"/>
      <c r="F22" s="26" t="s">
        <v>162</v>
      </c>
    </row>
    <row r="23" spans="2:6" x14ac:dyDescent="0.45">
      <c r="B23" s="25" t="s">
        <v>109</v>
      </c>
      <c r="C23" s="26" t="s">
        <v>103</v>
      </c>
      <c r="D23" s="37">
        <f>AllowancePct*ContractSum</f>
        <v>3</v>
      </c>
      <c r="E23" s="28"/>
      <c r="F23" s="26" t="s">
        <v>163</v>
      </c>
    </row>
    <row r="24" spans="2:6" x14ac:dyDescent="0.45">
      <c r="B24" s="25" t="s">
        <v>164</v>
      </c>
      <c r="C24" s="26" t="s">
        <v>165</v>
      </c>
      <c r="D24" s="42" cm="1">
        <f t="array" aca="1" ref="D24" ca="1">_xll.VoseOutput("Exceeds allowance","1 = yes")+IF(TotalChange&gt;Allowance,1,0)</f>
        <v>1</v>
      </c>
      <c r="E24" s="28"/>
      <c r="F24" s="26"/>
    </row>
    <row r="25" spans="2:6" x14ac:dyDescent="0.45">
      <c r="B25" s="25" t="s">
        <v>166</v>
      </c>
      <c r="C25" s="26" t="s">
        <v>103</v>
      </c>
      <c r="D25" s="37">
        <f>Months*(Client_Rate*Client_Mean+Design_Rate*Design_Mean+Rework_Rate*Rework_Mean)</f>
        <v>3.4559999999999995</v>
      </c>
      <c r="E25" s="28"/>
      <c r="F25" s="26" t="s">
        <v>167</v>
      </c>
    </row>
    <row r="26" spans="2:6" ht="8" customHeight="1" x14ac:dyDescent="0.45"/>
    <row r="27" spans="2:6" ht="22.05" customHeight="1" x14ac:dyDescent="0.5">
      <c r="B27" s="7" t="s">
        <v>168</v>
      </c>
      <c r="C27" s="8"/>
      <c r="D27" s="8"/>
      <c r="E27" s="8"/>
      <c r="F27" s="8"/>
    </row>
    <row r="28" spans="2:6" ht="18" customHeight="1" x14ac:dyDescent="0.45">
      <c r="B28" s="13" t="s">
        <v>169</v>
      </c>
    </row>
    <row r="29" spans="2:6" x14ac:dyDescent="0.45">
      <c r="B29" s="25" t="s">
        <v>170</v>
      </c>
      <c r="C29" s="28"/>
      <c r="D29" s="43" t="str">
        <f>IF(MIN(Client_Rate,Client_Mean,Client_SD,Design_Rate,Design_Mean,Design_SD,Rework_Rate,Rework_Mean,Rework_SD)&gt;0,"OK","CHECK")</f>
        <v>OK</v>
      </c>
      <c r="E29" s="28"/>
      <c r="F29" s="28"/>
    </row>
    <row r="30" spans="2:6" x14ac:dyDescent="0.45">
      <c r="B30" s="25" t="s">
        <v>171</v>
      </c>
      <c r="C30" s="28"/>
      <c r="D30" s="43" t="str">
        <f>IF(Client_RateCV&gt;0,"OK","CHECK")</f>
        <v>OK</v>
      </c>
      <c r="E30" s="28"/>
      <c r="F30" s="28"/>
    </row>
    <row r="31" spans="2:6" ht="14" customHeight="1" x14ac:dyDescent="0.45"/>
  </sheetData>
  <conditionalFormatting sqref="D29:D30">
    <cfRule type="expression" dxfId="4" priority="1">
      <formula>D29="CHECK"</formula>
    </cfRule>
  </conditionalFormatting>
  <hyperlinks>
    <hyperlink ref="B4" location="'Inputs'!A1" display="◂  Inputs" xr:uid="{00000000-0004-0000-0200-000000000000}"/>
    <hyperlink ref="F4" location="'Results'!A1" display="Next:  Results  ▸" xr:uid="{00000000-0004-0000-0200-000001000000}"/>
  </hyperlinks>
  <printOptions horizontalCentered="1"/>
  <pageMargins left="0.4" right="0.4" top="0.5" bottom="0.6" header="0.25" footer="0.25"/>
  <pageSetup paperSize="9" scale="91" fitToHeight="0" orientation="landscape" r:id="rId1"/>
  <headerFooter>
    <oddFooter>&amp;L&amp;K3F5876&amp;8&amp;F · &amp;A&amp;R&amp;K3F5876&amp;8Page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803D"/>
    <outlinePr summaryBelow="0"/>
    <pageSetUpPr fitToPage="1"/>
  </sheetPr>
  <dimension ref="A1:R113"/>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172</v>
      </c>
      <c r="C3" s="1"/>
      <c r="D3" s="1"/>
      <c r="E3" s="1"/>
      <c r="F3" s="1"/>
      <c r="G3" s="1"/>
      <c r="H3" s="1"/>
      <c r="I3" s="1"/>
      <c r="J3" s="1"/>
      <c r="K3" s="1"/>
      <c r="L3" s="1"/>
      <c r="M3" s="1"/>
      <c r="N3" s="1"/>
      <c r="O3" s="1"/>
      <c r="P3" s="1"/>
      <c r="Q3" s="1"/>
      <c r="R3" s="1"/>
    </row>
    <row r="4" spans="1:18" ht="20" customHeight="1" x14ac:dyDescent="0.45">
      <c r="A4" s="5"/>
      <c r="B4" s="22" t="s">
        <v>173</v>
      </c>
      <c r="C4" s="5"/>
      <c r="D4" s="5"/>
      <c r="E4" s="5"/>
      <c r="F4" s="5"/>
      <c r="G4" s="5"/>
      <c r="H4" s="5"/>
      <c r="I4" s="5"/>
      <c r="J4" s="5"/>
      <c r="K4" s="5"/>
      <c r="L4" s="5"/>
      <c r="M4" s="5"/>
      <c r="N4" s="5"/>
      <c r="O4" s="5"/>
      <c r="P4" s="5"/>
      <c r="Q4" s="5"/>
      <c r="R4" s="5"/>
    </row>
    <row r="5" spans="1:18" ht="8" customHeight="1" x14ac:dyDescent="0.45"/>
    <row r="6" spans="1:18" ht="26" customHeight="1" x14ac:dyDescent="0.45">
      <c r="B6" s="44" t="str" cm="1">
        <f t="array" aca="1" ref="B6" ca="1">IF(ISNUMBER(_xll.VoseSimMean(TotalChange)),"✔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45"/>
      <c r="D6" s="45"/>
      <c r="E6" s="45"/>
      <c r="F6" s="45"/>
      <c r="G6" s="45"/>
    </row>
    <row r="7" spans="1:18" x14ac:dyDescent="0.45">
      <c r="B7" s="46" t="str">
        <f>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174</v>
      </c>
      <c r="C9" s="8"/>
      <c r="D9" s="8"/>
      <c r="E9" s="8"/>
      <c r="F9" s="8"/>
      <c r="G9" s="8"/>
      <c r="I9" s="47" t="s">
        <v>175</v>
      </c>
      <c r="J9" s="8"/>
      <c r="K9" s="8"/>
      <c r="L9" s="8"/>
      <c r="M9" s="8"/>
      <c r="N9" s="8"/>
      <c r="O9" s="8"/>
      <c r="P9" s="8"/>
      <c r="Q9" s="8"/>
      <c r="R9" s="8"/>
    </row>
    <row r="10" spans="1:18" ht="18" customHeight="1" x14ac:dyDescent="0.45">
      <c r="B10" s="13" t="s">
        <v>176</v>
      </c>
    </row>
    <row r="11" spans="1:18" ht="18" customHeight="1" x14ac:dyDescent="0.45">
      <c r="B11" s="23" t="s">
        <v>177</v>
      </c>
      <c r="C11" s="23" t="s">
        <v>98</v>
      </c>
      <c r="D11" s="24" t="s">
        <v>138</v>
      </c>
      <c r="E11" s="5"/>
      <c r="F11" s="5"/>
      <c r="G11" s="5"/>
    </row>
    <row r="12" spans="1:18" x14ac:dyDescent="0.45">
      <c r="B12" s="48" t="s">
        <v>178</v>
      </c>
      <c r="C12" s="26" t="s">
        <v>103</v>
      </c>
      <c r="D12" s="37">
        <f>Allowance</f>
        <v>3</v>
      </c>
      <c r="E12" s="28"/>
      <c r="F12" s="28"/>
      <c r="G12" s="28"/>
    </row>
    <row r="13" spans="1:18" ht="22.05" customHeight="1" x14ac:dyDescent="0.45">
      <c r="B13" s="49" t="s">
        <v>179</v>
      </c>
      <c r="C13" s="26" t="s">
        <v>180</v>
      </c>
      <c r="D13" s="50" cm="1">
        <f t="array" aca="1" ref="D13" ca="1">_xll.VoseSimMean(Exceeds)</f>
        <v>0.66369999999999996</v>
      </c>
      <c r="E13" s="28"/>
      <c r="F13" s="28"/>
      <c r="G13" s="28"/>
    </row>
    <row r="14" spans="1:18" x14ac:dyDescent="0.45">
      <c r="B14" s="49" t="s">
        <v>181</v>
      </c>
      <c r="C14" s="26" t="s">
        <v>103</v>
      </c>
      <c r="D14" s="51" cm="1">
        <f t="array" aca="1" ref="D14" ca="1">_xll.VoseSimPercentile(TotalChange,0.8)</f>
        <v>4.1756869423061591</v>
      </c>
      <c r="E14" s="28"/>
      <c r="F14" s="28"/>
      <c r="G14" s="28"/>
    </row>
    <row r="15" spans="1:18" x14ac:dyDescent="0.45">
      <c r="B15" s="49" t="s">
        <v>182</v>
      </c>
      <c r="C15" s="26" t="s">
        <v>183</v>
      </c>
      <c r="D15" s="52">
        <f ca="1">IFERROR(D14/ContractSum,"–")</f>
        <v>6.9594782371769318E-2</v>
      </c>
      <c r="E15" s="28"/>
      <c r="F15" s="28"/>
      <c r="G15" s="28"/>
    </row>
    <row r="16" spans="1:18" x14ac:dyDescent="0.45">
      <c r="B16" s="25" t="s">
        <v>184</v>
      </c>
      <c r="C16" s="26" t="s">
        <v>103</v>
      </c>
      <c r="D16" s="51" cm="1">
        <f t="array" aca="1" ref="D16" ca="1">_xll.VoseSimMean(TotalChange)</f>
        <v>3.4640016417735948</v>
      </c>
      <c r="E16" s="28"/>
      <c r="F16" s="28"/>
      <c r="G16" s="28"/>
    </row>
    <row r="17" spans="2:7" x14ac:dyDescent="0.45">
      <c r="B17" s="48" t="s">
        <v>185</v>
      </c>
      <c r="C17" s="26" t="s">
        <v>103</v>
      </c>
      <c r="D17" s="37">
        <f>Expected</f>
        <v>3.4559999999999995</v>
      </c>
      <c r="E17" s="28"/>
      <c r="F17" s="28"/>
      <c r="G17" s="28"/>
    </row>
    <row r="18" spans="2:7" ht="8" customHeight="1" x14ac:dyDescent="0.45"/>
    <row r="19" spans="2:7" ht="22.05" customHeight="1" x14ac:dyDescent="0.5">
      <c r="B19" s="7" t="s">
        <v>186</v>
      </c>
      <c r="C19" s="8"/>
      <c r="D19" s="8"/>
      <c r="E19" s="8"/>
      <c r="F19" s="8"/>
      <c r="G19" s="8"/>
    </row>
    <row r="20" spans="2:7" ht="18" customHeight="1" x14ac:dyDescent="0.45">
      <c r="B20" s="13" t="s">
        <v>187</v>
      </c>
    </row>
    <row r="21" spans="2:7" ht="18" customHeight="1" x14ac:dyDescent="0.45">
      <c r="B21" s="23" t="s">
        <v>177</v>
      </c>
      <c r="C21" s="23" t="s">
        <v>98</v>
      </c>
      <c r="D21" s="24" t="s">
        <v>188</v>
      </c>
      <c r="E21" s="24" t="s">
        <v>63</v>
      </c>
      <c r="F21" s="24" t="s">
        <v>189</v>
      </c>
      <c r="G21" s="24" t="s">
        <v>190</v>
      </c>
    </row>
    <row r="22" spans="2:7" x14ac:dyDescent="0.45">
      <c r="B22" s="25" t="s">
        <v>191</v>
      </c>
      <c r="C22" s="26" t="s">
        <v>103</v>
      </c>
      <c r="D22" s="51" cm="1">
        <f t="array" aca="1" ref="D22" ca="1">_xll.VoseSimPercentile(Client_Cost,0.5)</f>
        <v>1.6227661307669106</v>
      </c>
      <c r="E22" s="51" cm="1">
        <f t="array" aca="1" ref="E22" ca="1">_xll.VoseSimPercentile(Client_Cost,0.8)</f>
        <v>2.3142816576364913</v>
      </c>
      <c r="F22" s="51" cm="1">
        <f t="array" aca="1" ref="F22" ca="1">_xll.VoseSimPercentile(Client_Cost,0.9)</f>
        <v>2.7414479783267334</v>
      </c>
      <c r="G22" s="51" cm="1">
        <f t="array" aca="1" ref="G22" ca="1">_xll.VoseSimMean(Client_Cost)</f>
        <v>1.73133089173878</v>
      </c>
    </row>
    <row r="23" spans="2:7" x14ac:dyDescent="0.45">
      <c r="B23" s="25" t="s">
        <v>192</v>
      </c>
      <c r="C23" s="26" t="s">
        <v>103</v>
      </c>
      <c r="D23" s="51" cm="1">
        <f t="array" aca="1" ref="D23" ca="1">_xll.VoseSimPercentile(Design_Cost,0.5)</f>
        <v>1.0645588065930751</v>
      </c>
      <c r="E23" s="51" cm="1">
        <f t="array" aca="1" ref="E23" ca="1">_xll.VoseSimPercentile(Design_Cost,0.8)</f>
        <v>1.5508599044507809</v>
      </c>
      <c r="F23" s="51" cm="1">
        <f t="array" aca="1" ref="F23" ca="1">_xll.VoseSimPercentile(Design_Cost,0.9)</f>
        <v>1.8360635530819094</v>
      </c>
      <c r="G23" s="51" cm="1">
        <f t="array" aca="1" ref="G23" ca="1">_xll.VoseSimMean(Design_Cost)</f>
        <v>1.1544411546641793</v>
      </c>
    </row>
    <row r="24" spans="2:7" x14ac:dyDescent="0.45">
      <c r="B24" s="25" t="s">
        <v>193</v>
      </c>
      <c r="C24" s="26" t="s">
        <v>103</v>
      </c>
      <c r="D24" s="51" cm="1">
        <f t="array" aca="1" ref="D24" ca="1">_xll.VoseSimPercentile(Rework_Cost,0.5)</f>
        <v>0.55791348266991536</v>
      </c>
      <c r="E24" s="51" cm="1">
        <f t="array" aca="1" ref="E24" ca="1">_xll.VoseSimPercentile(Rework_Cost,0.8)</f>
        <v>0.71420317748181605</v>
      </c>
      <c r="F24" s="51" cm="1">
        <f t="array" aca="1" ref="F24" ca="1">_xll.VoseSimPercentile(Rework_Cost,0.9)</f>
        <v>0.80680662951317439</v>
      </c>
      <c r="G24" s="51" cm="1">
        <f t="array" aca="1" ref="G24" ca="1">_xll.VoseSimMean(Rework_Cost)</f>
        <v>0.57822959537064311</v>
      </c>
    </row>
    <row r="25" spans="2:7" x14ac:dyDescent="0.45">
      <c r="B25" s="25" t="s">
        <v>194</v>
      </c>
      <c r="C25" s="26" t="s">
        <v>103</v>
      </c>
      <c r="D25" s="51" cm="1">
        <f t="array" aca="1" ref="D25" ca="1">_xll.VoseSimPercentile(TotalChange,0.5)</f>
        <v>3.357665719897176</v>
      </c>
      <c r="E25" s="51" cm="1">
        <f t="array" aca="1" ref="E25" ca="1">_xll.VoseSimPercentile(TotalChange,0.8)</f>
        <v>4.1756869423061591</v>
      </c>
      <c r="F25" s="51" cm="1">
        <f t="array" aca="1" ref="F25" ca="1">_xll.VoseSimPercentile(TotalChange,0.9)</f>
        <v>4.6962842809946403</v>
      </c>
      <c r="G25" s="51" cm="1">
        <f t="array" aca="1" ref="G25" ca="1">_xll.VoseSimMean(TotalChange)</f>
        <v>3.4640016417735948</v>
      </c>
    </row>
    <row r="26" spans="2:7" ht="8" customHeight="1" x14ac:dyDescent="0.45"/>
    <row r="27" spans="2:7" ht="22.05" customHeight="1" x14ac:dyDescent="0.5">
      <c r="B27" s="7" t="s">
        <v>195</v>
      </c>
      <c r="C27" s="8"/>
      <c r="D27" s="8"/>
      <c r="E27" s="8"/>
      <c r="F27" s="8"/>
      <c r="G27" s="8"/>
    </row>
    <row r="28" spans="2:7" ht="18" customHeight="1" x14ac:dyDescent="0.45">
      <c r="B28" s="13" t="s">
        <v>196</v>
      </c>
    </row>
    <row r="29" spans="2:7" ht="18" customHeight="1" x14ac:dyDescent="0.45">
      <c r="B29" s="23" t="s">
        <v>177</v>
      </c>
      <c r="C29" s="23" t="s">
        <v>98</v>
      </c>
      <c r="D29" s="24" t="s">
        <v>197</v>
      </c>
      <c r="E29" s="24" t="s">
        <v>198</v>
      </c>
      <c r="F29" s="24" t="s">
        <v>199</v>
      </c>
      <c r="G29" s="24" t="s">
        <v>190</v>
      </c>
    </row>
    <row r="30" spans="2:7" x14ac:dyDescent="0.45">
      <c r="B30" s="25" t="s">
        <v>200</v>
      </c>
      <c r="C30" s="26" t="s">
        <v>201</v>
      </c>
      <c r="D30" s="53" cm="1">
        <f t="array" aca="1" ref="D30" ca="1">_xll.VoseSimPercentile(Client_N,0.1)</f>
        <v>23</v>
      </c>
      <c r="E30" s="53" cm="1">
        <f t="array" aca="1" ref="E30" ca="1">_xll.VoseSimPercentile(Client_N,0.5)</f>
        <v>37</v>
      </c>
      <c r="F30" s="53" cm="1">
        <f t="array" aca="1" ref="F30" ca="1">_xll.VoseSimPercentile(Client_N,0.9)</f>
        <v>56</v>
      </c>
      <c r="G30" s="53" cm="1">
        <f t="array" aca="1" ref="G30" ca="1">_xll.VoseSimMean(Client_N)</f>
        <v>38.293700000000001</v>
      </c>
    </row>
    <row r="31" spans="2:7" x14ac:dyDescent="0.45">
      <c r="B31" s="25" t="s">
        <v>192</v>
      </c>
      <c r="C31" s="26" t="s">
        <v>147</v>
      </c>
      <c r="D31" s="53" cm="1">
        <f t="array" aca="1" ref="D31" ca="1">_xll.VoseSimPercentile(Design_N,0.1)</f>
        <v>10</v>
      </c>
      <c r="E31" s="53" cm="1">
        <f t="array" aca="1" ref="E31" ca="1">_xll.VoseSimPercentile(Design_N,0.5)</f>
        <v>14</v>
      </c>
      <c r="F31" s="53" cm="1">
        <f t="array" aca="1" ref="F31" ca="1">_xll.VoseSimPercentile(Design_N,0.9)</f>
        <v>20</v>
      </c>
      <c r="G31" s="53" cm="1">
        <f t="array" aca="1" ref="G31" ca="1">_xll.VoseSimMean(Design_N)</f>
        <v>14.417299999999999</v>
      </c>
    </row>
    <row r="32" spans="2:7" x14ac:dyDescent="0.45">
      <c r="B32" s="25" t="s">
        <v>202</v>
      </c>
      <c r="C32" s="26" t="s">
        <v>147</v>
      </c>
      <c r="D32" s="53" cm="1">
        <f t="array" aca="1" ref="D32" ca="1">_xll.VoseSimPercentile(Rework_N,0.1)</f>
        <v>22</v>
      </c>
      <c r="E32" s="53" cm="1">
        <f t="array" aca="1" ref="E32" ca="1">_xll.VoseSimPercentile(Rework_N,0.5)</f>
        <v>29</v>
      </c>
      <c r="F32" s="53" cm="1">
        <f t="array" aca="1" ref="F32" ca="1">_xll.VoseSimPercentile(Rework_N,0.9)</f>
        <v>36</v>
      </c>
      <c r="G32" s="53" cm="1">
        <f t="array" aca="1" ref="G32" ca="1">_xll.VoseSimMean(Rework_N)</f>
        <v>28.883700000000001</v>
      </c>
    </row>
    <row r="33" spans="2:18" ht="22.05" customHeight="1" x14ac:dyDescent="0.5">
      <c r="B33" s="7" t="s">
        <v>203</v>
      </c>
      <c r="C33" s="8"/>
      <c r="D33" s="8"/>
      <c r="E33" s="8"/>
      <c r="F33" s="8"/>
      <c r="G33" s="8"/>
      <c r="I33" s="47" t="s">
        <v>204</v>
      </c>
      <c r="J33" s="8"/>
      <c r="K33" s="8"/>
      <c r="L33" s="8"/>
      <c r="M33" s="8"/>
      <c r="N33" s="8"/>
      <c r="O33" s="8"/>
      <c r="P33" s="8"/>
      <c r="Q33" s="8"/>
      <c r="R33" s="8"/>
    </row>
    <row r="34" spans="2:18" ht="18" customHeight="1" x14ac:dyDescent="0.45">
      <c r="B34" s="13" t="s">
        <v>205</v>
      </c>
    </row>
    <row r="35" spans="2:18" ht="18" customHeight="1" x14ac:dyDescent="0.45">
      <c r="B35" s="23" t="s">
        <v>206</v>
      </c>
      <c r="C35" s="24" t="s">
        <v>207</v>
      </c>
      <c r="D35" s="24" t="s">
        <v>208</v>
      </c>
      <c r="E35" s="54" t="s">
        <v>209</v>
      </c>
      <c r="F35" s="5"/>
      <c r="G35" s="5"/>
    </row>
    <row r="36" spans="2:18" x14ac:dyDescent="0.45">
      <c r="B36" s="25" t="str">
        <f t="array" aca="1" ref="B36:E39" ca="1">_xll.VoseSimSensitivityMean(TotalChange,10,1,FALSE)</f>
        <v>Client-instructed changes: cost</v>
      </c>
      <c r="C36" s="51">
        <f ca="1"/>
        <v>2.3935785049360443</v>
      </c>
      <c r="D36" s="51">
        <f ca="1"/>
        <v>5.0148962547807692</v>
      </c>
      <c r="E36" s="55">
        <f ca="1"/>
        <v>1</v>
      </c>
      <c r="F36" s="28"/>
      <c r="G36" s="28"/>
    </row>
    <row r="37" spans="2:18" x14ac:dyDescent="0.45">
      <c r="B37" s="25" t="str">
        <f ca="1"/>
        <v>Design errors and omissions: cost</v>
      </c>
      <c r="C37" s="51">
        <f ca="1"/>
        <v>2.7545543161974768</v>
      </c>
      <c r="D37" s="51">
        <f ca="1"/>
        <v>4.5805891545294379</v>
      </c>
      <c r="E37" s="55">
        <f ca="1"/>
        <v>2</v>
      </c>
      <c r="F37" s="28"/>
      <c r="G37" s="28"/>
    </row>
    <row r="38" spans="2:18" x14ac:dyDescent="0.45">
      <c r="B38" s="25" t="str">
        <f ca="1"/>
        <v>Client change rate</v>
      </c>
      <c r="C38" s="51">
        <f ca="1"/>
        <v>2.6764707174787046</v>
      </c>
      <c r="D38" s="51">
        <f ca="1"/>
        <v>4.4349994561699955</v>
      </c>
      <c r="E38" s="55">
        <f ca="1"/>
        <v>3</v>
      </c>
      <c r="F38" s="28"/>
      <c r="G38" s="28"/>
    </row>
    <row r="39" spans="2:18" x14ac:dyDescent="0.45">
      <c r="B39" s="25" t="str">
        <f ca="1"/>
        <v>Rework of defects: cost</v>
      </c>
      <c r="C39" s="51">
        <f ca="1"/>
        <v>3.1752141511631522</v>
      </c>
      <c r="D39" s="51">
        <f ca="1"/>
        <v>3.7781480833963497</v>
      </c>
      <c r="E39" s="55">
        <f ca="1"/>
        <v>4</v>
      </c>
      <c r="F39" s="28"/>
      <c r="G39" s="28"/>
    </row>
    <row r="47" spans="2:18" ht="22.05" customHeight="1" x14ac:dyDescent="0.5">
      <c r="B47" s="7" t="s">
        <v>210</v>
      </c>
      <c r="C47" s="8"/>
      <c r="D47" s="8"/>
      <c r="E47" s="8"/>
      <c r="F47" s="8"/>
      <c r="G47" s="8"/>
    </row>
    <row r="48" spans="2:18" ht="32" customHeight="1" x14ac:dyDescent="0.45">
      <c r="B48" s="62" t="s">
        <v>211</v>
      </c>
      <c r="C48" s="63"/>
      <c r="D48" s="63"/>
      <c r="E48" s="63"/>
      <c r="F48" s="63"/>
      <c r="G48" s="63"/>
    </row>
    <row r="49" spans="2:7" ht="58.05" customHeight="1" x14ac:dyDescent="0.45">
      <c r="B49" s="62" t="s">
        <v>212</v>
      </c>
      <c r="C49" s="63"/>
      <c r="D49" s="63"/>
      <c r="E49" s="63"/>
      <c r="F49" s="63"/>
      <c r="G49" s="63"/>
    </row>
    <row r="50" spans="2:7" ht="32" customHeight="1" x14ac:dyDescent="0.45">
      <c r="B50" s="62" t="s">
        <v>213</v>
      </c>
      <c r="C50" s="63"/>
      <c r="D50" s="63"/>
      <c r="E50" s="63"/>
      <c r="F50" s="63"/>
      <c r="G50" s="63"/>
    </row>
    <row r="51" spans="2:7" ht="19.05" customHeight="1" x14ac:dyDescent="0.45">
      <c r="B51" s="62" t="s">
        <v>214</v>
      </c>
      <c r="C51" s="63"/>
      <c r="D51" s="63"/>
      <c r="E51" s="63"/>
      <c r="F51" s="63"/>
      <c r="G51" s="63"/>
    </row>
    <row r="52" spans="2:7" ht="14" customHeight="1" x14ac:dyDescent="0.45"/>
    <row r="53" spans="2:7" ht="14" customHeight="1" x14ac:dyDescent="0.45"/>
    <row r="54" spans="2:7" ht="22.05" customHeight="1" x14ac:dyDescent="0.5">
      <c r="B54" s="7" t="s">
        <v>215</v>
      </c>
      <c r="C54" s="8"/>
      <c r="D54" s="8"/>
      <c r="E54" s="8"/>
      <c r="F54" s="8"/>
      <c r="G54" s="8"/>
    </row>
    <row r="55" spans="2:7" ht="18" customHeight="1" x14ac:dyDescent="0.45">
      <c r="B55" s="13" t="s">
        <v>216</v>
      </c>
    </row>
    <row r="56" spans="2:7" ht="28.05" hidden="1" customHeight="1" outlineLevel="1" x14ac:dyDescent="0.45">
      <c r="B56" s="24" t="s">
        <v>217</v>
      </c>
      <c r="C56" s="24" t="s">
        <v>218</v>
      </c>
      <c r="D56" s="24" t="s">
        <v>219</v>
      </c>
      <c r="E56" s="5"/>
      <c r="F56" s="5"/>
      <c r="G56" s="5"/>
    </row>
    <row r="57" spans="2:7" hidden="1" outlineLevel="1" x14ac:dyDescent="0.45">
      <c r="B57" s="56">
        <v>0.01</v>
      </c>
      <c r="C57" s="56">
        <f t="shared" ref="C57:C88" si="0">1-B57</f>
        <v>0.99</v>
      </c>
      <c r="D57" s="57" cm="1">
        <f t="array" aca="1" ref="D57" ca="1">IF(ISNUMBER(_xll.VoseSimPercentile(TotalChange,$B57)),_xll.VoseSimPercentile(TotalChange,$B57),NA())</f>
        <v>1.7237618848922809</v>
      </c>
    </row>
    <row r="58" spans="2:7" hidden="1" outlineLevel="1" x14ac:dyDescent="0.45">
      <c r="B58" s="56">
        <v>0.03</v>
      </c>
      <c r="C58" s="56">
        <f t="shared" si="0"/>
        <v>0.97</v>
      </c>
      <c r="D58" s="57" cm="1">
        <f t="array" aca="1" ref="D58" ca="1">IF(ISNUMBER(_xll.VoseSimPercentile(TotalChange,$B58)),_xll.VoseSimPercentile(TotalChange,$B58),NA())</f>
        <v>1.9501876187365683</v>
      </c>
    </row>
    <row r="59" spans="2:7" hidden="1" outlineLevel="1" x14ac:dyDescent="0.45">
      <c r="B59" s="56">
        <v>0.05</v>
      </c>
      <c r="C59" s="56">
        <f t="shared" si="0"/>
        <v>0.95</v>
      </c>
      <c r="D59" s="57" cm="1">
        <f t="array" aca="1" ref="D59" ca="1">IF(ISNUMBER(_xll.VoseSimPercentile(TotalChange,$B59)),_xll.VoseSimPercentile(TotalChange,$B59),NA())</f>
        <v>2.0857916086383388</v>
      </c>
    </row>
    <row r="60" spans="2:7" hidden="1" outlineLevel="1" x14ac:dyDescent="0.45">
      <c r="B60" s="56">
        <v>7.0000000000000007E-2</v>
      </c>
      <c r="C60" s="56">
        <f t="shared" si="0"/>
        <v>0.92999999999999994</v>
      </c>
      <c r="D60" s="57" cm="1">
        <f t="array" aca="1" ref="D60" ca="1">IF(ISNUMBER(_xll.VoseSimPercentile(TotalChange,$B60)),_xll.VoseSimPercentile(TotalChange,$B60),NA())</f>
        <v>2.1975657764017109</v>
      </c>
    </row>
    <row r="61" spans="2:7" hidden="1" outlineLevel="1" x14ac:dyDescent="0.45">
      <c r="B61" s="56">
        <v>0.09</v>
      </c>
      <c r="C61" s="56">
        <f t="shared" si="0"/>
        <v>0.91</v>
      </c>
      <c r="D61" s="57" cm="1">
        <f t="array" aca="1" ref="D61" ca="1">IF(ISNUMBER(_xll.VoseSimPercentile(TotalChange,$B61)),_xll.VoseSimPercentile(TotalChange,$B61),NA())</f>
        <v>2.285045375750153</v>
      </c>
    </row>
    <row r="62" spans="2:7" hidden="1" outlineLevel="1" x14ac:dyDescent="0.45">
      <c r="B62" s="56">
        <v>0.11</v>
      </c>
      <c r="C62" s="56">
        <f t="shared" si="0"/>
        <v>0.89</v>
      </c>
      <c r="D62" s="57" cm="1">
        <f t="array" aca="1" ref="D62" ca="1">IF(ISNUMBER(_xll.VoseSimPercentile(TotalChange,$B62)),_xll.VoseSimPercentile(TotalChange,$B62),NA())</f>
        <v>2.3619663100820403</v>
      </c>
    </row>
    <row r="63" spans="2:7" hidden="1" outlineLevel="1" x14ac:dyDescent="0.45">
      <c r="B63" s="56">
        <v>0.13</v>
      </c>
      <c r="C63" s="56">
        <f t="shared" si="0"/>
        <v>0.87</v>
      </c>
      <c r="D63" s="57" cm="1">
        <f t="array" aca="1" ref="D63" ca="1">IF(ISNUMBER(_xll.VoseSimPercentile(TotalChange,$B63)),_xll.VoseSimPercentile(TotalChange,$B63),NA())</f>
        <v>2.4438068234467556</v>
      </c>
    </row>
    <row r="64" spans="2:7" hidden="1" outlineLevel="1" x14ac:dyDescent="0.45">
      <c r="B64" s="56">
        <v>0.15</v>
      </c>
      <c r="C64" s="56">
        <f t="shared" si="0"/>
        <v>0.85</v>
      </c>
      <c r="D64" s="57" cm="1">
        <f t="array" aca="1" ref="D64" ca="1">IF(ISNUMBER(_xll.VoseSimPercentile(TotalChange,$B64)),_xll.VoseSimPercentile(TotalChange,$B64),NA())</f>
        <v>2.5140814527456903</v>
      </c>
    </row>
    <row r="65" spans="2:4" hidden="1" outlineLevel="1" x14ac:dyDescent="0.45">
      <c r="B65" s="56">
        <v>0.17</v>
      </c>
      <c r="C65" s="56">
        <f t="shared" si="0"/>
        <v>0.83</v>
      </c>
      <c r="D65" s="57" cm="1">
        <f t="array" aca="1" ref="D65" ca="1">IF(ISNUMBER(_xll.VoseSimPercentile(TotalChange,$B65)),_xll.VoseSimPercentile(TotalChange,$B65),NA())</f>
        <v>2.5779805683070682</v>
      </c>
    </row>
    <row r="66" spans="2:4" hidden="1" outlineLevel="1" x14ac:dyDescent="0.45">
      <c r="B66" s="56">
        <v>0.19</v>
      </c>
      <c r="C66" s="56">
        <f t="shared" si="0"/>
        <v>0.81</v>
      </c>
      <c r="D66" s="57" cm="1">
        <f t="array" aca="1" ref="D66" ca="1">IF(ISNUMBER(_xll.VoseSimPercentile(TotalChange,$B66)),_xll.VoseSimPercentile(TotalChange,$B66),NA())</f>
        <v>2.6358355379134641</v>
      </c>
    </row>
    <row r="67" spans="2:4" hidden="1" outlineLevel="1" x14ac:dyDescent="0.45">
      <c r="B67" s="56">
        <v>0.21</v>
      </c>
      <c r="C67" s="56">
        <f t="shared" si="0"/>
        <v>0.79</v>
      </c>
      <c r="D67" s="57" cm="1">
        <f t="array" aca="1" ref="D67" ca="1">IF(ISNUMBER(_xll.VoseSimPercentile(TotalChange,$B67)),_xll.VoseSimPercentile(TotalChange,$B67),NA())</f>
        <v>2.6989940453467325</v>
      </c>
    </row>
    <row r="68" spans="2:4" hidden="1" outlineLevel="1" x14ac:dyDescent="0.45">
      <c r="B68" s="56">
        <v>0.23</v>
      </c>
      <c r="C68" s="56">
        <f t="shared" si="0"/>
        <v>0.77</v>
      </c>
      <c r="D68" s="57" cm="1">
        <f t="array" aca="1" ref="D68" ca="1">IF(ISNUMBER(_xll.VoseSimPercentile(TotalChange,$B68)),_xll.VoseSimPercentile(TotalChange,$B68),NA())</f>
        <v>2.7525709143517405</v>
      </c>
    </row>
    <row r="69" spans="2:4" hidden="1" outlineLevel="1" x14ac:dyDescent="0.45">
      <c r="B69" s="56">
        <v>0.25</v>
      </c>
      <c r="C69" s="56">
        <f t="shared" si="0"/>
        <v>0.75</v>
      </c>
      <c r="D69" s="57" cm="1">
        <f t="array" aca="1" ref="D69" ca="1">IF(ISNUMBER(_xll.VoseSimPercentile(TotalChange,$B69)),_xll.VoseSimPercentile(TotalChange,$B69),NA())</f>
        <v>2.801961459330824</v>
      </c>
    </row>
    <row r="70" spans="2:4" hidden="1" outlineLevel="1" x14ac:dyDescent="0.45">
      <c r="B70" s="56">
        <v>0.27</v>
      </c>
      <c r="C70" s="56">
        <f t="shared" si="0"/>
        <v>0.73</v>
      </c>
      <c r="D70" s="57" cm="1">
        <f t="array" aca="1" ref="D70" ca="1">IF(ISNUMBER(_xll.VoseSimPercentile(TotalChange,$B70)),_xll.VoseSimPercentile(TotalChange,$B70),NA())</f>
        <v>2.8505871983520592</v>
      </c>
    </row>
    <row r="71" spans="2:4" hidden="1" outlineLevel="1" x14ac:dyDescent="0.45">
      <c r="B71" s="56">
        <v>0.28999999999999998</v>
      </c>
      <c r="C71" s="56">
        <f t="shared" si="0"/>
        <v>0.71</v>
      </c>
      <c r="D71" s="57" cm="1">
        <f t="array" aca="1" ref="D71" ca="1">IF(ISNUMBER(_xll.VoseSimPercentile(TotalChange,$B71)),_xll.VoseSimPercentile(TotalChange,$B71),NA())</f>
        <v>2.8962859420148677</v>
      </c>
    </row>
    <row r="72" spans="2:4" hidden="1" outlineLevel="1" x14ac:dyDescent="0.45">
      <c r="B72" s="56">
        <v>0.31</v>
      </c>
      <c r="C72" s="56">
        <f t="shared" si="0"/>
        <v>0.69</v>
      </c>
      <c r="D72" s="57" cm="1">
        <f t="array" aca="1" ref="D72" ca="1">IF(ISNUMBER(_xll.VoseSimPercentile(TotalChange,$B72)),_xll.VoseSimPercentile(TotalChange,$B72),NA())</f>
        <v>2.9445031612434076</v>
      </c>
    </row>
    <row r="73" spans="2:4" hidden="1" outlineLevel="1" x14ac:dyDescent="0.45">
      <c r="B73" s="56">
        <v>0.33</v>
      </c>
      <c r="C73" s="56">
        <f t="shared" si="0"/>
        <v>0.66999999999999993</v>
      </c>
      <c r="D73" s="57" cm="1">
        <f t="array" aca="1" ref="D73" ca="1">IF(ISNUMBER(_xll.VoseSimPercentile(TotalChange,$B73)),_xll.VoseSimPercentile(TotalChange,$B73),NA())</f>
        <v>2.9868015407056241</v>
      </c>
    </row>
    <row r="74" spans="2:4" hidden="1" outlineLevel="1" x14ac:dyDescent="0.45">
      <c r="B74" s="56">
        <v>0.35</v>
      </c>
      <c r="C74" s="56">
        <f t="shared" si="0"/>
        <v>0.65</v>
      </c>
      <c r="D74" s="57" cm="1">
        <f t="array" aca="1" ref="D74" ca="1">IF(ISNUMBER(_xll.VoseSimPercentile(TotalChange,$B74)),_xll.VoseSimPercentile(TotalChange,$B74),NA())</f>
        <v>3.029973471377791</v>
      </c>
    </row>
    <row r="75" spans="2:4" hidden="1" outlineLevel="1" x14ac:dyDescent="0.45">
      <c r="B75" s="56">
        <v>0.37</v>
      </c>
      <c r="C75" s="56">
        <f t="shared" si="0"/>
        <v>0.63</v>
      </c>
      <c r="D75" s="57" cm="1">
        <f t="array" aca="1" ref="D75" ca="1">IF(ISNUMBER(_xll.VoseSimPercentile(TotalChange,$B75)),_xll.VoseSimPercentile(TotalChange,$B75),NA())</f>
        <v>3.0711676419485516</v>
      </c>
    </row>
    <row r="76" spans="2:4" hidden="1" outlineLevel="1" x14ac:dyDescent="0.45">
      <c r="B76" s="56">
        <v>0.39</v>
      </c>
      <c r="C76" s="56">
        <f t="shared" si="0"/>
        <v>0.61</v>
      </c>
      <c r="D76" s="57" cm="1">
        <f t="array" aca="1" ref="D76" ca="1">IF(ISNUMBER(_xll.VoseSimPercentile(TotalChange,$B76)),_xll.VoseSimPercentile(TotalChange,$B76),NA())</f>
        <v>3.1178375209277722</v>
      </c>
    </row>
    <row r="77" spans="2:4" hidden="1" outlineLevel="1" x14ac:dyDescent="0.45">
      <c r="B77" s="56">
        <v>0.41</v>
      </c>
      <c r="C77" s="56">
        <f t="shared" si="0"/>
        <v>0.59000000000000008</v>
      </c>
      <c r="D77" s="57" cm="1">
        <f t="array" aca="1" ref="D77" ca="1">IF(ISNUMBER(_xll.VoseSimPercentile(TotalChange,$B77)),_xll.VoseSimPercentile(TotalChange,$B77),NA())</f>
        <v>3.1644589672314796</v>
      </c>
    </row>
    <row r="78" spans="2:4" hidden="1" outlineLevel="1" x14ac:dyDescent="0.45">
      <c r="B78" s="56">
        <v>0.43</v>
      </c>
      <c r="C78" s="56">
        <f t="shared" si="0"/>
        <v>0.57000000000000006</v>
      </c>
      <c r="D78" s="57" cm="1">
        <f t="array" aca="1" ref="D78" ca="1">IF(ISNUMBER(_xll.VoseSimPercentile(TotalChange,$B78)),_xll.VoseSimPercentile(TotalChange,$B78),NA())</f>
        <v>3.2075472884251206</v>
      </c>
    </row>
    <row r="79" spans="2:4" hidden="1" outlineLevel="1" x14ac:dyDescent="0.45">
      <c r="B79" s="56">
        <v>0.45</v>
      </c>
      <c r="C79" s="56">
        <f t="shared" si="0"/>
        <v>0.55000000000000004</v>
      </c>
      <c r="D79" s="57" cm="1">
        <f t="array" aca="1" ref="D79" ca="1">IF(ISNUMBER(_xll.VoseSimPercentile(TotalChange,$B79)),_xll.VoseSimPercentile(TotalChange,$B79),NA())</f>
        <v>3.2532398954503732</v>
      </c>
    </row>
    <row r="80" spans="2:4" hidden="1" outlineLevel="1" x14ac:dyDescent="0.45">
      <c r="B80" s="56">
        <v>0.47</v>
      </c>
      <c r="C80" s="56">
        <f t="shared" si="0"/>
        <v>0.53</v>
      </c>
      <c r="D80" s="57" cm="1">
        <f t="array" aca="1" ref="D80" ca="1">IF(ISNUMBER(_xll.VoseSimPercentile(TotalChange,$B80)),_xll.VoseSimPercentile(TotalChange,$B80),NA())</f>
        <v>3.296522964918231</v>
      </c>
    </row>
    <row r="81" spans="2:4" hidden="1" outlineLevel="1" x14ac:dyDescent="0.45">
      <c r="B81" s="56">
        <v>0.49</v>
      </c>
      <c r="C81" s="56">
        <f t="shared" si="0"/>
        <v>0.51</v>
      </c>
      <c r="D81" s="57" cm="1">
        <f t="array" aca="1" ref="D81" ca="1">IF(ISNUMBER(_xll.VoseSimPercentile(TotalChange,$B81)),_xll.VoseSimPercentile(TotalChange,$B81),NA())</f>
        <v>3.3346779242379276</v>
      </c>
    </row>
    <row r="82" spans="2:4" hidden="1" outlineLevel="1" x14ac:dyDescent="0.45">
      <c r="B82" s="56">
        <v>0.51</v>
      </c>
      <c r="C82" s="56">
        <f t="shared" si="0"/>
        <v>0.49</v>
      </c>
      <c r="D82" s="57" cm="1">
        <f t="array" aca="1" ref="D82" ca="1">IF(ISNUMBER(_xll.VoseSimPercentile(TotalChange,$B82)),_xll.VoseSimPercentile(TotalChange,$B82),NA())</f>
        <v>3.3785149828389329</v>
      </c>
    </row>
    <row r="83" spans="2:4" hidden="1" outlineLevel="1" x14ac:dyDescent="0.45">
      <c r="B83" s="56">
        <v>0.53</v>
      </c>
      <c r="C83" s="56">
        <f t="shared" si="0"/>
        <v>0.47</v>
      </c>
      <c r="D83" s="57" cm="1">
        <f t="array" aca="1" ref="D83" ca="1">IF(ISNUMBER(_xll.VoseSimPercentile(TotalChange,$B83)),_xll.VoseSimPercentile(TotalChange,$B83),NA())</f>
        <v>3.4305896840266197</v>
      </c>
    </row>
    <row r="84" spans="2:4" hidden="1" outlineLevel="1" x14ac:dyDescent="0.45">
      <c r="B84" s="56">
        <v>0.55000000000000004</v>
      </c>
      <c r="C84" s="56">
        <f t="shared" si="0"/>
        <v>0.44999999999999996</v>
      </c>
      <c r="D84" s="57" cm="1">
        <f t="array" aca="1" ref="D84" ca="1">IF(ISNUMBER(_xll.VoseSimPercentile(TotalChange,$B84)),_xll.VoseSimPercentile(TotalChange,$B84),NA())</f>
        <v>3.4742477756294265</v>
      </c>
    </row>
    <row r="85" spans="2:4" hidden="1" outlineLevel="1" x14ac:dyDescent="0.45">
      <c r="B85" s="56">
        <v>0.56999999999999995</v>
      </c>
      <c r="C85" s="56">
        <f t="shared" si="0"/>
        <v>0.43000000000000005</v>
      </c>
      <c r="D85" s="57" cm="1">
        <f t="array" aca="1" ref="D85" ca="1">IF(ISNUMBER(_xll.VoseSimPercentile(TotalChange,$B85)),_xll.VoseSimPercentile(TotalChange,$B85),NA())</f>
        <v>3.5265691295149981</v>
      </c>
    </row>
    <row r="86" spans="2:4" hidden="1" outlineLevel="1" x14ac:dyDescent="0.45">
      <c r="B86" s="56">
        <v>0.59</v>
      </c>
      <c r="C86" s="56">
        <f t="shared" si="0"/>
        <v>0.41000000000000003</v>
      </c>
      <c r="D86" s="57" cm="1">
        <f t="array" aca="1" ref="D86" ca="1">IF(ISNUMBER(_xll.VoseSimPercentile(TotalChange,$B86)),_xll.VoseSimPercentile(TotalChange,$B86),NA())</f>
        <v>3.5797335042692962</v>
      </c>
    </row>
    <row r="87" spans="2:4" hidden="1" outlineLevel="1" x14ac:dyDescent="0.45">
      <c r="B87" s="56">
        <v>0.61</v>
      </c>
      <c r="C87" s="56">
        <f t="shared" si="0"/>
        <v>0.39</v>
      </c>
      <c r="D87" s="57" cm="1">
        <f t="array" aca="1" ref="D87" ca="1">IF(ISNUMBER(_xll.VoseSimPercentile(TotalChange,$B87)),_xll.VoseSimPercentile(TotalChange,$B87),NA())</f>
        <v>3.6225450094018354</v>
      </c>
    </row>
    <row r="88" spans="2:4" hidden="1" outlineLevel="1" x14ac:dyDescent="0.45">
      <c r="B88" s="56">
        <v>0.63</v>
      </c>
      <c r="C88" s="56">
        <f t="shared" si="0"/>
        <v>0.37</v>
      </c>
      <c r="D88" s="57" cm="1">
        <f t="array" aca="1" ref="D88" ca="1">IF(ISNUMBER(_xll.VoseSimPercentile(TotalChange,$B88)),_xll.VoseSimPercentile(TotalChange,$B88),NA())</f>
        <v>3.6725803916164979</v>
      </c>
    </row>
    <row r="89" spans="2:4" hidden="1" outlineLevel="1" x14ac:dyDescent="0.45">
      <c r="B89" s="56">
        <v>0.65</v>
      </c>
      <c r="C89" s="56">
        <f t="shared" ref="C89:C120" si="1">1-B89</f>
        <v>0.35</v>
      </c>
      <c r="D89" s="57" cm="1">
        <f t="array" aca="1" ref="D89" ca="1">IF(ISNUMBER(_xll.VoseSimPercentile(TotalChange,$B89)),_xll.VoseSimPercentile(TotalChange,$B89),NA())</f>
        <v>3.7276335954397579</v>
      </c>
    </row>
    <row r="90" spans="2:4" hidden="1" outlineLevel="1" x14ac:dyDescent="0.45">
      <c r="B90" s="56">
        <v>0.67</v>
      </c>
      <c r="C90" s="56">
        <f t="shared" si="1"/>
        <v>0.32999999999999996</v>
      </c>
      <c r="D90" s="57" cm="1">
        <f t="array" aca="1" ref="D90" ca="1">IF(ISNUMBER(_xll.VoseSimPercentile(TotalChange,$B90)),_xll.VoseSimPercentile(TotalChange,$B90),NA())</f>
        <v>3.7839384661818833</v>
      </c>
    </row>
    <row r="91" spans="2:4" hidden="1" outlineLevel="1" x14ac:dyDescent="0.45">
      <c r="B91" s="56">
        <v>0.69</v>
      </c>
      <c r="C91" s="56">
        <f t="shared" si="1"/>
        <v>0.31000000000000005</v>
      </c>
      <c r="D91" s="57" cm="1">
        <f t="array" aca="1" ref="D91" ca="1">IF(ISNUMBER(_xll.VoseSimPercentile(TotalChange,$B91)),_xll.VoseSimPercentile(TotalChange,$B91),NA())</f>
        <v>3.8411724974471415</v>
      </c>
    </row>
    <row r="92" spans="2:4" hidden="1" outlineLevel="1" x14ac:dyDescent="0.45">
      <c r="B92" s="56">
        <v>0.71</v>
      </c>
      <c r="C92" s="56">
        <f t="shared" si="1"/>
        <v>0.29000000000000004</v>
      </c>
      <c r="D92" s="57" cm="1">
        <f t="array" aca="1" ref="D92" ca="1">IF(ISNUMBER(_xll.VoseSimPercentile(TotalChange,$B92)),_xll.VoseSimPercentile(TotalChange,$B92),NA())</f>
        <v>3.8921603116222871</v>
      </c>
    </row>
    <row r="93" spans="2:4" hidden="1" outlineLevel="1" x14ac:dyDescent="0.45">
      <c r="B93" s="56">
        <v>0.73</v>
      </c>
      <c r="C93" s="56">
        <f t="shared" si="1"/>
        <v>0.27</v>
      </c>
      <c r="D93" s="57" cm="1">
        <f t="array" aca="1" ref="D93" ca="1">IF(ISNUMBER(_xll.VoseSimPercentile(TotalChange,$B93)),_xll.VoseSimPercentile(TotalChange,$B93),NA())</f>
        <v>3.9501282374884701</v>
      </c>
    </row>
    <row r="94" spans="2:4" hidden="1" outlineLevel="1" x14ac:dyDescent="0.45">
      <c r="B94" s="56">
        <v>0.75</v>
      </c>
      <c r="C94" s="56">
        <f t="shared" si="1"/>
        <v>0.25</v>
      </c>
      <c r="D94" s="57" cm="1">
        <f t="array" aca="1" ref="D94" ca="1">IF(ISNUMBER(_xll.VoseSimPercentile(TotalChange,$B94)),_xll.VoseSimPercentile(TotalChange,$B94),NA())</f>
        <v>4.0134420279651923</v>
      </c>
    </row>
    <row r="95" spans="2:4" hidden="1" outlineLevel="1" x14ac:dyDescent="0.45">
      <c r="B95" s="56">
        <v>0.77</v>
      </c>
      <c r="C95" s="56">
        <f t="shared" si="1"/>
        <v>0.22999999999999998</v>
      </c>
      <c r="D95" s="57" cm="1">
        <f t="array" aca="1" ref="D95" ca="1">IF(ISNUMBER(_xll.VoseSimPercentile(TotalChange,$B95)),_xll.VoseSimPercentile(TotalChange,$B95),NA())</f>
        <v>4.0781868977982763</v>
      </c>
    </row>
    <row r="96" spans="2:4" hidden="1" outlineLevel="1" x14ac:dyDescent="0.45">
      <c r="B96" s="56">
        <v>0.79</v>
      </c>
      <c r="C96" s="56">
        <f t="shared" si="1"/>
        <v>0.20999999999999996</v>
      </c>
      <c r="D96" s="57" cm="1">
        <f t="array" aca="1" ref="D96" ca="1">IF(ISNUMBER(_xll.VoseSimPercentile(TotalChange,$B96)),_xll.VoseSimPercentile(TotalChange,$B96),NA())</f>
        <v>4.1428362164495036</v>
      </c>
    </row>
    <row r="97" spans="2:7" hidden="1" outlineLevel="1" x14ac:dyDescent="0.45">
      <c r="B97" s="56">
        <v>0.81</v>
      </c>
      <c r="C97" s="56">
        <f t="shared" si="1"/>
        <v>0.18999999999999995</v>
      </c>
      <c r="D97" s="57" cm="1">
        <f t="array" aca="1" ref="D97" ca="1">IF(ISNUMBER(_xll.VoseSimPercentile(TotalChange,$B97)),_xll.VoseSimPercentile(TotalChange,$B97),NA())</f>
        <v>4.213291827239865</v>
      </c>
    </row>
    <row r="98" spans="2:7" hidden="1" outlineLevel="1" x14ac:dyDescent="0.45">
      <c r="B98" s="56">
        <v>0.83</v>
      </c>
      <c r="C98" s="56">
        <f t="shared" si="1"/>
        <v>0.17000000000000004</v>
      </c>
      <c r="D98" s="57" cm="1">
        <f t="array" aca="1" ref="D98" ca="1">IF(ISNUMBER(_xll.VoseSimPercentile(TotalChange,$B98)),_xll.VoseSimPercentile(TotalChange,$B98),NA())</f>
        <v>4.3035852891501349</v>
      </c>
    </row>
    <row r="99" spans="2:7" hidden="1" outlineLevel="1" x14ac:dyDescent="0.45">
      <c r="B99" s="56">
        <v>0.85</v>
      </c>
      <c r="C99" s="56">
        <f t="shared" si="1"/>
        <v>0.15000000000000002</v>
      </c>
      <c r="D99" s="57" cm="1">
        <f t="array" aca="1" ref="D99" ca="1">IF(ISNUMBER(_xll.VoseSimPercentile(TotalChange,$B99)),_xll.VoseSimPercentile(TotalChange,$B99),NA())</f>
        <v>4.4064012841695979</v>
      </c>
    </row>
    <row r="100" spans="2:7" hidden="1" outlineLevel="1" x14ac:dyDescent="0.45">
      <c r="B100" s="56">
        <v>0.87</v>
      </c>
      <c r="C100" s="56">
        <f t="shared" si="1"/>
        <v>0.13</v>
      </c>
      <c r="D100" s="57" cm="1">
        <f t="array" aca="1" ref="D100" ca="1">IF(ISNUMBER(_xll.VoseSimPercentile(TotalChange,$B100)),_xll.VoseSimPercentile(TotalChange,$B100),NA())</f>
        <v>4.5193031351807686</v>
      </c>
    </row>
    <row r="101" spans="2:7" hidden="1" outlineLevel="1" x14ac:dyDescent="0.45">
      <c r="B101" s="56">
        <v>0.89</v>
      </c>
      <c r="C101" s="56">
        <f t="shared" si="1"/>
        <v>0.10999999999999999</v>
      </c>
      <c r="D101" s="57" cm="1">
        <f t="array" aca="1" ref="D101" ca="1">IF(ISNUMBER(_xll.VoseSimPercentile(TotalChange,$B101)),_xll.VoseSimPercentile(TotalChange,$B101),NA())</f>
        <v>4.6390705526698541</v>
      </c>
    </row>
    <row r="102" spans="2:7" hidden="1" outlineLevel="1" x14ac:dyDescent="0.45">
      <c r="B102" s="56">
        <v>0.91</v>
      </c>
      <c r="C102" s="56">
        <f t="shared" si="1"/>
        <v>8.9999999999999969E-2</v>
      </c>
      <c r="D102" s="57" cm="1">
        <f t="array" aca="1" ref="D102" ca="1">IF(ISNUMBER(_xll.VoseSimPercentile(TotalChange,$B102)),_xll.VoseSimPercentile(TotalChange,$B102),NA())</f>
        <v>4.7863135124815965</v>
      </c>
    </row>
    <row r="103" spans="2:7" hidden="1" outlineLevel="1" x14ac:dyDescent="0.45">
      <c r="B103" s="56">
        <v>0.93</v>
      </c>
      <c r="C103" s="56">
        <f t="shared" si="1"/>
        <v>6.9999999999999951E-2</v>
      </c>
      <c r="D103" s="57" cm="1">
        <f t="array" aca="1" ref="D103" ca="1">IF(ISNUMBER(_xll.VoseSimPercentile(TotalChange,$B103)),_xll.VoseSimPercentile(TotalChange,$B103),NA())</f>
        <v>4.953399320036814</v>
      </c>
    </row>
    <row r="104" spans="2:7" hidden="1" outlineLevel="1" x14ac:dyDescent="0.45">
      <c r="B104" s="56">
        <v>0.95</v>
      </c>
      <c r="C104" s="56">
        <f t="shared" si="1"/>
        <v>5.0000000000000044E-2</v>
      </c>
      <c r="D104" s="57" cm="1">
        <f t="array" aca="1" ref="D104" ca="1">IF(ISNUMBER(_xll.VoseSimPercentile(TotalChange,$B104)),_xll.VoseSimPercentile(TotalChange,$B104),NA())</f>
        <v>5.1470312310544966</v>
      </c>
    </row>
    <row r="105" spans="2:7" hidden="1" outlineLevel="1" x14ac:dyDescent="0.45">
      <c r="B105" s="56">
        <v>0.97</v>
      </c>
      <c r="C105" s="56">
        <f t="shared" si="1"/>
        <v>3.0000000000000027E-2</v>
      </c>
      <c r="D105" s="57" cm="1">
        <f t="array" aca="1" ref="D105" ca="1">IF(ISNUMBER(_xll.VoseSimPercentile(TotalChange,$B105)),_xll.VoseSimPercentile(TotalChange,$B105),NA())</f>
        <v>5.4837871058195704</v>
      </c>
    </row>
    <row r="106" spans="2:7" hidden="1" outlineLevel="1" x14ac:dyDescent="0.45">
      <c r="B106" s="56">
        <v>0.99</v>
      </c>
      <c r="C106" s="56">
        <f t="shared" si="1"/>
        <v>1.0000000000000009E-2</v>
      </c>
      <c r="D106" s="57" cm="1">
        <f t="array" aca="1" ref="D106" ca="1">IF(ISNUMBER(_xll.VoseSimPercentile(TotalChange,$B106)),_xll.VoseSimPercentile(TotalChange,$B106),NA())</f>
        <v>6.2363278176895802</v>
      </c>
    </row>
    <row r="107" spans="2:7" hidden="1" outlineLevel="1" x14ac:dyDescent="0.45"/>
    <row r="108" spans="2:7" hidden="1" outlineLevel="1" x14ac:dyDescent="0.45">
      <c r="B108" s="58" t="s">
        <v>220</v>
      </c>
      <c r="D108" s="59" cm="1">
        <f t="array" aca="1" ref="D108" ca="1">_xll.VoseSimMean(TotalChange)</f>
        <v>3.4640016417735948</v>
      </c>
    </row>
    <row r="109" spans="2:7" ht="18" hidden="1" customHeight="1" outlineLevel="1" x14ac:dyDescent="0.45">
      <c r="B109" s="23" t="s">
        <v>221</v>
      </c>
      <c r="C109" s="5"/>
      <c r="D109" s="5"/>
      <c r="E109" s="5"/>
      <c r="F109" s="24" t="s">
        <v>222</v>
      </c>
      <c r="G109" s="24" t="s">
        <v>223</v>
      </c>
    </row>
    <row r="110" spans="2:7" hidden="1" outlineLevel="1" x14ac:dyDescent="0.45">
      <c r="B110" s="60" t="str">
        <f ca="1">B36</f>
        <v>Client-instructed changes: cost</v>
      </c>
      <c r="F110" s="61">
        <f ca="1">IFERROR(D36-$D$108,NA())</f>
        <v>1.5508946130071743</v>
      </c>
      <c r="G110" s="61">
        <f ca="1">IFERROR(C36-$D$108,NA())</f>
        <v>-1.0704231368375505</v>
      </c>
    </row>
    <row r="111" spans="2:7" hidden="1" outlineLevel="1" x14ac:dyDescent="0.45">
      <c r="B111" s="60" t="str">
        <f ca="1">B37</f>
        <v>Design errors and omissions: cost</v>
      </c>
      <c r="F111" s="61">
        <f ca="1">IFERROR(D37-$D$108,NA())</f>
        <v>1.1165875127558431</v>
      </c>
      <c r="G111" s="61">
        <f ca="1">IFERROR(C37-$D$108,NA())</f>
        <v>-0.709447325576118</v>
      </c>
    </row>
    <row r="112" spans="2:7" hidden="1" outlineLevel="1" x14ac:dyDescent="0.45">
      <c r="B112" s="60" t="str">
        <f ca="1">B38</f>
        <v>Client change rate</v>
      </c>
      <c r="F112" s="61">
        <f ca="1">IFERROR(D38-$D$108,NA())</f>
        <v>0.97099781439640065</v>
      </c>
      <c r="G112" s="61">
        <f ca="1">IFERROR(C38-$D$108,NA())</f>
        <v>-0.78753092429489024</v>
      </c>
    </row>
    <row r="113" spans="2:7" hidden="1" outlineLevel="1" x14ac:dyDescent="0.45">
      <c r="B113" s="60" t="str">
        <f ca="1">B39</f>
        <v>Rework of defects: cost</v>
      </c>
      <c r="F113" s="61">
        <f ca="1">IFERROR(D39-$D$108,NA())</f>
        <v>0.31414644162275485</v>
      </c>
      <c r="G113" s="61">
        <f ca="1">IFERROR(C39-$D$108,NA())</f>
        <v>-0.28878749061044262</v>
      </c>
    </row>
  </sheetData>
  <mergeCells count="4">
    <mergeCell ref="B49:G49"/>
    <mergeCell ref="B48:G48"/>
    <mergeCell ref="B51:G51"/>
    <mergeCell ref="B50:G50"/>
  </mergeCells>
  <conditionalFormatting sqref="B7">
    <cfRule type="expression" dxfId="3" priority="2">
      <formula>LEFT($B$7,1)="✗"</formula>
    </cfRule>
  </conditionalFormatting>
  <conditionalFormatting sqref="B6:G6">
    <cfRule type="expression" dxfId="2" priority="1">
      <formula>LEFT($B$6,1)&lt;&gt;"✔"</formula>
    </cfRule>
  </conditionalFormatting>
  <conditionalFormatting sqref="D57:D106">
    <cfRule type="expression" dxfId="1" priority="3">
      <formula>ISNA(D57)</formula>
    </cfRule>
  </conditionalFormatting>
  <conditionalFormatting sqref="F110:G113">
    <cfRule type="expression" dxfId="0" priority="4">
      <formula>ISNA(F110)</formula>
    </cfRule>
  </conditionalFormatting>
  <hyperlinks>
    <hyperlink ref="B4" location="'Changes'!A1" display="◂  Changes" xr:uid="{00000000-0004-0000-03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rowBreaks count="1" manualBreakCount="1">
    <brk id="32"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8C0AE-B8F6-457F-9D8E-D862984A194E}">
  <dimension ref="A1:B1"/>
  <sheetViews>
    <sheetView workbookViewId="0"/>
  </sheetViews>
  <sheetFormatPr defaultRowHeight="14.25" x14ac:dyDescent="0.45"/>
  <sheetData>
    <row r="1" spans="1:2" x14ac:dyDescent="0.45">
      <c r="A1" s="66" t="s">
        <v>224</v>
      </c>
      <c r="B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E50B5-8E85-4888-AE12-FD715F477AB1}">
  <dimension ref="A1"/>
  <sheetViews>
    <sheetView workbookViewId="0"/>
  </sheetViews>
  <sheetFormatPr defaultRowHeight="14.25" x14ac:dyDescent="0.4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A52F8-64A4-4C5D-B836-ABF9FBA068D7}">
  <dimension ref="B3:B62"/>
  <sheetViews>
    <sheetView workbookViewId="0"/>
  </sheetViews>
  <sheetFormatPr defaultRowHeight="14.25" x14ac:dyDescent="0.45"/>
  <sheetData>
    <row r="3" spans="2:2" x14ac:dyDescent="0.45">
      <c r="B3">
        <v>39</v>
      </c>
    </row>
    <row r="4" spans="2:2" x14ac:dyDescent="0.45">
      <c r="B4">
        <v>273</v>
      </c>
    </row>
    <row r="5" spans="2:2" x14ac:dyDescent="0.45">
      <c r="B5">
        <v>555</v>
      </c>
    </row>
    <row r="6" spans="2:2" x14ac:dyDescent="0.45">
      <c r="B6">
        <v>571</v>
      </c>
    </row>
    <row r="7" spans="2:2" x14ac:dyDescent="0.45">
      <c r="B7">
        <v>354</v>
      </c>
    </row>
    <row r="8" spans="2:2" x14ac:dyDescent="0.45">
      <c r="B8">
        <v>145</v>
      </c>
    </row>
    <row r="9" spans="2:2" x14ac:dyDescent="0.45">
      <c r="B9">
        <v>51</v>
      </c>
    </row>
    <row r="10" spans="2:2" x14ac:dyDescent="0.45">
      <c r="B10">
        <v>8</v>
      </c>
    </row>
    <row r="11" spans="2:2" x14ac:dyDescent="0.45">
      <c r="B11">
        <v>2</v>
      </c>
    </row>
    <row r="12" spans="2:2" x14ac:dyDescent="0.45">
      <c r="B12">
        <v>2</v>
      </c>
    </row>
    <row r="13" spans="2:2" x14ac:dyDescent="0.45">
      <c r="B13">
        <v>401</v>
      </c>
    </row>
    <row r="14" spans="2:2" x14ac:dyDescent="0.45">
      <c r="B14">
        <v>882</v>
      </c>
    </row>
    <row r="15" spans="2:2" x14ac:dyDescent="0.45">
      <c r="B15">
        <v>522</v>
      </c>
    </row>
    <row r="16" spans="2:2" x14ac:dyDescent="0.45">
      <c r="B16">
        <v>147</v>
      </c>
    </row>
    <row r="17" spans="2:2" x14ac:dyDescent="0.45">
      <c r="B17">
        <v>36</v>
      </c>
    </row>
    <row r="18" spans="2:2" x14ac:dyDescent="0.45">
      <c r="B18">
        <v>7</v>
      </c>
    </row>
    <row r="19" spans="2:2" x14ac:dyDescent="0.45">
      <c r="B19">
        <v>4</v>
      </c>
    </row>
    <row r="20" spans="2:2" x14ac:dyDescent="0.45">
      <c r="B20">
        <v>0</v>
      </c>
    </row>
    <row r="21" spans="2:2" x14ac:dyDescent="0.45">
      <c r="B21">
        <v>0</v>
      </c>
    </row>
    <row r="22" spans="2:2" x14ac:dyDescent="0.45">
      <c r="B22">
        <v>1</v>
      </c>
    </row>
    <row r="23" spans="2:2" x14ac:dyDescent="0.45">
      <c r="B23">
        <v>374</v>
      </c>
    </row>
    <row r="24" spans="2:2" x14ac:dyDescent="0.45">
      <c r="B24">
        <v>824</v>
      </c>
    </row>
    <row r="25" spans="2:2" x14ac:dyDescent="0.45">
      <c r="B25">
        <v>512</v>
      </c>
    </row>
    <row r="26" spans="2:2" x14ac:dyDescent="0.45">
      <c r="B26">
        <v>202</v>
      </c>
    </row>
    <row r="27" spans="2:2" x14ac:dyDescent="0.45">
      <c r="B27">
        <v>59</v>
      </c>
    </row>
    <row r="28" spans="2:2" x14ac:dyDescent="0.45">
      <c r="B28">
        <v>13</v>
      </c>
    </row>
    <row r="29" spans="2:2" x14ac:dyDescent="0.45">
      <c r="B29">
        <v>6</v>
      </c>
    </row>
    <row r="30" spans="2:2" x14ac:dyDescent="0.45">
      <c r="B30">
        <v>8</v>
      </c>
    </row>
    <row r="31" spans="2:2" x14ac:dyDescent="0.45">
      <c r="B31">
        <v>1</v>
      </c>
    </row>
    <row r="32" spans="2:2" x14ac:dyDescent="0.45">
      <c r="B32">
        <v>1</v>
      </c>
    </row>
    <row r="33" spans="2:2" x14ac:dyDescent="0.45">
      <c r="B33">
        <v>34</v>
      </c>
    </row>
    <row r="34" spans="2:2" x14ac:dyDescent="0.45">
      <c r="B34">
        <v>244</v>
      </c>
    </row>
    <row r="35" spans="2:2" x14ac:dyDescent="0.45">
      <c r="B35">
        <v>514</v>
      </c>
    </row>
    <row r="36" spans="2:2" x14ac:dyDescent="0.45">
      <c r="B36">
        <v>559</v>
      </c>
    </row>
    <row r="37" spans="2:2" x14ac:dyDescent="0.45">
      <c r="B37">
        <v>359</v>
      </c>
    </row>
    <row r="38" spans="2:2" x14ac:dyDescent="0.45">
      <c r="B38">
        <v>183</v>
      </c>
    </row>
    <row r="39" spans="2:2" x14ac:dyDescent="0.45">
      <c r="B39">
        <v>65</v>
      </c>
    </row>
    <row r="40" spans="2:2" x14ac:dyDescent="0.45">
      <c r="B40">
        <v>23</v>
      </c>
    </row>
    <row r="41" spans="2:2" x14ac:dyDescent="0.45">
      <c r="B41">
        <v>14</v>
      </c>
    </row>
    <row r="42" spans="2:2" x14ac:dyDescent="0.45">
      <c r="B42">
        <v>5</v>
      </c>
    </row>
    <row r="43" spans="2:2" x14ac:dyDescent="0.45">
      <c r="B43">
        <v>108</v>
      </c>
    </row>
    <row r="44" spans="2:2" x14ac:dyDescent="0.45">
      <c r="B44">
        <v>594</v>
      </c>
    </row>
    <row r="45" spans="2:2" x14ac:dyDescent="0.45">
      <c r="B45">
        <v>753</v>
      </c>
    </row>
    <row r="46" spans="2:2" x14ac:dyDescent="0.45">
      <c r="B46">
        <v>379</v>
      </c>
    </row>
    <row r="47" spans="2:2" x14ac:dyDescent="0.45">
      <c r="B47">
        <v>129</v>
      </c>
    </row>
    <row r="48" spans="2:2" x14ac:dyDescent="0.45">
      <c r="B48">
        <v>22</v>
      </c>
    </row>
    <row r="49" spans="2:2" x14ac:dyDescent="0.45">
      <c r="B49">
        <v>10</v>
      </c>
    </row>
    <row r="50" spans="2:2" x14ac:dyDescent="0.45">
      <c r="B50">
        <v>3</v>
      </c>
    </row>
    <row r="51" spans="2:2" x14ac:dyDescent="0.45">
      <c r="B51">
        <v>1</v>
      </c>
    </row>
    <row r="52" spans="2:2" x14ac:dyDescent="0.45">
      <c r="B52">
        <v>1</v>
      </c>
    </row>
    <row r="53" spans="2:2" x14ac:dyDescent="0.45">
      <c r="B53">
        <v>665</v>
      </c>
    </row>
    <row r="54" spans="2:2" x14ac:dyDescent="0.45">
      <c r="B54">
        <v>0</v>
      </c>
    </row>
    <row r="55" spans="2:2" x14ac:dyDescent="0.45">
      <c r="B55">
        <v>0</v>
      </c>
    </row>
    <row r="56" spans="2:2" x14ac:dyDescent="0.45">
      <c r="B56">
        <v>0</v>
      </c>
    </row>
    <row r="57" spans="2:2" x14ac:dyDescent="0.45">
      <c r="B57">
        <v>0</v>
      </c>
    </row>
    <row r="58" spans="2:2" x14ac:dyDescent="0.45">
      <c r="B58">
        <v>0</v>
      </c>
    </row>
    <row r="59" spans="2:2" x14ac:dyDescent="0.45">
      <c r="B59">
        <v>0</v>
      </c>
    </row>
    <row r="60" spans="2:2" x14ac:dyDescent="0.45">
      <c r="B60">
        <v>0</v>
      </c>
    </row>
    <row r="61" spans="2:2" x14ac:dyDescent="0.45">
      <c r="B61">
        <v>0</v>
      </c>
    </row>
    <row r="62" spans="2:2" x14ac:dyDescent="0.45">
      <c r="B62">
        <v>1335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716">PABGAEkATABUAEUAUgBTAD4ADQAKADwALwBDAE4AVAA6ADAADQAKAEYASQBMAFQARQBSAFMAPgANAAoAPABQAEEARwBFAFMAPgANAAoAQwBOAFQAOgAx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PAAvAFAAQQBHAEUAUwA+AA0ACgA=</mr:Charts>
</mr:ModelRisk>
</file>

<file path=customXml/itemProps1.xml><?xml version="1.0" encoding="utf-8"?>
<ds:datastoreItem xmlns:ds="http://schemas.openxmlformats.org/officeDocument/2006/customXml" ds:itemID="{CFBAEC2D-57A1-4CBF-B7DE-40F3525B6AFC}">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30</vt:i4>
      </vt:variant>
    </vt:vector>
  </HeadingPairs>
  <TitlesOfParts>
    <vt:vector size="37" baseType="lpstr">
      <vt:lpstr>About</vt:lpstr>
      <vt:lpstr>Inputs</vt:lpstr>
      <vt:lpstr>Changes</vt:lpstr>
      <vt:lpstr>Results</vt:lpstr>
      <vt:lpstr>ModelRiskDSN</vt:lpstr>
      <vt:lpstr>ModelRiskSYS1</vt:lpstr>
      <vt:lpstr>ModelRiskCharts</vt:lpstr>
      <vt:lpstr>Allowance</vt:lpstr>
      <vt:lpstr>AllowancePct</vt:lpstr>
      <vt:lpstr>Checks</vt:lpstr>
      <vt:lpstr>Client_Cost</vt:lpstr>
      <vt:lpstr>Client_Mean</vt:lpstr>
      <vt:lpstr>Client_N</vt:lpstr>
      <vt:lpstr>Client_Rate</vt:lpstr>
      <vt:lpstr>Client_RateCV</vt:lpstr>
      <vt:lpstr>Client_RateDrawn</vt:lpstr>
      <vt:lpstr>Client_Scale</vt:lpstr>
      <vt:lpstr>Client_SD</vt:lpstr>
      <vt:lpstr>Client_Shape</vt:lpstr>
      <vt:lpstr>ContractSum</vt:lpstr>
      <vt:lpstr>Design_Cost</vt:lpstr>
      <vt:lpstr>Design_Mean</vt:lpstr>
      <vt:lpstr>Design_N</vt:lpstr>
      <vt:lpstr>Design_Rate</vt:lpstr>
      <vt:lpstr>Design_SD</vt:lpstr>
      <vt:lpstr>Exceeds</vt:lpstr>
      <vt:lpstr>Expected</vt:lpstr>
      <vt:lpstr>Months</vt:lpstr>
      <vt:lpstr>Results!Print_Area</vt:lpstr>
      <vt:lpstr>Inputs!Print_Titles</vt:lpstr>
      <vt:lpstr>Results!Print_Titles</vt:lpstr>
      <vt:lpstr>Rework_Cost</vt:lpstr>
      <vt:lpstr>Rework_Mean</vt:lpstr>
      <vt:lpstr>Rework_N</vt:lpstr>
      <vt:lpstr>Rework_Rate</vt:lpstr>
      <vt:lpstr>Rework_SD</vt:lpstr>
      <vt:lpstr>TotalChange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PC-06 Rework and Change Orders</dc:title>
  <dc:subject>ModelRisk industry example library — Projects and construction</dc:subject>
  <dc:creator>Vose Software</dc:creator>
  <cp:keywords>ModelRisk; Monte Carlo; Projects and construction</cp:keywords>
  <dc:description>Change orders, design errors and rework on a building contract as aggregate distributions, against a 5% change allowance.</dc:description>
  <cp:lastModifiedBy>Timour Koupeev</cp:lastModifiedBy>
  <cp:lastPrinted>2026-10-07T08:42:19Z</cp:lastPrinted>
  <dcterms:created xsi:type="dcterms:W3CDTF">2026-10-07T08:41:19Z</dcterms:created>
  <dcterms:modified xsi:type="dcterms:W3CDTF">2026-10-07T08:42:20Z</dcterms:modified>
</cp:coreProperties>
</file>