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rojects and construction\"/>
    </mc:Choice>
  </mc:AlternateContent>
  <xr:revisionPtr revIDLastSave="0" documentId="8_{FEE176B7-8F75-44A7-B9C8-996279A636AB}"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Network" sheetId="3" r:id="rId3"/>
    <sheet name="Results" sheetId="4" r:id="rId4"/>
    <sheet name="ModelRiskDSN" sheetId="5" state="hidden" r:id="rId5"/>
    <sheet name="ModelRiskSYS1" sheetId="6" state="hidden" r:id="rId6"/>
    <sheet name="ModelRiskCharts" sheetId="7" state="hidden" r:id="rId7"/>
  </sheets>
  <definedNames>
    <definedName name="Checks">Network!$E$97:$E$99</definedName>
    <definedName name="ContractWeeks">Inputs!$D$12</definedName>
    <definedName name="Crit_A">Network!$J$30</definedName>
    <definedName name="Crit_B">Network!$J$31</definedName>
    <definedName name="Crit_C">Network!$J$32</definedName>
    <definedName name="Crit_D">Network!$J$33</definedName>
    <definedName name="Crit_E">Network!$J$34</definedName>
    <definedName name="Crit_F">Network!$J$35</definedName>
    <definedName name="Crit_G">Network!$J$36</definedName>
    <definedName name="Crit_H">Network!$J$37</definedName>
    <definedName name="Crit_I">Network!$J$38</definedName>
    <definedName name="Crit_J">Network!$J$39</definedName>
    <definedName name="Crit_K">Network!$J$40</definedName>
    <definedName name="Crit_L">Network!$J$41</definedName>
    <definedName name="Crit_M">Network!$J$42</definedName>
    <definedName name="Crit_N">Network!$J$43</definedName>
    <definedName name="Crit_O">Network!$J$44</definedName>
    <definedName name="Det_Mean">Network!$E$93</definedName>
    <definedName name="Det_ML">Network!$E$92</definedName>
    <definedName name="DetCrit">Network!$I$70:$I$84</definedName>
    <definedName name="Dur_A">Network!$D$30</definedName>
    <definedName name="Dur_B">Network!$D$31</definedName>
    <definedName name="Dur_C">Network!$D$32</definedName>
    <definedName name="Dur_D">Network!$D$33</definedName>
    <definedName name="Dur_E">Network!$D$34</definedName>
    <definedName name="Dur_F">Network!$D$35</definedName>
    <definedName name="Dur_G">Network!$D$36</definedName>
    <definedName name="Dur_H">Network!$D$37</definedName>
    <definedName name="Dur_I">Network!$D$38</definedName>
    <definedName name="Dur_J">Network!$D$39</definedName>
    <definedName name="Dur_K">Network!$D$40</definedName>
    <definedName name="Dur_L">Network!$D$41</definedName>
    <definedName name="Dur_M">Network!$D$42</definedName>
    <definedName name="Dur_N">Network!$D$43</definedName>
    <definedName name="Dur_O">Network!$D$44</definedName>
    <definedName name="Finish">Network!$E$89</definedName>
    <definedName name="FinishDate">Network!$E$90</definedName>
    <definedName name="Flood">Inputs!$D$18</definedName>
    <definedName name="Flood_Hi">Inputs!$H$18</definedName>
    <definedName name="Flood_Lo">Inputs!$F$18</definedName>
    <definedName name="Flood_Mean">Inputs!$I$18</definedName>
    <definedName name="Flood_ML">Inputs!$G$18</definedName>
    <definedName name="InputMeans">Inputs!$I$18:$I$18</definedName>
    <definedName name="MeetsContract">Network!$E$91</definedName>
    <definedName name="_xlnm.Print_Area" localSheetId="3">Results!$A$1:$R$73</definedName>
    <definedName name="_xlnm.Print_Titles" localSheetId="1">Inputs!$1:$4</definedName>
    <definedName name="_xlnm.Print_Titles" localSheetId="3">Results!$1:$4</definedName>
    <definedName name="Prob_Flood">Inputs!$D$17</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Date">Inputs!$D$11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8" i="4" l="1"/>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D13" i="4"/>
  <c r="D12" i="4"/>
  <c r="E97" i="3"/>
  <c r="D84" i="3"/>
  <c r="C84" i="3"/>
  <c r="D83" i="3"/>
  <c r="C83" i="3"/>
  <c r="D82" i="3"/>
  <c r="C82" i="3"/>
  <c r="D81" i="3"/>
  <c r="C81" i="3"/>
  <c r="D80" i="3"/>
  <c r="C80" i="3"/>
  <c r="D79" i="3"/>
  <c r="C79" i="3"/>
  <c r="D78" i="3"/>
  <c r="C78" i="3"/>
  <c r="D77" i="3"/>
  <c r="C77" i="3"/>
  <c r="D76" i="3"/>
  <c r="C76" i="3"/>
  <c r="D75" i="3"/>
  <c r="C75" i="3"/>
  <c r="D74" i="3"/>
  <c r="C74" i="3"/>
  <c r="D73" i="3"/>
  <c r="C73" i="3"/>
  <c r="D72" i="3"/>
  <c r="C72" i="3"/>
  <c r="D71" i="3"/>
  <c r="C71" i="3"/>
  <c r="K70" i="3"/>
  <c r="E70" i="3"/>
  <c r="D70" i="3"/>
  <c r="C70" i="3"/>
  <c r="C44" i="3"/>
  <c r="C43" i="3"/>
  <c r="C42" i="3"/>
  <c r="C41" i="3"/>
  <c r="C40" i="3"/>
  <c r="C39" i="3"/>
  <c r="C38" i="3"/>
  <c r="C37" i="3"/>
  <c r="C36" i="3"/>
  <c r="C35" i="3"/>
  <c r="C34" i="3"/>
  <c r="C33" i="3"/>
  <c r="C32" i="3"/>
  <c r="C31" i="3"/>
  <c r="E30" i="3"/>
  <c r="C30" i="3"/>
  <c r="F70" i="3"/>
  <c r="E71" i="3" s="1"/>
  <c r="E76" i="3"/>
  <c r="F76" i="3"/>
  <c r="H10" i="3" a="1"/>
  <c r="H13" i="3" a="1"/>
  <c r="H11" i="3" a="1"/>
  <c r="H20" i="3" a="1"/>
  <c r="H23" i="3" a="1"/>
  <c r="H15" i="3" a="1"/>
  <c r="D44" i="3" a="1"/>
  <c r="D41" i="3" a="1"/>
  <c r="H22" i="3" a="1"/>
  <c r="D42" i="3" a="1"/>
  <c r="D40" i="3" a="1"/>
  <c r="D37" i="3" a="1"/>
  <c r="D36" i="3" a="1"/>
  <c r="D31" i="3" a="1"/>
  <c r="D30" i="3" a="1"/>
  <c r="D38" i="3" a="1"/>
  <c r="D34" i="3" a="1"/>
  <c r="H19" i="3" a="1"/>
  <c r="H17" i="3" a="1"/>
  <c r="H18" i="3" a="1"/>
  <c r="D33" i="3" a="1"/>
  <c r="H12" i="3" a="1"/>
  <c r="H24" i="3" a="1"/>
  <c r="D39" i="3" a="1"/>
  <c r="D32" i="3" a="1"/>
  <c r="H21" i="3" a="1"/>
  <c r="H16" i="3" a="1"/>
  <c r="H14" i="3" a="1"/>
  <c r="D43" i="3" a="1"/>
  <c r="D18" i="2" a="1"/>
  <c r="I18" i="2" a="1"/>
  <c r="F71" i="3" l="1"/>
  <c r="E83" i="3" s="1"/>
  <c r="F83" i="3" s="1"/>
  <c r="D43" i="3"/>
  <c r="H14" i="3"/>
  <c r="J74" i="3" s="1"/>
  <c r="H16" i="3"/>
  <c r="J76" i="3" s="1"/>
  <c r="H21" i="3"/>
  <c r="J81" i="3" s="1"/>
  <c r="D32" i="3"/>
  <c r="D39" i="3"/>
  <c r="H24" i="3"/>
  <c r="J84" i="3" s="1"/>
  <c r="H12" i="3"/>
  <c r="J72" i="3" s="1"/>
  <c r="D33" i="3"/>
  <c r="H18" i="3"/>
  <c r="J78" i="3" s="1"/>
  <c r="H17" i="3"/>
  <c r="J77" i="3" s="1"/>
  <c r="H19" i="3"/>
  <c r="J79" i="3" s="1"/>
  <c r="D34" i="3"/>
  <c r="D38" i="3"/>
  <c r="D30" i="3"/>
  <c r="F30" i="3" s="1"/>
  <c r="D31" i="3"/>
  <c r="D36" i="3"/>
  <c r="D37" i="3"/>
  <c r="D40" i="3"/>
  <c r="D42" i="3"/>
  <c r="H22" i="3"/>
  <c r="J82" i="3" s="1"/>
  <c r="D41" i="3"/>
  <c r="D44" i="3"/>
  <c r="H15" i="3"/>
  <c r="H23" i="3"/>
  <c r="J83" i="3" s="1"/>
  <c r="H20" i="3"/>
  <c r="J80" i="3" s="1"/>
  <c r="H11" i="3"/>
  <c r="J71" i="3" s="1"/>
  <c r="H13" i="3"/>
  <c r="J73" i="3" s="1"/>
  <c r="H10" i="3"/>
  <c r="J70" i="3" s="1"/>
  <c r="L70" i="3" s="1"/>
  <c r="E72" i="3"/>
  <c r="F72" i="3" s="1"/>
  <c r="I18" i="2"/>
  <c r="D18" i="2"/>
  <c r="D35" i="3" a="1"/>
  <c r="J75" i="3" l="1"/>
  <c r="D35" i="3"/>
  <c r="E36" i="3"/>
  <c r="F36" i="3" s="1"/>
  <c r="E31" i="3"/>
  <c r="F31" i="3" s="1"/>
  <c r="K76" i="3"/>
  <c r="L76" i="3" s="1"/>
  <c r="K71" i="3"/>
  <c r="L71" i="3" s="1"/>
  <c r="E74" i="3"/>
  <c r="F74" i="3" s="1"/>
  <c r="E78" i="3" s="1"/>
  <c r="F78" i="3" s="1"/>
  <c r="E73" i="3"/>
  <c r="F73" i="3" s="1"/>
  <c r="E77" i="3" s="1"/>
  <c r="F77" i="3" s="1"/>
  <c r="E75" i="3"/>
  <c r="F75" i="3" s="1"/>
  <c r="E79" i="3" s="1"/>
  <c r="F79" i="3" s="1"/>
  <c r="E80" i="3" s="1"/>
  <c r="F80" i="3" s="1"/>
  <c r="E32" i="3" l="1"/>
  <c r="F32" i="3" s="1"/>
  <c r="E43" i="3"/>
  <c r="F43" i="3" s="1"/>
  <c r="E81" i="3"/>
  <c r="F81" i="3" s="1"/>
  <c r="E82" i="3"/>
  <c r="F82" i="3" s="1"/>
  <c r="K83" i="3"/>
  <c r="L83" i="3" s="1"/>
  <c r="K72" i="3"/>
  <c r="L72" i="3" s="1"/>
  <c r="E84" i="3" l="1"/>
  <c r="F84" i="3" s="1"/>
  <c r="K74" i="3"/>
  <c r="L74" i="3" s="1"/>
  <c r="K78" i="3" s="1"/>
  <c r="L78" i="3" s="1"/>
  <c r="K75" i="3"/>
  <c r="L75" i="3" s="1"/>
  <c r="K73" i="3"/>
  <c r="L73" i="3" s="1"/>
  <c r="K77" i="3" s="1"/>
  <c r="L77" i="3" s="1"/>
  <c r="E92" i="3"/>
  <c r="D18" i="4" s="1"/>
  <c r="H84" i="3"/>
  <c r="G84" i="3" s="1"/>
  <c r="E34" i="3"/>
  <c r="F34" i="3" s="1"/>
  <c r="E38" i="3" s="1"/>
  <c r="F38" i="3" s="1"/>
  <c r="E33" i="3"/>
  <c r="F33" i="3" s="1"/>
  <c r="E37" i="3" s="1"/>
  <c r="F37" i="3" s="1"/>
  <c r="E35" i="3"/>
  <c r="F35" i="3" s="1"/>
  <c r="E39" i="3" l="1"/>
  <c r="F39" i="3" s="1"/>
  <c r="E40" i="3" s="1"/>
  <c r="F40" i="3" s="1"/>
  <c r="E42" i="3" s="1"/>
  <c r="F42" i="3" s="1"/>
  <c r="H83" i="3"/>
  <c r="G83" i="3" s="1"/>
  <c r="I83" i="3" s="1"/>
  <c r="C45" i="4" s="1"/>
  <c r="H81" i="3"/>
  <c r="G81" i="3" s="1"/>
  <c r="I84" i="3"/>
  <c r="C46" i="4" s="1"/>
  <c r="H82" i="3"/>
  <c r="G82" i="3" s="1"/>
  <c r="I82" i="3" s="1"/>
  <c r="C44" i="4" s="1"/>
  <c r="K79" i="3"/>
  <c r="L79" i="3" s="1"/>
  <c r="K80" i="3" s="1"/>
  <c r="L80" i="3" s="1"/>
  <c r="E41" i="3" l="1"/>
  <c r="F41" i="3" s="1"/>
  <c r="E44" i="3" s="1"/>
  <c r="F44" i="3" s="1"/>
  <c r="K82" i="3"/>
  <c r="L82" i="3" s="1"/>
  <c r="K81" i="3"/>
  <c r="L81" i="3" s="1"/>
  <c r="K84" i="3" s="1"/>
  <c r="L84" i="3" s="1"/>
  <c r="E93" i="3" s="1"/>
  <c r="H80" i="3"/>
  <c r="G80" i="3" s="1"/>
  <c r="I81" i="3"/>
  <c r="C43" i="4" s="1"/>
  <c r="D19" i="4" l="1"/>
  <c r="D20" i="4"/>
  <c r="E89" i="3" a="1"/>
  <c r="E89" i="3" s="1"/>
  <c r="H44" i="3"/>
  <c r="G44" i="3" s="1"/>
  <c r="I80" i="3"/>
  <c r="C42" i="4" s="1"/>
  <c r="H79" i="3"/>
  <c r="G79" i="3" s="1"/>
  <c r="D117" i="4" a="1"/>
  <c r="D108" i="4" a="1"/>
  <c r="D26" i="4" a="1"/>
  <c r="D103" i="4" a="1"/>
  <c r="B51" i="4" a="1"/>
  <c r="D17" i="4" a="1"/>
  <c r="D85" i="4" a="1"/>
  <c r="D98" i="4" a="1"/>
  <c r="D113" i="4" a="1"/>
  <c r="B6" i="4" a="1"/>
  <c r="D126" i="4" a="1"/>
  <c r="D109" i="4" a="1"/>
  <c r="D100" i="4" a="1"/>
  <c r="D95" i="4" a="1"/>
  <c r="D90" i="4" a="1"/>
  <c r="D105" i="4" a="1"/>
  <c r="D96" i="4" a="1"/>
  <c r="D91" i="4" a="1"/>
  <c r="D86" i="4" a="1"/>
  <c r="D101" i="4" a="1"/>
  <c r="D92" i="4" a="1"/>
  <c r="D119" i="4" a="1"/>
  <c r="D114" i="4" a="1"/>
  <c r="D82" i="4" a="1"/>
  <c r="D130" i="4" a="1"/>
  <c r="D97" i="4" a="1"/>
  <c r="D120" i="4" a="1"/>
  <c r="D88" i="4" a="1"/>
  <c r="D115" i="4" a="1"/>
  <c r="D83" i="4" a="1"/>
  <c r="D110" i="4" a="1"/>
  <c r="F26" i="4" a="1"/>
  <c r="D81" i="4" a="1"/>
  <c r="D99" i="4" a="1"/>
  <c r="D125" i="4" a="1"/>
  <c r="D93" i="4" a="1"/>
  <c r="D116" i="4" a="1"/>
  <c r="D84" i="4" a="1"/>
  <c r="D111" i="4" a="1"/>
  <c r="D79" i="4" a="1"/>
  <c r="D106" i="4" a="1"/>
  <c r="D15" i="4" a="1"/>
  <c r="D104" i="4" a="1"/>
  <c r="D94" i="4" a="1"/>
  <c r="E26" i="4" a="1"/>
  <c r="D127" i="4" a="1"/>
  <c r="D122" i="4" a="1"/>
  <c r="D128" i="4" a="1"/>
  <c r="D123" i="4" a="1"/>
  <c r="D118" i="4" a="1"/>
  <c r="D124" i="4" a="1"/>
  <c r="D87" i="4" a="1"/>
  <c r="D121" i="4" a="1"/>
  <c r="D89" i="4" a="1"/>
  <c r="D112" i="4" a="1"/>
  <c r="D80" i="4" a="1"/>
  <c r="D107" i="4" a="1"/>
  <c r="G26" i="4" a="1"/>
  <c r="D102" i="4" a="1"/>
  <c r="D102" i="4" l="1"/>
  <c r="G26" i="4"/>
  <c r="D107" i="4"/>
  <c r="D80" i="4"/>
  <c r="D112" i="4"/>
  <c r="D89" i="4"/>
  <c r="D121" i="4"/>
  <c r="D87" i="4"/>
  <c r="D124" i="4"/>
  <c r="D118" i="4"/>
  <c r="D123" i="4"/>
  <c r="D128" i="4"/>
  <c r="D122" i="4"/>
  <c r="D127" i="4"/>
  <c r="E26" i="4"/>
  <c r="D94" i="4"/>
  <c r="D104" i="4"/>
  <c r="D15" i="4"/>
  <c r="D16" i="4" s="1"/>
  <c r="D106" i="4"/>
  <c r="D79" i="4"/>
  <c r="D111" i="4"/>
  <c r="D84" i="4"/>
  <c r="D116" i="4"/>
  <c r="D93" i="4"/>
  <c r="D125" i="4"/>
  <c r="D99" i="4"/>
  <c r="D81" i="4"/>
  <c r="F26" i="4"/>
  <c r="D110" i="4"/>
  <c r="D83" i="4"/>
  <c r="D115" i="4"/>
  <c r="D88" i="4"/>
  <c r="D120" i="4"/>
  <c r="D97" i="4"/>
  <c r="D130" i="4"/>
  <c r="D82" i="4"/>
  <c r="D114" i="4"/>
  <c r="D119" i="4"/>
  <c r="D92" i="4"/>
  <c r="D101" i="4"/>
  <c r="D86" i="4"/>
  <c r="D91" i="4"/>
  <c r="D96" i="4"/>
  <c r="D105" i="4"/>
  <c r="D90" i="4"/>
  <c r="D95" i="4"/>
  <c r="D100" i="4"/>
  <c r="D109" i="4"/>
  <c r="D126" i="4"/>
  <c r="B6" i="4"/>
  <c r="D113" i="4"/>
  <c r="D98" i="4"/>
  <c r="D85" i="4"/>
  <c r="D17" i="4"/>
  <c r="D21" i="4" s="1"/>
  <c r="B66" i="4"/>
  <c r="B147" i="4" s="1"/>
  <c r="B58" i="4"/>
  <c r="B139" i="4" s="1"/>
  <c r="E65" i="4"/>
  <c r="D65" i="4"/>
  <c r="D57" i="4"/>
  <c r="F138" i="4" s="1"/>
  <c r="C65" i="4"/>
  <c r="C57" i="4"/>
  <c r="G138" i="4" s="1"/>
  <c r="B65" i="4"/>
  <c r="B146" i="4" s="1"/>
  <c r="B57" i="4"/>
  <c r="B138" i="4" s="1"/>
  <c r="E62" i="4"/>
  <c r="D66" i="4"/>
  <c r="D58" i="4"/>
  <c r="C66" i="4"/>
  <c r="G147" i="4" s="1"/>
  <c r="C58" i="4"/>
  <c r="E59" i="4"/>
  <c r="E56" i="4"/>
  <c r="B54" i="4"/>
  <c r="B135" i="4" s="1"/>
  <c r="E57" i="4"/>
  <c r="D61" i="4"/>
  <c r="C61" i="4"/>
  <c r="C53" i="4"/>
  <c r="G134" i="4" s="1"/>
  <c r="B61" i="4"/>
  <c r="B142" i="4" s="1"/>
  <c r="E54" i="4"/>
  <c r="D62" i="4"/>
  <c r="C62" i="4"/>
  <c r="E52" i="4"/>
  <c r="E63" i="4"/>
  <c r="E60" i="4"/>
  <c r="B64" i="4"/>
  <c r="B145" i="4" s="1"/>
  <c r="B56" i="4"/>
  <c r="B137" i="4" s="1"/>
  <c r="E61" i="4"/>
  <c r="D63" i="4"/>
  <c r="D55" i="4"/>
  <c r="C63" i="4"/>
  <c r="C55" i="4"/>
  <c r="B63" i="4"/>
  <c r="B144" i="4" s="1"/>
  <c r="B55" i="4"/>
  <c r="B136" i="4" s="1"/>
  <c r="E58" i="4"/>
  <c r="D64" i="4"/>
  <c r="F145" i="4" s="1"/>
  <c r="D56" i="4"/>
  <c r="C64" i="4"/>
  <c r="C56" i="4"/>
  <c r="B62" i="4"/>
  <c r="B143" i="4" s="1"/>
  <c r="D53" i="4"/>
  <c r="B53" i="4"/>
  <c r="B134" i="4" s="1"/>
  <c r="D54" i="4"/>
  <c r="C54" i="4"/>
  <c r="G135" i="4" s="1"/>
  <c r="E55" i="4"/>
  <c r="E53" i="4"/>
  <c r="C51" i="4"/>
  <c r="D60" i="4"/>
  <c r="E51" i="4"/>
  <c r="E64" i="4"/>
  <c r="E66" i="4"/>
  <c r="D59" i="4"/>
  <c r="F140" i="4" s="1"/>
  <c r="B59" i="4"/>
  <c r="B140" i="4" s="1"/>
  <c r="D52" i="4"/>
  <c r="B52" i="4"/>
  <c r="B133" i="4" s="1"/>
  <c r="B51" i="4"/>
  <c r="B132" i="4" s="1"/>
  <c r="C52" i="4"/>
  <c r="B60" i="4"/>
  <c r="B141" i="4" s="1"/>
  <c r="D51" i="4"/>
  <c r="C60" i="4"/>
  <c r="G141" i="4" s="1"/>
  <c r="C59" i="4"/>
  <c r="D103" i="4"/>
  <c r="D26" i="4"/>
  <c r="D108" i="4"/>
  <c r="D117" i="4"/>
  <c r="I44" i="3"/>
  <c r="J44" i="3" s="1" a="1"/>
  <c r="J44" i="3" s="1"/>
  <c r="H42" i="3"/>
  <c r="G42" i="3" s="1"/>
  <c r="I42" i="3" s="1"/>
  <c r="J42" i="3" s="1" a="1"/>
  <c r="J42" i="3" s="1"/>
  <c r="H43" i="3"/>
  <c r="G43" i="3" s="1"/>
  <c r="I43" i="3" s="1"/>
  <c r="J43" i="3" s="1" a="1"/>
  <c r="J43" i="3" s="1"/>
  <c r="H41" i="3"/>
  <c r="G41" i="3" s="1"/>
  <c r="I79" i="3"/>
  <c r="C41" i="4" s="1"/>
  <c r="H77" i="3"/>
  <c r="G77" i="3" s="1"/>
  <c r="H75" i="3"/>
  <c r="G75" i="3" s="1"/>
  <c r="I75" i="3" s="1"/>
  <c r="C37" i="4" s="1"/>
  <c r="H78" i="3"/>
  <c r="G78" i="3" s="1"/>
  <c r="H76" i="3"/>
  <c r="G76" i="3" s="1"/>
  <c r="I76" i="3" s="1"/>
  <c r="C38" i="4" s="1"/>
  <c r="E90" i="3"/>
  <c r="E91" i="3" a="1"/>
  <c r="E91" i="3" s="1"/>
  <c r="D45" i="4" a="1"/>
  <c r="D14" i="4" a="1"/>
  <c r="D44" i="4" a="1"/>
  <c r="D46" i="4" a="1"/>
  <c r="G132" i="4" l="1"/>
  <c r="G137" i="4"/>
  <c r="G144" i="4"/>
  <c r="F133" i="4"/>
  <c r="G145" i="4"/>
  <c r="F136" i="4"/>
  <c r="G143" i="4"/>
  <c r="G140" i="4"/>
  <c r="F137" i="4"/>
  <c r="F144" i="4"/>
  <c r="F143" i="4"/>
  <c r="F132" i="4"/>
  <c r="F135" i="4"/>
  <c r="G139" i="4"/>
  <c r="G146" i="4"/>
  <c r="F134" i="4"/>
  <c r="F146" i="4"/>
  <c r="G133" i="4"/>
  <c r="G142" i="4"/>
  <c r="F139" i="4"/>
  <c r="F141" i="4"/>
  <c r="G136" i="4"/>
  <c r="F142" i="4"/>
  <c r="F147" i="4"/>
  <c r="D46" i="4"/>
  <c r="D44" i="4"/>
  <c r="D14" i="4"/>
  <c r="D45" i="4"/>
  <c r="E99" i="3"/>
  <c r="I78" i="3"/>
  <c r="C40" i="4" s="1"/>
  <c r="H74" i="3"/>
  <c r="G74" i="3" s="1"/>
  <c r="I74" i="3" s="1"/>
  <c r="C36" i="4" s="1"/>
  <c r="H73" i="3"/>
  <c r="G73" i="3" s="1"/>
  <c r="I77" i="3"/>
  <c r="C39" i="4" s="1"/>
  <c r="H40" i="3"/>
  <c r="G40" i="3" s="1"/>
  <c r="I41" i="3"/>
  <c r="J41" i="3" s="1" a="1"/>
  <c r="J41" i="3" s="1"/>
  <c r="D43" i="4" a="1"/>
  <c r="D43" i="4" l="1"/>
  <c r="I40" i="3"/>
  <c r="J40" i="3" s="1" a="1"/>
  <c r="J40" i="3" s="1"/>
  <c r="H39" i="3"/>
  <c r="G39" i="3" s="1"/>
  <c r="I73" i="3"/>
  <c r="C35" i="4" s="1"/>
  <c r="H72" i="3"/>
  <c r="G72" i="3" s="1"/>
  <c r="D42" i="4" a="1"/>
  <c r="D42" i="4" l="1"/>
  <c r="I72" i="3"/>
  <c r="C34" i="4" s="1"/>
  <c r="H71" i="3"/>
  <c r="G71" i="3" s="1"/>
  <c r="H36" i="3"/>
  <c r="G36" i="3" s="1"/>
  <c r="I36" i="3" s="1"/>
  <c r="J36" i="3" s="1" a="1"/>
  <c r="J36" i="3" s="1"/>
  <c r="I39" i="3"/>
  <c r="J39" i="3" s="1" a="1"/>
  <c r="J39" i="3" s="1"/>
  <c r="H35" i="3"/>
  <c r="G35" i="3" s="1"/>
  <c r="I35" i="3" s="1"/>
  <c r="J35" i="3" s="1" a="1"/>
  <c r="J35" i="3" s="1"/>
  <c r="H37" i="3"/>
  <c r="G37" i="3" s="1"/>
  <c r="H38" i="3"/>
  <c r="G38" i="3" s="1"/>
  <c r="D38" i="4" a="1"/>
  <c r="D41" i="4" a="1"/>
  <c r="D37" i="4" a="1"/>
  <c r="D37" i="4" l="1"/>
  <c r="D41" i="4"/>
  <c r="D38" i="4"/>
  <c r="H70" i="3"/>
  <c r="G70" i="3" s="1"/>
  <c r="I70" i="3" s="1"/>
  <c r="C32" i="4" s="1"/>
  <c r="I71" i="3"/>
  <c r="C33" i="4" s="1"/>
  <c r="H34" i="3"/>
  <c r="G34" i="3" s="1"/>
  <c r="I34" i="3" s="1"/>
  <c r="J34" i="3" s="1" a="1"/>
  <c r="J34" i="3" s="1"/>
  <c r="I38" i="3"/>
  <c r="J38" i="3" s="1" a="1"/>
  <c r="J38" i="3" s="1"/>
  <c r="I37" i="3"/>
  <c r="J37" i="3" s="1" a="1"/>
  <c r="J37" i="3" s="1"/>
  <c r="H33" i="3"/>
  <c r="G33" i="3" s="1"/>
  <c r="D36" i="4" a="1"/>
  <c r="D39" i="4" a="1"/>
  <c r="D40" i="4" a="1"/>
  <c r="D40" i="4" l="1"/>
  <c r="D39" i="4"/>
  <c r="D36" i="4"/>
  <c r="I33" i="3"/>
  <c r="J33" i="3" s="1" a="1"/>
  <c r="J33" i="3" s="1"/>
  <c r="H32" i="3"/>
  <c r="G32" i="3" s="1"/>
  <c r="D35" i="4" a="1"/>
  <c r="D35" i="4" l="1"/>
  <c r="I32" i="3"/>
  <c r="J32" i="3" s="1" a="1"/>
  <c r="J32" i="3" s="1"/>
  <c r="H31" i="3"/>
  <c r="G31" i="3" s="1"/>
  <c r="D34" i="4" a="1"/>
  <c r="D34" i="4" l="1"/>
  <c r="I31" i="3"/>
  <c r="J31" i="3" s="1" a="1"/>
  <c r="J31" i="3" s="1"/>
  <c r="H30" i="3"/>
  <c r="G30" i="3" s="1"/>
  <c r="I30" i="3" s="1"/>
  <c r="D33" i="4" a="1"/>
  <c r="D33" i="4" l="1"/>
  <c r="J30" i="3" a="1"/>
  <c r="J30" i="3" s="1"/>
  <c r="E98" i="3"/>
  <c r="B7" i="4" s="1"/>
  <c r="D32" i="4" a="1"/>
  <c r="D32"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<sst xmlns="http://schemas.openxmlformats.org/spreadsheetml/2006/main" count="383" uniqueCount="283">
  <si>
    <t>Schedule Risk on a Project Network</t>
  </si>
  <si>
    <t>ModelRisk example  ·  Projects and construction  ·  PC-03</t>
  </si>
  <si>
    <t>When will the new bridge open?  Schedule risk on the activity network: completion date, criticality and merge bias.</t>
  </si>
  <si>
    <t>Next:  Inputs  ▸</t>
  </si>
  <si>
    <t>Model card</t>
  </si>
  <si>
    <t>Industry</t>
  </si>
  <si>
    <t>Projects and construction</t>
  </si>
  <si>
    <t>Difficulty</t>
  </si>
  <si>
    <t>★★★☆☆   A 15-activity network with three-point durations and a risk event, scheduled forwards and backwards in every iteration.</t>
  </si>
  <si>
    <t>Business question</t>
  </si>
  <si>
    <t>The replacement of a road bridge is planned at 40 weeks with most likely durations, and the contract allows 44. How likely is the project to finish within 44 weeks, what completion date can be promised with 80% confidence, and which activities really control the finish?</t>
  </si>
  <si>
    <t>Who it is for</t>
  </si>
  <si>
    <t>Planners, project managers and contractors who prepare or review programmes.</t>
  </si>
  <si>
    <t>Main outputs</t>
  </si>
  <si>
    <t>Completion in weeks and as a date: P50 / P80 / P90 · chance of meeting the contract date · the effect of skewed durations and of merge bias · each activity's criticality index and its influence on the finish · a Gantt chart of each iteration.</t>
  </si>
  <si>
    <t>ModelRisk techniques</t>
  </si>
  <si>
    <t>PERT durations and a risk event on a finish-to-start network · forward and backward pass inside the spreadsheet in every iteration · float and criticality index · merge bias at a node where paths join · conditional-mean tornado.</t>
  </si>
  <si>
    <t>File</t>
  </si>
  <si>
    <t>PC-03 Schedule risk on a project network  ·  Version 1.0  ·  October 2026  ·  built with ModelRisk 10</t>
  </si>
  <si>
    <t>The business question</t>
  </si>
  <si>
    <t>A council is replacing an old road bridge. The programme has fifteen activities: design, demolition, piling and walls for two abutments, a pier in the river, girders fabricated off site, then the deck, surfacing and opening. With most likely durations the critical path gives 40 weeks, and the contract allows 44. But durations are uncertain and skewed — things are more likely to take longer than shorter — and four paths must all be finished before the girders can be erected. Wherever parallel paths join, the later of them sets the pace, so the project is late if any one of them is. That 'merge bias' is invisible in a deterministic programme. The model draws every duration, schedules the network forwards and backwards in every iteration, and reports the completion date, the chance of meeting the contract, and how often each activity is critical.</t>
  </si>
  <si>
    <t>How the model works</t>
  </si>
  <si>
    <t>Three sheets after this one, read from left to right. Each one feeds the next.</t>
  </si>
  <si>
    <t>1  Inputs</t>
  </si>
  <si>
    <t>The start date, the contract duration, and a risk event: a flood that stops work on the river pier.</t>
  </si>
  <si>
    <t>2  Network</t>
  </si>
  <si>
    <t>Each activity has a PERT duration and finish-to-start predecessors. Each start is the latest finish of its predecessors (forward pass); each latest finish is the earliest latest-start of its successors (backward pass). Float is the difference; an activity with no float is critical in that iteration. The same network is also scheduled with most likely and with mean durations, for comparison.</t>
  </si>
  <si>
    <t>3  Results</t>
  </si>
  <si>
    <t>Completion percentiles and dates, the chance of finishing within the contract, the gap between the deterministic and the simulated finish split into skew and merge bias, and for each activity how often it is critical and how strongly its duration drives the finish.</t>
  </si>
  <si>
    <t>How to use it</t>
  </si>
  <si>
    <t>Step 1</t>
  </si>
  <si>
    <t>Enter your activities' three-point durations on the Network sheet. The logic (predecessors) is built into the Start formulas: each takes the latest finish of the activities listed.</t>
  </si>
  <si>
    <t>Step 2</t>
  </si>
  <si>
    <t>Set the start date, the contract duration and the risk event on the Inputs sheet.</t>
  </si>
  <si>
    <t>Step 3</t>
  </si>
  <si>
    <t>Press F9 to watch the Gantt chart change, then run a simulation from the ModelRisk ribbon (10,000 samples).</t>
  </si>
  <si>
    <t>Step 4</t>
  </si>
  <si>
    <t>Focus schedule recovery on activities with a high criticality index and a strong influence on the finish.</t>
  </si>
  <si>
    <t>Workbook map</t>
  </si>
  <si>
    <t>Inputs</t>
  </si>
  <si>
    <t>Start date, contract duration and the flood risk event.</t>
  </si>
  <si>
    <t>Network</t>
  </si>
  <si>
    <t>Activities, the iteration's schedule with float and criticality and its Gantt chart, deterministic schedules, outputs.</t>
  </si>
  <si>
    <t>Results</t>
  </si>
  <si>
    <t>Completion, chance of meeting the contract, skew and merge bias, criticality and sensitivity.</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</si>
  <si>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</si>
  <si>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</si>
  <si>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</si>
  <si>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</si>
  <si>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</si>
  <si>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</si>
  <si>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</si>
  <si>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</si>
  <si>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</si>
  <si>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</si>
  <si>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</si>
  <si>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</si>
  <si>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Time</t>
  </si>
  <si>
    <t>Weeks from the start of the project; dates are the start date plus whole weeks.</t>
  </si>
  <si>
    <t>Critical</t>
  </si>
  <si>
    <t>An activity is critical in an iteration if it has no float: any delay to it delays the opening.</t>
  </si>
  <si>
    <t>Criticality index</t>
  </si>
  <si>
    <t>The share of iterations in which an activity is critical.</t>
  </si>
  <si>
    <t>P50 / P80 / P90</t>
  </si>
  <si>
    <t>A 50%, 80% and 90% chance of finishing by then.</t>
  </si>
  <si>
    <t>Key assumptions and limitations</t>
  </si>
  <si>
    <t>Logic</t>
  </si>
  <si>
    <t>Finish-to-start links only, no lags; resources are not limited; no weather calendar apart from the flood risk.</t>
  </si>
  <si>
    <t>Independence</t>
  </si>
  <si>
    <t>Durations are independent of each other; in practice common causes (productivity, weather) can link them.</t>
  </si>
  <si>
    <t>Flood</t>
  </si>
  <si>
    <t>A flood adds its delay to the river pier only.</t>
  </si>
  <si>
    <t>Data</t>
  </si>
  <si>
    <t>The project and all durations are invented for this example.</t>
  </si>
  <si>
    <t>ModelRisk functions used</t>
  </si>
  <si>
    <t>VosePERT</t>
  </si>
  <si>
    <t>Each activity's duration from its low, most likely and high estimates.</t>
  </si>
  <si>
    <t>VoseRiskEvent, VosePERTObject</t>
  </si>
  <si>
    <t>The flood: no delay, or a PERT number of weeks.</t>
  </si>
  <si>
    <t>VoseInput, VoseOutput</t>
  </si>
  <si>
    <t>Name the durations and the outputs, including whether each activity is critical.</t>
  </si>
  <si>
    <t>VoseSimMean, VoseSimPercentile</t>
  </si>
  <si>
    <t>Statistics of the simulation for the tables and charts on the Results sheet.</t>
  </si>
  <si>
    <t>VoseSimSensitivityMean</t>
  </si>
  <si>
    <t>The tornado chart: every VoseInput ranked by how far the mean completion moves across its range.</t>
  </si>
  <si>
    <t>Further reading</t>
  </si>
  <si>
    <t>Schedule risk</t>
  </si>
  <si>
    <t>Hulett, D. T. (2009). Practical Schedule Risk Analysis. Gower.</t>
  </si>
  <si>
    <t>Merge bias</t>
  </si>
  <si>
    <t>MacCrimmon, K. R. and Ryavec, C. A. (1964). An analytical study of the PERT assumptions. Operations Research 12(1), 16–37.</t>
  </si>
  <si>
    <t>© 2026 Vose Software   ·   www.vosesoftware.com   ·   An illustrative example: the figures are invented for teaching and do not describe a real company, project or asset.</t>
  </si>
  <si>
    <t>INPUTS   ·   Start date, contract duration and the flood risk. The fifteen activities and their three-point durations are on the Network sheet. Change only the yellow cells.</t>
  </si>
  <si>
    <t>◂  About</t>
  </si>
  <si>
    <t>Next:  Network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</si>
  <si>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</si>
  <si>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Programme</t>
  </si>
  <si>
    <t>When the work starts and what the contract allows.</t>
  </si>
  <si>
    <t>Assumption</t>
  </si>
  <si>
    <t>Unit</t>
  </si>
  <si>
    <t>Value in model</t>
  </si>
  <si>
    <t>Uncertainty</t>
  </si>
  <si>
    <t>Basis / source (illustrative)</t>
  </si>
  <si>
    <t>Start date</t>
  </si>
  <si>
    <t>date</t>
  </si>
  <si>
    <t>Fixed</t>
  </si>
  <si>
    <t>Notice to proceed (1 March 2027).</t>
  </si>
  <si>
    <t>Contract duration</t>
  </si>
  <si>
    <t>weeks</t>
  </si>
  <si>
    <t>Completion date in the contract: 44 weeks after the start.</t>
  </si>
  <si>
    <t>2   Risk event</t>
  </si>
  <si>
    <t>A flood stops work in the river until the water level drops.</t>
  </si>
  <si>
    <t>Low</t>
  </si>
  <si>
    <t>Most likely</t>
  </si>
  <si>
    <t>High</t>
  </si>
  <si>
    <t>Mean</t>
  </si>
  <si>
    <t>Chance of a flood during the pier works</t>
  </si>
  <si>
    <t>probability</t>
  </si>
  <si>
    <t>Gauge records: one flood in four winters over the cofferdam's design level.</t>
  </si>
  <si>
    <t>Delay to the river pier from a flood</t>
  </si>
  <si>
    <t>Risk event  · PERT</t>
  </si>
  <si>
    <t>Pumping out, inspection and repair of the cofferdam.</t>
  </si>
  <si>
    <t>NETWORK   ·   Fifteen activities: durations, forward and backward pass, float and the critical path (weeks).</t>
  </si>
  <si>
    <t>◂  Inputs</t>
  </si>
  <si>
    <t>Next:  Results  ▸</t>
  </si>
  <si>
    <t>1   Activities</t>
  </si>
  <si>
    <t>Yellow cells are inputs. The Predecessors column is a label only: the logic is written into the Start formulas of section 2, so editing the text changes nothing.</t>
  </si>
  <si>
    <t>ID</t>
  </si>
  <si>
    <t>Activity</t>
  </si>
  <si>
    <t>Predecessors</t>
  </si>
  <si>
    <t>Duration  (weeks)</t>
  </si>
  <si>
    <t>Note</t>
  </si>
  <si>
    <t>label only</t>
  </si>
  <si>
    <t>PERT</t>
  </si>
  <si>
    <t>A</t>
  </si>
  <si>
    <t>Design and approvals</t>
  </si>
  <si>
    <t>–</t>
  </si>
  <si>
    <t>Detailed design, approval by the highway authority</t>
  </si>
  <si>
    <t>B</t>
  </si>
  <si>
    <t>Site set-up and traffic management</t>
  </si>
  <si>
    <t>Diversion route signed and opened</t>
  </si>
  <si>
    <t>C</t>
  </si>
  <si>
    <t>Demolish the old bridge</t>
  </si>
  <si>
    <t>Night possessions of the railway below</t>
  </si>
  <si>
    <t>D</t>
  </si>
  <si>
    <t>North abutment piling</t>
  </si>
  <si>
    <t>Bored piles; ground conditions known from boreholes</t>
  </si>
  <si>
    <t>E</t>
  </si>
  <si>
    <t>South abutment piling</t>
  </si>
  <si>
    <t>Softer ground near the river bank</t>
  </si>
  <si>
    <t>F</t>
  </si>
  <si>
    <t>River pier</t>
  </si>
  <si>
    <t>Cofferdam in the river; flood risk added below</t>
  </si>
  <si>
    <t>G</t>
  </si>
  <si>
    <t>Fabricate steel girders (off site)</t>
  </si>
  <si>
    <t>Fabricator's slot booked after design approval</t>
  </si>
  <si>
    <t>H</t>
  </si>
  <si>
    <t>North abutment walls</t>
  </si>
  <si>
    <t>I</t>
  </si>
  <si>
    <t>South abutment walls</t>
  </si>
  <si>
    <t>J</t>
  </si>
  <si>
    <t>Deliver and erect girders</t>
  </si>
  <si>
    <t>F, G, H, I</t>
  </si>
  <si>
    <t>Needs both abutments, the pier and the girders</t>
  </si>
  <si>
    <t>K</t>
  </si>
  <si>
    <t>Deck slab</t>
  </si>
  <si>
    <t>L</t>
  </si>
  <si>
    <t>Waterproofing and surfacing</t>
  </si>
  <si>
    <t>M</t>
  </si>
  <si>
    <t>Parapets and finishes</t>
  </si>
  <si>
    <t>N</t>
  </si>
  <si>
    <t>Approach road tie-ins</t>
  </si>
  <si>
    <t>Independent of the bridge itself</t>
  </si>
  <si>
    <t>O</t>
  </si>
  <si>
    <t>Testing and opening</t>
  </si>
  <si>
    <t>L, M, N</t>
  </si>
  <si>
    <t>Load test and safety audit</t>
  </si>
  <si>
    <t>2   Schedule in this iteration</t>
  </si>
  <si>
    <t>Start = latest finish of the predecessors. Late finish = earliest late start of the successors.</t>
  </si>
  <si>
    <t>Duration</t>
  </si>
  <si>
    <t>Start</t>
  </si>
  <si>
    <t>Finish</t>
  </si>
  <si>
    <t>Late start</t>
  </si>
  <si>
    <t>Late finish</t>
  </si>
  <si>
    <t>Float</t>
  </si>
  <si>
    <t>Critical?</t>
  </si>
  <si>
    <t>How it is calculated</t>
  </si>
  <si>
    <t>sampled</t>
  </si>
  <si>
    <t>1 = yes</t>
  </si>
  <si>
    <t>Start: the finish of the predecessor, or the latest finish if there are several (forward pass)</t>
  </si>
  <si>
    <t>Late finish: the late start of the successor, or the earliest if there are several (backward pass)</t>
  </si>
  <si>
    <t>Float = late start − start;  critical if the float is zero</t>
  </si>
  <si>
    <t>River pier: its duration includes the flood delay from the Inputs sheet</t>
  </si>
  <si>
    <t>3   This iteration as a Gantt chart</t>
  </si>
  <si>
    <t>The schedule above drawn to scale. Press F9 to see another possible programme.</t>
  </si>
  <si>
    <t>4   Deterministic schedules</t>
  </si>
  <si>
    <t>The same network with most likely durations — forward and backward pass, to find its critical path — and with mean durations (the flood at its expected value).</t>
  </si>
  <si>
    <t>duration</t>
  </si>
  <si>
    <t>most likely</t>
  </si>
  <si>
    <t>Most likely durations: the usual deterministic programme</t>
  </si>
  <si>
    <t>Critical in it: no float between start and late start</t>
  </si>
  <si>
    <t>Mean durations: removes the skew, but not the merge bias</t>
  </si>
  <si>
    <t>5   Value in this iteration</t>
  </si>
  <si>
    <t>Key outputs, recorded by ModelRisk at every sample (VoseOutput). Their statistics appear on the Results sheet.</t>
  </si>
  <si>
    <t>Output</t>
  </si>
  <si>
    <t>Value</t>
  </si>
  <si>
    <t>Meaning</t>
  </si>
  <si>
    <t>Completion</t>
  </si>
  <si>
    <t>Finish of the last activity in this iteration.</t>
  </si>
  <si>
    <t>Completion date</t>
  </si>
  <si>
    <t>Start date + weeks × 7 days.</t>
  </si>
  <si>
    <t>Within the contract duration?  (1 = yes)</t>
  </si>
  <si>
    <t>1 / 0</t>
  </si>
  <si>
    <t>Deterministic, most likely durations</t>
  </si>
  <si>
    <t>The usual programme.</t>
  </si>
  <si>
    <t>Deterministic, mean durations</t>
  </si>
  <si>
    <t>Skew removed; merge bias still missing.</t>
  </si>
  <si>
    <t>6   Model checks</t>
  </si>
  <si>
    <t>Should all read OK. A CHECK means an input has been set outside the range the model is built for.</t>
  </si>
  <si>
    <t>Durations: Low ≤ Most likely ≤ High</t>
  </si>
  <si>
    <t>No negative float  (the backward pass is consistent)</t>
  </si>
  <si>
    <t>The last activity is critical</t>
  </si>
  <si>
    <t>RESULTS   ·   Filled in automatically from the last simulation. Run a simulation after changing any input.</t>
  </si>
  <si>
    <t>◂  Network</t>
  </si>
  <si>
    <t>1   Completion</t>
  </si>
  <si>
    <t>Completion — S-curve</t>
  </si>
  <si>
    <t>Weeks from the start. The contract allows the duration on the Inputs sheet.</t>
  </si>
  <si>
    <t>Measure</t>
  </si>
  <si>
    <t>Contract duration  (Inputs sheet)</t>
  </si>
  <si>
    <t>Contract completion date</t>
  </si>
  <si>
    <t>Chance of finishing within the contract</t>
  </si>
  <si>
    <t>P80 completion</t>
  </si>
  <si>
    <t>P80 completion date</t>
  </si>
  <si>
    <t>Mean completion  (simulated)</t>
  </si>
  <si>
    <t>Deterministic completion, most likely durations</t>
  </si>
  <si>
    <t>Deterministic completion, mean durations</t>
  </si>
  <si>
    <t>Effect of skewed durations  (mean − most likely schedule)</t>
  </si>
  <si>
    <t>Merge bias  (simulated mean − mean-duration schedule)</t>
  </si>
  <si>
    <t>2   Completion percentiles</t>
  </si>
  <si>
    <t>P50 / P80 / P90: a 50%, 80% and 90% chance of finishing by then.</t>
  </si>
  <si>
    <t>P50</t>
  </si>
  <si>
    <t>P80</t>
  </si>
  <si>
    <t>P90</t>
  </si>
  <si>
    <t>3   Which activities are critical</t>
  </si>
  <si>
    <t>Criticality index: how often the activity is on the critical path in the simulation.</t>
  </si>
  <si>
    <t>Critical,</t>
  </si>
  <si>
    <t>Criticality</t>
  </si>
  <si>
    <t>index</t>
  </si>
  <si>
    <t>A  Design and approvals</t>
  </si>
  <si>
    <t>B  Site set-up and traffic management</t>
  </si>
  <si>
    <t>C  Demolish the old bridge</t>
  </si>
  <si>
    <t>D  North abutment piling</t>
  </si>
  <si>
    <t>E  South abutment piling</t>
  </si>
  <si>
    <t>F  River pier</t>
  </si>
  <si>
    <t>G  Fabricate steel girders (off site)</t>
  </si>
  <si>
    <t>H  North abutment walls</t>
  </si>
  <si>
    <t>I  South abutment walls</t>
  </si>
  <si>
    <t>J  Deliver and erect girders</t>
  </si>
  <si>
    <t>K  Deck slab</t>
  </si>
  <si>
    <t>L  Waterproofing and surfacing</t>
  </si>
  <si>
    <t>M  Parapets and finishes</t>
  </si>
  <si>
    <t>N  Approach road tie-ins</t>
  </si>
  <si>
    <t>O  Testing and opening</t>
  </si>
  <si>
    <t>4   Which durations drive completion</t>
  </si>
  <si>
    <t>Influence of each duration on completion  (weeks)</t>
  </si>
  <si>
    <t>Lowest and highest mean completion over ten equal groups of each input (VoseSimSensitivityMean), drawn from the overall mean.</t>
  </si>
  <si>
    <t>Input (ranked by influence)</t>
  </si>
  <si>
    <t>Lowest mean</t>
  </si>
  <si>
    <t>Highest mean</t>
  </si>
  <si>
    <t>Rank</t>
  </si>
  <si>
    <t>5   How to read these results</t>
  </si>
  <si>
    <t>•  The deterministic programme finishes in 40 weeks, but that date is rarely met: most likely durations add up to less than the median, and wherever paths join, the latest of them sets the pace (merge bias). The two effects are shown separately.</t>
  </si>
  <si>
    <t>•  Activities that are critical in the deterministic programme are not always critical in practice, and others become critical when they overrun: the criticality index measures how often each one controls the finish.</t>
  </si>
  <si>
    <t>•  Effort to recover the schedule pays off on activities with a high criticality index and a strong influence: shortening a non-critical activity changes nothing.</t>
  </si>
  <si>
    <t>•  Common causes such as productivity or weather can make durations move together, which widens the range; this model treats them as independent.</t>
  </si>
  <si>
    <t>Chart data</t>
  </si>
  <si>
    <t>Statistics of the last simulation behind the charts and the ranking above. Grouped: click + in the left margin to show them.</t>
  </si>
  <si>
    <t>Cumulative probability</t>
  </si>
  <si>
    <t>Exceedance</t>
  </si>
  <si>
    <t>Overall mean of Finish</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</si>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</sst>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 mmm\ yyyy"/>
    <numFmt numFmtId="165" formatCode="#,##0.0_);\(#,##0.0\);&quot;–&quot;_)"/>
    <numFmt numFmtId="166" formatCode="#,##0_);\(#,##0\);&quot;–&quot;_)"/>
    <numFmt numFmtId="167" formatCode="0.0%;\-0.0%;0.0%;&quot;–&quot;"/>
    <numFmt numFmtId="168" formatCode="#,##0.0_);\(#,##0.0\);&quot;–&quot;_);&quot;–&quot;"/>
    <numFmt numFmtId="169" formatCode="d\ mmm\ yyyy;\-d\ mmm\ yyyy;d\ mmm\ yyyy;&quot;–&quot;"/>
    <numFmt numFmtId="170" formatCode="0%;\-0%;0%;&quot;–&quot;"/>
    <numFmt numFmtId="171" formatCode="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3">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 fontId="1" fillId="2" borderId="7" xfId="1" applyNumberFormat="1" applyBorder="1">
      <alignment horizontal="right" vertical="center"/>
    </xf>
    <xf numFmtId="9" fontId="1" fillId="2" borderId="7" xfId="1" applyNumberFormat="1" applyBorder="1">
      <alignment horizontal="right" vertical="center"/>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0" fontId="17" fillId="7" borderId="2" xfId="0" applyFont="1" applyFill="1" applyBorder="1" applyAlignment="1">
      <alignment horizontal="left" vertical="center" indent="1"/>
    </xf>
    <xf numFmtId="0" fontId="0" fillId="7" borderId="2" xfId="0" applyFill="1" applyBorder="1"/>
    <xf numFmtId="0" fontId="17" fillId="7" borderId="2" xfId="0" applyFont="1" applyFill="1" applyBorder="1" applyAlignment="1">
      <alignment horizontal="right" vertical="center"/>
    </xf>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6" fontId="1" fillId="2" borderId="7" xfId="1" applyNumberFormat="1" applyBorder="1">
      <alignment horizontal="right" vertical="center"/>
    </xf>
    <xf numFmtId="1" fontId="4" fillId="4" borderId="9" xfId="4" applyNumberFormat="1" applyBorder="1">
      <alignment horizontal="right" vertical="center"/>
    </xf>
    <xf numFmtId="1" fontId="3" fillId="0" borderId="8" xfId="3"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5" fontId="4" fillId="4" borderId="9" xfId="4" applyNumberFormat="1" applyBorder="1">
      <alignment horizontal="right" vertical="center"/>
    </xf>
    <xf numFmtId="164" fontId="3" fillId="0" borderId="8" xfId="3" applyNumberFormat="1" applyBorder="1">
      <alignment horizontal="right" vertical="center"/>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3" fillId="0" borderId="5" xfId="0" applyFont="1" applyBorder="1"/>
    <xf numFmtId="0" fontId="21" fillId="0" borderId="6" xfId="0" applyFont="1" applyBorder="1" applyAlignment="1">
      <alignment horizontal="left" vertical="center" indent="1"/>
    </xf>
    <xf numFmtId="167" fontId="22" fillId="5" borderId="7" xfId="5" applyNumberFormat="1" applyFont="1" applyBorder="1">
      <alignment horizontal="right" vertical="center"/>
    </xf>
    <xf numFmtId="168" fontId="1" fillId="5" borderId="7" xfId="5" applyNumberFormat="1" applyBorder="1">
      <alignment horizontal="right" vertical="center"/>
    </xf>
    <xf numFmtId="169" fontId="1" fillId="5" borderId="7" xfId="5"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18" fillId="0" borderId="6" xfId="0" applyFont="1" applyBorder="1" applyAlignment="1">
      <alignment horizontal="right" vertical="center"/>
    </xf>
    <xf numFmtId="170" fontId="1" fillId="5" borderId="7" xfId="5" applyNumberFormat="1" applyBorder="1">
      <alignment horizontal="right" vertical="center"/>
    </xf>
    <xf numFmtId="0" fontId="17" fillId="7" borderId="4" xfId="0" applyFont="1" applyFill="1" applyBorder="1" applyAlignment="1">
      <alignment horizontal="center" vertical="center" wrapText="1"/>
    </xf>
    <xf numFmtId="171"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8" fontId="1" fillId="5" borderId="1" xfId="5" applyNumberFormat="1">
      <alignment horizontal="right" vertical="center"/>
    </xf>
    <xf numFmtId="0" fontId="21" fillId="0" borderId="0" xfId="0" applyFont="1" applyAlignment="1">
      <alignment horizontal="left" vertical="center" indent="1"/>
    </xf>
    <xf numFmtId="165"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7">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stacked"/>
        <c:varyColors val="0"/>
        <c:ser>
          <c:idx val="0"/>
          <c:order val="0"/>
          <c:tx>
            <c:v>Start</c:v>
          </c:tx>
          <c:spPr>
            <a:noFill/>
            <a:ln>
              <a:noFill/>
              <a:prstDash val="solid"/>
            </a:ln>
          </c:spPr>
          <c:invertIfNegative val="1"/>
          <c:cat>
            <c:strRef>
              <c:f>Network!$C$30:$C$44</c:f>
              <c:strCache>
                <c:ptCount val="15"/>
                <c:pt idx="0">
                  <c:v>Design and approvals</c:v>
                </c:pt>
                <c:pt idx="1">
                  <c:v>Site set-up and traffic management</c:v>
                </c:pt>
                <c:pt idx="2">
                  <c:v>Demolish the old bridge</c:v>
                </c:pt>
                <c:pt idx="3">
                  <c:v>North abutment piling</c:v>
                </c:pt>
                <c:pt idx="4">
                  <c:v>South abutment piling</c:v>
                </c:pt>
                <c:pt idx="5">
                  <c:v>River pier</c:v>
                </c:pt>
                <c:pt idx="6">
                  <c:v>Fabricate steel girders (off site)</c:v>
                </c:pt>
                <c:pt idx="7">
                  <c:v>North abutment walls</c:v>
                </c:pt>
                <c:pt idx="8">
                  <c:v>South abutment walls</c:v>
                </c:pt>
                <c:pt idx="9">
                  <c:v>Deliver and erect girders</c:v>
                </c:pt>
                <c:pt idx="10">
                  <c:v>Deck slab</c:v>
                </c:pt>
                <c:pt idx="11">
                  <c:v>Waterproofing and surfacing</c:v>
                </c:pt>
                <c:pt idx="12">
                  <c:v>Parapets and finishes</c:v>
                </c:pt>
                <c:pt idx="13">
                  <c:v>Approach road tie-ins</c:v>
                </c:pt>
                <c:pt idx="14">
                  <c:v>Testing and opening</c:v>
                </c:pt>
              </c:strCache>
            </c:strRef>
          </c:cat>
          <c:val>
            <c:numRef>
              <c:f>Network!$E$30:$E$44</c:f>
              <c:numCache>
                <c:formatCode>#,##0.0_);\(#,##0.0\);"–"_)</c:formatCode>
                <c:ptCount val="15"/>
                <c:pt idx="0">
                  <c:v>0</c:v>
                </c:pt>
                <c:pt idx="1">
                  <c:v>11.598555271046601</c:v>
                </c:pt>
                <c:pt idx="2">
                  <c:v>14.927270862498478</c:v>
                </c:pt>
                <c:pt idx="3">
                  <c:v>19.67744417736543</c:v>
                </c:pt>
                <c:pt idx="4">
                  <c:v>19.67744417736543</c:v>
                </c:pt>
                <c:pt idx="5">
                  <c:v>19.67744417736543</c:v>
                </c:pt>
                <c:pt idx="6">
                  <c:v>11.598555271046601</c:v>
                </c:pt>
                <c:pt idx="7">
                  <c:v>27.486235968656214</c:v>
                </c:pt>
                <c:pt idx="8">
                  <c:v>29.156361190320453</c:v>
                </c:pt>
                <c:pt idx="9">
                  <c:v>33.28229839246135</c:v>
                </c:pt>
                <c:pt idx="10">
                  <c:v>35.607788063429048</c:v>
                </c:pt>
                <c:pt idx="11">
                  <c:v>40.89458121440974</c:v>
                </c:pt>
                <c:pt idx="12">
                  <c:v>40.89458121440974</c:v>
                </c:pt>
                <c:pt idx="13">
                  <c:v>14.927270862498478</c:v>
                </c:pt>
                <c:pt idx="14">
                  <c:v>43.408459159484082</c:v>
                </c:pt>
              </c:numCache>
            </c:numRef>
          </c:val>
          <c:extLst>
            <c:ext xmlns:c16="http://schemas.microsoft.com/office/drawing/2014/chart" uri="{C3380CC4-5D6E-409C-BE32-E72D297353CC}">
              <c16:uniqueId val="{00000000-DEC5-4ED9-A9A9-7EF233F3D1F6}"/>
            </c:ext>
          </c:extLst>
        </c:ser>
        <c:ser>
          <c:idx val="1"/>
          <c:order val="1"/>
          <c:tx>
            <c:v>Duration (weeks)</c:v>
          </c:tx>
          <c:spPr>
            <a:solidFill>
              <a:srgbClr val="0E4F92"/>
            </a:solidFill>
            <a:ln>
              <a:noFill/>
              <a:prstDash val="solid"/>
            </a:ln>
          </c:spPr>
          <c:invertIfNegative val="1"/>
          <c:cat>
            <c:strRef>
              <c:f>Network!$C$30:$C$44</c:f>
              <c:strCache>
                <c:ptCount val="15"/>
                <c:pt idx="0">
                  <c:v>Design and approvals</c:v>
                </c:pt>
                <c:pt idx="1">
                  <c:v>Site set-up and traffic management</c:v>
                </c:pt>
                <c:pt idx="2">
                  <c:v>Demolish the old bridge</c:v>
                </c:pt>
                <c:pt idx="3">
                  <c:v>North abutment piling</c:v>
                </c:pt>
                <c:pt idx="4">
                  <c:v>South abutment piling</c:v>
                </c:pt>
                <c:pt idx="5">
                  <c:v>River pier</c:v>
                </c:pt>
                <c:pt idx="6">
                  <c:v>Fabricate steel girders (off site)</c:v>
                </c:pt>
                <c:pt idx="7">
                  <c:v>North abutment walls</c:v>
                </c:pt>
                <c:pt idx="8">
                  <c:v>South abutment walls</c:v>
                </c:pt>
                <c:pt idx="9">
                  <c:v>Deliver and erect girders</c:v>
                </c:pt>
                <c:pt idx="10">
                  <c:v>Deck slab</c:v>
                </c:pt>
                <c:pt idx="11">
                  <c:v>Waterproofing and surfacing</c:v>
                </c:pt>
                <c:pt idx="12">
                  <c:v>Parapets and finishes</c:v>
                </c:pt>
                <c:pt idx="13">
                  <c:v>Approach road tie-ins</c:v>
                </c:pt>
                <c:pt idx="14">
                  <c:v>Testing and opening</c:v>
                </c:pt>
              </c:strCache>
            </c:strRef>
          </c:cat>
          <c:val>
            <c:numRef>
              <c:f>Network!$D$30:$D$44</c:f>
              <c:numCache>
                <c:formatCode>#,##0.0_);\(#,##0.0\);"–"_)</c:formatCode>
                <c:ptCount val="15"/>
                <c:pt idx="0">
                  <c:v>11.598555271046601</c:v>
                </c:pt>
                <c:pt idx="1">
                  <c:v>3.3287155914518776</c:v>
                </c:pt>
                <c:pt idx="2">
                  <c:v>4.7501733148669532</c:v>
                </c:pt>
                <c:pt idx="3">
                  <c:v>7.8087917912907825</c:v>
                </c:pt>
                <c:pt idx="4">
                  <c:v>9.4789170129550229</c:v>
                </c:pt>
                <c:pt idx="5">
                  <c:v>12.558102774384377</c:v>
                </c:pt>
                <c:pt idx="6">
                  <c:v>14.592216350081415</c:v>
                </c:pt>
                <c:pt idx="7">
                  <c:v>3.5561115693979488</c:v>
                </c:pt>
                <c:pt idx="8">
                  <c:v>4.1259372021408973</c:v>
                </c:pt>
                <c:pt idx="9">
                  <c:v>2.3254896709676958</c:v>
                </c:pt>
                <c:pt idx="10">
                  <c:v>5.2867931509806887</c:v>
                </c:pt>
                <c:pt idx="11">
                  <c:v>2.5138779450743449</c:v>
                </c:pt>
                <c:pt idx="12">
                  <c:v>2.0753303007780324</c:v>
                </c:pt>
                <c:pt idx="13">
                  <c:v>4.276137040744322</c:v>
                </c:pt>
                <c:pt idx="14">
                  <c:v>1.2292119419956793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DEC5-4ED9-A9A9-7EF233F3D1F6}"/>
            </c:ext>
          </c:extLst>
        </c:ser>
        <c:dLbls>
          <c:showLegendKey val="0"/>
          <c:showVal val="0"/>
          <c:showCatName val="0"/>
          <c:showSerName val="0"/>
          <c:showPercent val="0"/>
          <c:showBubbleSize val="0"/>
        </c:dLbls>
        <c:gapWidth val="40"/>
        <c:overlap val="100"/>
        <c:axId val="10"/>
        <c:axId val="100"/>
      </c:barChart>
      <c:catAx>
        <c:axId val="10"/>
        <c:scaling>
          <c:orientation val="maxMin"/>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title>
          <c:tx>
            <c:rich>
              <a:bodyPr/>
              <a:lstStyle/>
              <a:p>
                <a:pPr>
                  <a:defRPr/>
                </a:pPr>
                <a:r>
                  <a:rPr lang="en-US"/>
                  <a:t>Weeks from the start</a:t>
                </a:r>
              </a:p>
            </c:rich>
          </c:tx>
          <c:overlay val="0"/>
        </c:title>
        <c:numFmt formatCode="0" sourceLinked="0"/>
        <c:majorTickMark val="none"/>
        <c:minorTickMark val="none"/>
        <c:tickLblPos val="nextTo"/>
        <c:crossAx val="10"/>
        <c:crosses val="max"/>
        <c:crossBetween val="between"/>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Completion</c:v>
          </c:tx>
          <c:spPr>
            <a:ln w="25400">
              <a:solidFill>
                <a:srgbClr val="0E4F92"/>
              </a:solidFill>
              <a:prstDash val="solid"/>
            </a:ln>
          </c:spPr>
          <c:marker>
            <c:symbol val="none"/>
          </c:marker>
          <c:xVal>
            <c:numRef>
              <c:f>Results!$D$79:$D$128</c:f>
              <c:numCache>
                <c:formatCode>#,##0.00</c:formatCode>
                <c:ptCount val="50"/>
                <c:pt idx="0">
                  <c:v>38.645177427762668</c:v>
                </c:pt>
                <c:pt idx="1">
                  <c:v>39.498353092374174</c:v>
                </c:pt>
                <c:pt idx="2">
                  <c:v>39.969215777900196</c:v>
                </c:pt>
                <c:pt idx="3">
                  <c:v>40.290247086893785</c:v>
                </c:pt>
                <c:pt idx="4">
                  <c:v>40.549903596220638</c:v>
                </c:pt>
                <c:pt idx="5">
                  <c:v>40.841547844613551</c:v>
                </c:pt>
                <c:pt idx="6">
                  <c:v>41.044440067427914</c:v>
                </c:pt>
                <c:pt idx="7">
                  <c:v>41.215215140204677</c:v>
                </c:pt>
                <c:pt idx="8">
                  <c:v>41.414731584433341</c:v>
                </c:pt>
                <c:pt idx="9">
                  <c:v>41.568598132595469</c:v>
                </c:pt>
                <c:pt idx="10">
                  <c:v>41.723508175838752</c:v>
                </c:pt>
                <c:pt idx="11">
                  <c:v>41.877764219736704</c:v>
                </c:pt>
                <c:pt idx="12">
                  <c:v>42.015750323029678</c:v>
                </c:pt>
                <c:pt idx="13">
                  <c:v>42.170203727647532</c:v>
                </c:pt>
                <c:pt idx="14">
                  <c:v>42.291399384893353</c:v>
                </c:pt>
                <c:pt idx="15">
                  <c:v>42.396102350162984</c:v>
                </c:pt>
                <c:pt idx="16">
                  <c:v>42.517772226265109</c:v>
                </c:pt>
                <c:pt idx="17">
                  <c:v>42.629527389475314</c:v>
                </c:pt>
                <c:pt idx="18">
                  <c:v>42.767018525866</c:v>
                </c:pt>
                <c:pt idx="19">
                  <c:v>42.888719157318093</c:v>
                </c:pt>
                <c:pt idx="20">
                  <c:v>43.013778324887177</c:v>
                </c:pt>
                <c:pt idx="21">
                  <c:v>43.123107150725197</c:v>
                </c:pt>
                <c:pt idx="22">
                  <c:v>43.231946424396902</c:v>
                </c:pt>
                <c:pt idx="23">
                  <c:v>43.343927952940994</c:v>
                </c:pt>
                <c:pt idx="24">
                  <c:v>43.477957064849981</c:v>
                </c:pt>
                <c:pt idx="25">
                  <c:v>43.58717236481705</c:v>
                </c:pt>
                <c:pt idx="26">
                  <c:v>43.710448537720318</c:v>
                </c:pt>
                <c:pt idx="27">
                  <c:v>43.817662750068493</c:v>
                </c:pt>
                <c:pt idx="28">
                  <c:v>43.938285583820957</c:v>
                </c:pt>
                <c:pt idx="29">
                  <c:v>44.072126093791155</c:v>
                </c:pt>
                <c:pt idx="30">
                  <c:v>44.208180445819487</c:v>
                </c:pt>
                <c:pt idx="31">
                  <c:v>44.351866284941799</c:v>
                </c:pt>
                <c:pt idx="32">
                  <c:v>44.472057476690644</c:v>
                </c:pt>
                <c:pt idx="33">
                  <c:v>44.600218375696102</c:v>
                </c:pt>
                <c:pt idx="34">
                  <c:v>44.732700641412798</c:v>
                </c:pt>
                <c:pt idx="35">
                  <c:v>44.886483762451292</c:v>
                </c:pt>
                <c:pt idx="36">
                  <c:v>45.039325605813147</c:v>
                </c:pt>
                <c:pt idx="37">
                  <c:v>45.193546439494369</c:v>
                </c:pt>
                <c:pt idx="38">
                  <c:v>45.351198921840052</c:v>
                </c:pt>
                <c:pt idx="39">
                  <c:v>45.499853186329112</c:v>
                </c:pt>
                <c:pt idx="40">
                  <c:v>45.675923125103822</c:v>
                </c:pt>
                <c:pt idx="41">
                  <c:v>45.876355561063875</c:v>
                </c:pt>
                <c:pt idx="42">
                  <c:v>46.066632066198515</c:v>
                </c:pt>
                <c:pt idx="43">
                  <c:v>46.295749812580965</c:v>
                </c:pt>
                <c:pt idx="44">
                  <c:v>46.555128327729562</c:v>
                </c:pt>
                <c:pt idx="45">
                  <c:v>46.877549174975606</c:v>
                </c:pt>
                <c:pt idx="46">
                  <c:v>47.222848055756174</c:v>
                </c:pt>
                <c:pt idx="47">
                  <c:v>47.629467122919785</c:v>
                </c:pt>
                <c:pt idx="48">
                  <c:v>48.279918959451948</c:v>
                </c:pt>
                <c:pt idx="49">
                  <c:v>49.342089018475932</c:v>
                </c:pt>
              </c:numCache>
            </c:numRef>
          </c:xVal>
          <c:yVal>
            <c:numRef>
              <c:f>Results!$B$79:$B$128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453B-44E8-ACBD-4D3F12B698E7}"/>
            </c:ext>
          </c:extLst>
        </c:ser>
        <c:dLbls>
          <c:showLegendKey val="0"/>
          <c:showVal val="0"/>
          <c:showCatName val="0"/>
          <c:showSerName val="0"/>
          <c:showPercent val="0"/>
          <c:showBubbleSize val="0"/>
        </c:dLbls>
        <c:axId val="10"/>
        <c:axId val="20"/>
      </c:scatterChart>
      <c:valAx>
        <c:axId val="10"/>
        <c:scaling>
          <c:orientation val="minMax"/>
          <c:min val="35"/>
        </c:scaling>
        <c:delete val="0"/>
        <c:axPos val="b"/>
        <c:title>
          <c:tx>
            <c:rich>
              <a:bodyPr/>
              <a:lstStyle/>
              <a:p>
                <a:pPr>
                  <a:defRPr/>
                </a:pPr>
                <a:r>
                  <a:rPr lang="en-US"/>
                  <a:t>Weeks from the start</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Results!$B$132:$B$147</c:f>
              <c:strCache>
                <c:ptCount val="16"/>
                <c:pt idx="0">
                  <c:v>A  Design and approvals</c:v>
                </c:pt>
                <c:pt idx="1">
                  <c:v>K  Deck slab</c:v>
                </c:pt>
                <c:pt idx="2">
                  <c:v>C  Demolish the old bridge</c:v>
                </c:pt>
                <c:pt idx="3">
                  <c:v>E  South abutment piling</c:v>
                </c:pt>
                <c:pt idx="4">
                  <c:v>F  River pier</c:v>
                </c:pt>
                <c:pt idx="5">
                  <c:v>J  Deliver and erect girders</c:v>
                </c:pt>
                <c:pt idx="6">
                  <c:v>B  Site set-up and traffic management</c:v>
                </c:pt>
                <c:pt idx="7">
                  <c:v>L  Waterproofing and surfacing</c:v>
                </c:pt>
                <c:pt idx="8">
                  <c:v>D  North abutment piling</c:v>
                </c:pt>
                <c:pt idx="9">
                  <c:v>Flood delay</c:v>
                </c:pt>
                <c:pt idx="10">
                  <c:v>H  North abutment walls</c:v>
                </c:pt>
                <c:pt idx="11">
                  <c:v>I  South abutment walls</c:v>
                </c:pt>
                <c:pt idx="12">
                  <c:v>O  Testing and opening</c:v>
                </c:pt>
                <c:pt idx="13">
                  <c:v>G  Fabricate steel girders (off site)</c:v>
                </c:pt>
                <c:pt idx="14">
                  <c:v>N  Approach road tie-ins</c:v>
                </c:pt>
                <c:pt idx="15">
                  <c:v>M  Parapets and finishes</c:v>
                </c:pt>
              </c:strCache>
            </c:strRef>
          </c:cat>
          <c:val>
            <c:numRef>
              <c:f>Results!$F$132:$F$147</c:f>
              <c:numCache>
                <c:formatCode>#,##0.0_);\(#,##0.0\);"–"_)</c:formatCode>
                <c:ptCount val="16"/>
                <c:pt idx="0">
                  <c:v>2.7391251415986275</c:v>
                </c:pt>
                <c:pt idx="1">
                  <c:v>1.3617124105378551</c:v>
                </c:pt>
                <c:pt idx="2">
                  <c:v>1.2746533609668589</c:v>
                </c:pt>
                <c:pt idx="3">
                  <c:v>1.6116510771652415</c:v>
                </c:pt>
                <c:pt idx="4">
                  <c:v>1.8331558776866075</c:v>
                </c:pt>
                <c:pt idx="5">
                  <c:v>1.1701898378300584</c:v>
                </c:pt>
                <c:pt idx="6">
                  <c:v>0.99847619549677802</c:v>
                </c:pt>
                <c:pt idx="7">
                  <c:v>1.0405534563850338</c:v>
                </c:pt>
                <c:pt idx="8">
                  <c:v>1.0598666916113899</c:v>
                </c:pt>
                <c:pt idx="9">
                  <c:v>1.1955302708564588</c:v>
                </c:pt>
                <c:pt idx="10">
                  <c:v>0.45069428190229388</c:v>
                </c:pt>
                <c:pt idx="11">
                  <c:v>0.4421618789439492</c:v>
                </c:pt>
                <c:pt idx="12">
                  <c:v>0.26592009721155563</c:v>
                </c:pt>
                <c:pt idx="13">
                  <c:v>0.21819434024815365</c:v>
                </c:pt>
                <c:pt idx="14">
                  <c:v>0.15347648341052178</c:v>
                </c:pt>
                <c:pt idx="15">
                  <c:v>0.12195207472854008</c:v>
                </c:pt>
              </c:numCache>
            </c:numRef>
          </c:val>
          <c:extLst>
            <c:ext xmlns:c16="http://schemas.microsoft.com/office/drawing/2014/chart" uri="{C3380CC4-5D6E-409C-BE32-E72D297353CC}">
              <c16:uniqueId val="{00000000-A220-4538-B5D2-9991461205EE}"/>
            </c:ext>
          </c:extLst>
        </c:ser>
        <c:ser>
          <c:idx val="1"/>
          <c:order val="1"/>
          <c:tx>
            <c:v>Lowest group mean</c:v>
          </c:tx>
          <c:spPr>
            <a:solidFill>
              <a:srgbClr val="B91C1C"/>
            </a:solidFill>
            <a:ln>
              <a:noFill/>
              <a:prstDash val="solid"/>
            </a:ln>
          </c:spPr>
          <c:invertIfNegative val="0"/>
          <c:cat>
            <c:strRef>
              <c:f>Results!$B$132:$B$147</c:f>
              <c:strCache>
                <c:ptCount val="16"/>
                <c:pt idx="0">
                  <c:v>A  Design and approvals</c:v>
                </c:pt>
                <c:pt idx="1">
                  <c:v>K  Deck slab</c:v>
                </c:pt>
                <c:pt idx="2">
                  <c:v>C  Demolish the old bridge</c:v>
                </c:pt>
                <c:pt idx="3">
                  <c:v>E  South abutment piling</c:v>
                </c:pt>
                <c:pt idx="4">
                  <c:v>F  River pier</c:v>
                </c:pt>
                <c:pt idx="5">
                  <c:v>J  Deliver and erect girders</c:v>
                </c:pt>
                <c:pt idx="6">
                  <c:v>B  Site set-up and traffic management</c:v>
                </c:pt>
                <c:pt idx="7">
                  <c:v>L  Waterproofing and surfacing</c:v>
                </c:pt>
                <c:pt idx="8">
                  <c:v>D  North abutment piling</c:v>
                </c:pt>
                <c:pt idx="9">
                  <c:v>Flood delay</c:v>
                </c:pt>
                <c:pt idx="10">
                  <c:v>H  North abutment walls</c:v>
                </c:pt>
                <c:pt idx="11">
                  <c:v>I  South abutment walls</c:v>
                </c:pt>
                <c:pt idx="12">
                  <c:v>O  Testing and opening</c:v>
                </c:pt>
                <c:pt idx="13">
                  <c:v>G  Fabricate steel girders (off site)</c:v>
                </c:pt>
                <c:pt idx="14">
                  <c:v>N  Approach road tie-ins</c:v>
                </c:pt>
                <c:pt idx="15">
                  <c:v>M  Parapets and finishes</c:v>
                </c:pt>
              </c:strCache>
            </c:strRef>
          </c:cat>
          <c:val>
            <c:numRef>
              <c:f>Results!$G$132:$G$147</c:f>
              <c:numCache>
                <c:formatCode>#,##0.0_);\(#,##0.0\);"–"_)</c:formatCode>
                <c:ptCount val="16"/>
                <c:pt idx="0">
                  <c:v>-2.1122159979322532</c:v>
                </c:pt>
                <c:pt idx="1">
                  <c:v>-1.0735266869729969</c:v>
                </c:pt>
                <c:pt idx="2">
                  <c:v>-0.99057006626870248</c:v>
                </c:pt>
                <c:pt idx="3">
                  <c:v>-0.61005035748430458</c:v>
                </c:pt>
                <c:pt idx="4">
                  <c:v>-0.36441209028947696</c:v>
                </c:pt>
                <c:pt idx="5">
                  <c:v>-0.88355130307671459</c:v>
                </c:pt>
                <c:pt idx="6">
                  <c:v>-0.84789871210334411</c:v>
                </c:pt>
                <c:pt idx="7">
                  <c:v>-0.76722363975176933</c:v>
                </c:pt>
                <c:pt idx="8">
                  <c:v>-0.45905683722256185</c:v>
                </c:pt>
                <c:pt idx="9">
                  <c:v>-0.2306389966131519</c:v>
                </c:pt>
                <c:pt idx="10">
                  <c:v>-0.32642728013269817</c:v>
                </c:pt>
                <c:pt idx="11">
                  <c:v>-0.324835400492681</c:v>
                </c:pt>
                <c:pt idx="12">
                  <c:v>-0.21034621476891147</c:v>
                </c:pt>
                <c:pt idx="13">
                  <c:v>-0.13754816283206139</c:v>
                </c:pt>
                <c:pt idx="14">
                  <c:v>-0.15164871639522914</c:v>
                </c:pt>
                <c:pt idx="15">
                  <c:v>-0.18222979338046486</c:v>
                </c:pt>
              </c:numCache>
            </c:numRef>
          </c:val>
          <c:extLst>
            <c:ext xmlns:c16="http://schemas.microsoft.com/office/drawing/2014/chart" uri="{C3380CC4-5D6E-409C-BE32-E72D297353CC}">
              <c16:uniqueId val="{00000001-A220-4538-B5D2-9991461205EE}"/>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47</xdr:row>
      <xdr:rowOff>0</xdr:rowOff>
    </xdr:from>
    <xdr:ext cx="8640000" cy="306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48</xdr:row>
      <xdr:rowOff>0</xdr:rowOff>
    </xdr:from>
    <xdr:ext cx="6263999" cy="360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68" t="s">
        <v>20</v>
      </c>
      <c r="C16" s="69"/>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ht="26.25"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ht="26.25" x14ac:dyDescent="0.45">
      <c r="B64" s="20" t="s">
        <v>77</v>
      </c>
      <c r="C64" s="10" t="s">
        <v>78</v>
      </c>
    </row>
    <row r="65" spans="2:3" x14ac:dyDescent="0.45">
      <c r="B65" s="20" t="s">
        <v>79</v>
      </c>
      <c r="C65" s="10" t="s">
        <v>80</v>
      </c>
    </row>
    <row r="66" spans="2:3" ht="26.25"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ht="16.05" customHeight="1" x14ac:dyDescent="0.45"/>
    <row r="73" spans="2:3" x14ac:dyDescent="0.45">
      <c r="B73" s="70" t="s">
        <v>90</v>
      </c>
      <c r="C73" s="69"/>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Network'!A1" display="Network"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9"/>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30" customHeight="1" x14ac:dyDescent="0.45">
      <c r="B6" s="71" t="s">
        <v>94</v>
      </c>
      <c r="C6" s="69"/>
      <c r="D6" s="69"/>
      <c r="E6" s="69"/>
      <c r="F6" s="69"/>
      <c r="G6" s="69"/>
      <c r="H6" s="69"/>
      <c r="I6" s="69"/>
      <c r="J6" s="69"/>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5"/>
      <c r="G10" s="5"/>
      <c r="H10" s="5"/>
      <c r="I10" s="5"/>
      <c r="J10" s="23" t="s">
        <v>101</v>
      </c>
    </row>
    <row r="11" spans="1:10" x14ac:dyDescent="0.45">
      <c r="B11" s="25" t="s">
        <v>102</v>
      </c>
      <c r="C11" s="26" t="s">
        <v>103</v>
      </c>
      <c r="D11" s="27">
        <v>46447</v>
      </c>
      <c r="E11" s="26" t="s">
        <v>104</v>
      </c>
      <c r="F11" s="28"/>
      <c r="G11" s="28"/>
      <c r="H11" s="28"/>
      <c r="I11" s="28"/>
      <c r="J11" s="29" t="s">
        <v>105</v>
      </c>
    </row>
    <row r="12" spans="1:10" x14ac:dyDescent="0.45">
      <c r="B12" s="25" t="s">
        <v>106</v>
      </c>
      <c r="C12" s="26" t="s">
        <v>107</v>
      </c>
      <c r="D12" s="30">
        <v>44</v>
      </c>
      <c r="E12" s="26" t="s">
        <v>104</v>
      </c>
      <c r="F12" s="28"/>
      <c r="G12" s="28"/>
      <c r="H12" s="28"/>
      <c r="I12" s="28"/>
      <c r="J12" s="29" t="s">
        <v>108</v>
      </c>
    </row>
    <row r="13" spans="1:10" ht="8" customHeight="1" x14ac:dyDescent="0.45"/>
    <row r="14" spans="1:10" ht="22.05" customHeight="1" x14ac:dyDescent="0.5">
      <c r="B14" s="7" t="s">
        <v>109</v>
      </c>
      <c r="C14" s="8"/>
      <c r="D14" s="8"/>
      <c r="E14" s="8"/>
      <c r="F14" s="8"/>
      <c r="G14" s="8"/>
      <c r="H14" s="8"/>
      <c r="I14" s="8"/>
      <c r="J14" s="8"/>
    </row>
    <row r="15" spans="1:10" ht="18" customHeight="1" x14ac:dyDescent="0.45">
      <c r="B15" s="13" t="s">
        <v>110</v>
      </c>
    </row>
    <row r="16" spans="1:10" ht="18" customHeight="1" x14ac:dyDescent="0.45">
      <c r="B16" s="23" t="s">
        <v>97</v>
      </c>
      <c r="C16" s="23" t="s">
        <v>98</v>
      </c>
      <c r="D16" s="24" t="s">
        <v>99</v>
      </c>
      <c r="E16" s="23" t="s">
        <v>100</v>
      </c>
      <c r="F16" s="24" t="s">
        <v>111</v>
      </c>
      <c r="G16" s="24" t="s">
        <v>112</v>
      </c>
      <c r="H16" s="24" t="s">
        <v>113</v>
      </c>
      <c r="I16" s="24" t="s">
        <v>114</v>
      </c>
      <c r="J16" s="23" t="s">
        <v>101</v>
      </c>
    </row>
    <row r="17" spans="2:10" x14ac:dyDescent="0.45">
      <c r="B17" s="25" t="s">
        <v>115</v>
      </c>
      <c r="C17" s="26" t="s">
        <v>116</v>
      </c>
      <c r="D17" s="31">
        <v>0.25</v>
      </c>
      <c r="E17" s="26" t="s">
        <v>104</v>
      </c>
      <c r="F17" s="28"/>
      <c r="G17" s="28"/>
      <c r="H17" s="28"/>
      <c r="I17" s="28"/>
      <c r="J17" s="29" t="s">
        <v>117</v>
      </c>
    </row>
    <row r="18" spans="2:10" x14ac:dyDescent="0.45">
      <c r="B18" s="25" t="s">
        <v>118</v>
      </c>
      <c r="C18" s="26" t="s">
        <v>107</v>
      </c>
      <c r="D18" s="32" cm="1">
        <f t="array" aca="1" ref="D18" ca="1">_xll.VoseInput("Flood delay","weeks")+_xll.VoseRiskEvent(Prob_Flood,_xll.VosePERTObject(F18,G18,H18))</f>
        <v>0</v>
      </c>
      <c r="E18" s="26" t="s">
        <v>119</v>
      </c>
      <c r="F18" s="33">
        <v>2</v>
      </c>
      <c r="G18" s="33">
        <v>3</v>
      </c>
      <c r="H18" s="33">
        <v>6</v>
      </c>
      <c r="I18" s="34" cm="1">
        <f t="array" ref="I18">IF(AND(F18&lt;=G18,G18&lt;=H18,F18&lt;H18),_xll.VoseMean(_xll.VoseRiskEventObject(Prob_Flood,_xll.VosePERTObject(F18,G18,H18))),"✗ range")</f>
        <v>0.83333333333333337</v>
      </c>
      <c r="J18" s="29" t="s">
        <v>120</v>
      </c>
    </row>
    <row r="19" spans="2:10" ht="8" customHeight="1" x14ac:dyDescent="0.45"/>
  </sheetData>
  <mergeCells count="1">
    <mergeCell ref="B6:J6"/>
  </mergeCells>
  <conditionalFormatting sqref="I18">
    <cfRule type="expression" dxfId="6" priority="1">
      <formula>LEFT($I18,1)="✗"</formula>
    </cfRule>
  </conditionalFormatting>
  <dataValidations count="3">
    <dataValidation type="whole" showErrorMessage="1" errorTitle="Whole number" error="Enter a whole number." sqref="D12" xr:uid="{00000000-0002-0000-0100-000000000000}">
      <formula1>0</formula1>
      <formula2>1000000</formula2>
    </dataValidation>
    <dataValidation type="decimal" showErrorMessage="1" errorTitle="Probability" error="Enter a value between 0% and 100%." sqref="D17" xr:uid="{00000000-0002-0000-0100-000001000000}">
      <formula1>0</formula1>
      <formula2>1</formula2>
    </dataValidation>
    <dataValidation type="custom" showErrorMessage="1" errorTitle="PERT range" error="Low must be below High, with Most likely between them." sqref="F18:H18" xr:uid="{00000000-0002-0000-0100-000002000000}">
      <formula1>AND($F18&lt;=$G18,$G18&lt;=$H18,$F18&lt;$H18)</formula1>
    </dataValidation>
  </dataValidations>
  <hyperlinks>
    <hyperlink ref="B4" location="'About'!A1" display="◂  About" xr:uid="{00000000-0004-0000-0100-000000000000}"/>
    <hyperlink ref="J4" location="'Network'!A1" display="Next:  Network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O100"/>
  <sheetViews>
    <sheetView showGridLines="0" workbookViewId="0"/>
  </sheetViews>
  <sheetFormatPr defaultRowHeight="14.25" x14ac:dyDescent="0.45"/>
  <cols>
    <col min="1" max="1" width="2" customWidth="1"/>
    <col min="2" max="2" width="5" customWidth="1"/>
    <col min="3" max="3" width="36" customWidth="1"/>
    <col min="4" max="4" width="11" customWidth="1"/>
    <col min="5" max="5" width="10.46484375" customWidth="1"/>
    <col min="6" max="13" width="8" customWidth="1"/>
    <col min="14" max="14" width="2" customWidth="1"/>
    <col min="15" max="15" width="52" customWidth="1"/>
  </cols>
  <sheetData>
    <row r="1" spans="1:15" ht="6" customHeight="1" x14ac:dyDescent="0.45"/>
    <row r="2" spans="1:15" ht="30" customHeight="1" x14ac:dyDescent="0.45">
      <c r="A2" s="1"/>
      <c r="B2" s="21" t="s">
        <v>0</v>
      </c>
      <c r="C2" s="1"/>
      <c r="D2" s="1"/>
      <c r="E2" s="1"/>
      <c r="F2" s="1"/>
      <c r="G2" s="1"/>
      <c r="H2" s="1"/>
      <c r="I2" s="1"/>
      <c r="J2" s="1"/>
      <c r="K2" s="1"/>
      <c r="L2" s="1"/>
      <c r="M2" s="1"/>
      <c r="N2" s="1"/>
      <c r="O2" s="3" t="s">
        <v>1</v>
      </c>
    </row>
    <row r="3" spans="1:15" ht="20" customHeight="1" x14ac:dyDescent="0.45">
      <c r="A3" s="1"/>
      <c r="B3" s="4" t="s">
        <v>121</v>
      </c>
      <c r="C3" s="1"/>
      <c r="D3" s="1"/>
      <c r="E3" s="1"/>
      <c r="F3" s="1"/>
      <c r="G3" s="1"/>
      <c r="H3" s="1"/>
      <c r="I3" s="1"/>
      <c r="J3" s="1"/>
      <c r="K3" s="1"/>
      <c r="L3" s="1"/>
      <c r="M3" s="1"/>
      <c r="N3" s="1"/>
      <c r="O3" s="1"/>
    </row>
    <row r="4" spans="1:15" ht="20" customHeight="1" x14ac:dyDescent="0.45">
      <c r="A4" s="5"/>
      <c r="B4" s="22" t="s">
        <v>122</v>
      </c>
      <c r="C4" s="5"/>
      <c r="D4" s="5"/>
      <c r="E4" s="5"/>
      <c r="F4" s="5"/>
      <c r="G4" s="5"/>
      <c r="H4" s="5"/>
      <c r="I4" s="5"/>
      <c r="J4" s="5"/>
      <c r="K4" s="5"/>
      <c r="L4" s="5"/>
      <c r="M4" s="5"/>
      <c r="N4" s="5"/>
      <c r="O4" s="6" t="s">
        <v>123</v>
      </c>
    </row>
    <row r="5" spans="1:15" ht="8" customHeight="1" x14ac:dyDescent="0.45"/>
    <row r="6" spans="1:15" ht="22.05" customHeight="1" x14ac:dyDescent="0.5">
      <c r="B6" s="7" t="s">
        <v>124</v>
      </c>
      <c r="C6" s="8"/>
      <c r="D6" s="8"/>
      <c r="E6" s="8"/>
      <c r="F6" s="8"/>
      <c r="G6" s="8"/>
      <c r="H6" s="8"/>
      <c r="I6" s="8"/>
      <c r="J6" s="8"/>
      <c r="K6" s="8"/>
      <c r="L6" s="8"/>
      <c r="M6" s="8"/>
      <c r="N6" s="8"/>
      <c r="O6" s="8"/>
    </row>
    <row r="7" spans="1:15" ht="18" customHeight="1" x14ac:dyDescent="0.45">
      <c r="B7" s="13" t="s">
        <v>125</v>
      </c>
    </row>
    <row r="8" spans="1:15" ht="18" customHeight="1" x14ac:dyDescent="0.45">
      <c r="B8" s="35" t="s">
        <v>126</v>
      </c>
      <c r="C8" s="35" t="s">
        <v>127</v>
      </c>
      <c r="D8" s="35" t="s">
        <v>128</v>
      </c>
      <c r="E8" s="35" t="s">
        <v>129</v>
      </c>
      <c r="F8" s="36"/>
      <c r="G8" s="36"/>
      <c r="H8" s="37" t="s">
        <v>114</v>
      </c>
      <c r="I8" s="36"/>
      <c r="J8" s="36"/>
      <c r="K8" s="36"/>
      <c r="L8" s="36"/>
      <c r="M8" s="36"/>
      <c r="N8" s="36"/>
      <c r="O8" s="35" t="s">
        <v>130</v>
      </c>
    </row>
    <row r="9" spans="1:15" x14ac:dyDescent="0.45">
      <c r="B9" s="38"/>
      <c r="C9" s="38"/>
      <c r="D9" s="38" t="s">
        <v>131</v>
      </c>
      <c r="E9" s="38" t="s">
        <v>111</v>
      </c>
      <c r="F9" s="38" t="s">
        <v>112</v>
      </c>
      <c r="G9" s="38" t="s">
        <v>113</v>
      </c>
      <c r="H9" s="38" t="s">
        <v>132</v>
      </c>
      <c r="I9" s="38"/>
      <c r="J9" s="38"/>
      <c r="K9" s="38"/>
      <c r="L9" s="38"/>
      <c r="M9" s="38"/>
      <c r="N9" s="38"/>
      <c r="O9" s="38"/>
    </row>
    <row r="10" spans="1:15" x14ac:dyDescent="0.45">
      <c r="B10" s="39" t="s">
        <v>133</v>
      </c>
      <c r="C10" s="25" t="s">
        <v>134</v>
      </c>
      <c r="D10" s="26" t="s">
        <v>135</v>
      </c>
      <c r="E10" s="40">
        <v>8</v>
      </c>
      <c r="F10" s="40">
        <v>10</v>
      </c>
      <c r="G10" s="40">
        <v>16</v>
      </c>
      <c r="H10" s="34" cm="1">
        <f t="array" ref="H10">_xll.VoseMean(_xll.VosePERTObject(E10,F10,G10))</f>
        <v>10.666666666666666</v>
      </c>
      <c r="I10" s="28"/>
      <c r="J10" s="28"/>
      <c r="K10" s="28"/>
      <c r="L10" s="28"/>
      <c r="M10" s="28"/>
      <c r="N10" s="28"/>
      <c r="O10" s="26" t="s">
        <v>136</v>
      </c>
    </row>
    <row r="11" spans="1:15" x14ac:dyDescent="0.45">
      <c r="B11" s="39" t="s">
        <v>137</v>
      </c>
      <c r="C11" s="25" t="s">
        <v>138</v>
      </c>
      <c r="D11" s="26" t="s">
        <v>133</v>
      </c>
      <c r="E11" s="40">
        <v>2</v>
      </c>
      <c r="F11" s="40">
        <v>3</v>
      </c>
      <c r="G11" s="40">
        <v>5</v>
      </c>
      <c r="H11" s="34" cm="1">
        <f t="array" ref="H11">_xll.VoseMean(_xll.VosePERTObject(E11,F11,G11))</f>
        <v>3.1666666666666665</v>
      </c>
      <c r="I11" s="28"/>
      <c r="J11" s="28"/>
      <c r="K11" s="28"/>
      <c r="L11" s="28"/>
      <c r="M11" s="28"/>
      <c r="N11" s="28"/>
      <c r="O11" s="26" t="s">
        <v>139</v>
      </c>
    </row>
    <row r="12" spans="1:15" x14ac:dyDescent="0.45">
      <c r="B12" s="39" t="s">
        <v>140</v>
      </c>
      <c r="C12" s="25" t="s">
        <v>141</v>
      </c>
      <c r="D12" s="26" t="s">
        <v>137</v>
      </c>
      <c r="E12" s="40">
        <v>3</v>
      </c>
      <c r="F12" s="40">
        <v>4</v>
      </c>
      <c r="G12" s="40">
        <v>7</v>
      </c>
      <c r="H12" s="34" cm="1">
        <f t="array" ref="H12">_xll.VoseMean(_xll.VosePERTObject(E12,F12,G12))</f>
        <v>4.333333333333333</v>
      </c>
      <c r="I12" s="28"/>
      <c r="J12" s="28"/>
      <c r="K12" s="28"/>
      <c r="L12" s="28"/>
      <c r="M12" s="28"/>
      <c r="N12" s="28"/>
      <c r="O12" s="26" t="s">
        <v>142</v>
      </c>
    </row>
    <row r="13" spans="1:15" x14ac:dyDescent="0.45">
      <c r="B13" s="39" t="s">
        <v>143</v>
      </c>
      <c r="C13" s="25" t="s">
        <v>144</v>
      </c>
      <c r="D13" s="26" t="s">
        <v>140</v>
      </c>
      <c r="E13" s="40">
        <v>5</v>
      </c>
      <c r="F13" s="40">
        <v>7</v>
      </c>
      <c r="G13" s="40">
        <v>11</v>
      </c>
      <c r="H13" s="34" cm="1">
        <f t="array" ref="H13">_xll.VoseMean(_xll.VosePERTObject(E13,F13,G13))</f>
        <v>7.333333333333333</v>
      </c>
      <c r="I13" s="28"/>
      <c r="J13" s="28"/>
      <c r="K13" s="28"/>
      <c r="L13" s="28"/>
      <c r="M13" s="28"/>
      <c r="N13" s="28"/>
      <c r="O13" s="26" t="s">
        <v>145</v>
      </c>
    </row>
    <row r="14" spans="1:15" x14ac:dyDescent="0.45">
      <c r="B14" s="39" t="s">
        <v>146</v>
      </c>
      <c r="C14" s="25" t="s">
        <v>147</v>
      </c>
      <c r="D14" s="26" t="s">
        <v>140</v>
      </c>
      <c r="E14" s="40">
        <v>5</v>
      </c>
      <c r="F14" s="40">
        <v>7</v>
      </c>
      <c r="G14" s="40">
        <v>12</v>
      </c>
      <c r="H14" s="34" cm="1">
        <f t="array" ref="H14">_xll.VoseMean(_xll.VosePERTObject(E14,F14,G14))</f>
        <v>7.5</v>
      </c>
      <c r="I14" s="28"/>
      <c r="J14" s="28"/>
      <c r="K14" s="28"/>
      <c r="L14" s="28"/>
      <c r="M14" s="28"/>
      <c r="N14" s="28"/>
      <c r="O14" s="26" t="s">
        <v>148</v>
      </c>
    </row>
    <row r="15" spans="1:15" x14ac:dyDescent="0.45">
      <c r="B15" s="39" t="s">
        <v>149</v>
      </c>
      <c r="C15" s="25" t="s">
        <v>150</v>
      </c>
      <c r="D15" s="26" t="s">
        <v>140</v>
      </c>
      <c r="E15" s="40">
        <v>6</v>
      </c>
      <c r="F15" s="40">
        <v>9</v>
      </c>
      <c r="G15" s="40">
        <v>14</v>
      </c>
      <c r="H15" s="34" cm="1">
        <f t="array" ref="H15">_xll.VoseMean(_xll.VosePERTObject(E15,F15,G15))</f>
        <v>9.3333333333333339</v>
      </c>
      <c r="I15" s="28"/>
      <c r="J15" s="28"/>
      <c r="K15" s="28"/>
      <c r="L15" s="28"/>
      <c r="M15" s="28"/>
      <c r="N15" s="28"/>
      <c r="O15" s="26" t="s">
        <v>151</v>
      </c>
    </row>
    <row r="16" spans="1:15" x14ac:dyDescent="0.45">
      <c r="B16" s="39" t="s">
        <v>152</v>
      </c>
      <c r="C16" s="25" t="s">
        <v>153</v>
      </c>
      <c r="D16" s="26" t="s">
        <v>133</v>
      </c>
      <c r="E16" s="40">
        <v>10</v>
      </c>
      <c r="F16" s="40">
        <v>14</v>
      </c>
      <c r="G16" s="40">
        <v>20</v>
      </c>
      <c r="H16" s="34" cm="1">
        <f t="array" ref="H16">_xll.VoseMean(_xll.VosePERTObject(E16,F16,G16))</f>
        <v>14.333333333333334</v>
      </c>
      <c r="I16" s="28"/>
      <c r="J16" s="28"/>
      <c r="K16" s="28"/>
      <c r="L16" s="28"/>
      <c r="M16" s="28"/>
      <c r="N16" s="28"/>
      <c r="O16" s="26" t="s">
        <v>154</v>
      </c>
    </row>
    <row r="17" spans="2:15" x14ac:dyDescent="0.45">
      <c r="B17" s="39" t="s">
        <v>155</v>
      </c>
      <c r="C17" s="25" t="s">
        <v>156</v>
      </c>
      <c r="D17" s="26" t="s">
        <v>143</v>
      </c>
      <c r="E17" s="40">
        <v>3</v>
      </c>
      <c r="F17" s="40">
        <v>4</v>
      </c>
      <c r="G17" s="40">
        <v>6</v>
      </c>
      <c r="H17" s="34" cm="1">
        <f t="array" ref="H17">_xll.VoseMean(_xll.VosePERTObject(E17,F17,G17))</f>
        <v>4.166666666666667</v>
      </c>
      <c r="I17" s="28"/>
      <c r="J17" s="28"/>
      <c r="K17" s="28"/>
      <c r="L17" s="28"/>
      <c r="M17" s="28"/>
      <c r="N17" s="28"/>
      <c r="O17" s="26"/>
    </row>
    <row r="18" spans="2:15" x14ac:dyDescent="0.45">
      <c r="B18" s="39" t="s">
        <v>157</v>
      </c>
      <c r="C18" s="25" t="s">
        <v>158</v>
      </c>
      <c r="D18" s="26" t="s">
        <v>146</v>
      </c>
      <c r="E18" s="40">
        <v>3</v>
      </c>
      <c r="F18" s="40">
        <v>4</v>
      </c>
      <c r="G18" s="40">
        <v>6</v>
      </c>
      <c r="H18" s="34" cm="1">
        <f t="array" ref="H18">_xll.VoseMean(_xll.VosePERTObject(E18,F18,G18))</f>
        <v>4.166666666666667</v>
      </c>
      <c r="I18" s="28"/>
      <c r="J18" s="28"/>
      <c r="K18" s="28"/>
      <c r="L18" s="28"/>
      <c r="M18" s="28"/>
      <c r="N18" s="28"/>
      <c r="O18" s="26"/>
    </row>
    <row r="19" spans="2:15" x14ac:dyDescent="0.45">
      <c r="B19" s="39" t="s">
        <v>159</v>
      </c>
      <c r="C19" s="25" t="s">
        <v>160</v>
      </c>
      <c r="D19" s="26" t="s">
        <v>161</v>
      </c>
      <c r="E19" s="40">
        <v>2</v>
      </c>
      <c r="F19" s="40">
        <v>3</v>
      </c>
      <c r="G19" s="40">
        <v>5</v>
      </c>
      <c r="H19" s="34" cm="1">
        <f t="array" ref="H19">_xll.VoseMean(_xll.VosePERTObject(E19,F19,G19))</f>
        <v>3.1666666666666665</v>
      </c>
      <c r="I19" s="28"/>
      <c r="J19" s="28"/>
      <c r="K19" s="28"/>
      <c r="L19" s="28"/>
      <c r="M19" s="28"/>
      <c r="N19" s="28"/>
      <c r="O19" s="26" t="s">
        <v>162</v>
      </c>
    </row>
    <row r="20" spans="2:15" x14ac:dyDescent="0.45">
      <c r="B20" s="39" t="s">
        <v>163</v>
      </c>
      <c r="C20" s="25" t="s">
        <v>164</v>
      </c>
      <c r="D20" s="26" t="s">
        <v>159</v>
      </c>
      <c r="E20" s="40">
        <v>4</v>
      </c>
      <c r="F20" s="40">
        <v>5</v>
      </c>
      <c r="G20" s="40">
        <v>8</v>
      </c>
      <c r="H20" s="34" cm="1">
        <f t="array" ref="H20">_xll.VoseMean(_xll.VosePERTObject(E20,F20,G20))</f>
        <v>5.333333333333333</v>
      </c>
      <c r="I20" s="28"/>
      <c r="J20" s="28"/>
      <c r="K20" s="28"/>
      <c r="L20" s="28"/>
      <c r="M20" s="28"/>
      <c r="N20" s="28"/>
      <c r="O20" s="26"/>
    </row>
    <row r="21" spans="2:15" x14ac:dyDescent="0.45">
      <c r="B21" s="39" t="s">
        <v>165</v>
      </c>
      <c r="C21" s="25" t="s">
        <v>166</v>
      </c>
      <c r="D21" s="26" t="s">
        <v>163</v>
      </c>
      <c r="E21" s="40">
        <v>2</v>
      </c>
      <c r="F21" s="40">
        <v>3</v>
      </c>
      <c r="G21" s="40">
        <v>5</v>
      </c>
      <c r="H21" s="34" cm="1">
        <f t="array" ref="H21">_xll.VoseMean(_xll.VosePERTObject(E21,F21,G21))</f>
        <v>3.1666666666666665</v>
      </c>
      <c r="I21" s="28"/>
      <c r="J21" s="28"/>
      <c r="K21" s="28"/>
      <c r="L21" s="28"/>
      <c r="M21" s="28"/>
      <c r="N21" s="28"/>
      <c r="O21" s="26"/>
    </row>
    <row r="22" spans="2:15" x14ac:dyDescent="0.45">
      <c r="B22" s="39" t="s">
        <v>167</v>
      </c>
      <c r="C22" s="25" t="s">
        <v>168</v>
      </c>
      <c r="D22" s="26" t="s">
        <v>163</v>
      </c>
      <c r="E22" s="40">
        <v>2</v>
      </c>
      <c r="F22" s="40">
        <v>2</v>
      </c>
      <c r="G22" s="40">
        <v>4</v>
      </c>
      <c r="H22" s="34" cm="1">
        <f t="array" ref="H22">_xll.VoseMean(_xll.VosePERTObject(E22,F22,G22))</f>
        <v>2.3333333333333335</v>
      </c>
      <c r="I22" s="28"/>
      <c r="J22" s="28"/>
      <c r="K22" s="28"/>
      <c r="L22" s="28"/>
      <c r="M22" s="28"/>
      <c r="N22" s="28"/>
      <c r="O22" s="26"/>
    </row>
    <row r="23" spans="2:15" x14ac:dyDescent="0.45">
      <c r="B23" s="39" t="s">
        <v>169</v>
      </c>
      <c r="C23" s="25" t="s">
        <v>170</v>
      </c>
      <c r="D23" s="26" t="s">
        <v>137</v>
      </c>
      <c r="E23" s="40">
        <v>3</v>
      </c>
      <c r="F23" s="40">
        <v>4</v>
      </c>
      <c r="G23" s="40">
        <v>6</v>
      </c>
      <c r="H23" s="34" cm="1">
        <f t="array" ref="H23">_xll.VoseMean(_xll.VosePERTObject(E23,F23,G23))</f>
        <v>4.166666666666667</v>
      </c>
      <c r="I23" s="28"/>
      <c r="J23" s="28"/>
      <c r="K23" s="28"/>
      <c r="L23" s="28"/>
      <c r="M23" s="28"/>
      <c r="N23" s="28"/>
      <c r="O23" s="26" t="s">
        <v>171</v>
      </c>
    </row>
    <row r="24" spans="2:15" x14ac:dyDescent="0.45">
      <c r="B24" s="39" t="s">
        <v>172</v>
      </c>
      <c r="C24" s="25" t="s">
        <v>173</v>
      </c>
      <c r="D24" s="26" t="s">
        <v>174</v>
      </c>
      <c r="E24" s="40">
        <v>1</v>
      </c>
      <c r="F24" s="40">
        <v>1</v>
      </c>
      <c r="G24" s="40">
        <v>2</v>
      </c>
      <c r="H24" s="34" cm="1">
        <f t="array" ref="H24">_xll.VoseMean(_xll.VosePERTObject(E24,F24,G24))</f>
        <v>1.1666666666666667</v>
      </c>
      <c r="I24" s="28"/>
      <c r="J24" s="28"/>
      <c r="K24" s="28"/>
      <c r="L24" s="28"/>
      <c r="M24" s="28"/>
      <c r="N24" s="28"/>
      <c r="O24" s="26" t="s">
        <v>175</v>
      </c>
    </row>
    <row r="25" spans="2:15" ht="8" customHeight="1" x14ac:dyDescent="0.45"/>
    <row r="26" spans="2:15" ht="22.05" customHeight="1" x14ac:dyDescent="0.5">
      <c r="B26" s="7" t="s">
        <v>176</v>
      </c>
      <c r="C26" s="8"/>
      <c r="D26" s="8"/>
      <c r="E26" s="8"/>
      <c r="F26" s="8"/>
      <c r="G26" s="8"/>
      <c r="H26" s="8"/>
      <c r="I26" s="8"/>
      <c r="J26" s="8"/>
      <c r="K26" s="8"/>
      <c r="L26" s="8"/>
      <c r="M26" s="8"/>
      <c r="N26" s="8"/>
      <c r="O26" s="8"/>
    </row>
    <row r="27" spans="2:15" ht="18" customHeight="1" x14ac:dyDescent="0.45">
      <c r="B27" s="13" t="s">
        <v>177</v>
      </c>
    </row>
    <row r="28" spans="2:15" ht="18" customHeight="1" x14ac:dyDescent="0.45">
      <c r="B28" s="35" t="s">
        <v>126</v>
      </c>
      <c r="C28" s="35" t="s">
        <v>127</v>
      </c>
      <c r="D28" s="37" t="s">
        <v>178</v>
      </c>
      <c r="E28" s="37" t="s">
        <v>179</v>
      </c>
      <c r="F28" s="37" t="s">
        <v>180</v>
      </c>
      <c r="G28" s="37" t="s">
        <v>181</v>
      </c>
      <c r="H28" s="37" t="s">
        <v>182</v>
      </c>
      <c r="I28" s="37" t="s">
        <v>183</v>
      </c>
      <c r="J28" s="37" t="s">
        <v>184</v>
      </c>
      <c r="K28" s="36"/>
      <c r="L28" s="36"/>
      <c r="M28" s="36"/>
      <c r="N28" s="36"/>
      <c r="O28" s="35" t="s">
        <v>185</v>
      </c>
    </row>
    <row r="29" spans="2:15" x14ac:dyDescent="0.45">
      <c r="B29" s="38"/>
      <c r="C29" s="38"/>
      <c r="D29" s="38" t="s">
        <v>186</v>
      </c>
      <c r="E29" s="38"/>
      <c r="F29" s="38"/>
      <c r="G29" s="38"/>
      <c r="H29" s="38"/>
      <c r="I29" s="38"/>
      <c r="J29" s="38" t="s">
        <v>187</v>
      </c>
      <c r="K29" s="38"/>
      <c r="L29" s="38"/>
      <c r="M29" s="38"/>
      <c r="N29" s="38"/>
      <c r="O29" s="38"/>
    </row>
    <row r="30" spans="2:15" x14ac:dyDescent="0.45">
      <c r="B30" s="39" t="s">
        <v>133</v>
      </c>
      <c r="C30" s="25" t="str">
        <f t="shared" ref="C30:C44" si="0">C10</f>
        <v>Design and approvals</v>
      </c>
      <c r="D30" s="32" cm="1">
        <f t="array" aca="1" ref="D30" ca="1">_xll.VoseInput("A  Design and approvals","weeks")+_xll.VosePERT(E10,F10,G10)</f>
        <v>11.598555271046601</v>
      </c>
      <c r="E30" s="34">
        <f>0</f>
        <v>0</v>
      </c>
      <c r="F30" s="34">
        <f t="shared" ref="F30:F44" ca="1" si="1">E30+D30</f>
        <v>11.598555271046601</v>
      </c>
      <c r="G30" s="34">
        <f t="shared" ref="G30:G44" ca="1" si="2">H30-D30</f>
        <v>0</v>
      </c>
      <c r="H30" s="34">
        <f ca="1">MIN(G31,G36)</f>
        <v>11.598555271046607</v>
      </c>
      <c r="I30" s="34">
        <f t="shared" ref="I30:I44" ca="1" si="3">G30-E30</f>
        <v>0</v>
      </c>
      <c r="J30" s="41" cm="1">
        <f t="array" aca="1" ref="J30" ca="1">_xll.VoseOutput("Critical A","1 = yes")+IF(I30&lt;0.0001,1,0)</f>
        <v>1</v>
      </c>
      <c r="K30" s="28"/>
      <c r="L30" s="28"/>
      <c r="M30" s="28"/>
      <c r="N30" s="28"/>
      <c r="O30" s="26" t="s">
        <v>188</v>
      </c>
    </row>
    <row r="31" spans="2:15" x14ac:dyDescent="0.45">
      <c r="B31" s="39" t="s">
        <v>137</v>
      </c>
      <c r="C31" s="25" t="str">
        <f t="shared" si="0"/>
        <v>Site set-up and traffic management</v>
      </c>
      <c r="D31" s="32" cm="1">
        <f t="array" aca="1" ref="D31" ca="1">_xll.VoseInput("B  Site set-up and traffic management","weeks")+_xll.VosePERT(E11,F11,G11)</f>
        <v>3.3287155914518776</v>
      </c>
      <c r="E31" s="34">
        <f ca="1">F30</f>
        <v>11.598555271046601</v>
      </c>
      <c r="F31" s="34">
        <f t="shared" ca="1" si="1"/>
        <v>14.927270862498478</v>
      </c>
      <c r="G31" s="34">
        <f t="shared" ca="1" si="2"/>
        <v>11.598555271046607</v>
      </c>
      <c r="H31" s="34">
        <f ca="1">MIN(G32,G43)</f>
        <v>14.927270862498485</v>
      </c>
      <c r="I31" s="34">
        <f t="shared" ca="1" si="3"/>
        <v>0</v>
      </c>
      <c r="J31" s="41" cm="1">
        <f t="array" aca="1" ref="J31" ca="1">_xll.VoseOutput("Critical B","1 = yes")+IF(I31&lt;0.0001,1,0)</f>
        <v>1</v>
      </c>
      <c r="K31" s="28"/>
      <c r="L31" s="28"/>
      <c r="M31" s="28"/>
      <c r="N31" s="28"/>
      <c r="O31" s="26" t="s">
        <v>189</v>
      </c>
    </row>
    <row r="32" spans="2:15" x14ac:dyDescent="0.45">
      <c r="B32" s="39" t="s">
        <v>140</v>
      </c>
      <c r="C32" s="25" t="str">
        <f t="shared" si="0"/>
        <v>Demolish the old bridge</v>
      </c>
      <c r="D32" s="32" cm="1">
        <f t="array" aca="1" ref="D32" ca="1">_xll.VoseInput("C  Demolish the old bridge","weeks")+_xll.VosePERT(E12,F12,G12)</f>
        <v>4.7501733148669532</v>
      </c>
      <c r="E32" s="34">
        <f ca="1">F31</f>
        <v>14.927270862498478</v>
      </c>
      <c r="F32" s="34">
        <f t="shared" ca="1" si="1"/>
        <v>19.67744417736543</v>
      </c>
      <c r="G32" s="34">
        <f t="shared" ca="1" si="2"/>
        <v>14.927270862498485</v>
      </c>
      <c r="H32" s="34">
        <f ca="1">MIN(G33,G34,G35)</f>
        <v>19.677444177365437</v>
      </c>
      <c r="I32" s="34">
        <f t="shared" ca="1" si="3"/>
        <v>0</v>
      </c>
      <c r="J32" s="41" cm="1">
        <f t="array" aca="1" ref="J32" ca="1">_xll.VoseOutput("Critical C","1 = yes")+IF(I32&lt;0.0001,1,0)</f>
        <v>1</v>
      </c>
      <c r="K32" s="28"/>
      <c r="L32" s="28"/>
      <c r="M32" s="28"/>
      <c r="N32" s="28"/>
      <c r="O32" s="26" t="s">
        <v>190</v>
      </c>
    </row>
    <row r="33" spans="2:15" x14ac:dyDescent="0.45">
      <c r="B33" s="39" t="s">
        <v>143</v>
      </c>
      <c r="C33" s="25" t="str">
        <f t="shared" si="0"/>
        <v>North abutment piling</v>
      </c>
      <c r="D33" s="32" cm="1">
        <f t="array" aca="1" ref="D33" ca="1">_xll.VoseInput("D  North abutment piling","weeks")+_xll.VosePERT(E13,F13,G13)</f>
        <v>7.8087917912907825</v>
      </c>
      <c r="E33" s="34">
        <f ca="1">F32</f>
        <v>19.67744417736543</v>
      </c>
      <c r="F33" s="34">
        <f t="shared" ca="1" si="1"/>
        <v>27.486235968656214</v>
      </c>
      <c r="G33" s="34">
        <f t="shared" ca="1" si="2"/>
        <v>21.917395031772624</v>
      </c>
      <c r="H33" s="34">
        <f ca="1">G37</f>
        <v>29.726186823063408</v>
      </c>
      <c r="I33" s="34">
        <f t="shared" ca="1" si="3"/>
        <v>2.2399508544071942</v>
      </c>
      <c r="J33" s="41" cm="1">
        <f t="array" aca="1" ref="J33" ca="1">_xll.VoseOutput("Critical D","1 = yes")+IF(I33&lt;0.0001,1,0)</f>
        <v>0</v>
      </c>
      <c r="K33" s="28"/>
      <c r="L33" s="28"/>
      <c r="M33" s="28"/>
      <c r="N33" s="28"/>
      <c r="O33" s="28"/>
    </row>
    <row r="34" spans="2:15" x14ac:dyDescent="0.45">
      <c r="B34" s="39" t="s">
        <v>146</v>
      </c>
      <c r="C34" s="25" t="str">
        <f t="shared" si="0"/>
        <v>South abutment piling</v>
      </c>
      <c r="D34" s="32" cm="1">
        <f t="array" aca="1" ref="D34" ca="1">_xll.VoseInput("E  South abutment piling","weeks")+_xll.VosePERT(E14,F14,G14)</f>
        <v>9.4789170129550229</v>
      </c>
      <c r="E34" s="34">
        <f ca="1">F32</f>
        <v>19.67744417736543</v>
      </c>
      <c r="F34" s="34">
        <f t="shared" ca="1" si="1"/>
        <v>29.156361190320453</v>
      </c>
      <c r="G34" s="34">
        <f t="shared" ca="1" si="2"/>
        <v>19.677444177365437</v>
      </c>
      <c r="H34" s="34">
        <f ca="1">G38</f>
        <v>29.15636119032046</v>
      </c>
      <c r="I34" s="34">
        <f t="shared" ca="1" si="3"/>
        <v>0</v>
      </c>
      <c r="J34" s="41" cm="1">
        <f t="array" aca="1" ref="J34" ca="1">_xll.VoseOutput("Critical E","1 = yes")+IF(I34&lt;0.0001,1,0)</f>
        <v>1</v>
      </c>
      <c r="K34" s="28"/>
      <c r="L34" s="28"/>
      <c r="M34" s="28"/>
      <c r="N34" s="28"/>
      <c r="O34" s="28"/>
    </row>
    <row r="35" spans="2:15" x14ac:dyDescent="0.45">
      <c r="B35" s="39" t="s">
        <v>149</v>
      </c>
      <c r="C35" s="25" t="str">
        <f t="shared" si="0"/>
        <v>River pier</v>
      </c>
      <c r="D35" s="32" cm="1">
        <f t="array" aca="1" ref="D35" ca="1">_xll.VoseInput("F  River pier","weeks")+_xll.VosePERT(E15,F15,G15)+Flood</f>
        <v>12.558102774384377</v>
      </c>
      <c r="E35" s="34">
        <f ca="1">F32</f>
        <v>19.67744417736543</v>
      </c>
      <c r="F35" s="34">
        <f t="shared" ca="1" si="1"/>
        <v>32.235546951749811</v>
      </c>
      <c r="G35" s="34">
        <f t="shared" ca="1" si="2"/>
        <v>20.72419561807698</v>
      </c>
      <c r="H35" s="34">
        <f ca="1">G39</f>
        <v>33.282298392461357</v>
      </c>
      <c r="I35" s="34">
        <f t="shared" ca="1" si="3"/>
        <v>1.0467514407115495</v>
      </c>
      <c r="J35" s="41" cm="1">
        <f t="array" aca="1" ref="J35" ca="1">_xll.VoseOutput("Critical F","1 = yes")+IF(I35&lt;0.0001,1,0)</f>
        <v>0</v>
      </c>
      <c r="K35" s="28"/>
      <c r="L35" s="28"/>
      <c r="M35" s="28"/>
      <c r="N35" s="28"/>
      <c r="O35" s="26" t="s">
        <v>191</v>
      </c>
    </row>
    <row r="36" spans="2:15" x14ac:dyDescent="0.45">
      <c r="B36" s="39" t="s">
        <v>152</v>
      </c>
      <c r="C36" s="25" t="str">
        <f t="shared" si="0"/>
        <v>Fabricate steel girders (off site)</v>
      </c>
      <c r="D36" s="32" cm="1">
        <f t="array" aca="1" ref="D36" ca="1">_xll.VoseInput("G  Fabricate steel girders (off site)","weeks")+_xll.VosePERT(E16,F16,G16)</f>
        <v>14.592216350081415</v>
      </c>
      <c r="E36" s="34">
        <f ca="1">F30</f>
        <v>11.598555271046601</v>
      </c>
      <c r="F36" s="34">
        <f t="shared" ca="1" si="1"/>
        <v>26.190771621128015</v>
      </c>
      <c r="G36" s="34">
        <f t="shared" ca="1" si="2"/>
        <v>18.690082042379942</v>
      </c>
      <c r="H36" s="34">
        <f ca="1">G39</f>
        <v>33.282298392461357</v>
      </c>
      <c r="I36" s="34">
        <f t="shared" ca="1" si="3"/>
        <v>7.0915267713333403</v>
      </c>
      <c r="J36" s="41" cm="1">
        <f t="array" aca="1" ref="J36" ca="1">_xll.VoseOutput("Critical G","1 = yes")+IF(I36&lt;0.0001,1,0)</f>
        <v>0</v>
      </c>
      <c r="K36" s="28"/>
      <c r="L36" s="28"/>
      <c r="M36" s="28"/>
      <c r="N36" s="28"/>
      <c r="O36" s="28"/>
    </row>
    <row r="37" spans="2:15" x14ac:dyDescent="0.45">
      <c r="B37" s="39" t="s">
        <v>155</v>
      </c>
      <c r="C37" s="25" t="str">
        <f t="shared" si="0"/>
        <v>North abutment walls</v>
      </c>
      <c r="D37" s="32" cm="1">
        <f t="array" aca="1" ref="D37" ca="1">_xll.VoseInput("H  North abutment walls","weeks")+_xll.VosePERT(E17,F17,G17)</f>
        <v>3.5561115693979488</v>
      </c>
      <c r="E37" s="34">
        <f ca="1">F33</f>
        <v>27.486235968656214</v>
      </c>
      <c r="F37" s="34">
        <f t="shared" ca="1" si="1"/>
        <v>31.042347538054162</v>
      </c>
      <c r="G37" s="34">
        <f t="shared" ca="1" si="2"/>
        <v>29.726186823063408</v>
      </c>
      <c r="H37" s="34">
        <f ca="1">G39</f>
        <v>33.282298392461357</v>
      </c>
      <c r="I37" s="34">
        <f t="shared" ca="1" si="3"/>
        <v>2.2399508544071942</v>
      </c>
      <c r="J37" s="41" cm="1">
        <f t="array" aca="1" ref="J37" ca="1">_xll.VoseOutput("Critical H","1 = yes")+IF(I37&lt;0.0001,1,0)</f>
        <v>0</v>
      </c>
      <c r="K37" s="28"/>
      <c r="L37" s="28"/>
      <c r="M37" s="28"/>
      <c r="N37" s="28"/>
      <c r="O37" s="28"/>
    </row>
    <row r="38" spans="2:15" x14ac:dyDescent="0.45">
      <c r="B38" s="39" t="s">
        <v>157</v>
      </c>
      <c r="C38" s="25" t="str">
        <f t="shared" si="0"/>
        <v>South abutment walls</v>
      </c>
      <c r="D38" s="32" cm="1">
        <f t="array" aca="1" ref="D38" ca="1">_xll.VoseInput("I  South abutment walls","weeks")+_xll.VosePERT(E18,F18,G18)</f>
        <v>4.1259372021408973</v>
      </c>
      <c r="E38" s="34">
        <f ca="1">F34</f>
        <v>29.156361190320453</v>
      </c>
      <c r="F38" s="34">
        <f t="shared" ca="1" si="1"/>
        <v>33.28229839246135</v>
      </c>
      <c r="G38" s="34">
        <f t="shared" ca="1" si="2"/>
        <v>29.15636119032046</v>
      </c>
      <c r="H38" s="34">
        <f ca="1">G39</f>
        <v>33.282298392461357</v>
      </c>
      <c r="I38" s="34">
        <f t="shared" ca="1" si="3"/>
        <v>0</v>
      </c>
      <c r="J38" s="41" cm="1">
        <f t="array" aca="1" ref="J38" ca="1">_xll.VoseOutput("Critical I","1 = yes")+IF(I38&lt;0.0001,1,0)</f>
        <v>1</v>
      </c>
      <c r="K38" s="28"/>
      <c r="L38" s="28"/>
      <c r="M38" s="28"/>
      <c r="N38" s="28"/>
      <c r="O38" s="28"/>
    </row>
    <row r="39" spans="2:15" x14ac:dyDescent="0.45">
      <c r="B39" s="39" t="s">
        <v>159</v>
      </c>
      <c r="C39" s="25" t="str">
        <f t="shared" si="0"/>
        <v>Deliver and erect girders</v>
      </c>
      <c r="D39" s="32" cm="1">
        <f t="array" aca="1" ref="D39" ca="1">_xll.VoseInput("J  Deliver and erect girders","weeks")+_xll.VosePERT(E19,F19,G19)</f>
        <v>2.3254896709676958</v>
      </c>
      <c r="E39" s="34">
        <f ca="1">MAX(F35,F36,F37,F38)</f>
        <v>33.28229839246135</v>
      </c>
      <c r="F39" s="34">
        <f t="shared" ca="1" si="1"/>
        <v>35.607788063429048</v>
      </c>
      <c r="G39" s="34">
        <f t="shared" ca="1" si="2"/>
        <v>33.282298392461357</v>
      </c>
      <c r="H39" s="34">
        <f ca="1">G40</f>
        <v>35.607788063429055</v>
      </c>
      <c r="I39" s="34">
        <f t="shared" ca="1" si="3"/>
        <v>0</v>
      </c>
      <c r="J39" s="41" cm="1">
        <f t="array" aca="1" ref="J39" ca="1">_xll.VoseOutput("Critical J","1 = yes")+IF(I39&lt;0.0001,1,0)</f>
        <v>1</v>
      </c>
      <c r="K39" s="28"/>
      <c r="L39" s="28"/>
      <c r="M39" s="28"/>
      <c r="N39" s="28"/>
      <c r="O39" s="28"/>
    </row>
    <row r="40" spans="2:15" x14ac:dyDescent="0.45">
      <c r="B40" s="39" t="s">
        <v>163</v>
      </c>
      <c r="C40" s="25" t="str">
        <f t="shared" si="0"/>
        <v>Deck slab</v>
      </c>
      <c r="D40" s="32" cm="1">
        <f t="array" aca="1" ref="D40" ca="1">_xll.VoseInput("K  Deck slab","weeks")+_xll.VosePERT(E20,F20,G20)</f>
        <v>5.2867931509806887</v>
      </c>
      <c r="E40" s="34">
        <f ca="1">F39</f>
        <v>35.607788063429048</v>
      </c>
      <c r="F40" s="34">
        <f t="shared" ca="1" si="1"/>
        <v>40.89458121440974</v>
      </c>
      <c r="G40" s="34">
        <f t="shared" ca="1" si="2"/>
        <v>35.607788063429055</v>
      </c>
      <c r="H40" s="34">
        <f ca="1">MIN(G41,G42)</f>
        <v>40.89458121440974</v>
      </c>
      <c r="I40" s="34">
        <f t="shared" ca="1" si="3"/>
        <v>0</v>
      </c>
      <c r="J40" s="41" cm="1">
        <f t="array" aca="1" ref="J40" ca="1">_xll.VoseOutput("Critical K","1 = yes")+IF(I40&lt;0.0001,1,0)</f>
        <v>1</v>
      </c>
      <c r="K40" s="28"/>
      <c r="L40" s="28"/>
      <c r="M40" s="28"/>
      <c r="N40" s="28"/>
      <c r="O40" s="28"/>
    </row>
    <row r="41" spans="2:15" x14ac:dyDescent="0.45">
      <c r="B41" s="39" t="s">
        <v>165</v>
      </c>
      <c r="C41" s="25" t="str">
        <f t="shared" si="0"/>
        <v>Waterproofing and surfacing</v>
      </c>
      <c r="D41" s="32" cm="1">
        <f t="array" aca="1" ref="D41" ca="1">_xll.VoseInput("L  Waterproofing and surfacing","weeks")+_xll.VosePERT(E21,F21,G21)</f>
        <v>2.5138779450743449</v>
      </c>
      <c r="E41" s="34">
        <f ca="1">F40</f>
        <v>40.89458121440974</v>
      </c>
      <c r="F41" s="34">
        <f t="shared" ca="1" si="1"/>
        <v>43.408459159484082</v>
      </c>
      <c r="G41" s="34">
        <f t="shared" ca="1" si="2"/>
        <v>40.89458121440974</v>
      </c>
      <c r="H41" s="34">
        <f ca="1">G44</f>
        <v>43.408459159484082</v>
      </c>
      <c r="I41" s="34">
        <f t="shared" ca="1" si="3"/>
        <v>0</v>
      </c>
      <c r="J41" s="41" cm="1">
        <f t="array" aca="1" ref="J41" ca="1">_xll.VoseOutput("Critical L","1 = yes")+IF(I41&lt;0.0001,1,0)</f>
        <v>1</v>
      </c>
      <c r="K41" s="28"/>
      <c r="L41" s="28"/>
      <c r="M41" s="28"/>
      <c r="N41" s="28"/>
      <c r="O41" s="28"/>
    </row>
    <row r="42" spans="2:15" x14ac:dyDescent="0.45">
      <c r="B42" s="39" t="s">
        <v>167</v>
      </c>
      <c r="C42" s="25" t="str">
        <f t="shared" si="0"/>
        <v>Parapets and finishes</v>
      </c>
      <c r="D42" s="32" cm="1">
        <f t="array" aca="1" ref="D42" ca="1">_xll.VoseInput("M  Parapets and finishes","weeks")+_xll.VosePERT(E22,F22,G22)</f>
        <v>2.0753303007780324</v>
      </c>
      <c r="E42" s="34">
        <f ca="1">F40</f>
        <v>40.89458121440974</v>
      </c>
      <c r="F42" s="34">
        <f t="shared" ca="1" si="1"/>
        <v>42.969911515187775</v>
      </c>
      <c r="G42" s="34">
        <f t="shared" ca="1" si="2"/>
        <v>41.333128858706047</v>
      </c>
      <c r="H42" s="34">
        <f ca="1">G44</f>
        <v>43.408459159484082</v>
      </c>
      <c r="I42" s="34">
        <f t="shared" ca="1" si="3"/>
        <v>0.43854764429630677</v>
      </c>
      <c r="J42" s="41" cm="1">
        <f t="array" aca="1" ref="J42" ca="1">_xll.VoseOutput("Critical M","1 = yes")+IF(I42&lt;0.0001,1,0)</f>
        <v>0</v>
      </c>
      <c r="K42" s="28"/>
      <c r="L42" s="28"/>
      <c r="M42" s="28"/>
      <c r="N42" s="28"/>
      <c r="O42" s="28"/>
    </row>
    <row r="43" spans="2:15" x14ac:dyDescent="0.45">
      <c r="B43" s="39" t="s">
        <v>169</v>
      </c>
      <c r="C43" s="25" t="str">
        <f t="shared" si="0"/>
        <v>Approach road tie-ins</v>
      </c>
      <c r="D43" s="32" cm="1">
        <f t="array" aca="1" ref="D43" ca="1">_xll.VoseInput("N  Approach road tie-ins","weeks")+_xll.VosePERT(E23,F23,G23)</f>
        <v>4.276137040744322</v>
      </c>
      <c r="E43" s="34">
        <f ca="1">F31</f>
        <v>14.927270862498478</v>
      </c>
      <c r="F43" s="34">
        <f t="shared" ca="1" si="1"/>
        <v>19.203407903242798</v>
      </c>
      <c r="G43" s="34">
        <f t="shared" ca="1" si="2"/>
        <v>39.132322118739758</v>
      </c>
      <c r="H43" s="34">
        <f ca="1">G44</f>
        <v>43.408459159484082</v>
      </c>
      <c r="I43" s="34">
        <f t="shared" ca="1" si="3"/>
        <v>24.20505125624128</v>
      </c>
      <c r="J43" s="41" cm="1">
        <f t="array" aca="1" ref="J43" ca="1">_xll.VoseOutput("Critical N","1 = yes")+IF(I43&lt;0.0001,1,0)</f>
        <v>0</v>
      </c>
      <c r="K43" s="28"/>
      <c r="L43" s="28"/>
      <c r="M43" s="28"/>
      <c r="N43" s="28"/>
      <c r="O43" s="28"/>
    </row>
    <row r="44" spans="2:15" x14ac:dyDescent="0.45">
      <c r="B44" s="39" t="s">
        <v>172</v>
      </c>
      <c r="C44" s="25" t="str">
        <f t="shared" si="0"/>
        <v>Testing and opening</v>
      </c>
      <c r="D44" s="32" cm="1">
        <f t="array" aca="1" ref="D44" ca="1">_xll.VoseInput("O  Testing and opening","weeks")+_xll.VosePERT(E24,F24,G24)</f>
        <v>1.2292119419956793</v>
      </c>
      <c r="E44" s="34">
        <f ca="1">MAX(F41,F42,F43)</f>
        <v>43.408459159484082</v>
      </c>
      <c r="F44" s="34">
        <f t="shared" ca="1" si="1"/>
        <v>44.637671101479761</v>
      </c>
      <c r="G44" s="34">
        <f t="shared" ca="1" si="2"/>
        <v>43.408459159484082</v>
      </c>
      <c r="H44" s="34">
        <f ca="1">F44</f>
        <v>44.637671101479761</v>
      </c>
      <c r="I44" s="34">
        <f t="shared" ca="1" si="3"/>
        <v>0</v>
      </c>
      <c r="J44" s="41" cm="1">
        <f t="array" aca="1" ref="J44" ca="1">_xll.VoseOutput("Critical O","1 = yes")+IF(I44&lt;0.0001,1,0)</f>
        <v>1</v>
      </c>
      <c r="K44" s="28"/>
      <c r="L44" s="28"/>
      <c r="M44" s="28"/>
      <c r="N44" s="28"/>
      <c r="O44" s="28"/>
    </row>
    <row r="45" spans="2:15" ht="8" customHeight="1" x14ac:dyDescent="0.45"/>
    <row r="46" spans="2:15" ht="22.05" customHeight="1" x14ac:dyDescent="0.5">
      <c r="B46" s="7" t="s">
        <v>192</v>
      </c>
      <c r="C46" s="8"/>
      <c r="D46" s="8"/>
      <c r="E46" s="8"/>
      <c r="F46" s="8"/>
      <c r="G46" s="8"/>
      <c r="H46" s="8"/>
      <c r="I46" s="8"/>
      <c r="J46" s="8"/>
      <c r="K46" s="8"/>
      <c r="L46" s="8"/>
      <c r="M46" s="8"/>
      <c r="N46" s="8"/>
      <c r="O46" s="8"/>
    </row>
    <row r="47" spans="2:15" ht="18" customHeight="1" x14ac:dyDescent="0.45">
      <c r="B47" s="13" t="s">
        <v>193</v>
      </c>
    </row>
    <row r="66" spans="2:15" ht="22.05" customHeight="1" x14ac:dyDescent="0.5">
      <c r="B66" s="7" t="s">
        <v>194</v>
      </c>
      <c r="C66" s="8"/>
      <c r="D66" s="8"/>
      <c r="E66" s="8"/>
      <c r="F66" s="8"/>
      <c r="G66" s="8"/>
      <c r="H66" s="8"/>
      <c r="I66" s="8"/>
      <c r="J66" s="8"/>
      <c r="K66" s="8"/>
      <c r="L66" s="8"/>
      <c r="M66" s="8"/>
      <c r="N66" s="8"/>
      <c r="O66" s="8"/>
    </row>
    <row r="67" spans="2:15" ht="18" customHeight="1" x14ac:dyDescent="0.45">
      <c r="B67" s="13" t="s">
        <v>195</v>
      </c>
    </row>
    <row r="68" spans="2:15" ht="18" customHeight="1" x14ac:dyDescent="0.45">
      <c r="B68" s="35" t="s">
        <v>126</v>
      </c>
      <c r="C68" s="35" t="s">
        <v>127</v>
      </c>
      <c r="D68" s="37" t="s">
        <v>112</v>
      </c>
      <c r="E68" s="37" t="s">
        <v>179</v>
      </c>
      <c r="F68" s="37" t="s">
        <v>180</v>
      </c>
      <c r="G68" s="37" t="s">
        <v>181</v>
      </c>
      <c r="H68" s="37" t="s">
        <v>182</v>
      </c>
      <c r="I68" s="37" t="s">
        <v>184</v>
      </c>
      <c r="J68" s="37" t="s">
        <v>114</v>
      </c>
      <c r="K68" s="37" t="s">
        <v>179</v>
      </c>
      <c r="L68" s="37" t="s">
        <v>180</v>
      </c>
      <c r="M68" s="36"/>
      <c r="N68" s="36"/>
      <c r="O68" s="35" t="s">
        <v>185</v>
      </c>
    </row>
    <row r="69" spans="2:15" x14ac:dyDescent="0.45">
      <c r="B69" s="38"/>
      <c r="C69" s="38"/>
      <c r="D69" s="38" t="s">
        <v>196</v>
      </c>
      <c r="E69" s="38"/>
      <c r="F69" s="38"/>
      <c r="G69" s="38"/>
      <c r="H69" s="38"/>
      <c r="I69" s="38" t="s">
        <v>197</v>
      </c>
      <c r="J69" s="38" t="s">
        <v>196</v>
      </c>
      <c r="K69" s="38"/>
      <c r="L69" s="38"/>
      <c r="M69" s="38"/>
      <c r="N69" s="38"/>
      <c r="O69" s="38"/>
    </row>
    <row r="70" spans="2:15" x14ac:dyDescent="0.45">
      <c r="B70" s="39" t="s">
        <v>133</v>
      </c>
      <c r="C70" s="25" t="str">
        <f t="shared" ref="C70:C84" si="4">C10</f>
        <v>Design and approvals</v>
      </c>
      <c r="D70" s="34">
        <f t="shared" ref="D70:D84" si="5">F10</f>
        <v>10</v>
      </c>
      <c r="E70" s="34">
        <f>0</f>
        <v>0</v>
      </c>
      <c r="F70" s="34">
        <f t="shared" ref="F70:F84" si="6">E70+D70</f>
        <v>10</v>
      </c>
      <c r="G70" s="34">
        <f t="shared" ref="G70:G84" si="7">H70-D70</f>
        <v>0</v>
      </c>
      <c r="H70" s="34">
        <f>MIN(G71,G76)</f>
        <v>10</v>
      </c>
      <c r="I70" s="42">
        <f t="shared" ref="I70:I84" si="8">IF(G70-E70&lt;0.0001,1,0)</f>
        <v>1</v>
      </c>
      <c r="J70" s="34">
        <f>H10</f>
        <v>10.666666666666666</v>
      </c>
      <c r="K70" s="34">
        <f>0</f>
        <v>0</v>
      </c>
      <c r="L70" s="34">
        <f t="shared" ref="L70:L84" si="9">K70+J70</f>
        <v>10.666666666666666</v>
      </c>
      <c r="M70" s="28"/>
      <c r="N70" s="28"/>
      <c r="O70" s="26" t="s">
        <v>198</v>
      </c>
    </row>
    <row r="71" spans="2:15" x14ac:dyDescent="0.45">
      <c r="B71" s="39" t="s">
        <v>137</v>
      </c>
      <c r="C71" s="25" t="str">
        <f t="shared" si="4"/>
        <v>Site set-up and traffic management</v>
      </c>
      <c r="D71" s="34">
        <f t="shared" si="5"/>
        <v>3</v>
      </c>
      <c r="E71" s="34">
        <f>F70</f>
        <v>10</v>
      </c>
      <c r="F71" s="34">
        <f t="shared" si="6"/>
        <v>13</v>
      </c>
      <c r="G71" s="34">
        <f t="shared" si="7"/>
        <v>10</v>
      </c>
      <c r="H71" s="34">
        <f>MIN(G72,G83)</f>
        <v>13</v>
      </c>
      <c r="I71" s="42">
        <f t="shared" si="8"/>
        <v>1</v>
      </c>
      <c r="J71" s="34">
        <f>H11</f>
        <v>3.1666666666666665</v>
      </c>
      <c r="K71" s="34">
        <f>L70</f>
        <v>10.666666666666666</v>
      </c>
      <c r="L71" s="34">
        <f t="shared" si="9"/>
        <v>13.833333333333332</v>
      </c>
      <c r="M71" s="28"/>
      <c r="N71" s="28"/>
      <c r="O71" s="26" t="s">
        <v>199</v>
      </c>
    </row>
    <row r="72" spans="2:15" x14ac:dyDescent="0.45">
      <c r="B72" s="39" t="s">
        <v>140</v>
      </c>
      <c r="C72" s="25" t="str">
        <f t="shared" si="4"/>
        <v>Demolish the old bridge</v>
      </c>
      <c r="D72" s="34">
        <f t="shared" si="5"/>
        <v>4</v>
      </c>
      <c r="E72" s="34">
        <f>F71</f>
        <v>13</v>
      </c>
      <c r="F72" s="34">
        <f t="shared" si="6"/>
        <v>17</v>
      </c>
      <c r="G72" s="34">
        <f t="shared" si="7"/>
        <v>13</v>
      </c>
      <c r="H72" s="34">
        <f>MIN(G73,G74,G75)</f>
        <v>17</v>
      </c>
      <c r="I72" s="42">
        <f t="shared" si="8"/>
        <v>1</v>
      </c>
      <c r="J72" s="34">
        <f>H12</f>
        <v>4.333333333333333</v>
      </c>
      <c r="K72" s="34">
        <f>L71</f>
        <v>13.833333333333332</v>
      </c>
      <c r="L72" s="34">
        <f t="shared" si="9"/>
        <v>18.166666666666664</v>
      </c>
      <c r="M72" s="28"/>
      <c r="N72" s="28"/>
      <c r="O72" s="26" t="s">
        <v>200</v>
      </c>
    </row>
    <row r="73" spans="2:15" x14ac:dyDescent="0.45">
      <c r="B73" s="39" t="s">
        <v>143</v>
      </c>
      <c r="C73" s="25" t="str">
        <f t="shared" si="4"/>
        <v>North abutment piling</v>
      </c>
      <c r="D73" s="34">
        <f t="shared" si="5"/>
        <v>7</v>
      </c>
      <c r="E73" s="34">
        <f>F72</f>
        <v>17</v>
      </c>
      <c r="F73" s="34">
        <f t="shared" si="6"/>
        <v>24</v>
      </c>
      <c r="G73" s="34">
        <f t="shared" si="7"/>
        <v>17</v>
      </c>
      <c r="H73" s="34">
        <f>G77</f>
        <v>24</v>
      </c>
      <c r="I73" s="42">
        <f t="shared" si="8"/>
        <v>1</v>
      </c>
      <c r="J73" s="34">
        <f>H13</f>
        <v>7.333333333333333</v>
      </c>
      <c r="K73" s="34">
        <f>L72</f>
        <v>18.166666666666664</v>
      </c>
      <c r="L73" s="34">
        <f t="shared" si="9"/>
        <v>25.499999999999996</v>
      </c>
      <c r="M73" s="28"/>
      <c r="N73" s="28"/>
      <c r="O73" s="28"/>
    </row>
    <row r="74" spans="2:15" x14ac:dyDescent="0.45">
      <c r="B74" s="39" t="s">
        <v>146</v>
      </c>
      <c r="C74" s="25" t="str">
        <f t="shared" si="4"/>
        <v>South abutment piling</v>
      </c>
      <c r="D74" s="34">
        <f t="shared" si="5"/>
        <v>7</v>
      </c>
      <c r="E74" s="34">
        <f>F72</f>
        <v>17</v>
      </c>
      <c r="F74" s="34">
        <f t="shared" si="6"/>
        <v>24</v>
      </c>
      <c r="G74" s="34">
        <f t="shared" si="7"/>
        <v>17</v>
      </c>
      <c r="H74" s="34">
        <f>G78</f>
        <v>24</v>
      </c>
      <c r="I74" s="42">
        <f t="shared" si="8"/>
        <v>1</v>
      </c>
      <c r="J74" s="34">
        <f>H14</f>
        <v>7.5</v>
      </c>
      <c r="K74" s="34">
        <f>L72</f>
        <v>18.166666666666664</v>
      </c>
      <c r="L74" s="34">
        <f t="shared" si="9"/>
        <v>25.666666666666664</v>
      </c>
      <c r="M74" s="28"/>
      <c r="N74" s="28"/>
      <c r="O74" s="28"/>
    </row>
    <row r="75" spans="2:15" x14ac:dyDescent="0.45">
      <c r="B75" s="39" t="s">
        <v>149</v>
      </c>
      <c r="C75" s="25" t="str">
        <f t="shared" si="4"/>
        <v>River pier</v>
      </c>
      <c r="D75" s="34">
        <f t="shared" si="5"/>
        <v>9</v>
      </c>
      <c r="E75" s="34">
        <f>F72</f>
        <v>17</v>
      </c>
      <c r="F75" s="34">
        <f t="shared" si="6"/>
        <v>26</v>
      </c>
      <c r="G75" s="34">
        <f t="shared" si="7"/>
        <v>19</v>
      </c>
      <c r="H75" s="34">
        <f>G79</f>
        <v>28</v>
      </c>
      <c r="I75" s="42">
        <f t="shared" si="8"/>
        <v>0</v>
      </c>
      <c r="J75" s="34">
        <f>H15+Flood_Mean</f>
        <v>10.166666666666668</v>
      </c>
      <c r="K75" s="34">
        <f>L72</f>
        <v>18.166666666666664</v>
      </c>
      <c r="L75" s="34">
        <f t="shared" si="9"/>
        <v>28.333333333333332</v>
      </c>
      <c r="M75" s="28"/>
      <c r="N75" s="28"/>
      <c r="O75" s="28"/>
    </row>
    <row r="76" spans="2:15" x14ac:dyDescent="0.45">
      <c r="B76" s="39" t="s">
        <v>152</v>
      </c>
      <c r="C76" s="25" t="str">
        <f t="shared" si="4"/>
        <v>Fabricate steel girders (off site)</v>
      </c>
      <c r="D76" s="34">
        <f t="shared" si="5"/>
        <v>14</v>
      </c>
      <c r="E76" s="34">
        <f>F70</f>
        <v>10</v>
      </c>
      <c r="F76" s="34">
        <f t="shared" si="6"/>
        <v>24</v>
      </c>
      <c r="G76" s="34">
        <f t="shared" si="7"/>
        <v>14</v>
      </c>
      <c r="H76" s="34">
        <f>G79</f>
        <v>28</v>
      </c>
      <c r="I76" s="42">
        <f t="shared" si="8"/>
        <v>0</v>
      </c>
      <c r="J76" s="34">
        <f t="shared" ref="J76:J84" si="10">H16</f>
        <v>14.333333333333334</v>
      </c>
      <c r="K76" s="34">
        <f>L70</f>
        <v>10.666666666666666</v>
      </c>
      <c r="L76" s="34">
        <f t="shared" si="9"/>
        <v>25</v>
      </c>
      <c r="M76" s="28"/>
      <c r="N76" s="28"/>
      <c r="O76" s="28"/>
    </row>
    <row r="77" spans="2:15" x14ac:dyDescent="0.45">
      <c r="B77" s="39" t="s">
        <v>155</v>
      </c>
      <c r="C77" s="25" t="str">
        <f t="shared" si="4"/>
        <v>North abutment walls</v>
      </c>
      <c r="D77" s="34">
        <f t="shared" si="5"/>
        <v>4</v>
      </c>
      <c r="E77" s="34">
        <f>F73</f>
        <v>24</v>
      </c>
      <c r="F77" s="34">
        <f t="shared" si="6"/>
        <v>28</v>
      </c>
      <c r="G77" s="34">
        <f t="shared" si="7"/>
        <v>24</v>
      </c>
      <c r="H77" s="34">
        <f>G79</f>
        <v>28</v>
      </c>
      <c r="I77" s="42">
        <f t="shared" si="8"/>
        <v>1</v>
      </c>
      <c r="J77" s="34">
        <f t="shared" si="10"/>
        <v>4.166666666666667</v>
      </c>
      <c r="K77" s="34">
        <f>L73</f>
        <v>25.499999999999996</v>
      </c>
      <c r="L77" s="34">
        <f t="shared" si="9"/>
        <v>29.666666666666664</v>
      </c>
      <c r="M77" s="28"/>
      <c r="N77" s="28"/>
      <c r="O77" s="28"/>
    </row>
    <row r="78" spans="2:15" x14ac:dyDescent="0.45">
      <c r="B78" s="39" t="s">
        <v>157</v>
      </c>
      <c r="C78" s="25" t="str">
        <f t="shared" si="4"/>
        <v>South abutment walls</v>
      </c>
      <c r="D78" s="34">
        <f t="shared" si="5"/>
        <v>4</v>
      </c>
      <c r="E78" s="34">
        <f>F74</f>
        <v>24</v>
      </c>
      <c r="F78" s="34">
        <f t="shared" si="6"/>
        <v>28</v>
      </c>
      <c r="G78" s="34">
        <f t="shared" si="7"/>
        <v>24</v>
      </c>
      <c r="H78" s="34">
        <f>G79</f>
        <v>28</v>
      </c>
      <c r="I78" s="42">
        <f t="shared" si="8"/>
        <v>1</v>
      </c>
      <c r="J78" s="34">
        <f t="shared" si="10"/>
        <v>4.166666666666667</v>
      </c>
      <c r="K78" s="34">
        <f>L74</f>
        <v>25.666666666666664</v>
      </c>
      <c r="L78" s="34">
        <f t="shared" si="9"/>
        <v>29.833333333333332</v>
      </c>
      <c r="M78" s="28"/>
      <c r="N78" s="28"/>
      <c r="O78" s="28"/>
    </row>
    <row r="79" spans="2:15" x14ac:dyDescent="0.45">
      <c r="B79" s="39" t="s">
        <v>159</v>
      </c>
      <c r="C79" s="25" t="str">
        <f t="shared" si="4"/>
        <v>Deliver and erect girders</v>
      </c>
      <c r="D79" s="34">
        <f t="shared" si="5"/>
        <v>3</v>
      </c>
      <c r="E79" s="34">
        <f>MAX(F75,F76,F77,F78)</f>
        <v>28</v>
      </c>
      <c r="F79" s="34">
        <f t="shared" si="6"/>
        <v>31</v>
      </c>
      <c r="G79" s="34">
        <f t="shared" si="7"/>
        <v>28</v>
      </c>
      <c r="H79" s="34">
        <f>G80</f>
        <v>31</v>
      </c>
      <c r="I79" s="42">
        <f t="shared" si="8"/>
        <v>1</v>
      </c>
      <c r="J79" s="34">
        <f t="shared" si="10"/>
        <v>3.1666666666666665</v>
      </c>
      <c r="K79" s="34">
        <f>MAX(L75,L76,L77,L78)</f>
        <v>29.833333333333332</v>
      </c>
      <c r="L79" s="34">
        <f t="shared" si="9"/>
        <v>33</v>
      </c>
      <c r="M79" s="28"/>
      <c r="N79" s="28"/>
      <c r="O79" s="28"/>
    </row>
    <row r="80" spans="2:15" x14ac:dyDescent="0.45">
      <c r="B80" s="39" t="s">
        <v>163</v>
      </c>
      <c r="C80" s="25" t="str">
        <f t="shared" si="4"/>
        <v>Deck slab</v>
      </c>
      <c r="D80" s="34">
        <f t="shared" si="5"/>
        <v>5</v>
      </c>
      <c r="E80" s="34">
        <f>F79</f>
        <v>31</v>
      </c>
      <c r="F80" s="34">
        <f t="shared" si="6"/>
        <v>36</v>
      </c>
      <c r="G80" s="34">
        <f t="shared" si="7"/>
        <v>31</v>
      </c>
      <c r="H80" s="34">
        <f>MIN(G81,G82)</f>
        <v>36</v>
      </c>
      <c r="I80" s="42">
        <f t="shared" si="8"/>
        <v>1</v>
      </c>
      <c r="J80" s="34">
        <f t="shared" si="10"/>
        <v>5.333333333333333</v>
      </c>
      <c r="K80" s="34">
        <f>L79</f>
        <v>33</v>
      </c>
      <c r="L80" s="34">
        <f t="shared" si="9"/>
        <v>38.333333333333336</v>
      </c>
      <c r="M80" s="28"/>
      <c r="N80" s="28"/>
      <c r="O80" s="28"/>
    </row>
    <row r="81" spans="2:15" x14ac:dyDescent="0.45">
      <c r="B81" s="39" t="s">
        <v>165</v>
      </c>
      <c r="C81" s="25" t="str">
        <f t="shared" si="4"/>
        <v>Waterproofing and surfacing</v>
      </c>
      <c r="D81" s="34">
        <f t="shared" si="5"/>
        <v>3</v>
      </c>
      <c r="E81" s="34">
        <f>F80</f>
        <v>36</v>
      </c>
      <c r="F81" s="34">
        <f t="shared" si="6"/>
        <v>39</v>
      </c>
      <c r="G81" s="34">
        <f t="shared" si="7"/>
        <v>36</v>
      </c>
      <c r="H81" s="34">
        <f>G84</f>
        <v>39</v>
      </c>
      <c r="I81" s="42">
        <f t="shared" si="8"/>
        <v>1</v>
      </c>
      <c r="J81" s="34">
        <f t="shared" si="10"/>
        <v>3.1666666666666665</v>
      </c>
      <c r="K81" s="34">
        <f>L80</f>
        <v>38.333333333333336</v>
      </c>
      <c r="L81" s="34">
        <f t="shared" si="9"/>
        <v>41.5</v>
      </c>
      <c r="M81" s="28"/>
      <c r="N81" s="28"/>
      <c r="O81" s="28"/>
    </row>
    <row r="82" spans="2:15" x14ac:dyDescent="0.45">
      <c r="B82" s="39" t="s">
        <v>167</v>
      </c>
      <c r="C82" s="25" t="str">
        <f t="shared" si="4"/>
        <v>Parapets and finishes</v>
      </c>
      <c r="D82" s="34">
        <f t="shared" si="5"/>
        <v>2</v>
      </c>
      <c r="E82" s="34">
        <f>F80</f>
        <v>36</v>
      </c>
      <c r="F82" s="34">
        <f t="shared" si="6"/>
        <v>38</v>
      </c>
      <c r="G82" s="34">
        <f t="shared" si="7"/>
        <v>37</v>
      </c>
      <c r="H82" s="34">
        <f>G84</f>
        <v>39</v>
      </c>
      <c r="I82" s="42">
        <f t="shared" si="8"/>
        <v>0</v>
      </c>
      <c r="J82" s="34">
        <f t="shared" si="10"/>
        <v>2.3333333333333335</v>
      </c>
      <c r="K82" s="34">
        <f>L80</f>
        <v>38.333333333333336</v>
      </c>
      <c r="L82" s="34">
        <f t="shared" si="9"/>
        <v>40.666666666666671</v>
      </c>
      <c r="M82" s="28"/>
      <c r="N82" s="28"/>
      <c r="O82" s="28"/>
    </row>
    <row r="83" spans="2:15" x14ac:dyDescent="0.45">
      <c r="B83" s="39" t="s">
        <v>169</v>
      </c>
      <c r="C83" s="25" t="str">
        <f t="shared" si="4"/>
        <v>Approach road tie-ins</v>
      </c>
      <c r="D83" s="34">
        <f t="shared" si="5"/>
        <v>4</v>
      </c>
      <c r="E83" s="34">
        <f>F71</f>
        <v>13</v>
      </c>
      <c r="F83" s="34">
        <f t="shared" si="6"/>
        <v>17</v>
      </c>
      <c r="G83" s="34">
        <f t="shared" si="7"/>
        <v>35</v>
      </c>
      <c r="H83" s="34">
        <f>G84</f>
        <v>39</v>
      </c>
      <c r="I83" s="42">
        <f t="shared" si="8"/>
        <v>0</v>
      </c>
      <c r="J83" s="34">
        <f t="shared" si="10"/>
        <v>4.166666666666667</v>
      </c>
      <c r="K83" s="34">
        <f>L71</f>
        <v>13.833333333333332</v>
      </c>
      <c r="L83" s="34">
        <f t="shared" si="9"/>
        <v>18</v>
      </c>
      <c r="M83" s="28"/>
      <c r="N83" s="28"/>
      <c r="O83" s="28"/>
    </row>
    <row r="84" spans="2:15" x14ac:dyDescent="0.45">
      <c r="B84" s="39" t="s">
        <v>172</v>
      </c>
      <c r="C84" s="25" t="str">
        <f t="shared" si="4"/>
        <v>Testing and opening</v>
      </c>
      <c r="D84" s="34">
        <f t="shared" si="5"/>
        <v>1</v>
      </c>
      <c r="E84" s="34">
        <f>MAX(F81,F82,F83)</f>
        <v>39</v>
      </c>
      <c r="F84" s="34">
        <f t="shared" si="6"/>
        <v>40</v>
      </c>
      <c r="G84" s="34">
        <f t="shared" si="7"/>
        <v>39</v>
      </c>
      <c r="H84" s="34">
        <f>F84</f>
        <v>40</v>
      </c>
      <c r="I84" s="42">
        <f t="shared" si="8"/>
        <v>1</v>
      </c>
      <c r="J84" s="34">
        <f t="shared" si="10"/>
        <v>1.1666666666666667</v>
      </c>
      <c r="K84" s="34">
        <f>MAX(L81,L82,L83)</f>
        <v>41.5</v>
      </c>
      <c r="L84" s="34">
        <f t="shared" si="9"/>
        <v>42.666666666666664</v>
      </c>
      <c r="M84" s="28"/>
      <c r="N84" s="28"/>
      <c r="O84" s="28"/>
    </row>
    <row r="85" spans="2:15" ht="8" customHeight="1" x14ac:dyDescent="0.45"/>
    <row r="86" spans="2:15" ht="22.05" customHeight="1" x14ac:dyDescent="0.5">
      <c r="B86" s="7" t="s">
        <v>201</v>
      </c>
      <c r="C86" s="8"/>
      <c r="D86" s="8"/>
      <c r="E86" s="8"/>
      <c r="F86" s="8"/>
      <c r="G86" s="8"/>
      <c r="H86" s="8"/>
      <c r="I86" s="8"/>
      <c r="J86" s="8"/>
      <c r="K86" s="8"/>
      <c r="L86" s="8"/>
      <c r="M86" s="8"/>
      <c r="N86" s="8"/>
      <c r="O86" s="8"/>
    </row>
    <row r="87" spans="2:15" ht="18" customHeight="1" x14ac:dyDescent="0.45">
      <c r="B87" s="13" t="s">
        <v>202</v>
      </c>
    </row>
    <row r="88" spans="2:15" ht="18" customHeight="1" x14ac:dyDescent="0.45">
      <c r="B88" s="5"/>
      <c r="C88" s="43" t="s">
        <v>203</v>
      </c>
      <c r="D88" s="43" t="s">
        <v>98</v>
      </c>
      <c r="E88" s="44" t="s">
        <v>204</v>
      </c>
      <c r="F88" s="5"/>
      <c r="G88" s="5"/>
      <c r="H88" s="5"/>
      <c r="I88" s="5"/>
      <c r="J88" s="5"/>
      <c r="K88" s="5"/>
      <c r="L88" s="5"/>
      <c r="M88" s="5"/>
      <c r="N88" s="5"/>
      <c r="O88" s="43" t="s">
        <v>205</v>
      </c>
    </row>
    <row r="89" spans="2:15" x14ac:dyDescent="0.45">
      <c r="B89" s="28"/>
      <c r="C89" s="25" t="s">
        <v>206</v>
      </c>
      <c r="D89" s="26" t="s">
        <v>107</v>
      </c>
      <c r="E89" s="45" cm="1">
        <f t="array" aca="1" ref="E89" ca="1">_xll.VoseOutput("Completion","weeks")+F44</f>
        <v>44.637671101479761</v>
      </c>
      <c r="F89" s="28"/>
      <c r="G89" s="28"/>
      <c r="H89" s="28"/>
      <c r="I89" s="28"/>
      <c r="J89" s="28"/>
      <c r="K89" s="28"/>
      <c r="L89" s="28"/>
      <c r="M89" s="28"/>
      <c r="N89" s="28"/>
      <c r="O89" s="26" t="s">
        <v>207</v>
      </c>
    </row>
    <row r="90" spans="2:15" x14ac:dyDescent="0.45">
      <c r="B90" s="28"/>
      <c r="C90" s="25" t="s">
        <v>208</v>
      </c>
      <c r="D90" s="26" t="s">
        <v>103</v>
      </c>
      <c r="E90" s="46">
        <f ca="1">StartDate+ROUND(7*Finish,0)</f>
        <v>46759</v>
      </c>
      <c r="F90" s="28"/>
      <c r="G90" s="28"/>
      <c r="H90" s="28"/>
      <c r="I90" s="28"/>
      <c r="J90" s="28"/>
      <c r="K90" s="28"/>
      <c r="L90" s="28"/>
      <c r="M90" s="28"/>
      <c r="N90" s="28"/>
      <c r="O90" s="26" t="s">
        <v>209</v>
      </c>
    </row>
    <row r="91" spans="2:15" x14ac:dyDescent="0.45">
      <c r="B91" s="28"/>
      <c r="C91" s="25" t="s">
        <v>210</v>
      </c>
      <c r="D91" s="26" t="s">
        <v>211</v>
      </c>
      <c r="E91" s="41" cm="1">
        <f t="array" aca="1" ref="E91" ca="1">_xll.VoseOutput("Meets the contract","1 = yes")+IF(Finish&lt;=ContractWeeks,1,0)</f>
        <v>0</v>
      </c>
      <c r="F91" s="28"/>
      <c r="G91" s="28"/>
      <c r="H91" s="28"/>
      <c r="I91" s="28"/>
      <c r="J91" s="28"/>
      <c r="K91" s="28"/>
      <c r="L91" s="28"/>
      <c r="M91" s="28"/>
      <c r="N91" s="28"/>
      <c r="O91" s="26"/>
    </row>
    <row r="92" spans="2:15" x14ac:dyDescent="0.45">
      <c r="B92" s="28"/>
      <c r="C92" s="25" t="s">
        <v>212</v>
      </c>
      <c r="D92" s="26" t="s">
        <v>107</v>
      </c>
      <c r="E92" s="34">
        <f>F84</f>
        <v>40</v>
      </c>
      <c r="F92" s="28"/>
      <c r="G92" s="28"/>
      <c r="H92" s="28"/>
      <c r="I92" s="28"/>
      <c r="J92" s="28"/>
      <c r="K92" s="28"/>
      <c r="L92" s="28"/>
      <c r="M92" s="28"/>
      <c r="N92" s="28"/>
      <c r="O92" s="26" t="s">
        <v>213</v>
      </c>
    </row>
    <row r="93" spans="2:15" x14ac:dyDescent="0.45">
      <c r="B93" s="28"/>
      <c r="C93" s="25" t="s">
        <v>214</v>
      </c>
      <c r="D93" s="26" t="s">
        <v>107</v>
      </c>
      <c r="E93" s="34">
        <f>L84</f>
        <v>42.666666666666664</v>
      </c>
      <c r="F93" s="28"/>
      <c r="G93" s="28"/>
      <c r="H93" s="28"/>
      <c r="I93" s="28"/>
      <c r="J93" s="28"/>
      <c r="K93" s="28"/>
      <c r="L93" s="28"/>
      <c r="M93" s="28"/>
      <c r="N93" s="28"/>
      <c r="O93" s="26" t="s">
        <v>215</v>
      </c>
    </row>
    <row r="94" spans="2:15" ht="8" customHeight="1" x14ac:dyDescent="0.45"/>
    <row r="95" spans="2:15" ht="22.05" customHeight="1" x14ac:dyDescent="0.5">
      <c r="B95" s="7" t="s">
        <v>216</v>
      </c>
      <c r="C95" s="8"/>
      <c r="D95" s="8"/>
      <c r="E95" s="8"/>
      <c r="F95" s="8"/>
      <c r="G95" s="8"/>
      <c r="H95" s="8"/>
      <c r="I95" s="8"/>
      <c r="J95" s="8"/>
      <c r="K95" s="8"/>
      <c r="L95" s="8"/>
      <c r="M95" s="8"/>
      <c r="N95" s="8"/>
      <c r="O95" s="8"/>
    </row>
    <row r="96" spans="2:15" ht="18" customHeight="1" x14ac:dyDescent="0.45">
      <c r="B96" s="13" t="s">
        <v>217</v>
      </c>
    </row>
    <row r="97" spans="2:15" x14ac:dyDescent="0.45">
      <c r="B97" s="28"/>
      <c r="C97" s="25" t="s">
        <v>218</v>
      </c>
      <c r="D97" s="28"/>
      <c r="E97" s="47" t="str">
        <f>IF(SUMPRODUCT((E10:E24&gt;F10:F24)+(F10:F24&gt;G10:G24))=0,"OK","CHECK")</f>
        <v>OK</v>
      </c>
      <c r="F97" s="28"/>
      <c r="G97" s="28"/>
      <c r="H97" s="28"/>
      <c r="I97" s="28"/>
      <c r="J97" s="28"/>
      <c r="K97" s="28"/>
      <c r="L97" s="28"/>
      <c r="M97" s="28"/>
      <c r="N97" s="28"/>
      <c r="O97" s="28"/>
    </row>
    <row r="98" spans="2:15" x14ac:dyDescent="0.45">
      <c r="B98" s="28"/>
      <c r="C98" s="25" t="s">
        <v>219</v>
      </c>
      <c r="D98" s="28"/>
      <c r="E98" s="47" t="str">
        <f ca="1">IF(MIN(I30:I44)&gt;-0.0001,"OK","CHECK")</f>
        <v>OK</v>
      </c>
      <c r="F98" s="28"/>
      <c r="G98" s="28"/>
      <c r="H98" s="28"/>
      <c r="I98" s="28"/>
      <c r="J98" s="28"/>
      <c r="K98" s="28"/>
      <c r="L98" s="28"/>
      <c r="M98" s="28"/>
      <c r="N98" s="28"/>
      <c r="O98" s="28"/>
    </row>
    <row r="99" spans="2:15" x14ac:dyDescent="0.45">
      <c r="B99" s="28"/>
      <c r="C99" s="25" t="s">
        <v>220</v>
      </c>
      <c r="D99" s="28"/>
      <c r="E99" s="47" t="str">
        <f ca="1">IF(J44=1,"OK","CHECK")</f>
        <v>OK</v>
      </c>
      <c r="F99" s="28"/>
      <c r="G99" s="28"/>
      <c r="H99" s="28"/>
      <c r="I99" s="28"/>
      <c r="J99" s="28"/>
      <c r="K99" s="28"/>
      <c r="L99" s="28"/>
      <c r="M99" s="28"/>
      <c r="N99" s="28"/>
      <c r="O99" s="28"/>
    </row>
    <row r="100" spans="2:15" ht="14" customHeight="1" x14ac:dyDescent="0.45"/>
  </sheetData>
  <conditionalFormatting sqref="B30:J44">
    <cfRule type="expression" dxfId="5" priority="1">
      <formula>$J30=1</formula>
    </cfRule>
  </conditionalFormatting>
  <conditionalFormatting sqref="E97:E99">
    <cfRule type="expression" dxfId="4" priority="2">
      <formula>E97="CHECK"</formula>
    </cfRule>
  </conditionalFormatting>
  <dataValidations count="1">
    <dataValidation type="custom" showErrorMessage="1" errorTitle="Duration" error="Low ≤ Most likely ≤ High." sqref="E10:G24" xr:uid="{00000000-0002-0000-0200-000000000000}">
      <formula1>AND($E10&lt;=$F10,$F10&lt;=$G10,$E10&gt;=0)</formula1>
    </dataValidation>
  </dataValidations>
  <hyperlinks>
    <hyperlink ref="B4" location="'Inputs'!A1" display="◂  Inputs" xr:uid="{00000000-0004-0000-0200-000000000000}"/>
    <hyperlink ref="O4" location="'Results'!A1" display="Next:  Results  ▸" xr:uid="{00000000-0004-0000-0200-000001000000}"/>
  </hyperlinks>
  <printOptions horizontalCentered="1"/>
  <pageMargins left="0.4" right="0.4" top="0.5" bottom="0.6" header="0.25" footer="0.25"/>
  <pageSetup paperSize="9" scale="69" fitToHeight="0" orientation="landscape" r:id="rId1"/>
  <headerFooter>
    <oddFooter>&amp;L&amp;K3F5876&amp;8&amp;F · &amp;A&amp;R&amp;K3F5876&amp;8Page &amp;P of &amp;N</oddFooter>
  </headerFooter>
  <rowBreaks count="2" manualBreakCount="2">
    <brk id="45" max="16383" man="1"/>
    <brk id="8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47"/>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221</v>
      </c>
      <c r="C3" s="1"/>
      <c r="D3" s="1"/>
      <c r="E3" s="1"/>
      <c r="F3" s="1"/>
      <c r="G3" s="1"/>
      <c r="H3" s="1"/>
      <c r="I3" s="1"/>
      <c r="J3" s="1"/>
      <c r="K3" s="1"/>
      <c r="L3" s="1"/>
      <c r="M3" s="1"/>
      <c r="N3" s="1"/>
      <c r="O3" s="1"/>
      <c r="P3" s="1"/>
      <c r="Q3" s="1"/>
      <c r="R3" s="1"/>
    </row>
    <row r="4" spans="1:18" ht="20" customHeight="1" x14ac:dyDescent="0.45">
      <c r="A4" s="5"/>
      <c r="B4" s="22" t="s">
        <v>222</v>
      </c>
      <c r="C4" s="5"/>
      <c r="D4" s="5"/>
      <c r="E4" s="5"/>
      <c r="F4" s="5"/>
      <c r="G4" s="5"/>
      <c r="H4" s="5"/>
      <c r="I4" s="5"/>
      <c r="J4" s="5"/>
      <c r="K4" s="5"/>
      <c r="L4" s="5"/>
      <c r="M4" s="5"/>
      <c r="N4" s="5"/>
      <c r="O4" s="5"/>
      <c r="P4" s="5"/>
      <c r="Q4" s="5"/>
      <c r="R4" s="5"/>
    </row>
    <row r="5" spans="1:18" ht="8" customHeight="1" x14ac:dyDescent="0.45"/>
    <row r="6" spans="1:18" ht="26" customHeight="1" x14ac:dyDescent="0.45">
      <c r="B6" s="48" t="str" cm="1">
        <f t="array" aca="1" ref="B6" ca="1">IF(ISNUMBER(_xll.VoseSimMean(Finish)),"✔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9"/>
      <c r="D6" s="49"/>
      <c r="E6" s="49"/>
      <c r="F6" s="49"/>
      <c r="G6" s="49"/>
    </row>
    <row r="7" spans="1:18" x14ac:dyDescent="0.45">
      <c r="B7" s="50"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223</v>
      </c>
      <c r="C9" s="8"/>
      <c r="D9" s="8"/>
      <c r="E9" s="8"/>
      <c r="F9" s="8"/>
      <c r="G9" s="8"/>
      <c r="I9" s="51" t="s">
        <v>224</v>
      </c>
      <c r="J9" s="8"/>
      <c r="K9" s="8"/>
      <c r="L9" s="8"/>
      <c r="M9" s="8"/>
      <c r="N9" s="8"/>
      <c r="O9" s="8"/>
      <c r="P9" s="8"/>
      <c r="Q9" s="8"/>
      <c r="R9" s="8"/>
    </row>
    <row r="10" spans="1:18" ht="18" customHeight="1" x14ac:dyDescent="0.45">
      <c r="B10" s="13" t="s">
        <v>225</v>
      </c>
    </row>
    <row r="11" spans="1:18" ht="18" customHeight="1" x14ac:dyDescent="0.45">
      <c r="B11" s="23" t="s">
        <v>226</v>
      </c>
      <c r="C11" s="23" t="s">
        <v>98</v>
      </c>
      <c r="D11" s="24" t="s">
        <v>204</v>
      </c>
      <c r="E11" s="5"/>
      <c r="F11" s="5"/>
      <c r="G11" s="5"/>
    </row>
    <row r="12" spans="1:18" x14ac:dyDescent="0.45">
      <c r="B12" s="52" t="s">
        <v>227</v>
      </c>
      <c r="C12" s="26" t="s">
        <v>107</v>
      </c>
      <c r="D12" s="42">
        <f>ContractWeeks</f>
        <v>44</v>
      </c>
      <c r="E12" s="28"/>
      <c r="F12" s="28"/>
      <c r="G12" s="28"/>
    </row>
    <row r="13" spans="1:18" x14ac:dyDescent="0.45">
      <c r="B13" s="52" t="s">
        <v>228</v>
      </c>
      <c r="C13" s="26" t="s">
        <v>103</v>
      </c>
      <c r="D13" s="46">
        <f>StartDate+7*ContractWeeks</f>
        <v>46755</v>
      </c>
      <c r="E13" s="28"/>
      <c r="F13" s="28"/>
      <c r="G13" s="28"/>
    </row>
    <row r="14" spans="1:18" ht="22.05" customHeight="1" x14ac:dyDescent="0.45">
      <c r="B14" s="39" t="s">
        <v>229</v>
      </c>
      <c r="C14" s="26" t="s">
        <v>116</v>
      </c>
      <c r="D14" s="53" cm="1">
        <f t="array" aca="1" ref="D14" ca="1">_xll.VoseSimMean(MeetsContract)</f>
        <v>0.57889999999999997</v>
      </c>
      <c r="E14" s="28"/>
      <c r="F14" s="28"/>
      <c r="G14" s="28"/>
    </row>
    <row r="15" spans="1:18" x14ac:dyDescent="0.45">
      <c r="B15" s="39" t="s">
        <v>230</v>
      </c>
      <c r="C15" s="26" t="s">
        <v>107</v>
      </c>
      <c r="D15" s="54" cm="1">
        <f t="array" aca="1" ref="D15" ca="1">_xll.VoseSimPercentile(Finish,0.8)</f>
        <v>45.578355906508598</v>
      </c>
      <c r="E15" s="28"/>
      <c r="F15" s="28"/>
      <c r="G15" s="28"/>
    </row>
    <row r="16" spans="1:18" x14ac:dyDescent="0.45">
      <c r="B16" s="25" t="s">
        <v>231</v>
      </c>
      <c r="C16" s="26" t="s">
        <v>103</v>
      </c>
      <c r="D16" s="55">
        <f ca="1">IFERROR(StartDate+ROUND(7*D15,0),"–")</f>
        <v>46766</v>
      </c>
      <c r="E16" s="28"/>
      <c r="F16" s="28"/>
      <c r="G16" s="28"/>
    </row>
    <row r="17" spans="2:7" x14ac:dyDescent="0.45">
      <c r="B17" s="25" t="s">
        <v>232</v>
      </c>
      <c r="C17" s="26" t="s">
        <v>107</v>
      </c>
      <c r="D17" s="54" cm="1">
        <f t="array" aca="1" ref="D17" ca="1">_xll.VoseSimMean(Finish)</f>
        <v>43.638402745073968</v>
      </c>
      <c r="E17" s="28"/>
      <c r="F17" s="28"/>
      <c r="G17" s="28"/>
    </row>
    <row r="18" spans="2:7" x14ac:dyDescent="0.45">
      <c r="B18" s="52" t="s">
        <v>233</v>
      </c>
      <c r="C18" s="26" t="s">
        <v>107</v>
      </c>
      <c r="D18" s="34">
        <f>Det_ML</f>
        <v>40</v>
      </c>
      <c r="E18" s="28"/>
      <c r="F18" s="28"/>
      <c r="G18" s="28"/>
    </row>
    <row r="19" spans="2:7" x14ac:dyDescent="0.45">
      <c r="B19" s="52" t="s">
        <v>234</v>
      </c>
      <c r="C19" s="26" t="s">
        <v>107</v>
      </c>
      <c r="D19" s="34">
        <f>Det_Mean</f>
        <v>42.666666666666664</v>
      </c>
      <c r="E19" s="28"/>
      <c r="F19" s="28"/>
      <c r="G19" s="28"/>
    </row>
    <row r="20" spans="2:7" x14ac:dyDescent="0.45">
      <c r="B20" s="52" t="s">
        <v>235</v>
      </c>
      <c r="C20" s="26" t="s">
        <v>107</v>
      </c>
      <c r="D20" s="34">
        <f>Det_Mean-Det_ML</f>
        <v>2.6666666666666643</v>
      </c>
      <c r="E20" s="28"/>
      <c r="F20" s="28"/>
      <c r="G20" s="28"/>
    </row>
    <row r="21" spans="2:7" x14ac:dyDescent="0.45">
      <c r="B21" s="25" t="s">
        <v>236</v>
      </c>
      <c r="C21" s="26" t="s">
        <v>107</v>
      </c>
      <c r="D21" s="54">
        <f ca="1">IFERROR(D17-Det_Mean,"–")</f>
        <v>0.97173607840730369</v>
      </c>
      <c r="E21" s="28"/>
      <c r="F21" s="28"/>
      <c r="G21" s="28"/>
    </row>
    <row r="22" spans="2:7" ht="8" customHeight="1" x14ac:dyDescent="0.45"/>
    <row r="23" spans="2:7" ht="22.05" customHeight="1" x14ac:dyDescent="0.5">
      <c r="B23" s="7" t="s">
        <v>237</v>
      </c>
      <c r="C23" s="8"/>
      <c r="D23" s="8"/>
      <c r="E23" s="8"/>
      <c r="F23" s="8"/>
      <c r="G23" s="8"/>
    </row>
    <row r="24" spans="2:7" ht="18" customHeight="1" x14ac:dyDescent="0.45">
      <c r="B24" s="13" t="s">
        <v>238</v>
      </c>
    </row>
    <row r="25" spans="2:7" ht="18" customHeight="1" x14ac:dyDescent="0.45">
      <c r="B25" s="23" t="s">
        <v>226</v>
      </c>
      <c r="C25" s="23" t="s">
        <v>98</v>
      </c>
      <c r="D25" s="24" t="s">
        <v>239</v>
      </c>
      <c r="E25" s="24" t="s">
        <v>240</v>
      </c>
      <c r="F25" s="24" t="s">
        <v>241</v>
      </c>
      <c r="G25" s="24" t="s">
        <v>114</v>
      </c>
    </row>
    <row r="26" spans="2:7" x14ac:dyDescent="0.45">
      <c r="B26" s="25" t="s">
        <v>206</v>
      </c>
      <c r="C26" s="26" t="s">
        <v>107</v>
      </c>
      <c r="D26" s="54" cm="1">
        <f t="array" aca="1" ref="D26" ca="1">_xll.VoseSimPercentile(Finish,0.5)</f>
        <v>43.530618508359495</v>
      </c>
      <c r="E26" s="54" cm="1">
        <f t="array" aca="1" ref="E26" ca="1">_xll.VoseSimPercentile(Finish,0.8)</f>
        <v>45.578355906508598</v>
      </c>
      <c r="F26" s="54" cm="1">
        <f t="array" aca="1" ref="F26" ca="1">_xll.VoseSimPercentile(Finish,0.9)</f>
        <v>46.700888288545471</v>
      </c>
      <c r="G26" s="54" cm="1">
        <f t="array" aca="1" ref="G26" ca="1">_xll.VoseSimMean(Finish)</f>
        <v>43.638402745073968</v>
      </c>
    </row>
    <row r="27" spans="2:7" ht="8" customHeight="1" x14ac:dyDescent="0.45"/>
    <row r="28" spans="2:7" ht="22.05" customHeight="1" x14ac:dyDescent="0.5">
      <c r="B28" s="7" t="s">
        <v>242</v>
      </c>
      <c r="C28" s="8"/>
      <c r="D28" s="8"/>
      <c r="E28" s="8"/>
      <c r="F28" s="8"/>
      <c r="G28" s="8"/>
    </row>
    <row r="29" spans="2:7" ht="18" customHeight="1" x14ac:dyDescent="0.45">
      <c r="B29" s="13" t="s">
        <v>243</v>
      </c>
    </row>
    <row r="30" spans="2:7" ht="18" customHeight="1" x14ac:dyDescent="0.45">
      <c r="B30" s="56" t="s">
        <v>127</v>
      </c>
      <c r="C30" s="57" t="s">
        <v>244</v>
      </c>
      <c r="D30" s="57" t="s">
        <v>245</v>
      </c>
      <c r="E30" s="36"/>
      <c r="F30" s="36"/>
      <c r="G30" s="36"/>
    </row>
    <row r="31" spans="2:7" x14ac:dyDescent="0.45">
      <c r="B31" s="38"/>
      <c r="C31" s="38" t="s">
        <v>197</v>
      </c>
      <c r="D31" s="38" t="s">
        <v>246</v>
      </c>
      <c r="E31" s="38"/>
      <c r="F31" s="38"/>
      <c r="G31" s="38"/>
    </row>
    <row r="32" spans="2:7" x14ac:dyDescent="0.45">
      <c r="B32" s="25" t="s">
        <v>247</v>
      </c>
      <c r="C32" s="58" t="str">
        <f>IF(INDEX(DetCrit,1)=1,"yes","")</f>
        <v>yes</v>
      </c>
      <c r="D32" s="59" cm="1">
        <f t="array" aca="1" ref="D32" ca="1">_xll.VoseSimMean(Crit_A)</f>
        <v>1</v>
      </c>
      <c r="E32" s="28"/>
      <c r="F32" s="28"/>
      <c r="G32" s="28"/>
    </row>
    <row r="33" spans="2:18" x14ac:dyDescent="0.45">
      <c r="B33" s="25" t="s">
        <v>248</v>
      </c>
      <c r="C33" s="58" t="str">
        <f>IF(INDEX(DetCrit,2)=1,"yes","")</f>
        <v>yes</v>
      </c>
      <c r="D33" s="59" cm="1">
        <f t="array" aca="1" ref="D33" ca="1">_xll.VoseSimMean(Crit_B)</f>
        <v>0.99390000000000001</v>
      </c>
      <c r="E33" s="28"/>
      <c r="F33" s="28"/>
      <c r="G33" s="28"/>
    </row>
    <row r="34" spans="2:18" x14ac:dyDescent="0.45">
      <c r="B34" s="25" t="s">
        <v>249</v>
      </c>
      <c r="C34" s="58" t="str">
        <f>IF(INDEX(DetCrit,3)=1,"yes","")</f>
        <v>yes</v>
      </c>
      <c r="D34" s="59" cm="1">
        <f t="array" aca="1" ref="D34" ca="1">_xll.VoseSimMean(Crit_C)</f>
        <v>0.99390000000000001</v>
      </c>
      <c r="E34" s="28"/>
      <c r="F34" s="28"/>
      <c r="G34" s="28"/>
    </row>
    <row r="35" spans="2:18" x14ac:dyDescent="0.45">
      <c r="B35" s="25" t="s">
        <v>250</v>
      </c>
      <c r="C35" s="58" t="str">
        <f>IF(INDEX(DetCrit,4)=1,"yes","")</f>
        <v>yes</v>
      </c>
      <c r="D35" s="59" cm="1">
        <f t="array" aca="1" ref="D35" ca="1">_xll.VoseSimMean(Crit_D)</f>
        <v>0.37219999999999998</v>
      </c>
      <c r="E35" s="28"/>
      <c r="F35" s="28"/>
      <c r="G35" s="28"/>
    </row>
    <row r="36" spans="2:18" x14ac:dyDescent="0.45">
      <c r="B36" s="25" t="s">
        <v>251</v>
      </c>
      <c r="C36" s="58" t="str">
        <f>IF(INDEX(DetCrit,5)=1,"yes","")</f>
        <v>yes</v>
      </c>
      <c r="D36" s="59" cm="1">
        <f t="array" aca="1" ref="D36" ca="1">_xll.VoseSimMean(Crit_E)</f>
        <v>0.4345</v>
      </c>
      <c r="E36" s="28"/>
      <c r="F36" s="28"/>
      <c r="G36" s="28"/>
    </row>
    <row r="37" spans="2:18" x14ac:dyDescent="0.45">
      <c r="B37" s="25" t="s">
        <v>252</v>
      </c>
      <c r="C37" s="58" t="str">
        <f>IF(INDEX(DetCrit,6)=1,"yes","")</f>
        <v/>
      </c>
      <c r="D37" s="59" cm="1">
        <f t="array" aca="1" ref="D37" ca="1">_xll.VoseSimMean(Crit_F)</f>
        <v>0.18720000000000001</v>
      </c>
      <c r="E37" s="28"/>
      <c r="F37" s="28"/>
      <c r="G37" s="28"/>
    </row>
    <row r="38" spans="2:18" x14ac:dyDescent="0.45">
      <c r="B38" s="25" t="s">
        <v>253</v>
      </c>
      <c r="C38" s="58" t="str">
        <f>IF(INDEX(DetCrit,7)=1,"yes","")</f>
        <v/>
      </c>
      <c r="D38" s="59" cm="1">
        <f t="array" aca="1" ref="D38" ca="1">_xll.VoseSimMean(Crit_G)</f>
        <v>6.1000000000000004E-3</v>
      </c>
      <c r="E38" s="28"/>
      <c r="F38" s="28"/>
      <c r="G38" s="28"/>
    </row>
    <row r="39" spans="2:18" x14ac:dyDescent="0.45">
      <c r="B39" s="25" t="s">
        <v>254</v>
      </c>
      <c r="C39" s="58" t="str">
        <f>IF(INDEX(DetCrit,8)=1,"yes","")</f>
        <v>yes</v>
      </c>
      <c r="D39" s="59" cm="1">
        <f t="array" aca="1" ref="D39" ca="1">_xll.VoseSimMean(Crit_H)</f>
        <v>0.37219999999999998</v>
      </c>
      <c r="E39" s="28"/>
      <c r="F39" s="28"/>
      <c r="G39" s="28"/>
    </row>
    <row r="40" spans="2:18" x14ac:dyDescent="0.45">
      <c r="B40" s="25" t="s">
        <v>255</v>
      </c>
      <c r="C40" s="58" t="str">
        <f>IF(INDEX(DetCrit,9)=1,"yes","")</f>
        <v>yes</v>
      </c>
      <c r="D40" s="59" cm="1">
        <f t="array" aca="1" ref="D40" ca="1">_xll.VoseSimMean(Crit_I)</f>
        <v>0.4345</v>
      </c>
      <c r="E40" s="28"/>
      <c r="F40" s="28"/>
      <c r="G40" s="28"/>
    </row>
    <row r="41" spans="2:18" x14ac:dyDescent="0.45">
      <c r="B41" s="25" t="s">
        <v>256</v>
      </c>
      <c r="C41" s="58" t="str">
        <f>IF(INDEX(DetCrit,10)=1,"yes","")</f>
        <v>yes</v>
      </c>
      <c r="D41" s="59" cm="1">
        <f t="array" aca="1" ref="D41" ca="1">_xll.VoseSimMean(Crit_J)</f>
        <v>1</v>
      </c>
      <c r="E41" s="28"/>
      <c r="F41" s="28"/>
      <c r="G41" s="28"/>
    </row>
    <row r="42" spans="2:18" x14ac:dyDescent="0.45">
      <c r="B42" s="25" t="s">
        <v>257</v>
      </c>
      <c r="C42" s="58" t="str">
        <f>IF(INDEX(DetCrit,11)=1,"yes","")</f>
        <v>yes</v>
      </c>
      <c r="D42" s="59" cm="1">
        <f t="array" aca="1" ref="D42" ca="1">_xll.VoseSimMean(Crit_K)</f>
        <v>1</v>
      </c>
      <c r="E42" s="28"/>
      <c r="F42" s="28"/>
      <c r="G42" s="28"/>
    </row>
    <row r="43" spans="2:18" x14ac:dyDescent="0.45">
      <c r="B43" s="25" t="s">
        <v>258</v>
      </c>
      <c r="C43" s="58" t="str">
        <f>IF(INDEX(DetCrit,12)=1,"yes","")</f>
        <v>yes</v>
      </c>
      <c r="D43" s="59" cm="1">
        <f t="array" aca="1" ref="D43" ca="1">_xll.VoseSimMean(Crit_L)</f>
        <v>0.91620000000000001</v>
      </c>
      <c r="E43" s="28"/>
      <c r="F43" s="28"/>
      <c r="G43" s="28"/>
    </row>
    <row r="44" spans="2:18" x14ac:dyDescent="0.45">
      <c r="B44" s="25" t="s">
        <v>259</v>
      </c>
      <c r="C44" s="58" t="str">
        <f>IF(INDEX(DetCrit,13)=1,"yes","")</f>
        <v/>
      </c>
      <c r="D44" s="59" cm="1">
        <f t="array" aca="1" ref="D44" ca="1">_xll.VoseSimMean(Crit_M)</f>
        <v>8.3799999999999999E-2</v>
      </c>
      <c r="E44" s="28"/>
      <c r="F44" s="28"/>
      <c r="G44" s="28"/>
    </row>
    <row r="45" spans="2:18" x14ac:dyDescent="0.45">
      <c r="B45" s="25" t="s">
        <v>260</v>
      </c>
      <c r="C45" s="58" t="str">
        <f>IF(INDEX(DetCrit,14)=1,"yes","")</f>
        <v/>
      </c>
      <c r="D45" s="59" cm="1">
        <f t="array" aca="1" ref="D45" ca="1">_xll.VoseSimMean(Crit_N)</f>
        <v>0</v>
      </c>
      <c r="E45" s="28"/>
      <c r="F45" s="28"/>
      <c r="G45" s="28"/>
    </row>
    <row r="46" spans="2:18" x14ac:dyDescent="0.45">
      <c r="B46" s="25" t="s">
        <v>261</v>
      </c>
      <c r="C46" s="58" t="str">
        <f>IF(INDEX(DetCrit,15)=1,"yes","")</f>
        <v>yes</v>
      </c>
      <c r="D46" s="59" cm="1">
        <f t="array" aca="1" ref="D46" ca="1">_xll.VoseSimMean(Crit_O)</f>
        <v>1</v>
      </c>
      <c r="E46" s="28"/>
      <c r="F46" s="28"/>
      <c r="G46" s="28"/>
    </row>
    <row r="47" spans="2:18" ht="8" customHeight="1" x14ac:dyDescent="0.45"/>
    <row r="48" spans="2:18" ht="22.05" customHeight="1" x14ac:dyDescent="0.5">
      <c r="B48" s="7" t="s">
        <v>262</v>
      </c>
      <c r="C48" s="8"/>
      <c r="D48" s="8"/>
      <c r="E48" s="8"/>
      <c r="F48" s="8"/>
      <c r="G48" s="8"/>
      <c r="I48" s="51" t="s">
        <v>263</v>
      </c>
      <c r="J48" s="8"/>
      <c r="K48" s="8"/>
      <c r="L48" s="8"/>
      <c r="M48" s="8"/>
      <c r="N48" s="8"/>
      <c r="O48" s="8"/>
      <c r="P48" s="8"/>
      <c r="Q48" s="8"/>
      <c r="R48" s="8"/>
    </row>
    <row r="49" spans="2:7" ht="18" customHeight="1" x14ac:dyDescent="0.45">
      <c r="B49" s="13" t="s">
        <v>264</v>
      </c>
    </row>
    <row r="50" spans="2:7" ht="18" customHeight="1" x14ac:dyDescent="0.45">
      <c r="B50" s="23" t="s">
        <v>265</v>
      </c>
      <c r="C50" s="24" t="s">
        <v>266</v>
      </c>
      <c r="D50" s="24" t="s">
        <v>267</v>
      </c>
      <c r="E50" s="60" t="s">
        <v>268</v>
      </c>
      <c r="F50" s="5"/>
      <c r="G50" s="5"/>
    </row>
    <row r="51" spans="2:7" x14ac:dyDescent="0.45">
      <c r="B51" s="25" t="str">
        <f t="array" aca="1" ref="B51:E66" ca="1">_xll.VoseSimSensitivityMean(Finish,10,1,FALSE)</f>
        <v>A  Design and approvals</v>
      </c>
      <c r="C51" s="54">
        <f ca="1"/>
        <v>41.526186747141715</v>
      </c>
      <c r="D51" s="54">
        <f ca="1"/>
        <v>46.377527886672596</v>
      </c>
      <c r="E51" s="61">
        <f ca="1"/>
        <v>1</v>
      </c>
      <c r="F51" s="28"/>
      <c r="G51" s="28"/>
    </row>
    <row r="52" spans="2:7" x14ac:dyDescent="0.45">
      <c r="B52" s="25" t="str">
        <f ca="1"/>
        <v>K  Deck slab</v>
      </c>
      <c r="C52" s="54">
        <f ca="1"/>
        <v>42.564876058100971</v>
      </c>
      <c r="D52" s="54">
        <f ca="1"/>
        <v>45.000115155611823</v>
      </c>
      <c r="E52" s="61">
        <f ca="1"/>
        <v>2</v>
      </c>
      <c r="F52" s="28"/>
      <c r="G52" s="28"/>
    </row>
    <row r="53" spans="2:7" x14ac:dyDescent="0.45">
      <c r="B53" s="25" t="str">
        <f ca="1"/>
        <v>C  Demolish the old bridge</v>
      </c>
      <c r="C53" s="54">
        <f ca="1"/>
        <v>42.647832678805266</v>
      </c>
      <c r="D53" s="54">
        <f ca="1"/>
        <v>44.913056106040827</v>
      </c>
      <c r="E53" s="61">
        <f ca="1"/>
        <v>3</v>
      </c>
      <c r="F53" s="28"/>
      <c r="G53" s="28"/>
    </row>
    <row r="54" spans="2:7" x14ac:dyDescent="0.45">
      <c r="B54" s="25" t="str">
        <f ca="1"/>
        <v>E  South abutment piling</v>
      </c>
      <c r="C54" s="54">
        <f ca="1"/>
        <v>43.028352387589663</v>
      </c>
      <c r="D54" s="54">
        <f ca="1"/>
        <v>45.250053822239209</v>
      </c>
      <c r="E54" s="61">
        <f ca="1"/>
        <v>4</v>
      </c>
      <c r="F54" s="28"/>
      <c r="G54" s="28"/>
    </row>
    <row r="55" spans="2:7" x14ac:dyDescent="0.45">
      <c r="B55" s="25" t="str">
        <f ca="1"/>
        <v>F  River pier</v>
      </c>
      <c r="C55" s="54">
        <f ca="1"/>
        <v>43.273990654784491</v>
      </c>
      <c r="D55" s="54">
        <f ca="1"/>
        <v>45.471558622760575</v>
      </c>
      <c r="E55" s="61">
        <f ca="1"/>
        <v>5</v>
      </c>
      <c r="F55" s="28"/>
      <c r="G55" s="28"/>
    </row>
    <row r="56" spans="2:7" x14ac:dyDescent="0.45">
      <c r="B56" s="25" t="str">
        <f ca="1"/>
        <v>J  Deliver and erect girders</v>
      </c>
      <c r="C56" s="54">
        <f ca="1"/>
        <v>42.754851441997253</v>
      </c>
      <c r="D56" s="54">
        <f ca="1"/>
        <v>44.808592582904026</v>
      </c>
      <c r="E56" s="61">
        <f ca="1"/>
        <v>6</v>
      </c>
      <c r="F56" s="28"/>
      <c r="G56" s="28"/>
    </row>
    <row r="57" spans="2:7" x14ac:dyDescent="0.45">
      <c r="B57" s="25" t="str">
        <f ca="1"/>
        <v>B  Site set-up and traffic management</v>
      </c>
      <c r="C57" s="54">
        <f ca="1"/>
        <v>42.790504032970624</v>
      </c>
      <c r="D57" s="54">
        <f ca="1"/>
        <v>44.636878940570746</v>
      </c>
      <c r="E57" s="61">
        <f ca="1"/>
        <v>7</v>
      </c>
      <c r="F57" s="28"/>
      <c r="G57" s="28"/>
    </row>
    <row r="58" spans="2:7" x14ac:dyDescent="0.45">
      <c r="B58" s="25" t="str">
        <f ca="1"/>
        <v>L  Waterproofing and surfacing</v>
      </c>
      <c r="C58" s="54">
        <f ca="1"/>
        <v>42.871179105322199</v>
      </c>
      <c r="D58" s="54">
        <f ca="1"/>
        <v>44.678956201459002</v>
      </c>
      <c r="E58" s="61">
        <f ca="1"/>
        <v>8</v>
      </c>
      <c r="F58" s="28"/>
      <c r="G58" s="28"/>
    </row>
    <row r="59" spans="2:7" x14ac:dyDescent="0.45">
      <c r="B59" s="25" t="str">
        <f ca="1"/>
        <v>D  North abutment piling</v>
      </c>
      <c r="C59" s="54">
        <f ca="1"/>
        <v>43.179345907851406</v>
      </c>
      <c r="D59" s="54">
        <f ca="1"/>
        <v>44.698269436685358</v>
      </c>
      <c r="E59" s="61">
        <f ca="1"/>
        <v>9</v>
      </c>
      <c r="F59" s="28"/>
      <c r="G59" s="28"/>
    </row>
    <row r="60" spans="2:7" x14ac:dyDescent="0.45">
      <c r="B60" s="25" t="str">
        <f ca="1"/>
        <v>Flood delay</v>
      </c>
      <c r="C60" s="54">
        <f ca="1"/>
        <v>43.407763748460816</v>
      </c>
      <c r="D60" s="54">
        <f ca="1"/>
        <v>44.833933015930427</v>
      </c>
      <c r="E60" s="61">
        <f ca="1"/>
        <v>10</v>
      </c>
      <c r="F60" s="28"/>
      <c r="G60" s="28"/>
    </row>
    <row r="61" spans="2:7" x14ac:dyDescent="0.45">
      <c r="B61" s="25" t="str">
        <f ca="1"/>
        <v>H  North abutment walls</v>
      </c>
      <c r="C61" s="54">
        <f ca="1"/>
        <v>43.31197546494127</v>
      </c>
      <c r="D61" s="54">
        <f ca="1"/>
        <v>44.089097026976262</v>
      </c>
      <c r="E61" s="61">
        <f ca="1"/>
        <v>11</v>
      </c>
      <c r="F61" s="28"/>
      <c r="G61" s="28"/>
    </row>
    <row r="62" spans="2:7" x14ac:dyDescent="0.45">
      <c r="B62" s="25" t="str">
        <f ca="1"/>
        <v>I  South abutment walls</v>
      </c>
      <c r="C62" s="54">
        <f ca="1"/>
        <v>43.313567344581287</v>
      </c>
      <c r="D62" s="54">
        <f ca="1"/>
        <v>44.080564624017917</v>
      </c>
      <c r="E62" s="61">
        <f ca="1"/>
        <v>12</v>
      </c>
      <c r="F62" s="28"/>
      <c r="G62" s="28"/>
    </row>
    <row r="63" spans="2:7" x14ac:dyDescent="0.45">
      <c r="B63" s="25" t="str">
        <f ca="1"/>
        <v>O  Testing and opening</v>
      </c>
      <c r="C63" s="54">
        <f ca="1"/>
        <v>43.428056530305057</v>
      </c>
      <c r="D63" s="54">
        <f ca="1"/>
        <v>43.904322842285524</v>
      </c>
      <c r="E63" s="61">
        <f ca="1"/>
        <v>13</v>
      </c>
      <c r="F63" s="28"/>
      <c r="G63" s="28"/>
    </row>
    <row r="64" spans="2:7" x14ac:dyDescent="0.45">
      <c r="B64" s="25" t="str">
        <f ca="1"/>
        <v>G  Fabricate steel girders (off site)</v>
      </c>
      <c r="C64" s="54">
        <f ca="1"/>
        <v>43.500854582241907</v>
      </c>
      <c r="D64" s="54">
        <f ca="1"/>
        <v>43.856597085322122</v>
      </c>
      <c r="E64" s="61">
        <f ca="1"/>
        <v>14</v>
      </c>
      <c r="F64" s="28"/>
      <c r="G64" s="28"/>
    </row>
    <row r="65" spans="2:7" x14ac:dyDescent="0.45">
      <c r="B65" s="25" t="str">
        <f ca="1"/>
        <v>N  Approach road tie-ins</v>
      </c>
      <c r="C65" s="54">
        <f ca="1"/>
        <v>43.486754028678739</v>
      </c>
      <c r="D65" s="54">
        <f ca="1"/>
        <v>43.79187922848449</v>
      </c>
      <c r="E65" s="61">
        <f ca="1"/>
        <v>15</v>
      </c>
      <c r="F65" s="28"/>
      <c r="G65" s="28"/>
    </row>
    <row r="66" spans="2:7" x14ac:dyDescent="0.45">
      <c r="B66" s="25" t="str">
        <f ca="1"/>
        <v>M  Parapets and finishes</v>
      </c>
      <c r="C66" s="54">
        <f ca="1"/>
        <v>43.456172951693503</v>
      </c>
      <c r="D66" s="54">
        <f ca="1"/>
        <v>43.760354819802508</v>
      </c>
      <c r="E66" s="61">
        <f ca="1"/>
        <v>16</v>
      </c>
      <c r="F66" s="28"/>
      <c r="G66" s="28"/>
    </row>
    <row r="69" spans="2:7" ht="22.05" customHeight="1" x14ac:dyDescent="0.5">
      <c r="B69" s="7" t="s">
        <v>269</v>
      </c>
      <c r="C69" s="8"/>
      <c r="D69" s="8"/>
      <c r="E69" s="8"/>
      <c r="F69" s="8"/>
      <c r="G69" s="8"/>
    </row>
    <row r="70" spans="2:7" ht="32" customHeight="1" x14ac:dyDescent="0.45">
      <c r="B70" s="68" t="s">
        <v>270</v>
      </c>
      <c r="C70" s="69"/>
      <c r="D70" s="69"/>
      <c r="E70" s="69"/>
      <c r="F70" s="69"/>
      <c r="G70" s="69"/>
    </row>
    <row r="71" spans="2:7" ht="32" customHeight="1" x14ac:dyDescent="0.45">
      <c r="B71" s="68" t="s">
        <v>271</v>
      </c>
      <c r="C71" s="69"/>
      <c r="D71" s="69"/>
      <c r="E71" s="69"/>
      <c r="F71" s="69"/>
      <c r="G71" s="69"/>
    </row>
    <row r="72" spans="2:7" ht="32" customHeight="1" x14ac:dyDescent="0.45">
      <c r="B72" s="68" t="s">
        <v>272</v>
      </c>
      <c r="C72" s="69"/>
      <c r="D72" s="69"/>
      <c r="E72" s="69"/>
      <c r="F72" s="69"/>
      <c r="G72" s="69"/>
    </row>
    <row r="73" spans="2:7" ht="32" customHeight="1" x14ac:dyDescent="0.45">
      <c r="B73" s="68" t="s">
        <v>273</v>
      </c>
      <c r="C73" s="69"/>
      <c r="D73" s="69"/>
      <c r="E73" s="69"/>
      <c r="F73" s="69"/>
      <c r="G73" s="69"/>
    </row>
    <row r="74" spans="2:7" ht="14" customHeight="1" x14ac:dyDescent="0.45"/>
    <row r="75" spans="2:7" ht="14" customHeight="1" x14ac:dyDescent="0.45"/>
    <row r="76" spans="2:7" ht="22.05" customHeight="1" x14ac:dyDescent="0.5">
      <c r="B76" s="7" t="s">
        <v>274</v>
      </c>
      <c r="C76" s="8"/>
      <c r="D76" s="8"/>
      <c r="E76" s="8"/>
      <c r="F76" s="8"/>
      <c r="G76" s="8"/>
    </row>
    <row r="77" spans="2:7" ht="18" customHeight="1" x14ac:dyDescent="0.45">
      <c r="B77" s="13" t="s">
        <v>275</v>
      </c>
    </row>
    <row r="78" spans="2:7" ht="28.05" hidden="1" customHeight="1" outlineLevel="1" x14ac:dyDescent="0.45">
      <c r="B78" s="24" t="s">
        <v>276</v>
      </c>
      <c r="C78" s="24" t="s">
        <v>277</v>
      </c>
      <c r="D78" s="24" t="s">
        <v>180</v>
      </c>
      <c r="E78" s="5"/>
      <c r="F78" s="5"/>
      <c r="G78" s="5"/>
    </row>
    <row r="79" spans="2:7" hidden="1" outlineLevel="1" x14ac:dyDescent="0.45">
      <c r="B79" s="62">
        <v>0.01</v>
      </c>
      <c r="C79" s="62">
        <f t="shared" ref="C79:C110" si="0">1-B79</f>
        <v>0.99</v>
      </c>
      <c r="D79" s="63" cm="1">
        <f t="array" aca="1" ref="D79" ca="1">IF(ISNUMBER(_xll.VoseSimPercentile(Finish,$B79)),_xll.VoseSimPercentile(Finish,$B79),NA())</f>
        <v>38.645177427762668</v>
      </c>
    </row>
    <row r="80" spans="2:7" hidden="1" outlineLevel="1" x14ac:dyDescent="0.45">
      <c r="B80" s="62">
        <v>0.03</v>
      </c>
      <c r="C80" s="62">
        <f t="shared" si="0"/>
        <v>0.97</v>
      </c>
      <c r="D80" s="63" cm="1">
        <f t="array" aca="1" ref="D80" ca="1">IF(ISNUMBER(_xll.VoseSimPercentile(Finish,$B80)),_xll.VoseSimPercentile(Finish,$B80),NA())</f>
        <v>39.498353092374174</v>
      </c>
    </row>
    <row r="81" spans="2:4" hidden="1" outlineLevel="1" x14ac:dyDescent="0.45">
      <c r="B81" s="62">
        <v>0.05</v>
      </c>
      <c r="C81" s="62">
        <f t="shared" si="0"/>
        <v>0.95</v>
      </c>
      <c r="D81" s="63" cm="1">
        <f t="array" aca="1" ref="D81" ca="1">IF(ISNUMBER(_xll.VoseSimPercentile(Finish,$B81)),_xll.VoseSimPercentile(Finish,$B81),NA())</f>
        <v>39.969215777900196</v>
      </c>
    </row>
    <row r="82" spans="2:4" hidden="1" outlineLevel="1" x14ac:dyDescent="0.45">
      <c r="B82" s="62">
        <v>7.0000000000000007E-2</v>
      </c>
      <c r="C82" s="62">
        <f t="shared" si="0"/>
        <v>0.92999999999999994</v>
      </c>
      <c r="D82" s="63" cm="1">
        <f t="array" aca="1" ref="D82" ca="1">IF(ISNUMBER(_xll.VoseSimPercentile(Finish,$B82)),_xll.VoseSimPercentile(Finish,$B82),NA())</f>
        <v>40.290247086893785</v>
      </c>
    </row>
    <row r="83" spans="2:4" hidden="1" outlineLevel="1" x14ac:dyDescent="0.45">
      <c r="B83" s="62">
        <v>0.09</v>
      </c>
      <c r="C83" s="62">
        <f t="shared" si="0"/>
        <v>0.91</v>
      </c>
      <c r="D83" s="63" cm="1">
        <f t="array" aca="1" ref="D83" ca="1">IF(ISNUMBER(_xll.VoseSimPercentile(Finish,$B83)),_xll.VoseSimPercentile(Finish,$B83),NA())</f>
        <v>40.549903596220638</v>
      </c>
    </row>
    <row r="84" spans="2:4" hidden="1" outlineLevel="1" x14ac:dyDescent="0.45">
      <c r="B84" s="62">
        <v>0.11</v>
      </c>
      <c r="C84" s="62">
        <f t="shared" si="0"/>
        <v>0.89</v>
      </c>
      <c r="D84" s="63" cm="1">
        <f t="array" aca="1" ref="D84" ca="1">IF(ISNUMBER(_xll.VoseSimPercentile(Finish,$B84)),_xll.VoseSimPercentile(Finish,$B84),NA())</f>
        <v>40.841547844613551</v>
      </c>
    </row>
    <row r="85" spans="2:4" hidden="1" outlineLevel="1" x14ac:dyDescent="0.45">
      <c r="B85" s="62">
        <v>0.13</v>
      </c>
      <c r="C85" s="62">
        <f t="shared" si="0"/>
        <v>0.87</v>
      </c>
      <c r="D85" s="63" cm="1">
        <f t="array" aca="1" ref="D85" ca="1">IF(ISNUMBER(_xll.VoseSimPercentile(Finish,$B85)),_xll.VoseSimPercentile(Finish,$B85),NA())</f>
        <v>41.044440067427914</v>
      </c>
    </row>
    <row r="86" spans="2:4" hidden="1" outlineLevel="1" x14ac:dyDescent="0.45">
      <c r="B86" s="62">
        <v>0.15</v>
      </c>
      <c r="C86" s="62">
        <f t="shared" si="0"/>
        <v>0.85</v>
      </c>
      <c r="D86" s="63" cm="1">
        <f t="array" aca="1" ref="D86" ca="1">IF(ISNUMBER(_xll.VoseSimPercentile(Finish,$B86)),_xll.VoseSimPercentile(Finish,$B86),NA())</f>
        <v>41.215215140204677</v>
      </c>
    </row>
    <row r="87" spans="2:4" hidden="1" outlineLevel="1" x14ac:dyDescent="0.45">
      <c r="B87" s="62">
        <v>0.17</v>
      </c>
      <c r="C87" s="62">
        <f t="shared" si="0"/>
        <v>0.83</v>
      </c>
      <c r="D87" s="63" cm="1">
        <f t="array" aca="1" ref="D87" ca="1">IF(ISNUMBER(_xll.VoseSimPercentile(Finish,$B87)),_xll.VoseSimPercentile(Finish,$B87),NA())</f>
        <v>41.414731584433341</v>
      </c>
    </row>
    <row r="88" spans="2:4" hidden="1" outlineLevel="1" x14ac:dyDescent="0.45">
      <c r="B88" s="62">
        <v>0.19</v>
      </c>
      <c r="C88" s="62">
        <f t="shared" si="0"/>
        <v>0.81</v>
      </c>
      <c r="D88" s="63" cm="1">
        <f t="array" aca="1" ref="D88" ca="1">IF(ISNUMBER(_xll.VoseSimPercentile(Finish,$B88)),_xll.VoseSimPercentile(Finish,$B88),NA())</f>
        <v>41.568598132595469</v>
      </c>
    </row>
    <row r="89" spans="2:4" hidden="1" outlineLevel="1" x14ac:dyDescent="0.45">
      <c r="B89" s="62">
        <v>0.21</v>
      </c>
      <c r="C89" s="62">
        <f t="shared" si="0"/>
        <v>0.79</v>
      </c>
      <c r="D89" s="63" cm="1">
        <f t="array" aca="1" ref="D89" ca="1">IF(ISNUMBER(_xll.VoseSimPercentile(Finish,$B89)),_xll.VoseSimPercentile(Finish,$B89),NA())</f>
        <v>41.723508175838752</v>
      </c>
    </row>
    <row r="90" spans="2:4" hidden="1" outlineLevel="1" x14ac:dyDescent="0.45">
      <c r="B90" s="62">
        <v>0.23</v>
      </c>
      <c r="C90" s="62">
        <f t="shared" si="0"/>
        <v>0.77</v>
      </c>
      <c r="D90" s="63" cm="1">
        <f t="array" aca="1" ref="D90" ca="1">IF(ISNUMBER(_xll.VoseSimPercentile(Finish,$B90)),_xll.VoseSimPercentile(Finish,$B90),NA())</f>
        <v>41.877764219736704</v>
      </c>
    </row>
    <row r="91" spans="2:4" hidden="1" outlineLevel="1" x14ac:dyDescent="0.45">
      <c r="B91" s="62">
        <v>0.25</v>
      </c>
      <c r="C91" s="62">
        <f t="shared" si="0"/>
        <v>0.75</v>
      </c>
      <c r="D91" s="63" cm="1">
        <f t="array" aca="1" ref="D91" ca="1">IF(ISNUMBER(_xll.VoseSimPercentile(Finish,$B91)),_xll.VoseSimPercentile(Finish,$B91),NA())</f>
        <v>42.015750323029678</v>
      </c>
    </row>
    <row r="92" spans="2:4" hidden="1" outlineLevel="1" x14ac:dyDescent="0.45">
      <c r="B92" s="62">
        <v>0.27</v>
      </c>
      <c r="C92" s="62">
        <f t="shared" si="0"/>
        <v>0.73</v>
      </c>
      <c r="D92" s="63" cm="1">
        <f t="array" aca="1" ref="D92" ca="1">IF(ISNUMBER(_xll.VoseSimPercentile(Finish,$B92)),_xll.VoseSimPercentile(Finish,$B92),NA())</f>
        <v>42.170203727647532</v>
      </c>
    </row>
    <row r="93" spans="2:4" hidden="1" outlineLevel="1" x14ac:dyDescent="0.45">
      <c r="B93" s="62">
        <v>0.28999999999999998</v>
      </c>
      <c r="C93" s="62">
        <f t="shared" si="0"/>
        <v>0.71</v>
      </c>
      <c r="D93" s="63" cm="1">
        <f t="array" aca="1" ref="D93" ca="1">IF(ISNUMBER(_xll.VoseSimPercentile(Finish,$B93)),_xll.VoseSimPercentile(Finish,$B93),NA())</f>
        <v>42.291399384893353</v>
      </c>
    </row>
    <row r="94" spans="2:4" hidden="1" outlineLevel="1" x14ac:dyDescent="0.45">
      <c r="B94" s="62">
        <v>0.31</v>
      </c>
      <c r="C94" s="62">
        <f t="shared" si="0"/>
        <v>0.69</v>
      </c>
      <c r="D94" s="63" cm="1">
        <f t="array" aca="1" ref="D94" ca="1">IF(ISNUMBER(_xll.VoseSimPercentile(Finish,$B94)),_xll.VoseSimPercentile(Finish,$B94),NA())</f>
        <v>42.396102350162984</v>
      </c>
    </row>
    <row r="95" spans="2:4" hidden="1" outlineLevel="1" x14ac:dyDescent="0.45">
      <c r="B95" s="62">
        <v>0.33</v>
      </c>
      <c r="C95" s="62">
        <f t="shared" si="0"/>
        <v>0.66999999999999993</v>
      </c>
      <c r="D95" s="63" cm="1">
        <f t="array" aca="1" ref="D95" ca="1">IF(ISNUMBER(_xll.VoseSimPercentile(Finish,$B95)),_xll.VoseSimPercentile(Finish,$B95),NA())</f>
        <v>42.517772226265109</v>
      </c>
    </row>
    <row r="96" spans="2:4" hidden="1" outlineLevel="1" x14ac:dyDescent="0.45">
      <c r="B96" s="62">
        <v>0.35</v>
      </c>
      <c r="C96" s="62">
        <f t="shared" si="0"/>
        <v>0.65</v>
      </c>
      <c r="D96" s="63" cm="1">
        <f t="array" aca="1" ref="D96" ca="1">IF(ISNUMBER(_xll.VoseSimPercentile(Finish,$B96)),_xll.VoseSimPercentile(Finish,$B96),NA())</f>
        <v>42.629527389475314</v>
      </c>
    </row>
    <row r="97" spans="2:4" hidden="1" outlineLevel="1" x14ac:dyDescent="0.45">
      <c r="B97" s="62">
        <v>0.37</v>
      </c>
      <c r="C97" s="62">
        <f t="shared" si="0"/>
        <v>0.63</v>
      </c>
      <c r="D97" s="63" cm="1">
        <f t="array" aca="1" ref="D97" ca="1">IF(ISNUMBER(_xll.VoseSimPercentile(Finish,$B97)),_xll.VoseSimPercentile(Finish,$B97),NA())</f>
        <v>42.767018525866</v>
      </c>
    </row>
    <row r="98" spans="2:4" hidden="1" outlineLevel="1" x14ac:dyDescent="0.45">
      <c r="B98" s="62">
        <v>0.39</v>
      </c>
      <c r="C98" s="62">
        <f t="shared" si="0"/>
        <v>0.61</v>
      </c>
      <c r="D98" s="63" cm="1">
        <f t="array" aca="1" ref="D98" ca="1">IF(ISNUMBER(_xll.VoseSimPercentile(Finish,$B98)),_xll.VoseSimPercentile(Finish,$B98),NA())</f>
        <v>42.888719157318093</v>
      </c>
    </row>
    <row r="99" spans="2:4" hidden="1" outlineLevel="1" x14ac:dyDescent="0.45">
      <c r="B99" s="62">
        <v>0.41</v>
      </c>
      <c r="C99" s="62">
        <f t="shared" si="0"/>
        <v>0.59000000000000008</v>
      </c>
      <c r="D99" s="63" cm="1">
        <f t="array" aca="1" ref="D99" ca="1">IF(ISNUMBER(_xll.VoseSimPercentile(Finish,$B99)),_xll.VoseSimPercentile(Finish,$B99),NA())</f>
        <v>43.013778324887177</v>
      </c>
    </row>
    <row r="100" spans="2:4" hidden="1" outlineLevel="1" x14ac:dyDescent="0.45">
      <c r="B100" s="62">
        <v>0.43</v>
      </c>
      <c r="C100" s="62">
        <f t="shared" si="0"/>
        <v>0.57000000000000006</v>
      </c>
      <c r="D100" s="63" cm="1">
        <f t="array" aca="1" ref="D100" ca="1">IF(ISNUMBER(_xll.VoseSimPercentile(Finish,$B100)),_xll.VoseSimPercentile(Finish,$B100),NA())</f>
        <v>43.123107150725197</v>
      </c>
    </row>
    <row r="101" spans="2:4" hidden="1" outlineLevel="1" x14ac:dyDescent="0.45">
      <c r="B101" s="62">
        <v>0.45</v>
      </c>
      <c r="C101" s="62">
        <f t="shared" si="0"/>
        <v>0.55000000000000004</v>
      </c>
      <c r="D101" s="63" cm="1">
        <f t="array" aca="1" ref="D101" ca="1">IF(ISNUMBER(_xll.VoseSimPercentile(Finish,$B101)),_xll.VoseSimPercentile(Finish,$B101),NA())</f>
        <v>43.231946424396902</v>
      </c>
    </row>
    <row r="102" spans="2:4" hidden="1" outlineLevel="1" x14ac:dyDescent="0.45">
      <c r="B102" s="62">
        <v>0.47</v>
      </c>
      <c r="C102" s="62">
        <f t="shared" si="0"/>
        <v>0.53</v>
      </c>
      <c r="D102" s="63" cm="1">
        <f t="array" aca="1" ref="D102" ca="1">IF(ISNUMBER(_xll.VoseSimPercentile(Finish,$B102)),_xll.VoseSimPercentile(Finish,$B102),NA())</f>
        <v>43.343927952940994</v>
      </c>
    </row>
    <row r="103" spans="2:4" hidden="1" outlineLevel="1" x14ac:dyDescent="0.45">
      <c r="B103" s="62">
        <v>0.49</v>
      </c>
      <c r="C103" s="62">
        <f t="shared" si="0"/>
        <v>0.51</v>
      </c>
      <c r="D103" s="63" cm="1">
        <f t="array" aca="1" ref="D103" ca="1">IF(ISNUMBER(_xll.VoseSimPercentile(Finish,$B103)),_xll.VoseSimPercentile(Finish,$B103),NA())</f>
        <v>43.477957064849981</v>
      </c>
    </row>
    <row r="104" spans="2:4" hidden="1" outlineLevel="1" x14ac:dyDescent="0.45">
      <c r="B104" s="62">
        <v>0.51</v>
      </c>
      <c r="C104" s="62">
        <f t="shared" si="0"/>
        <v>0.49</v>
      </c>
      <c r="D104" s="63" cm="1">
        <f t="array" aca="1" ref="D104" ca="1">IF(ISNUMBER(_xll.VoseSimPercentile(Finish,$B104)),_xll.VoseSimPercentile(Finish,$B104),NA())</f>
        <v>43.58717236481705</v>
      </c>
    </row>
    <row r="105" spans="2:4" hidden="1" outlineLevel="1" x14ac:dyDescent="0.45">
      <c r="B105" s="62">
        <v>0.53</v>
      </c>
      <c r="C105" s="62">
        <f t="shared" si="0"/>
        <v>0.47</v>
      </c>
      <c r="D105" s="63" cm="1">
        <f t="array" aca="1" ref="D105" ca="1">IF(ISNUMBER(_xll.VoseSimPercentile(Finish,$B105)),_xll.VoseSimPercentile(Finish,$B105),NA())</f>
        <v>43.710448537720318</v>
      </c>
    </row>
    <row r="106" spans="2:4" hidden="1" outlineLevel="1" x14ac:dyDescent="0.45">
      <c r="B106" s="62">
        <v>0.55000000000000004</v>
      </c>
      <c r="C106" s="62">
        <f t="shared" si="0"/>
        <v>0.44999999999999996</v>
      </c>
      <c r="D106" s="63" cm="1">
        <f t="array" aca="1" ref="D106" ca="1">IF(ISNUMBER(_xll.VoseSimPercentile(Finish,$B106)),_xll.VoseSimPercentile(Finish,$B106),NA())</f>
        <v>43.817662750068493</v>
      </c>
    </row>
    <row r="107" spans="2:4" hidden="1" outlineLevel="1" x14ac:dyDescent="0.45">
      <c r="B107" s="62">
        <v>0.56999999999999995</v>
      </c>
      <c r="C107" s="62">
        <f t="shared" si="0"/>
        <v>0.43000000000000005</v>
      </c>
      <c r="D107" s="63" cm="1">
        <f t="array" aca="1" ref="D107" ca="1">IF(ISNUMBER(_xll.VoseSimPercentile(Finish,$B107)),_xll.VoseSimPercentile(Finish,$B107),NA())</f>
        <v>43.938285583820957</v>
      </c>
    </row>
    <row r="108" spans="2:4" hidden="1" outlineLevel="1" x14ac:dyDescent="0.45">
      <c r="B108" s="62">
        <v>0.59</v>
      </c>
      <c r="C108" s="62">
        <f t="shared" si="0"/>
        <v>0.41000000000000003</v>
      </c>
      <c r="D108" s="63" cm="1">
        <f t="array" aca="1" ref="D108" ca="1">IF(ISNUMBER(_xll.VoseSimPercentile(Finish,$B108)),_xll.VoseSimPercentile(Finish,$B108),NA())</f>
        <v>44.072126093791155</v>
      </c>
    </row>
    <row r="109" spans="2:4" hidden="1" outlineLevel="1" x14ac:dyDescent="0.45">
      <c r="B109" s="62">
        <v>0.61</v>
      </c>
      <c r="C109" s="62">
        <f t="shared" si="0"/>
        <v>0.39</v>
      </c>
      <c r="D109" s="63" cm="1">
        <f t="array" aca="1" ref="D109" ca="1">IF(ISNUMBER(_xll.VoseSimPercentile(Finish,$B109)),_xll.VoseSimPercentile(Finish,$B109),NA())</f>
        <v>44.208180445819487</v>
      </c>
    </row>
    <row r="110" spans="2:4" hidden="1" outlineLevel="1" x14ac:dyDescent="0.45">
      <c r="B110" s="62">
        <v>0.63</v>
      </c>
      <c r="C110" s="62">
        <f t="shared" si="0"/>
        <v>0.37</v>
      </c>
      <c r="D110" s="63" cm="1">
        <f t="array" aca="1" ref="D110" ca="1">IF(ISNUMBER(_xll.VoseSimPercentile(Finish,$B110)),_xll.VoseSimPercentile(Finish,$B110),NA())</f>
        <v>44.351866284941799</v>
      </c>
    </row>
    <row r="111" spans="2:4" hidden="1" outlineLevel="1" x14ac:dyDescent="0.45">
      <c r="B111" s="62">
        <v>0.65</v>
      </c>
      <c r="C111" s="62">
        <f t="shared" ref="C111:C142" si="1">1-B111</f>
        <v>0.35</v>
      </c>
      <c r="D111" s="63" cm="1">
        <f t="array" aca="1" ref="D111" ca="1">IF(ISNUMBER(_xll.VoseSimPercentile(Finish,$B111)),_xll.VoseSimPercentile(Finish,$B111),NA())</f>
        <v>44.472057476690644</v>
      </c>
    </row>
    <row r="112" spans="2:4" hidden="1" outlineLevel="1" x14ac:dyDescent="0.45">
      <c r="B112" s="62">
        <v>0.67</v>
      </c>
      <c r="C112" s="62">
        <f t="shared" si="1"/>
        <v>0.32999999999999996</v>
      </c>
      <c r="D112" s="63" cm="1">
        <f t="array" aca="1" ref="D112" ca="1">IF(ISNUMBER(_xll.VoseSimPercentile(Finish,$B112)),_xll.VoseSimPercentile(Finish,$B112),NA())</f>
        <v>44.600218375696102</v>
      </c>
    </row>
    <row r="113" spans="2:4" hidden="1" outlineLevel="1" x14ac:dyDescent="0.45">
      <c r="B113" s="62">
        <v>0.69</v>
      </c>
      <c r="C113" s="62">
        <f t="shared" si="1"/>
        <v>0.31000000000000005</v>
      </c>
      <c r="D113" s="63" cm="1">
        <f t="array" aca="1" ref="D113" ca="1">IF(ISNUMBER(_xll.VoseSimPercentile(Finish,$B113)),_xll.VoseSimPercentile(Finish,$B113),NA())</f>
        <v>44.732700641412798</v>
      </c>
    </row>
    <row r="114" spans="2:4" hidden="1" outlineLevel="1" x14ac:dyDescent="0.45">
      <c r="B114" s="62">
        <v>0.71</v>
      </c>
      <c r="C114" s="62">
        <f t="shared" si="1"/>
        <v>0.29000000000000004</v>
      </c>
      <c r="D114" s="63" cm="1">
        <f t="array" aca="1" ref="D114" ca="1">IF(ISNUMBER(_xll.VoseSimPercentile(Finish,$B114)),_xll.VoseSimPercentile(Finish,$B114),NA())</f>
        <v>44.886483762451292</v>
      </c>
    </row>
    <row r="115" spans="2:4" hidden="1" outlineLevel="1" x14ac:dyDescent="0.45">
      <c r="B115" s="62">
        <v>0.73</v>
      </c>
      <c r="C115" s="62">
        <f t="shared" si="1"/>
        <v>0.27</v>
      </c>
      <c r="D115" s="63" cm="1">
        <f t="array" aca="1" ref="D115" ca="1">IF(ISNUMBER(_xll.VoseSimPercentile(Finish,$B115)),_xll.VoseSimPercentile(Finish,$B115),NA())</f>
        <v>45.039325605813147</v>
      </c>
    </row>
    <row r="116" spans="2:4" hidden="1" outlineLevel="1" x14ac:dyDescent="0.45">
      <c r="B116" s="62">
        <v>0.75</v>
      </c>
      <c r="C116" s="62">
        <f t="shared" si="1"/>
        <v>0.25</v>
      </c>
      <c r="D116" s="63" cm="1">
        <f t="array" aca="1" ref="D116" ca="1">IF(ISNUMBER(_xll.VoseSimPercentile(Finish,$B116)),_xll.VoseSimPercentile(Finish,$B116),NA())</f>
        <v>45.193546439494369</v>
      </c>
    </row>
    <row r="117" spans="2:4" hidden="1" outlineLevel="1" x14ac:dyDescent="0.45">
      <c r="B117" s="62">
        <v>0.77</v>
      </c>
      <c r="C117" s="62">
        <f t="shared" si="1"/>
        <v>0.22999999999999998</v>
      </c>
      <c r="D117" s="63" cm="1">
        <f t="array" aca="1" ref="D117" ca="1">IF(ISNUMBER(_xll.VoseSimPercentile(Finish,$B117)),_xll.VoseSimPercentile(Finish,$B117),NA())</f>
        <v>45.351198921840052</v>
      </c>
    </row>
    <row r="118" spans="2:4" hidden="1" outlineLevel="1" x14ac:dyDescent="0.45">
      <c r="B118" s="62">
        <v>0.79</v>
      </c>
      <c r="C118" s="62">
        <f t="shared" si="1"/>
        <v>0.20999999999999996</v>
      </c>
      <c r="D118" s="63" cm="1">
        <f t="array" aca="1" ref="D118" ca="1">IF(ISNUMBER(_xll.VoseSimPercentile(Finish,$B118)),_xll.VoseSimPercentile(Finish,$B118),NA())</f>
        <v>45.499853186329112</v>
      </c>
    </row>
    <row r="119" spans="2:4" hidden="1" outlineLevel="1" x14ac:dyDescent="0.45">
      <c r="B119" s="62">
        <v>0.81</v>
      </c>
      <c r="C119" s="62">
        <f t="shared" si="1"/>
        <v>0.18999999999999995</v>
      </c>
      <c r="D119" s="63" cm="1">
        <f t="array" aca="1" ref="D119" ca="1">IF(ISNUMBER(_xll.VoseSimPercentile(Finish,$B119)),_xll.VoseSimPercentile(Finish,$B119),NA())</f>
        <v>45.675923125103822</v>
      </c>
    </row>
    <row r="120" spans="2:4" hidden="1" outlineLevel="1" x14ac:dyDescent="0.45">
      <c r="B120" s="62">
        <v>0.83</v>
      </c>
      <c r="C120" s="62">
        <f t="shared" si="1"/>
        <v>0.17000000000000004</v>
      </c>
      <c r="D120" s="63" cm="1">
        <f t="array" aca="1" ref="D120" ca="1">IF(ISNUMBER(_xll.VoseSimPercentile(Finish,$B120)),_xll.VoseSimPercentile(Finish,$B120),NA())</f>
        <v>45.876355561063875</v>
      </c>
    </row>
    <row r="121" spans="2:4" hidden="1" outlineLevel="1" x14ac:dyDescent="0.45">
      <c r="B121" s="62">
        <v>0.85</v>
      </c>
      <c r="C121" s="62">
        <f t="shared" si="1"/>
        <v>0.15000000000000002</v>
      </c>
      <c r="D121" s="63" cm="1">
        <f t="array" aca="1" ref="D121" ca="1">IF(ISNUMBER(_xll.VoseSimPercentile(Finish,$B121)),_xll.VoseSimPercentile(Finish,$B121),NA())</f>
        <v>46.066632066198515</v>
      </c>
    </row>
    <row r="122" spans="2:4" hidden="1" outlineLevel="1" x14ac:dyDescent="0.45">
      <c r="B122" s="62">
        <v>0.87</v>
      </c>
      <c r="C122" s="62">
        <f t="shared" si="1"/>
        <v>0.13</v>
      </c>
      <c r="D122" s="63" cm="1">
        <f t="array" aca="1" ref="D122" ca="1">IF(ISNUMBER(_xll.VoseSimPercentile(Finish,$B122)),_xll.VoseSimPercentile(Finish,$B122),NA())</f>
        <v>46.295749812580965</v>
      </c>
    </row>
    <row r="123" spans="2:4" hidden="1" outlineLevel="1" x14ac:dyDescent="0.45">
      <c r="B123" s="62">
        <v>0.89</v>
      </c>
      <c r="C123" s="62">
        <f t="shared" si="1"/>
        <v>0.10999999999999999</v>
      </c>
      <c r="D123" s="63" cm="1">
        <f t="array" aca="1" ref="D123" ca="1">IF(ISNUMBER(_xll.VoseSimPercentile(Finish,$B123)),_xll.VoseSimPercentile(Finish,$B123),NA())</f>
        <v>46.555128327729562</v>
      </c>
    </row>
    <row r="124" spans="2:4" hidden="1" outlineLevel="1" x14ac:dyDescent="0.45">
      <c r="B124" s="62">
        <v>0.91</v>
      </c>
      <c r="C124" s="62">
        <f t="shared" si="1"/>
        <v>8.9999999999999969E-2</v>
      </c>
      <c r="D124" s="63" cm="1">
        <f t="array" aca="1" ref="D124" ca="1">IF(ISNUMBER(_xll.VoseSimPercentile(Finish,$B124)),_xll.VoseSimPercentile(Finish,$B124),NA())</f>
        <v>46.877549174975606</v>
      </c>
    </row>
    <row r="125" spans="2:4" hidden="1" outlineLevel="1" x14ac:dyDescent="0.45">
      <c r="B125" s="62">
        <v>0.93</v>
      </c>
      <c r="C125" s="62">
        <f t="shared" si="1"/>
        <v>6.9999999999999951E-2</v>
      </c>
      <c r="D125" s="63" cm="1">
        <f t="array" aca="1" ref="D125" ca="1">IF(ISNUMBER(_xll.VoseSimPercentile(Finish,$B125)),_xll.VoseSimPercentile(Finish,$B125),NA())</f>
        <v>47.222848055756174</v>
      </c>
    </row>
    <row r="126" spans="2:4" hidden="1" outlineLevel="1" x14ac:dyDescent="0.45">
      <c r="B126" s="62">
        <v>0.95</v>
      </c>
      <c r="C126" s="62">
        <f t="shared" si="1"/>
        <v>5.0000000000000044E-2</v>
      </c>
      <c r="D126" s="63" cm="1">
        <f t="array" aca="1" ref="D126" ca="1">IF(ISNUMBER(_xll.VoseSimPercentile(Finish,$B126)),_xll.VoseSimPercentile(Finish,$B126),NA())</f>
        <v>47.629467122919785</v>
      </c>
    </row>
    <row r="127" spans="2:4" hidden="1" outlineLevel="1" x14ac:dyDescent="0.45">
      <c r="B127" s="62">
        <v>0.97</v>
      </c>
      <c r="C127" s="62">
        <f t="shared" si="1"/>
        <v>3.0000000000000027E-2</v>
      </c>
      <c r="D127" s="63" cm="1">
        <f t="array" aca="1" ref="D127" ca="1">IF(ISNUMBER(_xll.VoseSimPercentile(Finish,$B127)),_xll.VoseSimPercentile(Finish,$B127),NA())</f>
        <v>48.279918959451948</v>
      </c>
    </row>
    <row r="128" spans="2:4" hidden="1" outlineLevel="1" x14ac:dyDescent="0.45">
      <c r="B128" s="62">
        <v>0.99</v>
      </c>
      <c r="C128" s="62">
        <f t="shared" si="1"/>
        <v>1.0000000000000009E-2</v>
      </c>
      <c r="D128" s="63" cm="1">
        <f t="array" aca="1" ref="D128" ca="1">IF(ISNUMBER(_xll.VoseSimPercentile(Finish,$B128)),_xll.VoseSimPercentile(Finish,$B128),NA())</f>
        <v>49.342089018475932</v>
      </c>
    </row>
    <row r="129" spans="2:7" hidden="1" outlineLevel="1" x14ac:dyDescent="0.45"/>
    <row r="130" spans="2:7" hidden="1" outlineLevel="1" x14ac:dyDescent="0.45">
      <c r="B130" s="64" t="s">
        <v>278</v>
      </c>
      <c r="D130" s="65" cm="1">
        <f t="array" aca="1" ref="D130" ca="1">_xll.VoseSimMean(Finish)</f>
        <v>43.638402745073968</v>
      </c>
    </row>
    <row r="131" spans="2:7" ht="18" hidden="1" customHeight="1" outlineLevel="1" x14ac:dyDescent="0.45">
      <c r="B131" s="23" t="s">
        <v>279</v>
      </c>
      <c r="C131" s="5"/>
      <c r="D131" s="5"/>
      <c r="E131" s="5"/>
      <c r="F131" s="24" t="s">
        <v>280</v>
      </c>
      <c r="G131" s="24" t="s">
        <v>281</v>
      </c>
    </row>
    <row r="132" spans="2:7" hidden="1" outlineLevel="1" x14ac:dyDescent="0.45">
      <c r="B132" s="66" t="str">
        <f t="shared" ref="B132:B147" ca="1" si="2">B51</f>
        <v>A  Design and approvals</v>
      </c>
      <c r="F132" s="67">
        <f t="shared" ref="F132:F147" ca="1" si="3">IFERROR(D51-$D$130,NA())</f>
        <v>2.7391251415986275</v>
      </c>
      <c r="G132" s="67">
        <f t="shared" ref="G132:G147" ca="1" si="4">IFERROR(C51-$D$130,NA())</f>
        <v>-2.1122159979322532</v>
      </c>
    </row>
    <row r="133" spans="2:7" hidden="1" outlineLevel="1" x14ac:dyDescent="0.45">
      <c r="B133" s="66" t="str">
        <f t="shared" ca="1" si="2"/>
        <v>K  Deck slab</v>
      </c>
      <c r="F133" s="67">
        <f t="shared" ca="1" si="3"/>
        <v>1.3617124105378551</v>
      </c>
      <c r="G133" s="67">
        <f t="shared" ca="1" si="4"/>
        <v>-1.0735266869729969</v>
      </c>
    </row>
    <row r="134" spans="2:7" hidden="1" outlineLevel="1" x14ac:dyDescent="0.45">
      <c r="B134" s="66" t="str">
        <f t="shared" ca="1" si="2"/>
        <v>C  Demolish the old bridge</v>
      </c>
      <c r="F134" s="67">
        <f t="shared" ca="1" si="3"/>
        <v>1.2746533609668589</v>
      </c>
      <c r="G134" s="67">
        <f t="shared" ca="1" si="4"/>
        <v>-0.99057006626870248</v>
      </c>
    </row>
    <row r="135" spans="2:7" hidden="1" outlineLevel="1" x14ac:dyDescent="0.45">
      <c r="B135" s="66" t="str">
        <f t="shared" ca="1" si="2"/>
        <v>E  South abutment piling</v>
      </c>
      <c r="F135" s="67">
        <f t="shared" ca="1" si="3"/>
        <v>1.6116510771652415</v>
      </c>
      <c r="G135" s="67">
        <f t="shared" ca="1" si="4"/>
        <v>-0.61005035748430458</v>
      </c>
    </row>
    <row r="136" spans="2:7" hidden="1" outlineLevel="1" x14ac:dyDescent="0.45">
      <c r="B136" s="66" t="str">
        <f t="shared" ca="1" si="2"/>
        <v>F  River pier</v>
      </c>
      <c r="F136" s="67">
        <f t="shared" ca="1" si="3"/>
        <v>1.8331558776866075</v>
      </c>
      <c r="G136" s="67">
        <f t="shared" ca="1" si="4"/>
        <v>-0.36441209028947696</v>
      </c>
    </row>
    <row r="137" spans="2:7" hidden="1" outlineLevel="1" x14ac:dyDescent="0.45">
      <c r="B137" s="66" t="str">
        <f t="shared" ca="1" si="2"/>
        <v>J  Deliver and erect girders</v>
      </c>
      <c r="F137" s="67">
        <f t="shared" ca="1" si="3"/>
        <v>1.1701898378300584</v>
      </c>
      <c r="G137" s="67">
        <f t="shared" ca="1" si="4"/>
        <v>-0.88355130307671459</v>
      </c>
    </row>
    <row r="138" spans="2:7" hidden="1" outlineLevel="1" x14ac:dyDescent="0.45">
      <c r="B138" s="66" t="str">
        <f t="shared" ca="1" si="2"/>
        <v>B  Site set-up and traffic management</v>
      </c>
      <c r="F138" s="67">
        <f t="shared" ca="1" si="3"/>
        <v>0.99847619549677802</v>
      </c>
      <c r="G138" s="67">
        <f t="shared" ca="1" si="4"/>
        <v>-0.84789871210334411</v>
      </c>
    </row>
    <row r="139" spans="2:7" hidden="1" outlineLevel="1" x14ac:dyDescent="0.45">
      <c r="B139" s="66" t="str">
        <f t="shared" ca="1" si="2"/>
        <v>L  Waterproofing and surfacing</v>
      </c>
      <c r="F139" s="67">
        <f t="shared" ca="1" si="3"/>
        <v>1.0405534563850338</v>
      </c>
      <c r="G139" s="67">
        <f t="shared" ca="1" si="4"/>
        <v>-0.76722363975176933</v>
      </c>
    </row>
    <row r="140" spans="2:7" hidden="1" outlineLevel="1" x14ac:dyDescent="0.45">
      <c r="B140" s="66" t="str">
        <f t="shared" ca="1" si="2"/>
        <v>D  North abutment piling</v>
      </c>
      <c r="F140" s="67">
        <f t="shared" ca="1" si="3"/>
        <v>1.0598666916113899</v>
      </c>
      <c r="G140" s="67">
        <f t="shared" ca="1" si="4"/>
        <v>-0.45905683722256185</v>
      </c>
    </row>
    <row r="141" spans="2:7" hidden="1" outlineLevel="1" x14ac:dyDescent="0.45">
      <c r="B141" s="66" t="str">
        <f t="shared" ca="1" si="2"/>
        <v>Flood delay</v>
      </c>
      <c r="F141" s="67">
        <f t="shared" ca="1" si="3"/>
        <v>1.1955302708564588</v>
      </c>
      <c r="G141" s="67">
        <f t="shared" ca="1" si="4"/>
        <v>-0.2306389966131519</v>
      </c>
    </row>
    <row r="142" spans="2:7" hidden="1" outlineLevel="1" x14ac:dyDescent="0.45">
      <c r="B142" s="66" t="str">
        <f t="shared" ca="1" si="2"/>
        <v>H  North abutment walls</v>
      </c>
      <c r="F142" s="67">
        <f t="shared" ca="1" si="3"/>
        <v>0.45069428190229388</v>
      </c>
      <c r="G142" s="67">
        <f t="shared" ca="1" si="4"/>
        <v>-0.32642728013269817</v>
      </c>
    </row>
    <row r="143" spans="2:7" hidden="1" outlineLevel="1" x14ac:dyDescent="0.45">
      <c r="B143" s="66" t="str">
        <f t="shared" ca="1" si="2"/>
        <v>I  South abutment walls</v>
      </c>
      <c r="F143" s="67">
        <f t="shared" ca="1" si="3"/>
        <v>0.4421618789439492</v>
      </c>
      <c r="G143" s="67">
        <f t="shared" ca="1" si="4"/>
        <v>-0.324835400492681</v>
      </c>
    </row>
    <row r="144" spans="2:7" hidden="1" outlineLevel="1" x14ac:dyDescent="0.45">
      <c r="B144" s="66" t="str">
        <f t="shared" ca="1" si="2"/>
        <v>O  Testing and opening</v>
      </c>
      <c r="F144" s="67">
        <f t="shared" ca="1" si="3"/>
        <v>0.26592009721155563</v>
      </c>
      <c r="G144" s="67">
        <f t="shared" ca="1" si="4"/>
        <v>-0.21034621476891147</v>
      </c>
    </row>
    <row r="145" spans="2:7" hidden="1" outlineLevel="1" x14ac:dyDescent="0.45">
      <c r="B145" s="66" t="str">
        <f t="shared" ca="1" si="2"/>
        <v>G  Fabricate steel girders (off site)</v>
      </c>
      <c r="F145" s="67">
        <f t="shared" ca="1" si="3"/>
        <v>0.21819434024815365</v>
      </c>
      <c r="G145" s="67">
        <f t="shared" ca="1" si="4"/>
        <v>-0.13754816283206139</v>
      </c>
    </row>
    <row r="146" spans="2:7" hidden="1" outlineLevel="1" x14ac:dyDescent="0.45">
      <c r="B146" s="66" t="str">
        <f t="shared" ca="1" si="2"/>
        <v>N  Approach road tie-ins</v>
      </c>
      <c r="F146" s="67">
        <f t="shared" ca="1" si="3"/>
        <v>0.15347648341052178</v>
      </c>
      <c r="G146" s="67">
        <f t="shared" ca="1" si="4"/>
        <v>-0.15164871639522914</v>
      </c>
    </row>
    <row r="147" spans="2:7" hidden="1" outlineLevel="1" x14ac:dyDescent="0.45">
      <c r="B147" s="66" t="str">
        <f t="shared" ca="1" si="2"/>
        <v>M  Parapets and finishes</v>
      </c>
      <c r="F147" s="67">
        <f t="shared" ca="1" si="3"/>
        <v>0.12195207472854008</v>
      </c>
      <c r="G147" s="67">
        <f t="shared" ca="1" si="4"/>
        <v>-0.18222979338046486</v>
      </c>
    </row>
  </sheetData>
  <mergeCells count="4">
    <mergeCell ref="B70:G70"/>
    <mergeCell ref="B73:G73"/>
    <mergeCell ref="B72:G72"/>
    <mergeCell ref="B71:G71"/>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79:D128">
    <cfRule type="expression" dxfId="1" priority="3">
      <formula>ISNA(D79)</formula>
    </cfRule>
  </conditionalFormatting>
  <conditionalFormatting sqref="F132:G147">
    <cfRule type="expression" dxfId="0" priority="4">
      <formula>ISNA(F132)</formula>
    </cfRule>
  </conditionalFormatting>
  <hyperlinks>
    <hyperlink ref="B4" location="'Network'!A1" display="◂  Network"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DE580-82B3-4302-A298-6B5393461562}">
  <dimension ref="A1:B1"/>
  <sheetViews>
    <sheetView workbookViewId="0"/>
  </sheetViews>
  <sheetFormatPr defaultRowHeight="14.25" x14ac:dyDescent="0.45"/>
  <sheetData>
    <row r="1" spans="1:2" x14ac:dyDescent="0.45">
      <c r="A1" s="72" t="s">
        <v>282</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5BA83-594B-4C4A-8777-07DFB3C8F560}">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85EB3-5D6A-4704-AB10-2F8F1F71E589}">
  <dimension ref="B3:B332"/>
  <sheetViews>
    <sheetView workbookViewId="0"/>
  </sheetViews>
  <sheetFormatPr defaultRowHeight="14.25" x14ac:dyDescent="0.45"/>
  <sheetData>
    <row r="3" spans="2:2" x14ac:dyDescent="0.45">
      <c r="B3">
        <v>1477</v>
      </c>
    </row>
    <row r="4" spans="2:2" x14ac:dyDescent="0.45">
      <c r="B4">
        <v>0</v>
      </c>
    </row>
    <row r="5" spans="2:2" x14ac:dyDescent="0.45">
      <c r="B5">
        <v>0</v>
      </c>
    </row>
    <row r="6" spans="2:2" x14ac:dyDescent="0.45">
      <c r="B6">
        <v>22</v>
      </c>
    </row>
    <row r="7" spans="2:2" x14ac:dyDescent="0.45">
      <c r="B7">
        <v>121</v>
      </c>
    </row>
    <row r="8" spans="2:2" x14ac:dyDescent="0.45">
      <c r="B8">
        <v>149</v>
      </c>
    </row>
    <row r="9" spans="2:2" x14ac:dyDescent="0.45">
      <c r="B9">
        <v>129</v>
      </c>
    </row>
    <row r="10" spans="2:2" x14ac:dyDescent="0.45">
      <c r="B10">
        <v>76</v>
      </c>
    </row>
    <row r="11" spans="2:2" x14ac:dyDescent="0.45">
      <c r="B11">
        <v>20</v>
      </c>
    </row>
    <row r="12" spans="2:2" x14ac:dyDescent="0.45">
      <c r="B12">
        <v>6</v>
      </c>
    </row>
    <row r="13" spans="2:2" x14ac:dyDescent="0.45">
      <c r="B13">
        <v>145</v>
      </c>
    </row>
    <row r="14" spans="2:2" x14ac:dyDescent="0.45">
      <c r="B14">
        <v>322</v>
      </c>
    </row>
    <row r="15" spans="2:2" x14ac:dyDescent="0.45">
      <c r="B15">
        <v>346</v>
      </c>
    </row>
    <row r="16" spans="2:2" x14ac:dyDescent="0.45">
      <c r="B16">
        <v>354</v>
      </c>
    </row>
    <row r="17" spans="2:2" x14ac:dyDescent="0.45">
      <c r="B17">
        <v>308</v>
      </c>
    </row>
    <row r="18" spans="2:2" x14ac:dyDescent="0.45">
      <c r="B18">
        <v>232</v>
      </c>
    </row>
    <row r="19" spans="2:2" x14ac:dyDescent="0.45">
      <c r="B19">
        <v>176</v>
      </c>
    </row>
    <row r="20" spans="2:2" x14ac:dyDescent="0.45">
      <c r="B20">
        <v>80</v>
      </c>
    </row>
    <row r="21" spans="2:2" x14ac:dyDescent="0.45">
      <c r="B21">
        <v>29</v>
      </c>
    </row>
    <row r="22" spans="2:2" x14ac:dyDescent="0.45">
      <c r="B22">
        <v>8</v>
      </c>
    </row>
    <row r="23" spans="2:2" x14ac:dyDescent="0.45">
      <c r="B23">
        <v>0</v>
      </c>
    </row>
    <row r="24" spans="2:2" x14ac:dyDescent="0.45">
      <c r="B24">
        <v>0</v>
      </c>
    </row>
    <row r="25" spans="2:2" x14ac:dyDescent="0.45">
      <c r="B25">
        <v>0</v>
      </c>
    </row>
    <row r="26" spans="2:2" x14ac:dyDescent="0.45">
      <c r="B26">
        <v>0</v>
      </c>
    </row>
    <row r="27" spans="2:2" x14ac:dyDescent="0.45">
      <c r="B27">
        <v>0</v>
      </c>
    </row>
    <row r="28" spans="2:2" x14ac:dyDescent="0.45">
      <c r="B28">
        <v>2000</v>
      </c>
    </row>
    <row r="29" spans="2:2" x14ac:dyDescent="0.45">
      <c r="B29">
        <v>0</v>
      </c>
    </row>
    <row r="30" spans="2:2" x14ac:dyDescent="0.45">
      <c r="B30">
        <v>0</v>
      </c>
    </row>
    <row r="31" spans="2:2" x14ac:dyDescent="0.45">
      <c r="B31">
        <v>0</v>
      </c>
    </row>
    <row r="32" spans="2:2" x14ac:dyDescent="0.45">
      <c r="B32">
        <v>0</v>
      </c>
    </row>
    <row r="33" spans="2:2" x14ac:dyDescent="0.45">
      <c r="B33">
        <v>70</v>
      </c>
    </row>
    <row r="34" spans="2:2" x14ac:dyDescent="0.45">
      <c r="B34">
        <v>246</v>
      </c>
    </row>
    <row r="35" spans="2:2" x14ac:dyDescent="0.45">
      <c r="B35">
        <v>340</v>
      </c>
    </row>
    <row r="36" spans="2:2" x14ac:dyDescent="0.45">
      <c r="B36">
        <v>350</v>
      </c>
    </row>
    <row r="37" spans="2:2" x14ac:dyDescent="0.45">
      <c r="B37">
        <v>318</v>
      </c>
    </row>
    <row r="38" spans="2:2" x14ac:dyDescent="0.45">
      <c r="B38">
        <v>289</v>
      </c>
    </row>
    <row r="39" spans="2:2" x14ac:dyDescent="0.45">
      <c r="B39">
        <v>196</v>
      </c>
    </row>
    <row r="40" spans="2:2" x14ac:dyDescent="0.45">
      <c r="B40">
        <v>118</v>
      </c>
    </row>
    <row r="41" spans="2:2" x14ac:dyDescent="0.45">
      <c r="B41">
        <v>53</v>
      </c>
    </row>
    <row r="42" spans="2:2" x14ac:dyDescent="0.45">
      <c r="B42">
        <v>20</v>
      </c>
    </row>
    <row r="43" spans="2:2" x14ac:dyDescent="0.45">
      <c r="B43">
        <v>13</v>
      </c>
    </row>
    <row r="44" spans="2:2" x14ac:dyDescent="0.45">
      <c r="B44">
        <v>0</v>
      </c>
    </row>
    <row r="45" spans="2:2" x14ac:dyDescent="0.45">
      <c r="B45">
        <v>0</v>
      </c>
    </row>
    <row r="46" spans="2:2" x14ac:dyDescent="0.45">
      <c r="B46">
        <v>0</v>
      </c>
    </row>
    <row r="47" spans="2:2" x14ac:dyDescent="0.45">
      <c r="B47">
        <v>0</v>
      </c>
    </row>
    <row r="48" spans="2:2" x14ac:dyDescent="0.45">
      <c r="B48">
        <v>0</v>
      </c>
    </row>
    <row r="49" spans="2:2" x14ac:dyDescent="0.45">
      <c r="B49">
        <v>0</v>
      </c>
    </row>
    <row r="50" spans="2:2" x14ac:dyDescent="0.45">
      <c r="B50">
        <v>0</v>
      </c>
    </row>
    <row r="51" spans="2:2" x14ac:dyDescent="0.45">
      <c r="B51">
        <v>0</v>
      </c>
    </row>
    <row r="52" spans="2:2" x14ac:dyDescent="0.45">
      <c r="B52">
        <v>1987</v>
      </c>
    </row>
    <row r="53" spans="2:2" x14ac:dyDescent="0.45">
      <c r="B53">
        <v>144</v>
      </c>
    </row>
    <row r="54" spans="2:2" x14ac:dyDescent="0.45">
      <c r="B54">
        <v>317</v>
      </c>
    </row>
    <row r="55" spans="2:2" x14ac:dyDescent="0.45">
      <c r="B55">
        <v>372</v>
      </c>
    </row>
    <row r="56" spans="2:2" x14ac:dyDescent="0.45">
      <c r="B56">
        <v>348</v>
      </c>
    </row>
    <row r="57" spans="2:2" x14ac:dyDescent="0.45">
      <c r="B57">
        <v>293</v>
      </c>
    </row>
    <row r="58" spans="2:2" x14ac:dyDescent="0.45">
      <c r="B58">
        <v>226</v>
      </c>
    </row>
    <row r="59" spans="2:2" x14ac:dyDescent="0.45">
      <c r="B59">
        <v>168</v>
      </c>
    </row>
    <row r="60" spans="2:2" x14ac:dyDescent="0.45">
      <c r="B60">
        <v>85</v>
      </c>
    </row>
    <row r="61" spans="2:2" x14ac:dyDescent="0.45">
      <c r="B61">
        <v>34</v>
      </c>
    </row>
    <row r="62" spans="2:2" x14ac:dyDescent="0.45">
      <c r="B62">
        <v>13</v>
      </c>
    </row>
    <row r="63" spans="2:2" x14ac:dyDescent="0.45">
      <c r="B63">
        <v>13</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0</v>
      </c>
    </row>
    <row r="70" spans="2:2" x14ac:dyDescent="0.45">
      <c r="B70">
        <v>0</v>
      </c>
    </row>
    <row r="71" spans="2:2" x14ac:dyDescent="0.45">
      <c r="B71">
        <v>0</v>
      </c>
    </row>
    <row r="72" spans="2:2" x14ac:dyDescent="0.45">
      <c r="B72">
        <v>1987</v>
      </c>
    </row>
    <row r="73" spans="2:2" x14ac:dyDescent="0.45">
      <c r="B73">
        <v>117</v>
      </c>
    </row>
    <row r="74" spans="2:2" x14ac:dyDescent="0.45">
      <c r="B74">
        <v>255</v>
      </c>
    </row>
    <row r="75" spans="2:2" x14ac:dyDescent="0.45">
      <c r="B75">
        <v>344</v>
      </c>
    </row>
    <row r="76" spans="2:2" x14ac:dyDescent="0.45">
      <c r="B76">
        <v>365</v>
      </c>
    </row>
    <row r="77" spans="2:2" x14ac:dyDescent="0.45">
      <c r="B77">
        <v>322</v>
      </c>
    </row>
    <row r="78" spans="2:2" x14ac:dyDescent="0.45">
      <c r="B78">
        <v>257</v>
      </c>
    </row>
    <row r="79" spans="2:2" x14ac:dyDescent="0.45">
      <c r="B79">
        <v>181</v>
      </c>
    </row>
    <row r="80" spans="2:2" x14ac:dyDescent="0.45">
      <c r="B80">
        <v>98</v>
      </c>
    </row>
    <row r="81" spans="2:2" x14ac:dyDescent="0.45">
      <c r="B81">
        <v>48</v>
      </c>
    </row>
    <row r="82" spans="2:2" x14ac:dyDescent="0.45">
      <c r="B82">
        <v>13</v>
      </c>
    </row>
    <row r="83" spans="2:2" x14ac:dyDescent="0.45">
      <c r="B83">
        <v>1277</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723</v>
      </c>
    </row>
    <row r="93" spans="2:2" x14ac:dyDescent="0.45">
      <c r="B93">
        <v>119</v>
      </c>
    </row>
    <row r="94" spans="2:2" x14ac:dyDescent="0.45">
      <c r="B94">
        <v>312</v>
      </c>
    </row>
    <row r="95" spans="2:2" x14ac:dyDescent="0.45">
      <c r="B95">
        <v>383</v>
      </c>
    </row>
    <row r="96" spans="2:2" x14ac:dyDescent="0.45">
      <c r="B96">
        <v>376</v>
      </c>
    </row>
    <row r="97" spans="2:2" x14ac:dyDescent="0.45">
      <c r="B97">
        <v>327</v>
      </c>
    </row>
    <row r="98" spans="2:2" x14ac:dyDescent="0.45">
      <c r="B98">
        <v>221</v>
      </c>
    </row>
    <row r="99" spans="2:2" x14ac:dyDescent="0.45">
      <c r="B99">
        <v>158</v>
      </c>
    </row>
    <row r="100" spans="2:2" x14ac:dyDescent="0.45">
      <c r="B100">
        <v>72</v>
      </c>
    </row>
    <row r="101" spans="2:2" x14ac:dyDescent="0.45">
      <c r="B101">
        <v>29</v>
      </c>
    </row>
    <row r="102" spans="2:2" x14ac:dyDescent="0.45">
      <c r="B102">
        <v>3</v>
      </c>
    </row>
    <row r="103" spans="2:2" x14ac:dyDescent="0.45">
      <c r="B103">
        <v>1134</v>
      </c>
    </row>
    <row r="104" spans="2:2" x14ac:dyDescent="0.45">
      <c r="B104">
        <v>0</v>
      </c>
    </row>
    <row r="105" spans="2:2" x14ac:dyDescent="0.45">
      <c r="B105">
        <v>0</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866</v>
      </c>
    </row>
    <row r="113" spans="2:2" x14ac:dyDescent="0.45">
      <c r="B113">
        <v>145</v>
      </c>
    </row>
    <row r="114" spans="2:2" x14ac:dyDescent="0.45">
      <c r="B114">
        <v>302</v>
      </c>
    </row>
    <row r="115" spans="2:2" x14ac:dyDescent="0.45">
      <c r="B115">
        <v>442</v>
      </c>
    </row>
    <row r="116" spans="2:2" x14ac:dyDescent="0.45">
      <c r="B116">
        <v>373</v>
      </c>
    </row>
    <row r="117" spans="2:2" x14ac:dyDescent="0.45">
      <c r="B117">
        <v>306</v>
      </c>
    </row>
    <row r="118" spans="2:2" x14ac:dyDescent="0.45">
      <c r="B118">
        <v>215</v>
      </c>
    </row>
    <row r="119" spans="2:2" x14ac:dyDescent="0.45">
      <c r="B119">
        <v>115</v>
      </c>
    </row>
    <row r="120" spans="2:2" x14ac:dyDescent="0.45">
      <c r="B120">
        <v>69</v>
      </c>
    </row>
    <row r="121" spans="2:2" x14ac:dyDescent="0.45">
      <c r="B121">
        <v>27</v>
      </c>
    </row>
    <row r="122" spans="2:2" x14ac:dyDescent="0.45">
      <c r="B122">
        <v>6</v>
      </c>
    </row>
    <row r="123" spans="2:2" x14ac:dyDescent="0.45">
      <c r="B123">
        <v>1602</v>
      </c>
    </row>
    <row r="124" spans="2:2" x14ac:dyDescent="0.45">
      <c r="B124">
        <v>0</v>
      </c>
    </row>
    <row r="125" spans="2:2" x14ac:dyDescent="0.45">
      <c r="B125">
        <v>0</v>
      </c>
    </row>
    <row r="126" spans="2:2" x14ac:dyDescent="0.45">
      <c r="B126">
        <v>0</v>
      </c>
    </row>
    <row r="127" spans="2:2" x14ac:dyDescent="0.45">
      <c r="B127">
        <v>0</v>
      </c>
    </row>
    <row r="128" spans="2:2" x14ac:dyDescent="0.45">
      <c r="B128">
        <v>0</v>
      </c>
    </row>
    <row r="129" spans="2:2" x14ac:dyDescent="0.45">
      <c r="B129">
        <v>0</v>
      </c>
    </row>
    <row r="130" spans="2:2" x14ac:dyDescent="0.45">
      <c r="B130">
        <v>0</v>
      </c>
    </row>
    <row r="131" spans="2:2" x14ac:dyDescent="0.45">
      <c r="B131">
        <v>0</v>
      </c>
    </row>
    <row r="132" spans="2:2" x14ac:dyDescent="0.45">
      <c r="B132">
        <v>398</v>
      </c>
    </row>
    <row r="133" spans="2:2" x14ac:dyDescent="0.45">
      <c r="B133">
        <v>57</v>
      </c>
    </row>
    <row r="134" spans="2:2" x14ac:dyDescent="0.45">
      <c r="B134">
        <v>186</v>
      </c>
    </row>
    <row r="135" spans="2:2" x14ac:dyDescent="0.45">
      <c r="B135">
        <v>264</v>
      </c>
    </row>
    <row r="136" spans="2:2" x14ac:dyDescent="0.45">
      <c r="B136">
        <v>311</v>
      </c>
    </row>
    <row r="137" spans="2:2" x14ac:dyDescent="0.45">
      <c r="B137">
        <v>327</v>
      </c>
    </row>
    <row r="138" spans="2:2" x14ac:dyDescent="0.45">
      <c r="B138">
        <v>325</v>
      </c>
    </row>
    <row r="139" spans="2:2" x14ac:dyDescent="0.45">
      <c r="B139">
        <v>251</v>
      </c>
    </row>
    <row r="140" spans="2:2" x14ac:dyDescent="0.45">
      <c r="B140">
        <v>176</v>
      </c>
    </row>
    <row r="141" spans="2:2" x14ac:dyDescent="0.45">
      <c r="B141">
        <v>71</v>
      </c>
    </row>
    <row r="142" spans="2:2" x14ac:dyDescent="0.45">
      <c r="B142">
        <v>32</v>
      </c>
    </row>
    <row r="143" spans="2:2" x14ac:dyDescent="0.45">
      <c r="B143">
        <v>1987</v>
      </c>
    </row>
    <row r="144" spans="2:2" x14ac:dyDescent="0.45">
      <c r="B144">
        <v>0</v>
      </c>
    </row>
    <row r="145" spans="2:2" x14ac:dyDescent="0.45">
      <c r="B145">
        <v>0</v>
      </c>
    </row>
    <row r="146" spans="2:2" x14ac:dyDescent="0.45">
      <c r="B146">
        <v>0</v>
      </c>
    </row>
    <row r="147" spans="2:2" x14ac:dyDescent="0.45">
      <c r="B147">
        <v>0</v>
      </c>
    </row>
    <row r="148" spans="2:2" x14ac:dyDescent="0.45">
      <c r="B148">
        <v>0</v>
      </c>
    </row>
    <row r="149" spans="2:2" x14ac:dyDescent="0.45">
      <c r="B149">
        <v>0</v>
      </c>
    </row>
    <row r="150" spans="2:2" x14ac:dyDescent="0.45">
      <c r="B150">
        <v>0</v>
      </c>
    </row>
    <row r="151" spans="2:2" x14ac:dyDescent="0.45">
      <c r="B151">
        <v>0</v>
      </c>
    </row>
    <row r="152" spans="2:2" x14ac:dyDescent="0.45">
      <c r="B152">
        <v>13</v>
      </c>
    </row>
    <row r="153" spans="2:2" x14ac:dyDescent="0.45">
      <c r="B153">
        <v>114</v>
      </c>
    </row>
    <row r="154" spans="2:2" x14ac:dyDescent="0.45">
      <c r="B154">
        <v>240</v>
      </c>
    </row>
    <row r="155" spans="2:2" x14ac:dyDescent="0.45">
      <c r="B155">
        <v>349</v>
      </c>
    </row>
    <row r="156" spans="2:2" x14ac:dyDescent="0.45">
      <c r="B156">
        <v>365</v>
      </c>
    </row>
    <row r="157" spans="2:2" x14ac:dyDescent="0.45">
      <c r="B157">
        <v>314</v>
      </c>
    </row>
    <row r="158" spans="2:2" x14ac:dyDescent="0.45">
      <c r="B158">
        <v>261</v>
      </c>
    </row>
    <row r="159" spans="2:2" x14ac:dyDescent="0.45">
      <c r="B159">
        <v>185</v>
      </c>
    </row>
    <row r="160" spans="2:2" x14ac:dyDescent="0.45">
      <c r="B160">
        <v>108</v>
      </c>
    </row>
    <row r="161" spans="2:2" x14ac:dyDescent="0.45">
      <c r="B161">
        <v>51</v>
      </c>
    </row>
    <row r="162" spans="2:2" x14ac:dyDescent="0.45">
      <c r="B162">
        <v>13</v>
      </c>
    </row>
    <row r="163" spans="2:2" x14ac:dyDescent="0.45">
      <c r="B163">
        <v>1277</v>
      </c>
    </row>
    <row r="164" spans="2:2" x14ac:dyDescent="0.45">
      <c r="B164">
        <v>0</v>
      </c>
    </row>
    <row r="165" spans="2:2" x14ac:dyDescent="0.45">
      <c r="B165">
        <v>0</v>
      </c>
    </row>
    <row r="166" spans="2:2" x14ac:dyDescent="0.45">
      <c r="B166">
        <v>0</v>
      </c>
    </row>
    <row r="167" spans="2:2" x14ac:dyDescent="0.45">
      <c r="B167">
        <v>0</v>
      </c>
    </row>
    <row r="168" spans="2:2" x14ac:dyDescent="0.45">
      <c r="B168">
        <v>0</v>
      </c>
    </row>
    <row r="169" spans="2:2" x14ac:dyDescent="0.45">
      <c r="B169">
        <v>0</v>
      </c>
    </row>
    <row r="170" spans="2:2" x14ac:dyDescent="0.45">
      <c r="B170">
        <v>0</v>
      </c>
    </row>
    <row r="171" spans="2:2" x14ac:dyDescent="0.45">
      <c r="B171">
        <v>0</v>
      </c>
    </row>
    <row r="172" spans="2:2" x14ac:dyDescent="0.45">
      <c r="B172">
        <v>723</v>
      </c>
    </row>
    <row r="173" spans="2:2" x14ac:dyDescent="0.45">
      <c r="B173">
        <v>77</v>
      </c>
    </row>
    <row r="174" spans="2:2" x14ac:dyDescent="0.45">
      <c r="B174">
        <v>233</v>
      </c>
    </row>
    <row r="175" spans="2:2" x14ac:dyDescent="0.45">
      <c r="B175">
        <v>336</v>
      </c>
    </row>
    <row r="176" spans="2:2" x14ac:dyDescent="0.45">
      <c r="B176">
        <v>366</v>
      </c>
    </row>
    <row r="177" spans="2:2" x14ac:dyDescent="0.45">
      <c r="B177">
        <v>354</v>
      </c>
    </row>
    <row r="178" spans="2:2" x14ac:dyDescent="0.45">
      <c r="B178">
        <v>255</v>
      </c>
    </row>
    <row r="179" spans="2:2" x14ac:dyDescent="0.45">
      <c r="B179">
        <v>206</v>
      </c>
    </row>
    <row r="180" spans="2:2" x14ac:dyDescent="0.45">
      <c r="B180">
        <v>115</v>
      </c>
    </row>
    <row r="181" spans="2:2" x14ac:dyDescent="0.45">
      <c r="B181">
        <v>43</v>
      </c>
    </row>
    <row r="182" spans="2:2" x14ac:dyDescent="0.45">
      <c r="B182">
        <v>15</v>
      </c>
    </row>
    <row r="183" spans="2:2" x14ac:dyDescent="0.45">
      <c r="B183">
        <v>1134</v>
      </c>
    </row>
    <row r="184" spans="2:2" x14ac:dyDescent="0.45">
      <c r="B184">
        <v>0</v>
      </c>
    </row>
    <row r="185" spans="2:2" x14ac:dyDescent="0.45">
      <c r="B185">
        <v>0</v>
      </c>
    </row>
    <row r="186" spans="2:2" x14ac:dyDescent="0.45">
      <c r="B186">
        <v>0</v>
      </c>
    </row>
    <row r="187" spans="2:2" x14ac:dyDescent="0.45">
      <c r="B187">
        <v>0</v>
      </c>
    </row>
    <row r="188" spans="2:2" x14ac:dyDescent="0.45">
      <c r="B188">
        <v>0</v>
      </c>
    </row>
    <row r="189" spans="2:2" x14ac:dyDescent="0.45">
      <c r="B189">
        <v>0</v>
      </c>
    </row>
    <row r="190" spans="2:2" x14ac:dyDescent="0.45">
      <c r="B190">
        <v>0</v>
      </c>
    </row>
    <row r="191" spans="2:2" x14ac:dyDescent="0.45">
      <c r="B191">
        <v>0</v>
      </c>
    </row>
    <row r="192" spans="2:2" x14ac:dyDescent="0.45">
      <c r="B192">
        <v>866</v>
      </c>
    </row>
    <row r="193" spans="2:2" x14ac:dyDescent="0.45">
      <c r="B193">
        <v>63</v>
      </c>
    </row>
    <row r="194" spans="2:2" x14ac:dyDescent="0.45">
      <c r="B194">
        <v>221</v>
      </c>
    </row>
    <row r="195" spans="2:2" x14ac:dyDescent="0.45">
      <c r="B195">
        <v>345</v>
      </c>
    </row>
    <row r="196" spans="2:2" x14ac:dyDescent="0.45">
      <c r="B196">
        <v>330</v>
      </c>
    </row>
    <row r="197" spans="2:2" x14ac:dyDescent="0.45">
      <c r="B197">
        <v>325</v>
      </c>
    </row>
    <row r="198" spans="2:2" x14ac:dyDescent="0.45">
      <c r="B198">
        <v>279</v>
      </c>
    </row>
    <row r="199" spans="2:2" x14ac:dyDescent="0.45">
      <c r="B199">
        <v>217</v>
      </c>
    </row>
    <row r="200" spans="2:2" x14ac:dyDescent="0.45">
      <c r="B200">
        <v>125</v>
      </c>
    </row>
    <row r="201" spans="2:2" x14ac:dyDescent="0.45">
      <c r="B201">
        <v>69</v>
      </c>
    </row>
    <row r="202" spans="2:2" x14ac:dyDescent="0.45">
      <c r="B202">
        <v>26</v>
      </c>
    </row>
    <row r="203" spans="2:2" x14ac:dyDescent="0.45">
      <c r="B203">
        <v>0</v>
      </c>
    </row>
    <row r="204" spans="2:2" x14ac:dyDescent="0.45">
      <c r="B204">
        <v>0</v>
      </c>
    </row>
    <row r="205" spans="2:2" x14ac:dyDescent="0.45">
      <c r="B205">
        <v>0</v>
      </c>
    </row>
    <row r="206" spans="2:2" x14ac:dyDescent="0.45">
      <c r="B206">
        <v>0</v>
      </c>
    </row>
    <row r="207" spans="2:2" x14ac:dyDescent="0.45">
      <c r="B207">
        <v>0</v>
      </c>
    </row>
    <row r="208" spans="2:2" x14ac:dyDescent="0.45">
      <c r="B208">
        <v>2000</v>
      </c>
    </row>
    <row r="209" spans="2:2" x14ac:dyDescent="0.45">
      <c r="B209">
        <v>0</v>
      </c>
    </row>
    <row r="210" spans="2:2" x14ac:dyDescent="0.45">
      <c r="B210">
        <v>0</v>
      </c>
    </row>
    <row r="211" spans="2:2" x14ac:dyDescent="0.45">
      <c r="B211">
        <v>0</v>
      </c>
    </row>
    <row r="212" spans="2:2" x14ac:dyDescent="0.45">
      <c r="B212">
        <v>0</v>
      </c>
    </row>
    <row r="213" spans="2:2" x14ac:dyDescent="0.45">
      <c r="B213">
        <v>155</v>
      </c>
    </row>
    <row r="214" spans="2:2" x14ac:dyDescent="0.45">
      <c r="B214">
        <v>326</v>
      </c>
    </row>
    <row r="215" spans="2:2" x14ac:dyDescent="0.45">
      <c r="B215">
        <v>423</v>
      </c>
    </row>
    <row r="216" spans="2:2" x14ac:dyDescent="0.45">
      <c r="B216">
        <v>389</v>
      </c>
    </row>
    <row r="217" spans="2:2" x14ac:dyDescent="0.45">
      <c r="B217">
        <v>312</v>
      </c>
    </row>
    <row r="218" spans="2:2" x14ac:dyDescent="0.45">
      <c r="B218">
        <v>213</v>
      </c>
    </row>
    <row r="219" spans="2:2" x14ac:dyDescent="0.45">
      <c r="B219">
        <v>109</v>
      </c>
    </row>
    <row r="220" spans="2:2" x14ac:dyDescent="0.45">
      <c r="B220">
        <v>55</v>
      </c>
    </row>
    <row r="221" spans="2:2" x14ac:dyDescent="0.45">
      <c r="B221">
        <v>15</v>
      </c>
    </row>
    <row r="222" spans="2:2" x14ac:dyDescent="0.45">
      <c r="B222">
        <v>3</v>
      </c>
    </row>
    <row r="223" spans="2:2" x14ac:dyDescent="0.45">
      <c r="B223">
        <v>0</v>
      </c>
    </row>
    <row r="224" spans="2:2" x14ac:dyDescent="0.45">
      <c r="B224">
        <v>0</v>
      </c>
    </row>
    <row r="225" spans="2:2" x14ac:dyDescent="0.45">
      <c r="B225">
        <v>0</v>
      </c>
    </row>
    <row r="226" spans="2:2" x14ac:dyDescent="0.45">
      <c r="B226">
        <v>0</v>
      </c>
    </row>
    <row r="227" spans="2:2" x14ac:dyDescent="0.45">
      <c r="B227">
        <v>0</v>
      </c>
    </row>
    <row r="228" spans="2:2" x14ac:dyDescent="0.45">
      <c r="B228">
        <v>2000</v>
      </c>
    </row>
    <row r="229" spans="2:2" x14ac:dyDescent="0.45">
      <c r="B229">
        <v>0</v>
      </c>
    </row>
    <row r="230" spans="2:2" x14ac:dyDescent="0.45">
      <c r="B230">
        <v>0</v>
      </c>
    </row>
    <row r="231" spans="2:2" x14ac:dyDescent="0.45">
      <c r="B231">
        <v>0</v>
      </c>
    </row>
    <row r="232" spans="2:2" x14ac:dyDescent="0.45">
      <c r="B232">
        <v>0</v>
      </c>
    </row>
    <row r="233" spans="2:2" x14ac:dyDescent="0.45">
      <c r="B233">
        <v>91</v>
      </c>
    </row>
    <row r="234" spans="2:2" x14ac:dyDescent="0.45">
      <c r="B234">
        <v>219</v>
      </c>
    </row>
    <row r="235" spans="2:2" x14ac:dyDescent="0.45">
      <c r="B235">
        <v>329</v>
      </c>
    </row>
    <row r="236" spans="2:2" x14ac:dyDescent="0.45">
      <c r="B236">
        <v>376</v>
      </c>
    </row>
    <row r="237" spans="2:2" x14ac:dyDescent="0.45">
      <c r="B237">
        <v>349</v>
      </c>
    </row>
    <row r="238" spans="2:2" x14ac:dyDescent="0.45">
      <c r="B238">
        <v>280</v>
      </c>
    </row>
    <row r="239" spans="2:2" x14ac:dyDescent="0.45">
      <c r="B239">
        <v>189</v>
      </c>
    </row>
    <row r="240" spans="2:2" x14ac:dyDescent="0.45">
      <c r="B240">
        <v>109</v>
      </c>
    </row>
    <row r="241" spans="2:2" x14ac:dyDescent="0.45">
      <c r="B241">
        <v>46</v>
      </c>
    </row>
    <row r="242" spans="2:2" x14ac:dyDescent="0.45">
      <c r="B242">
        <v>12</v>
      </c>
    </row>
    <row r="243" spans="2:2" x14ac:dyDescent="0.45">
      <c r="B243">
        <v>171</v>
      </c>
    </row>
    <row r="244" spans="2:2" x14ac:dyDescent="0.45">
      <c r="B244">
        <v>0</v>
      </c>
    </row>
    <row r="245" spans="2:2" x14ac:dyDescent="0.45">
      <c r="B245">
        <v>0</v>
      </c>
    </row>
    <row r="246" spans="2:2" x14ac:dyDescent="0.45">
      <c r="B246">
        <v>0</v>
      </c>
    </row>
    <row r="247" spans="2:2" x14ac:dyDescent="0.45">
      <c r="B247">
        <v>0</v>
      </c>
    </row>
    <row r="248" spans="2:2" x14ac:dyDescent="0.45">
      <c r="B248">
        <v>0</v>
      </c>
    </row>
    <row r="249" spans="2:2" x14ac:dyDescent="0.45">
      <c r="B249">
        <v>0</v>
      </c>
    </row>
    <row r="250" spans="2:2" x14ac:dyDescent="0.45">
      <c r="B250">
        <v>0</v>
      </c>
    </row>
    <row r="251" spans="2:2" x14ac:dyDescent="0.45">
      <c r="B251">
        <v>0</v>
      </c>
    </row>
    <row r="252" spans="2:2" x14ac:dyDescent="0.45">
      <c r="B252">
        <v>1829</v>
      </c>
    </row>
    <row r="253" spans="2:2" x14ac:dyDescent="0.45">
      <c r="B253">
        <v>633</v>
      </c>
    </row>
    <row r="254" spans="2:2" x14ac:dyDescent="0.45">
      <c r="B254">
        <v>405</v>
      </c>
    </row>
    <row r="255" spans="2:2" x14ac:dyDescent="0.45">
      <c r="B255">
        <v>355</v>
      </c>
    </row>
    <row r="256" spans="2:2" x14ac:dyDescent="0.45">
      <c r="B256">
        <v>235</v>
      </c>
    </row>
    <row r="257" spans="2:2" x14ac:dyDescent="0.45">
      <c r="B257">
        <v>163</v>
      </c>
    </row>
    <row r="258" spans="2:2" x14ac:dyDescent="0.45">
      <c r="B258">
        <v>102</v>
      </c>
    </row>
    <row r="259" spans="2:2" x14ac:dyDescent="0.45">
      <c r="B259">
        <v>59</v>
      </c>
    </row>
    <row r="260" spans="2:2" x14ac:dyDescent="0.45">
      <c r="B260">
        <v>22</v>
      </c>
    </row>
    <row r="261" spans="2:2" x14ac:dyDescent="0.45">
      <c r="B261">
        <v>18</v>
      </c>
    </row>
    <row r="262" spans="2:2" x14ac:dyDescent="0.45">
      <c r="B262">
        <v>8</v>
      </c>
    </row>
    <row r="263" spans="2:2" x14ac:dyDescent="0.45">
      <c r="B263">
        <v>1829</v>
      </c>
    </row>
    <row r="264" spans="2:2" x14ac:dyDescent="0.45">
      <c r="B264">
        <v>0</v>
      </c>
    </row>
    <row r="265" spans="2:2" x14ac:dyDescent="0.45">
      <c r="B265">
        <v>0</v>
      </c>
    </row>
    <row r="266" spans="2:2" x14ac:dyDescent="0.45">
      <c r="B266">
        <v>0</v>
      </c>
    </row>
    <row r="267" spans="2:2" x14ac:dyDescent="0.45">
      <c r="B267">
        <v>0</v>
      </c>
    </row>
    <row r="268" spans="2:2" x14ac:dyDescent="0.45">
      <c r="B268">
        <v>0</v>
      </c>
    </row>
    <row r="269" spans="2:2" x14ac:dyDescent="0.45">
      <c r="B269">
        <v>0</v>
      </c>
    </row>
    <row r="270" spans="2:2" x14ac:dyDescent="0.45">
      <c r="B270">
        <v>0</v>
      </c>
    </row>
    <row r="271" spans="2:2" x14ac:dyDescent="0.45">
      <c r="B271">
        <v>0</v>
      </c>
    </row>
    <row r="272" spans="2:2" x14ac:dyDescent="0.45">
      <c r="B272">
        <v>171</v>
      </c>
    </row>
    <row r="273" spans="2:2" x14ac:dyDescent="0.45">
      <c r="B273">
        <v>86</v>
      </c>
    </row>
    <row r="274" spans="2:2" x14ac:dyDescent="0.45">
      <c r="B274">
        <v>261</v>
      </c>
    </row>
    <row r="275" spans="2:2" x14ac:dyDescent="0.45">
      <c r="B275">
        <v>306</v>
      </c>
    </row>
    <row r="276" spans="2:2" x14ac:dyDescent="0.45">
      <c r="B276">
        <v>333</v>
      </c>
    </row>
    <row r="277" spans="2:2" x14ac:dyDescent="0.45">
      <c r="B277">
        <v>304</v>
      </c>
    </row>
    <row r="278" spans="2:2" x14ac:dyDescent="0.45">
      <c r="B278">
        <v>285</v>
      </c>
    </row>
    <row r="279" spans="2:2" x14ac:dyDescent="0.45">
      <c r="B279">
        <v>200</v>
      </c>
    </row>
    <row r="280" spans="2:2" x14ac:dyDescent="0.45">
      <c r="B280">
        <v>125</v>
      </c>
    </row>
    <row r="281" spans="2:2" x14ac:dyDescent="0.45">
      <c r="B281">
        <v>83</v>
      </c>
    </row>
    <row r="282" spans="2:2" x14ac:dyDescent="0.45">
      <c r="B282">
        <v>17</v>
      </c>
    </row>
    <row r="283" spans="2:2" x14ac:dyDescent="0.45">
      <c r="B283">
        <v>0</v>
      </c>
    </row>
    <row r="284" spans="2:2" x14ac:dyDescent="0.45">
      <c r="B284">
        <v>0</v>
      </c>
    </row>
    <row r="285" spans="2:2" x14ac:dyDescent="0.45">
      <c r="B285">
        <v>0</v>
      </c>
    </row>
    <row r="286" spans="2:2" x14ac:dyDescent="0.45">
      <c r="B286">
        <v>0</v>
      </c>
    </row>
    <row r="287" spans="2:2" x14ac:dyDescent="0.45">
      <c r="B287">
        <v>0</v>
      </c>
    </row>
    <row r="288" spans="2:2" x14ac:dyDescent="0.45">
      <c r="B288">
        <v>2000</v>
      </c>
    </row>
    <row r="289" spans="2:2" x14ac:dyDescent="0.45">
      <c r="B289">
        <v>0</v>
      </c>
    </row>
    <row r="290" spans="2:2" x14ac:dyDescent="0.45">
      <c r="B290">
        <v>0</v>
      </c>
    </row>
    <row r="291" spans="2:2" x14ac:dyDescent="0.45">
      <c r="B291">
        <v>0</v>
      </c>
    </row>
    <row r="292" spans="2:2" x14ac:dyDescent="0.45">
      <c r="B292">
        <v>0</v>
      </c>
    </row>
    <row r="293" spans="2:2" x14ac:dyDescent="0.45">
      <c r="B293">
        <v>625</v>
      </c>
    </row>
    <row r="294" spans="2:2" x14ac:dyDescent="0.45">
      <c r="B294">
        <v>448</v>
      </c>
    </row>
    <row r="295" spans="2:2" x14ac:dyDescent="0.45">
      <c r="B295">
        <v>326</v>
      </c>
    </row>
    <row r="296" spans="2:2" x14ac:dyDescent="0.45">
      <c r="B296">
        <v>236</v>
      </c>
    </row>
    <row r="297" spans="2:2" x14ac:dyDescent="0.45">
      <c r="B297">
        <v>171</v>
      </c>
    </row>
    <row r="298" spans="2:2" x14ac:dyDescent="0.45">
      <c r="B298">
        <v>98</v>
      </c>
    </row>
    <row r="299" spans="2:2" x14ac:dyDescent="0.45">
      <c r="B299">
        <v>44</v>
      </c>
    </row>
    <row r="300" spans="2:2" x14ac:dyDescent="0.45">
      <c r="B300">
        <v>23</v>
      </c>
    </row>
    <row r="301" spans="2:2" x14ac:dyDescent="0.45">
      <c r="B301">
        <v>17</v>
      </c>
    </row>
    <row r="302" spans="2:2" x14ac:dyDescent="0.45">
      <c r="B302">
        <v>12</v>
      </c>
    </row>
    <row r="303" spans="2:2" x14ac:dyDescent="0.45">
      <c r="B303">
        <v>0</v>
      </c>
    </row>
    <row r="304" spans="2:2" x14ac:dyDescent="0.45">
      <c r="B304">
        <v>0</v>
      </c>
    </row>
    <row r="305" spans="2:2" x14ac:dyDescent="0.45">
      <c r="B305">
        <v>0</v>
      </c>
    </row>
    <row r="306" spans="2:2" x14ac:dyDescent="0.45">
      <c r="B306">
        <v>0</v>
      </c>
    </row>
    <row r="307" spans="2:2" x14ac:dyDescent="0.45">
      <c r="B307">
        <v>0</v>
      </c>
    </row>
    <row r="308" spans="2:2" x14ac:dyDescent="0.45">
      <c r="B308">
        <v>2000</v>
      </c>
    </row>
    <row r="309" spans="2:2" x14ac:dyDescent="0.45">
      <c r="B309">
        <v>0</v>
      </c>
    </row>
    <row r="310" spans="2:2" x14ac:dyDescent="0.45">
      <c r="B310">
        <v>0</v>
      </c>
    </row>
    <row r="311" spans="2:2" x14ac:dyDescent="0.45">
      <c r="B311">
        <v>0</v>
      </c>
    </row>
    <row r="312" spans="2:2" x14ac:dyDescent="0.45">
      <c r="B312">
        <v>0</v>
      </c>
    </row>
    <row r="313" spans="2:2" x14ac:dyDescent="0.45">
      <c r="B313">
        <v>30</v>
      </c>
    </row>
    <row r="314" spans="2:2" x14ac:dyDescent="0.45">
      <c r="B314">
        <v>96</v>
      </c>
    </row>
    <row r="315" spans="2:2" x14ac:dyDescent="0.45">
      <c r="B315">
        <v>285</v>
      </c>
    </row>
    <row r="316" spans="2:2" x14ac:dyDescent="0.45">
      <c r="B316">
        <v>442</v>
      </c>
    </row>
    <row r="317" spans="2:2" x14ac:dyDescent="0.45">
      <c r="B317">
        <v>464</v>
      </c>
    </row>
    <row r="318" spans="2:2" x14ac:dyDescent="0.45">
      <c r="B318">
        <v>373</v>
      </c>
    </row>
    <row r="319" spans="2:2" x14ac:dyDescent="0.45">
      <c r="B319">
        <v>183</v>
      </c>
    </row>
    <row r="320" spans="2:2" x14ac:dyDescent="0.45">
      <c r="B320">
        <v>83</v>
      </c>
    </row>
    <row r="321" spans="2:2" x14ac:dyDescent="0.45">
      <c r="B321">
        <v>36</v>
      </c>
    </row>
    <row r="322" spans="2:2" x14ac:dyDescent="0.45">
      <c r="B322">
        <v>8</v>
      </c>
    </row>
    <row r="323" spans="2:2" x14ac:dyDescent="0.45">
      <c r="B323">
        <v>837</v>
      </c>
    </row>
    <row r="324" spans="2:2" x14ac:dyDescent="0.45">
      <c r="B324">
        <v>0</v>
      </c>
    </row>
    <row r="325" spans="2:2" x14ac:dyDescent="0.45">
      <c r="B325">
        <v>0</v>
      </c>
    </row>
    <row r="326" spans="2:2" x14ac:dyDescent="0.45">
      <c r="B326">
        <v>0</v>
      </c>
    </row>
    <row r="327" spans="2:2" x14ac:dyDescent="0.45">
      <c r="B327">
        <v>0</v>
      </c>
    </row>
    <row r="328" spans="2:2" x14ac:dyDescent="0.45">
      <c r="B328">
        <v>0</v>
      </c>
    </row>
    <row r="329" spans="2:2" x14ac:dyDescent="0.45">
      <c r="B329">
        <v>0</v>
      </c>
    </row>
    <row r="330" spans="2:2" x14ac:dyDescent="0.45">
      <c r="B330">
        <v>0</v>
      </c>
    </row>
    <row r="331" spans="2:2" x14ac:dyDescent="0.45">
      <c r="B331">
        <v>0</v>
      </c>
    </row>
    <row r="332" spans="2:2" x14ac:dyDescent="0.45">
      <c r="B332">
        <v>1163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8D415848-3AD7-42B1-A1FC-7F2BF8BDF6CF}">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49</vt:i4>
      </vt:variant>
    </vt:vector>
  </HeadingPairs>
  <TitlesOfParts>
    <vt:vector size="56" baseType="lpstr">
      <vt:lpstr>About</vt:lpstr>
      <vt:lpstr>Inputs</vt:lpstr>
      <vt:lpstr>Network</vt:lpstr>
      <vt:lpstr>Results</vt:lpstr>
      <vt:lpstr>ModelRiskDSN</vt:lpstr>
      <vt:lpstr>ModelRiskSYS1</vt:lpstr>
      <vt:lpstr>ModelRiskCharts</vt:lpstr>
      <vt:lpstr>Checks</vt:lpstr>
      <vt:lpstr>ContractWeeks</vt:lpstr>
      <vt:lpstr>Crit_A</vt:lpstr>
      <vt:lpstr>Crit_B</vt:lpstr>
      <vt:lpstr>Crit_C</vt:lpstr>
      <vt:lpstr>Crit_D</vt:lpstr>
      <vt:lpstr>Crit_E</vt:lpstr>
      <vt:lpstr>Crit_F</vt:lpstr>
      <vt:lpstr>Crit_G</vt:lpstr>
      <vt:lpstr>Crit_H</vt:lpstr>
      <vt:lpstr>Crit_I</vt:lpstr>
      <vt:lpstr>Crit_J</vt:lpstr>
      <vt:lpstr>Crit_K</vt:lpstr>
      <vt:lpstr>Crit_L</vt:lpstr>
      <vt:lpstr>Crit_M</vt:lpstr>
      <vt:lpstr>Crit_N</vt:lpstr>
      <vt:lpstr>Crit_O</vt:lpstr>
      <vt:lpstr>Det_Mean</vt:lpstr>
      <vt:lpstr>Det_ML</vt:lpstr>
      <vt:lpstr>DetCrit</vt:lpstr>
      <vt:lpstr>Dur_A</vt:lpstr>
      <vt:lpstr>Dur_B</vt:lpstr>
      <vt:lpstr>Dur_C</vt:lpstr>
      <vt:lpstr>Dur_D</vt:lpstr>
      <vt:lpstr>Dur_E</vt:lpstr>
      <vt:lpstr>Dur_F</vt:lpstr>
      <vt:lpstr>Dur_G</vt:lpstr>
      <vt:lpstr>Dur_H</vt:lpstr>
      <vt:lpstr>Dur_I</vt:lpstr>
      <vt:lpstr>Dur_J</vt:lpstr>
      <vt:lpstr>Dur_K</vt:lpstr>
      <vt:lpstr>Dur_L</vt:lpstr>
      <vt:lpstr>Dur_M</vt:lpstr>
      <vt:lpstr>Dur_N</vt:lpstr>
      <vt:lpstr>Dur_O</vt:lpstr>
      <vt:lpstr>Finish</vt:lpstr>
      <vt:lpstr>FinishDate</vt:lpstr>
      <vt:lpstr>Flood</vt:lpstr>
      <vt:lpstr>Flood_Hi</vt:lpstr>
      <vt:lpstr>Flood_Lo</vt:lpstr>
      <vt:lpstr>Flood_Mean</vt:lpstr>
      <vt:lpstr>Flood_ML</vt:lpstr>
      <vt:lpstr>InputMeans</vt:lpstr>
      <vt:lpstr>MeetsContract</vt:lpstr>
      <vt:lpstr>Results!Print_Area</vt:lpstr>
      <vt:lpstr>Inputs!Print_Titles</vt:lpstr>
      <vt:lpstr>Results!Print_Titles</vt:lpstr>
      <vt:lpstr>Prob_Flood</vt:lpstr>
      <vt:lpstr>StartDate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PC-03 Schedule Risk on a Project Network</dc:title>
  <dc:subject>ModelRisk industry example library — Projects and construction</dc:subject>
  <dc:creator>Vose Software</dc:creator>
  <cp:keywords>ModelRisk; Monte Carlo; Projects and construction</cp:keywords>
  <dc:description>A bridge replacement programme simulated on its activity network: completion date, criticality index and merge bias.</dc:description>
  <cp:lastModifiedBy>Timour Koupeev</cp:lastModifiedBy>
  <cp:lastPrinted>2026-10-05T19:26:38Z</cp:lastPrinted>
  <dcterms:created xsi:type="dcterms:W3CDTF">2026-10-05T19:21:37Z</dcterms:created>
  <dcterms:modified xsi:type="dcterms:W3CDTF">2026-10-05T19:26:40Z</dcterms:modified>
</cp:coreProperties>
</file>