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B4531DFB-1BBE-4F5C-9907-535496285C4F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o0_cell" hidden="1">Model!$C$26</definedName>
    <definedName name="M0_v0_cell" hidden="1">Model!$B$10</definedName>
    <definedName name="M0_v1_cell" hidden="1">Model!$B$11</definedName>
    <definedName name="M0_v10_cell" hidden="1">Model!$B$20</definedName>
    <definedName name="M0_v11_cell" hidden="1">Model!$B$21</definedName>
    <definedName name="M0_v12_cell" hidden="1">Model!$B$22</definedName>
    <definedName name="M0_v13_cell" hidden="1">Model!$B$23</definedName>
    <definedName name="M0_v2_cell" hidden="1">Model!$B$12</definedName>
    <definedName name="M0_v3_cell" hidden="1">Model!$B$13</definedName>
    <definedName name="M0_v4_cell" hidden="1">Model!$B$14</definedName>
    <definedName name="M0_v5_cell" hidden="1">Model!$B$15</definedName>
    <definedName name="M0_v6_cell" hidden="1">Model!$B$16</definedName>
    <definedName name="M0_v7_cell" hidden="1">Model!$B$17</definedName>
    <definedName name="M0_v8_cell" hidden="1">Model!$B$18</definedName>
    <definedName name="M0_v9_cell" hidden="1">Model!$B$19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fullCalcOnLoad="1"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<sst xmlns="http://schemas.openxmlformats.org/spreadsheetml/2006/main" count="53" uniqueCount="53">
  <si>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Museum — Exhibit Tour Sequencing</t>
  </si>
  <si>
    <t>Which viewing slot should each exhibit occupy so the crowd spreads evenly through the day?</t>
  </si>
  <si>
    <t>Generated by ModelRisk Studio — native optimizer example library.</t>
  </si>
  <si>
    <t>What this workbook models</t>
  </si>
  <si>
    <t>A museum routes visitors through 14 exhibits across 8 timed slots. Each exhibit has an uncertain 'pull' (how</t>
  </si>
  <si>
    <t>many visitors it draws). Bunching popular exhibits in the same slot causes congestion.</t>
  </si>
  <si>
    <t>Decision, objective and constraint</t>
  </si>
  <si>
    <t>Decision</t>
  </si>
  <si>
    <t>14 discrete slot assignments (each exhibit → one of 8 slots)</t>
  </si>
  <si>
    <t>Objective</t>
  </si>
  <si>
    <t>Minimise the Mean variance of crowd load across the 8 slots</t>
  </si>
  <si>
    <t>Constraints</t>
  </si>
  <si>
    <t>none — a pure assignment problem</t>
  </si>
  <si>
    <t>Engine — Vertex Detector</t>
  </si>
  <si>
    <t>14 independent discrete assignment variables with no combinatorial group. Method=Auto routes independent</t>
  </si>
  <si>
    <t>discrete decisions to the Vertex Detector, which explores the discrete assignment space efficiently.</t>
  </si>
  <si>
    <t>Glossary</t>
  </si>
  <si>
    <t>Slot</t>
  </si>
  <si>
    <t>a timed viewing window in the visitor route</t>
  </si>
  <si>
    <t>Museum — Exhibit Tour Sequencing to Smooth Crowd Flow</t>
  </si>
  <si>
    <t>Assign each of 14 exhibits to a viewing slot so visitor congestion (crowd variance across the day) is minimised.</t>
  </si>
  <si>
    <t>▒ Input (edit)</t>
  </si>
  <si>
    <t>▒ Output (sim)</t>
  </si>
  <si>
    <t>▒ Decision (adjustable)</t>
  </si>
  <si>
    <t>▒ Objective / key</t>
  </si>
  <si>
    <t>Parameters</t>
  </si>
  <si>
    <t>Visitors per hour (base)</t>
  </si>
  <si>
    <t>Exhibits (decision = time slot 1..8)</t>
  </si>
  <si>
    <t>Exhibit</t>
  </si>
  <si>
    <t>Slot (dec 1-8)</t>
  </si>
  <si>
    <t>Pull weight (unc.)</t>
  </si>
  <si>
    <t>Load</t>
  </si>
  <si>
    <t>Exhibit 1</t>
  </si>
  <si>
    <t>Exhibit 2</t>
  </si>
  <si>
    <t>Exhibit 3</t>
  </si>
  <si>
    <t>Exhibit 4</t>
  </si>
  <si>
    <t>Exhibit 5</t>
  </si>
  <si>
    <t>Exhibit 6</t>
  </si>
  <si>
    <t>Exhibit 7</t>
  </si>
  <si>
    <t>Exhibit 8</t>
  </si>
  <si>
    <t>Exhibit 9</t>
  </si>
  <si>
    <t>Exhibit 10</t>
  </si>
  <si>
    <t>Exhibit 11</t>
  </si>
  <si>
    <t>Exhibit 12</t>
  </si>
  <si>
    <t>Exhibit 13</t>
  </si>
  <si>
    <t>Exhibit 14</t>
  </si>
  <si>
    <t>Results</t>
  </si>
  <si>
    <t>Crowd variance across slots — objective</t>
  </si>
  <si>
    <t>{"format_version":"1.0","model":"Museum exhibit sequencing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600,"maxTimeSeconds":300.0,"parameterTolerance":1.0,"toleranceUnit":1,"stagnationTrials":150,"stagnationDeviation":1e-06,"stagnationUnit":0,"stopOnError":false,"stopFormulaEnabled":false,"stopFormulaRef":""},"adj":{"variables":[{"cell":{"sheet":"Model","row":9,"col":1},"type":2,"min":1.0,"max":8.0,"groupIndex":-1,"label":"","discreteSet":[],"step":1.0},{"cell":{"sheet":"Model","row":10,"col":1},"type":2,"min":1.0,"max":8.0,"groupIndex":-1,"label":"","discreteSet":[],"step":1.0},{"cell":{"sheet":"Model","row":11,"col":1},"type":2,"min":1.0,"max":8.0,"groupIndex":-1,"label":"","discreteSet":[],"step":1.0},{"cell":{"sheet":"Model","row":12,"col":1},"type":2,"min":1.0,"max":8.0,"groupIndex":-1,"label":"","discreteSet":[],"step":1.0},{"cell":{"sheet":"Model","row":13,"col":1},"type":2,"min":1.0,"max":8.0,"groupIndex":-1,"label":"","discreteSet":[],"step":1.0},{"cell":{"sheet":"Model","row":14,"col":1},"type":2,"min":1.0,"max":8.0,"groupIndex":-1,"label":"","discreteSet":[],"step":1.0},{"cell":{"sheet":"Model","row":15,"col":1},"type":2,"min":1.0,"max":8.0,"groupIndex":-1,"label":"","discreteSet":[],"step":1.0},{"cell":{"sheet":"Model","row":16,"col":1},"type":2,"min":1.0,"max":8.0,"groupIndex":-1,"label":"","discreteSet":[],"step":1.0},{"cell":{"sheet":"Model","row":17,"col":1},"type":2,"min":1.0,"max":8.0,"groupIndex":-1,"label":"","discreteSet":[],"step":1.0},{"cell":{"sheet":"Model","row":18,"col":1},"type":2,"min":1.0,"max":8.0,"groupIndex":-1,"label":"","discreteSet":[],"step":1.0},{"cell":{"sheet":"Model","row":19,"col":1},"type":2,"min":1.0,"max":8.0,"groupIndex":-1,"label":"","discreteSet":[],"step":1.0},{"cell":{"sheet":"Model","row":20,"col":1},"type":2,"min":1.0,"max":8.0,"groupIndex":-1,"label":"","discreteSet":[],"step":1.0},{"cell":{"sheet":"Model","row":21,"col":1},"type":2,"min":1.0,"max":8.0,"groupIndex":-1,"label":"","discreteSet":[],"step":1.0},{"cell":{"sheet":"Model","row":22,"col":1},"type":2,"min":1.0,"max":8.0,"groupIndex":-1,"label":"","discreteSet":[],"step":1.0}],"groups":[]},"objectives":[{"name":"Min crowd variance","cell":{"sheet":"Model","row":25,"col":2},"stat":{"kind":0,"param1":0.0,"param2":0.0},"mode":1,"targetValue":0.0}],"constraints":[]}</t>
  </si>
  <si>
    <t>DSN Files Count:</t>
  </si>
  <si>
    <t>MROPTREPO/2.0</t>
  </si>
  <si>
    <t>{"format_version":"1.0","model":"Museum exhibit sequencing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0.000001,"nelderMeadInitStep":0.05,"bfgsGradH":0.000001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600,"maxTimeSeconds":300.0,"parameterTolerance":1.0,"toleranceUnit":1,"stagnationTrials":150,"stagnationDeviation":0.000001,"stagnationUnit":0,"stopOnError":false,"stopFormulaEnabled":false,"stopFormulaRef":""},"adj":{"variables":[{"cell":{"sheet":"Model","row":9,"col":1},"type":2,"min":1.0,"max":8.0,"step":1.0,"groupIndex":-1,"label":"","discreteSet":[]},{"cell":{"sheet":"Model","row":10,"col":1},"type":2,"min":1.0,"max":8.0,"step":1.0,"groupIndex":-1,"label":"","discreteSet":[]},{"cell":{"sheet":"Model","row":11,"col":1},"type":2,"min":1.0,"max":8.0,"step":1.0,"groupIndex":-1,"label":"","discreteSet":[]},{"cell":{"sheet":"Model","row":12,"col":1},"type":2,"min":1.0,"max":8.0,"step":1.0,"groupIndex":-1,"label":"","discreteSet":[]},{"cell":{"sheet":"Model","row":13,"col":1},"type":2,"min":1.0,"max":8.0,"step":1.0,"groupIndex":-1,"label":"","discreteSet":[]},{"cell":{"sheet":"Model","row":14,"col":1},"type":2,"min":1.0,"max":8.0,"step":1.0,"groupIndex":-1,"label":"","discreteSet":[]},{"cell":{"sheet":"Model","row":15,"col":1},"type":2,"min":1.0,"max":8.0,"step":1.0,"groupIndex":-1,"label":"","discreteSet":[]},{"cell":{"sheet":"Model","row":16,"col":1},"type":2,"min":1.0,"max":8.0,"step":1.0,"groupIndex":-1,"label":"","discreteSet":[]},{"cell":{"sheet":"Model","row":17,"col":1},"type":2,"min":1.0,"max":8.0,"step":1.0,"groupIndex":-1,"label":"","discreteSet":[]},{"cell":{"sheet":"Model","row":18,"col":1},"type":2,"min":1.0,"max":8.0,"step":1.0,"groupIndex":-1,"label":"","discreteSet":[]},{"cell":{"sheet":"Model","row":19,"col":1},"type":2,"min":1.0,"max":8.0,"step":1.0,"groupIndex":-1,"label":"","discreteSet":[]},{"cell":{"sheet":"Model","row":20,"col":1},"type":2,"min":1.0,"max":8.0,"step":1.0,"groupIndex":-1,"label":"","discreteSet":[]},{"cell":{"sheet":"Model","row":21,"col":1},"type":2,"min":1.0,"max":8.0,"step":1.0,"groupIndex":-1,"label":"","discreteSet":[]},{"cell":{"sheet":"Model","row":22,"col":1},"type":2,"min":1.0,"max":8.0,"step":1.0,"groupIndex":-1,"label":"","discreteSet":[]}],"groups":[]},"objectives":[{"name":"Min crowd variance","cell":{"sheet":"Model","row":25,"col":2},"stat":{"kind":0,"param1":0.0,"param2":0.0},"mode":1,"targetValue":0.0}],"constraints":[],"frontier":{"sweptIndex":-1,"lo":0.0,"hi":0.0,"nPoints":5}}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</si>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</sst>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9"/>
      <color rgb="FFFFFFFF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F2F2F2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9" borderId="0" xfId="0" applyFont="1" applyFill="1"/>
    <xf numFmtId="0" fontId="0" fillId="9" borderId="0" xfId="0" applyFill="1"/>
    <xf numFmtId="0" fontId="7" fillId="9" borderId="0" xfId="0" applyFont="1" applyFill="1"/>
    <xf numFmtId="0" fontId="5" fillId="9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3" fontId="5" fillId="3" borderId="1" xfId="0" applyNumberFormat="1" applyFont="1" applyFill="1" applyBorder="1"/>
    <xf numFmtId="0" fontId="6" fillId="2" borderId="1" xfId="0" applyFont="1" applyFill="1" applyBorder="1"/>
    <xf numFmtId="1" fontId="7" fillId="5" borderId="1" xfId="0" applyNumberFormat="1" applyFont="1" applyFill="1" applyBorder="1"/>
    <xf numFmtId="2" fontId="5" fillId="4" borderId="1" xfId="0" applyNumberFormat="1" applyFont="1" applyFill="1" applyBorder="1"/>
    <xf numFmtId="164" fontId="5" fillId="4" borderId="1" xfId="0" applyNumberFormat="1" applyFont="1" applyFill="1" applyBorder="1"/>
    <xf numFmtId="0" fontId="7" fillId="0" borderId="0" xfId="0" applyFont="1"/>
    <xf numFmtId="164" fontId="7" fillId="6" borderId="1" xfId="0" applyNumberFormat="1" applyFont="1" applyFill="1" applyBorder="1"/>
    <xf numFmtId="164" fontId="5" fillId="8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19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6" spans="1:2" x14ac:dyDescent="0.55000000000000004">
      <c r="A16" s="7" t="s">
        <v>15</v>
      </c>
      <c r="B16" s="8"/>
    </row>
    <row r="18" spans="1:2" ht="15.75" customHeight="1" x14ac:dyDescent="0.6">
      <c r="A18" s="5" t="s">
        <v>16</v>
      </c>
      <c r="B18" s="6"/>
    </row>
    <row r="19" spans="1:2" x14ac:dyDescent="0.55000000000000004">
      <c r="A19" s="9" t="s">
        <v>17</v>
      </c>
      <c r="B19" s="10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35"/>
  <sheetViews>
    <sheetView showGridLines="0" workbookViewId="0"/>
  </sheetViews>
  <sheetFormatPr defaultRowHeight="14.4" x14ac:dyDescent="0.55000000000000004"/>
  <cols>
    <col min="1" max="1" width="24" customWidth="1"/>
    <col min="2" max="6" width="16" customWidth="1"/>
  </cols>
  <sheetData>
    <row r="1" spans="1:8" ht="18.3" x14ac:dyDescent="0.7">
      <c r="A1" s="11" t="s">
        <v>19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20</v>
      </c>
    </row>
    <row r="3" spans="1:8" x14ac:dyDescent="0.55000000000000004">
      <c r="A3" s="13" t="s">
        <v>21</v>
      </c>
      <c r="C3" s="14" t="s">
        <v>22</v>
      </c>
      <c r="E3" s="15" t="s">
        <v>23</v>
      </c>
      <c r="G3" s="16" t="s">
        <v>24</v>
      </c>
    </row>
    <row r="5" spans="1:8" x14ac:dyDescent="0.55000000000000004">
      <c r="A5" s="17" t="s">
        <v>25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26</v>
      </c>
      <c r="C6" s="19">
        <v>600</v>
      </c>
    </row>
    <row r="8" spans="1:8" x14ac:dyDescent="0.55000000000000004">
      <c r="A8" s="17" t="s">
        <v>27</v>
      </c>
      <c r="B8" s="6"/>
      <c r="C8" s="6"/>
      <c r="D8" s="6"/>
      <c r="E8" s="6"/>
      <c r="F8" s="6"/>
      <c r="G8" s="6"/>
      <c r="H8" s="6"/>
    </row>
    <row r="9" spans="1:8" x14ac:dyDescent="0.55000000000000004">
      <c r="A9" s="20" t="s">
        <v>28</v>
      </c>
      <c r="B9" s="20" t="s">
        <v>29</v>
      </c>
      <c r="C9" s="20" t="s">
        <v>30</v>
      </c>
      <c r="D9" s="20" t="s">
        <v>31</v>
      </c>
    </row>
    <row r="10" spans="1:8" x14ac:dyDescent="0.55000000000000004">
      <c r="A10" s="18" t="s">
        <v>32</v>
      </c>
      <c r="B10" s="21">
        <v>1</v>
      </c>
      <c r="C10" s="22">
        <f ca="1">_xll.VoseNormal(0.6,0.2)</f>
        <v>0.55096292828606319</v>
      </c>
      <c r="D10" s="23">
        <f t="shared" ref="D10:D23" ca="1" si="0">C10*$C$6</f>
        <v>330.57775697163794</v>
      </c>
    </row>
    <row r="11" spans="1:8" x14ac:dyDescent="0.55000000000000004">
      <c r="A11" s="18" t="s">
        <v>33</v>
      </c>
      <c r="B11" s="21">
        <v>2</v>
      </c>
      <c r="C11" s="22">
        <f ca="1">_xll.VoseNormal(0.65,0.2)</f>
        <v>0.54172035480643355</v>
      </c>
      <c r="D11" s="23">
        <f t="shared" ca="1" si="0"/>
        <v>325.03221288386015</v>
      </c>
    </row>
    <row r="12" spans="1:8" x14ac:dyDescent="0.55000000000000004">
      <c r="A12" s="18" t="s">
        <v>34</v>
      </c>
      <c r="B12" s="21">
        <v>3</v>
      </c>
      <c r="C12" s="22">
        <f ca="1">_xll.VoseNormal(0.7,0.2)</f>
        <v>0.62933823960929902</v>
      </c>
      <c r="D12" s="23">
        <f t="shared" ca="1" si="0"/>
        <v>377.60294376557943</v>
      </c>
    </row>
    <row r="13" spans="1:8" x14ac:dyDescent="0.55000000000000004">
      <c r="A13" s="18" t="s">
        <v>35</v>
      </c>
      <c r="B13" s="21">
        <v>4</v>
      </c>
      <c r="C13" s="22">
        <f ca="1">_xll.VoseNormal(0.75,0.2)</f>
        <v>0.46554856840707437</v>
      </c>
      <c r="D13" s="23">
        <f t="shared" ca="1" si="0"/>
        <v>279.32914104424464</v>
      </c>
    </row>
    <row r="14" spans="1:8" x14ac:dyDescent="0.55000000000000004">
      <c r="A14" s="18" t="s">
        <v>36</v>
      </c>
      <c r="B14" s="21">
        <v>5</v>
      </c>
      <c r="C14" s="22">
        <f ca="1">_xll.VoseNormal(0.8,0.2)</f>
        <v>0.69430719087516402</v>
      </c>
      <c r="D14" s="23">
        <f t="shared" ca="1" si="0"/>
        <v>416.58431452509842</v>
      </c>
    </row>
    <row r="15" spans="1:8" x14ac:dyDescent="0.55000000000000004">
      <c r="A15" s="18" t="s">
        <v>37</v>
      </c>
      <c r="B15" s="21">
        <v>6</v>
      </c>
      <c r="C15" s="22">
        <f ca="1">_xll.VoseNormal(0.85,0.2)</f>
        <v>0.71937605310314123</v>
      </c>
      <c r="D15" s="23">
        <f t="shared" ca="1" si="0"/>
        <v>431.62563186188476</v>
      </c>
    </row>
    <row r="16" spans="1:8" x14ac:dyDescent="0.55000000000000004">
      <c r="A16" s="18" t="s">
        <v>38</v>
      </c>
      <c r="B16" s="21">
        <v>7</v>
      </c>
      <c r="C16" s="22">
        <f ca="1">_xll.VoseNormal(0.9,0.2)</f>
        <v>0.45750246708241826</v>
      </c>
      <c r="D16" s="23">
        <f t="shared" ca="1" si="0"/>
        <v>274.50148024945094</v>
      </c>
    </row>
    <row r="17" spans="1:8" x14ac:dyDescent="0.55000000000000004">
      <c r="A17" s="18" t="s">
        <v>39</v>
      </c>
      <c r="B17" s="21">
        <v>8</v>
      </c>
      <c r="C17" s="22">
        <f ca="1">_xll.VoseNormal(0.95,0.2)</f>
        <v>1.2166340431304135</v>
      </c>
      <c r="D17" s="23">
        <f t="shared" ca="1" si="0"/>
        <v>729.98042587824807</v>
      </c>
    </row>
    <row r="18" spans="1:8" x14ac:dyDescent="0.55000000000000004">
      <c r="A18" s="18" t="s">
        <v>40</v>
      </c>
      <c r="B18" s="21">
        <v>1</v>
      </c>
      <c r="C18" s="22">
        <f ca="1">_xll.VoseNormal(1,0.2)</f>
        <v>0.94133309936219922</v>
      </c>
      <c r="D18" s="23">
        <f t="shared" ca="1" si="0"/>
        <v>564.7998596173195</v>
      </c>
    </row>
    <row r="19" spans="1:8" x14ac:dyDescent="0.55000000000000004">
      <c r="A19" s="18" t="s">
        <v>41</v>
      </c>
      <c r="B19" s="21">
        <v>2</v>
      </c>
      <c r="C19" s="22">
        <f ca="1">_xll.VoseNormal(1.05,0.2)</f>
        <v>0.83033665997583783</v>
      </c>
      <c r="D19" s="23">
        <f t="shared" ca="1" si="0"/>
        <v>498.20199598550272</v>
      </c>
    </row>
    <row r="20" spans="1:8" x14ac:dyDescent="0.55000000000000004">
      <c r="A20" s="18" t="s">
        <v>42</v>
      </c>
      <c r="B20" s="21">
        <v>3</v>
      </c>
      <c r="C20" s="22">
        <f ca="1">_xll.VoseNormal(1.1,0.2)</f>
        <v>1.2219181888970876</v>
      </c>
      <c r="D20" s="23">
        <f t="shared" ca="1" si="0"/>
        <v>733.15091333825251</v>
      </c>
    </row>
    <row r="21" spans="1:8" x14ac:dyDescent="0.55000000000000004">
      <c r="A21" s="18" t="s">
        <v>43</v>
      </c>
      <c r="B21" s="21">
        <v>4</v>
      </c>
      <c r="C21" s="22">
        <f ca="1">_xll.VoseNormal(1.15,0.2)</f>
        <v>1.2748505967101444</v>
      </c>
      <c r="D21" s="23">
        <f t="shared" ca="1" si="0"/>
        <v>764.91035802608667</v>
      </c>
    </row>
    <row r="22" spans="1:8" x14ac:dyDescent="0.55000000000000004">
      <c r="A22" s="18" t="s">
        <v>44</v>
      </c>
      <c r="B22" s="21">
        <v>5</v>
      </c>
      <c r="C22" s="22">
        <f ca="1">_xll.VoseNormal(1.2,0.2)</f>
        <v>1.5952883695501865</v>
      </c>
      <c r="D22" s="23">
        <f t="shared" ca="1" si="0"/>
        <v>957.17302173011194</v>
      </c>
    </row>
    <row r="23" spans="1:8" x14ac:dyDescent="0.55000000000000004">
      <c r="A23" s="18" t="s">
        <v>45</v>
      </c>
      <c r="B23" s="21">
        <v>6</v>
      </c>
      <c r="C23" s="22">
        <f ca="1">_xll.VoseNormal(1.25,0.2)</f>
        <v>1.4437415970774581</v>
      </c>
      <c r="D23" s="23">
        <f t="shared" ca="1" si="0"/>
        <v>866.24495824647488</v>
      </c>
    </row>
    <row r="25" spans="1:8" x14ac:dyDescent="0.55000000000000004">
      <c r="A25" s="17" t="s">
        <v>46</v>
      </c>
      <c r="B25" s="6"/>
      <c r="C25" s="6"/>
      <c r="D25" s="6"/>
      <c r="E25" s="6"/>
      <c r="F25" s="6"/>
      <c r="G25" s="6"/>
      <c r="H25" s="6"/>
    </row>
    <row r="26" spans="1:8" x14ac:dyDescent="0.55000000000000004">
      <c r="A26" s="24" t="s">
        <v>47</v>
      </c>
      <c r="C26" s="25">
        <f ca="1">VAR(F28:F35)</f>
      </c>
    </row>
    <row r="28" spans="1:8" x14ac:dyDescent="0.55000000000000004">
      <c r="F28" s="26">
        <f ca="1">SUMIF($B$10:$B$23,1,$D$10:$D$23)</f>
        <v>895.37761658895738</v>
      </c>
    </row>
    <row r="29" spans="1:8" x14ac:dyDescent="0.55000000000000004">
      <c r="F29" s="26">
        <f ca="1">SUMIF($B$10:$B$23,2,$D$10:$D$23)</f>
        <v>823.23420886936287</v>
      </c>
    </row>
    <row r="30" spans="1:8" x14ac:dyDescent="0.55000000000000004">
      <c r="F30" s="26">
        <f ca="1">SUMIF($B$10:$B$23,3,$D$10:$D$23)</f>
        <v>1110.7538571038319</v>
      </c>
    </row>
    <row r="31" spans="1:8" x14ac:dyDescent="0.55000000000000004">
      <c r="F31" s="26">
        <f ca="1">SUMIF($B$10:$B$23,4,$D$10:$D$23)</f>
        <v>1044.2394990703312</v>
      </c>
    </row>
    <row r="32" spans="1:8" x14ac:dyDescent="0.55000000000000004">
      <c r="F32" s="26">
        <f ca="1">SUMIF($B$10:$B$23,5,$D$10:$D$23)</f>
        <v>1373.7573362552102</v>
      </c>
    </row>
    <row r="33" spans="6:6" x14ac:dyDescent="0.55000000000000004">
      <c r="F33" s="26">
        <f ca="1">SUMIF($B$10:$B$23,6,$D$10:$D$23)</f>
        <v>1297.8705901083597</v>
      </c>
    </row>
    <row r="34" spans="6:6" x14ac:dyDescent="0.55000000000000004">
      <c r="F34" s="26">
        <f ca="1">SUMIF($B$10:$B$23,7,$D$10:$D$23)</f>
        <v>274.50148024945094</v>
      </c>
    </row>
    <row r="35" spans="6:6" x14ac:dyDescent="0.55000000000000004">
      <c r="F35" s="26">
        <f ca="1">SUMIF($B$10:$B$23,8,$D$10:$D$23)</f>
        <v>729.98042587824807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49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7DBF7-C042-46D3-BFA2-E284630A0076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1E25B-1DC8-430B-ABD0-1E69C3BE91F1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7" t="s">
        <v>50</v>
      </c>
      <c r="B1">
        <v>0</v>
      </c>
      <c r="C1">
        <v>1</v>
      </c>
      <c r="D1">
        <v>1</v>
      </c>
      <c r="E1" s="27" t="s">
        <v>51</v>
      </c>
    </row>
    <row r="2" spans="1:5" x14ac:dyDescent="0.55000000000000004">
      <c r="A2">
        <v>1</v>
      </c>
      <c r="B2" s="27" t="s">
        <v>52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2026-07-10T04:35:12Z</dcterms:created>
  <dcterms:modified xsi:type="dcterms:W3CDTF">2026-08-14T06:52:18Z</dcterms:modified>
</cp:coreProperties>
</file>