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9D44B67F-3E0B-430F-A7A4-9D573C5136DD}" xr6:coauthVersionLast="47" xr6:coauthVersionMax="47" xr10:uidLastSave="{00000000-0000-0000-0000-000000000000}"/>
  <bookViews>
    <workbookView xWindow="-98" yWindow="-98" windowWidth="21795" windowHeight="12975" firstSheet="2" activeTab="2" xr2:uid="{66FD6AB1-9EA7-4EFC-ACB4-5A14F33E32F5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_MC_Calc!$A$1:$EQ$1</definedName>
    <definedName name="Acquire3dSeismicFirstCost">MC_Tree_1!$C$7</definedName>
    <definedName name="AppraisalWellCost">MC_Tree_1!$C$13</definedName>
    <definedName name="AppraisalWellsFirstCost">MC_Tree_1!$C$10</definedName>
    <definedName name="DevelopFpsoCost">MC_Tree_1!$C$12</definedName>
    <definedName name="DontDrillValue">MC_Tree_1!$C$21</definedName>
    <definedName name="DrillExplorationWellCost">MC_Tree_1!$C$6</definedName>
    <definedName name="DrillWellCost">MC_Tree_1!$C$18</definedName>
    <definedName name="DrillWellCost2">MC_Tree_1!$C$20</definedName>
    <definedName name="FarmOutKeep25Cost">MC_Tree_1!$C$8</definedName>
    <definedName name="FarmOutWithDataValue">MC_Tree_1!$C$19</definedName>
    <definedName name="FasttrackDevelopmentCost">MC_Tree_1!$C$9</definedName>
    <definedName name="MC_BD_D_appraise_major_C_appraisal_major" localSheetId="3">MC_Tree_1!$E$56</definedName>
    <definedName name="MC_BD_D_appraise_major_C_dev_major" localSheetId="3">MC_Tree_1!$E$34</definedName>
    <definedName name="MC_BD_D_appraise_major_T_sell_major" localSheetId="3">MC_Tree_1!$E$62</definedName>
    <definedName name="MC_BD_D_appraise_sig_C_appr_sig" localSheetId="3">MC_Tree_1!$E$78</definedName>
    <definedName name="MC_BD_D_appraise_sig_C_price_sig" localSheetId="3">MC_Tree_1!$E$68</definedName>
    <definedName name="MC_BD_D_appraise_sig_T_sell_sig" localSheetId="3">MC_Tree_1!$E$84</definedName>
    <definedName name="MC_BD_D_drill_moderate_C_drill_moderate" localSheetId="3">MC_Tree_1!$E$122</definedName>
    <definedName name="MC_BD_D_drill_moderate_T_no_drill_mod" localSheetId="3">MC_Tree_1!$E$130</definedName>
    <definedName name="MC_BD_D_drill_strong_C_drill_strong" localSheetId="3">MC_Tree_1!$E$108</definedName>
    <definedName name="MC_BD_D_drill_strong_T_farmout_strong" localSheetId="3">MC_Tree_1!$E$116</definedName>
    <definedName name="MC_BD_D_marginal_C_tieback" localSheetId="3">MC_Tree_1!$E$88</definedName>
    <definedName name="MC_BD_D_marginal_T_panda" localSheetId="3">MC_Tree_1!$E$98</definedName>
    <definedName name="MC_BD_D_marginal_T_sell_marginal" localSheetId="3">MC_Tree_1!$E$96</definedName>
    <definedName name="MC_BD_D_root_C_3d_results" localSheetId="3">MC_Tree_1!$C$118</definedName>
    <definedName name="MC_BD_D_root_C_farmout" localSheetId="3">MC_Tree_1!$C$142</definedName>
    <definedName name="MC_BD_D_root_C_seismic" localSheetId="3">MC_Tree_1!$C$64</definedName>
    <definedName name="MC_BD_D_root_T_relinquish" localSheetId="3">MC_Tree_1!$C$148</definedName>
    <definedName name="MC_BP_C_3d_results_D_drill_moderate" localSheetId="3">MC_Tree_1!$D$128</definedName>
    <definedName name="MC_BP_C_3d_results_D_drill_strong" localSheetId="3">MC_Tree_1!$D$114</definedName>
    <definedName name="MC_BP_C_3d_results_T_seismic_weak" localSheetId="3">MC_Tree_1!$D$132</definedName>
    <definedName name="MC_BP_C_appr_sig_T_appr_sig_conf" localSheetId="3">MC_Tree_1!$F$80</definedName>
    <definedName name="MC_BP_C_appr_sig_T_appr_sig_down" localSheetId="3">MC_Tree_1!$F$82</definedName>
    <definedName name="MC_BP_C_appr_sig_T_appr_sig_up" localSheetId="3">MC_Tree_1!$F$76</definedName>
    <definedName name="MC_BP_C_appraisal_major_T_appr_confirmed" localSheetId="3">MC_Tree_1!$F$54</definedName>
    <definedName name="MC_BP_C_appraisal_major_T_appr_smaller" localSheetId="3">MC_Tree_1!$F$58</definedName>
    <definedName name="MC_BP_C_appraisal_major_T_appr_uneconomic" localSheetId="3">MC_Tree_1!$F$60</definedName>
    <definedName name="MC_BP_C_dev_major_C_price_major_high" localSheetId="3">MC_Tree_1!$F$28</definedName>
    <definedName name="MC_BP_C_dev_major_C_price_major_low" localSheetId="3">MC_Tree_1!$F$46</definedName>
    <definedName name="MC_BP_C_dev_major_C_price_major_med" localSheetId="3">MC_Tree_1!$F$38</definedName>
    <definedName name="MC_BP_C_drill_moderate_T_mod_discovery" localSheetId="3">MC_Tree_1!$F$120</definedName>
    <definedName name="MC_BP_C_drill_moderate_T_mod_dry" localSheetId="3">MC_Tree_1!$F$126</definedName>
    <definedName name="MC_BP_C_drill_moderate_T_mod_shows" localSheetId="3">MC_Tree_1!$F$124</definedName>
    <definedName name="MC_BP_C_drill_strong_T_3d_discovery" localSheetId="3">MC_Tree_1!$F$106</definedName>
    <definedName name="MC_BP_C_drill_strong_T_3d_dry" localSheetId="3">MC_Tree_1!$F$112</definedName>
    <definedName name="MC_BP_C_drill_strong_T_3d_marginal" localSheetId="3">MC_Tree_1!$F$110</definedName>
    <definedName name="MC_BP_C_farmout_C_farmout_result" localSheetId="3">MC_Tree_1!$D$136</definedName>
    <definedName name="MC_BP_C_farmout_result_T_farmout_discovery" localSheetId="3">MC_Tree_1!$E$134</definedName>
    <definedName name="MC_BP_C_farmout_result_T_farmout_dry" localSheetId="3">MC_Tree_1!$E$140</definedName>
    <definedName name="MC_BP_C_farmout_result_T_farmout_marginal_r" localSheetId="3">MC_Tree_1!$E$138</definedName>
    <definedName name="MC_BP_C_farmout_T_farmout_junior" localSheetId="3">MC_Tree_1!$D$144</definedName>
    <definedName name="MC_BP_C_farmout_T_farmout_none" localSheetId="3">MC_Tree_1!$D$146</definedName>
    <definedName name="MC_BP_C_price_major_high_T_major_hh" localSheetId="3">MC_Tree_1!$G$26</definedName>
    <definedName name="MC_BP_C_price_major_high_T_major_hl" localSheetId="3">MC_Tree_1!$G$32</definedName>
    <definedName name="MC_BP_C_price_major_high_T_major_hm" localSheetId="3">MC_Tree_1!$G$30</definedName>
    <definedName name="MC_BP_C_price_major_low_T_major_lh" localSheetId="3">MC_Tree_1!$G$44</definedName>
    <definedName name="MC_BP_C_price_major_low_T_major_ll" localSheetId="3">MC_Tree_1!$G$50</definedName>
    <definedName name="MC_BP_C_price_major_low_T_major_lm" localSheetId="3">MC_Tree_1!$G$48</definedName>
    <definedName name="MC_BP_C_price_major_med_T_major_mh" localSheetId="3">MC_Tree_1!$G$36</definedName>
    <definedName name="MC_BP_C_price_major_med_T_major_ml" localSheetId="3">MC_Tree_1!$G$42</definedName>
    <definedName name="MC_BP_C_price_major_med_T_major_mm" localSheetId="3">MC_Tree_1!$G$40</definedName>
    <definedName name="MC_BP_C_price_sig_T_sig_high" localSheetId="3">MC_Tree_1!$F$66</definedName>
    <definedName name="MC_BP_C_price_sig_T_sig_low" localSheetId="3">MC_Tree_1!$F$72</definedName>
    <definedName name="MC_BP_C_price_sig_T_sig_mid" localSheetId="3">MC_Tree_1!$F$70</definedName>
    <definedName name="MC_BP_C_seismic_D_appraise_major" localSheetId="3">MC_Tree_1!$D$52</definedName>
    <definedName name="MC_BP_C_seismic_D_appraise_sig" localSheetId="3">MC_Tree_1!$D$74</definedName>
    <definedName name="MC_BP_C_seismic_D_marginal" localSheetId="3">MC_Tree_1!$D$94</definedName>
    <definedName name="MC_BP_C_seismic_T_dry" localSheetId="3">MC_Tree_1!$D$102</definedName>
    <definedName name="MC_BP_C_seismic_T_shows" localSheetId="3">MC_Tree_1!$D$100</definedName>
    <definedName name="MC_BP_C_tieback_T_tieback_bad" localSheetId="3">MC_Tree_1!$F$92</definedName>
    <definedName name="MC_BP_C_tieback_T_tieback_even" localSheetId="3">MC_Tree_1!$F$90</definedName>
    <definedName name="MC_BP_C_tieback_T_tieback_ok" localSheetId="3">MC_Tree_1!$F$86</definedName>
    <definedName name="MC_BV_C_3d_results_D_drill_moderate" localSheetId="3">MC_Tree_1!$D$129</definedName>
    <definedName name="MC_BV_C_3d_results_D_drill_strong" localSheetId="3">MC_Tree_1!$D$115</definedName>
    <definedName name="MC_BV_C_3d_results_T_seismic_weak" localSheetId="3">MC_Tree_1!$D$133</definedName>
    <definedName name="MC_BV_C_appr_sig_T_appr_sig_conf" localSheetId="3">MC_Tree_1!$F$81</definedName>
    <definedName name="MC_BV_C_appr_sig_T_appr_sig_down" localSheetId="3">MC_Tree_1!$F$83</definedName>
    <definedName name="MC_BV_C_appr_sig_T_appr_sig_up" localSheetId="3">MC_Tree_1!$F$77</definedName>
    <definedName name="MC_BV_C_appraisal_major_T_appr_confirmed" localSheetId="3">MC_Tree_1!$F$55</definedName>
    <definedName name="MC_BV_C_appraisal_major_T_appr_smaller" localSheetId="3">MC_Tree_1!$F$59</definedName>
    <definedName name="MC_BV_C_appraisal_major_T_appr_uneconomic" localSheetId="3">MC_Tree_1!$F$61</definedName>
    <definedName name="MC_BV_C_dev_major_C_price_major_high" localSheetId="3">MC_Tree_1!$F$29</definedName>
    <definedName name="MC_BV_C_dev_major_C_price_major_low" localSheetId="3">MC_Tree_1!$F$47</definedName>
    <definedName name="MC_BV_C_dev_major_C_price_major_med" localSheetId="3">MC_Tree_1!$F$39</definedName>
    <definedName name="MC_BV_C_drill_moderate_T_mod_discovery" localSheetId="3">MC_Tree_1!$F$121</definedName>
    <definedName name="MC_BV_C_drill_moderate_T_mod_dry" localSheetId="3">MC_Tree_1!$F$127</definedName>
    <definedName name="MC_BV_C_drill_moderate_T_mod_shows" localSheetId="3">MC_Tree_1!$F$125</definedName>
    <definedName name="MC_BV_C_drill_strong_T_3d_discovery" localSheetId="3">MC_Tree_1!$F$107</definedName>
    <definedName name="MC_BV_C_drill_strong_T_3d_dry" localSheetId="3">MC_Tree_1!$F$113</definedName>
    <definedName name="MC_BV_C_drill_strong_T_3d_marginal" localSheetId="3">MC_Tree_1!$F$111</definedName>
    <definedName name="MC_BV_C_farmout_C_farmout_result" localSheetId="3">MC_Tree_1!$D$137</definedName>
    <definedName name="MC_BV_C_farmout_result_T_farmout_discovery" localSheetId="3">MC_Tree_1!$E$135</definedName>
    <definedName name="MC_BV_C_farmout_result_T_farmout_dry" localSheetId="3">MC_Tree_1!$E$141</definedName>
    <definedName name="MC_BV_C_farmout_result_T_farmout_marginal_r" localSheetId="3">MC_Tree_1!$E$139</definedName>
    <definedName name="MC_BV_C_farmout_T_farmout_junior" localSheetId="3">MC_Tree_1!$D$145</definedName>
    <definedName name="MC_BV_C_farmout_T_farmout_none" localSheetId="3">MC_Tree_1!$D$147</definedName>
    <definedName name="MC_BV_C_price_major_high_T_major_hh" localSheetId="3">MC_Tree_1!$G$27</definedName>
    <definedName name="MC_BV_C_price_major_high_T_major_hl" localSheetId="3">MC_Tree_1!$G$33</definedName>
    <definedName name="MC_BV_C_price_major_high_T_major_hm" localSheetId="3">MC_Tree_1!$G$31</definedName>
    <definedName name="MC_BV_C_price_major_low_T_major_lh" localSheetId="3">MC_Tree_1!$G$45</definedName>
    <definedName name="MC_BV_C_price_major_low_T_major_ll" localSheetId="3">MC_Tree_1!$G$51</definedName>
    <definedName name="MC_BV_C_price_major_low_T_major_lm" localSheetId="3">MC_Tree_1!$G$49</definedName>
    <definedName name="MC_BV_C_price_major_med_T_major_mh" localSheetId="3">MC_Tree_1!$G$37</definedName>
    <definedName name="MC_BV_C_price_major_med_T_major_ml" localSheetId="3">MC_Tree_1!$G$43</definedName>
    <definedName name="MC_BV_C_price_major_med_T_major_mm" localSheetId="3">MC_Tree_1!$G$41</definedName>
    <definedName name="MC_BV_C_price_sig_T_sig_high" localSheetId="3">MC_Tree_1!$F$67</definedName>
    <definedName name="MC_BV_C_price_sig_T_sig_low" localSheetId="3">MC_Tree_1!$F$73</definedName>
    <definedName name="MC_BV_C_price_sig_T_sig_mid" localSheetId="3">MC_Tree_1!$F$71</definedName>
    <definedName name="MC_BV_C_seismic_D_appraise_major" localSheetId="3">MC_Tree_1!$D$53</definedName>
    <definedName name="MC_BV_C_seismic_D_appraise_sig" localSheetId="3">MC_Tree_1!$D$75</definedName>
    <definedName name="MC_BV_C_seismic_D_marginal" localSheetId="3">MC_Tree_1!$D$95</definedName>
    <definedName name="MC_BV_C_seismic_T_dry" localSheetId="3">MC_Tree_1!$D$103</definedName>
    <definedName name="MC_BV_C_seismic_T_shows" localSheetId="3">MC_Tree_1!$D$101</definedName>
    <definedName name="MC_BV_C_tieback_T_tieback_bad" localSheetId="3">MC_Tree_1!$F$93</definedName>
    <definedName name="MC_BV_C_tieback_T_tieback_even" localSheetId="3">MC_Tree_1!$F$91</definedName>
    <definedName name="MC_BV_C_tieback_T_tieback_ok" localSheetId="3">MC_Tree_1!$F$87</definedName>
    <definedName name="MC_BV_D_appraise_major_C_appraisal_major" localSheetId="3">MC_Tree_1!$E$57</definedName>
    <definedName name="MC_BV_D_appraise_major_C_dev_major" localSheetId="3">MC_Tree_1!$E$35</definedName>
    <definedName name="MC_BV_D_appraise_major_T_sell_major" localSheetId="3">MC_Tree_1!$E$63</definedName>
    <definedName name="MC_BV_D_appraise_sig_C_appr_sig" localSheetId="3">MC_Tree_1!$E$79</definedName>
    <definedName name="MC_BV_D_appraise_sig_C_price_sig" localSheetId="3">MC_Tree_1!$E$69</definedName>
    <definedName name="MC_BV_D_appraise_sig_T_sell_sig" localSheetId="3">MC_Tree_1!$E$85</definedName>
    <definedName name="MC_BV_D_drill_moderate_C_drill_moderate" localSheetId="3">MC_Tree_1!$E$123</definedName>
    <definedName name="MC_BV_D_drill_moderate_T_no_drill_mod" localSheetId="3">MC_Tree_1!$E$131</definedName>
    <definedName name="MC_BV_D_drill_strong_C_drill_strong" localSheetId="3">MC_Tree_1!$E$109</definedName>
    <definedName name="MC_BV_D_drill_strong_T_farmout_strong" localSheetId="3">MC_Tree_1!$E$117</definedName>
    <definedName name="MC_BV_D_marginal_C_tieback" localSheetId="3">MC_Tree_1!$E$89</definedName>
    <definedName name="MC_BV_D_marginal_T_panda" localSheetId="3">MC_Tree_1!$E$99</definedName>
    <definedName name="MC_BV_D_marginal_T_sell_marginal" localSheetId="3">MC_Tree_1!$E$97</definedName>
    <definedName name="MC_BV_D_root_C_3d_results" localSheetId="3">MC_Tree_1!$C$119</definedName>
    <definedName name="MC_BV_D_root_C_farmout" localSheetId="3">MC_Tree_1!$C$143</definedName>
    <definedName name="MC_BV_D_root_C_seismic" localSheetId="3">MC_Tree_1!$C$65</definedName>
    <definedName name="MC_BV_D_root_T_relinquish" localSheetId="3">MC_Tree_1!$C$149</definedName>
    <definedName name="MC_N_C_3d_results" localSheetId="3">MC_Tree_1!$D$118</definedName>
    <definedName name="MC_N_C_appr_sig" localSheetId="3">MC_Tree_1!$F$78</definedName>
    <definedName name="MC_N_C_appraisal_major" localSheetId="3">MC_Tree_1!$F$56</definedName>
    <definedName name="MC_N_C_dev_major" localSheetId="3">MC_Tree_1!$F$34</definedName>
    <definedName name="MC_N_C_drill_moderate" localSheetId="3">MC_Tree_1!$F$122</definedName>
    <definedName name="MC_N_C_drill_strong" localSheetId="3">MC_Tree_1!$F$108</definedName>
    <definedName name="MC_N_C_farmout" localSheetId="3">MC_Tree_1!$D$142</definedName>
    <definedName name="MC_N_C_farmout_result" localSheetId="3">MC_Tree_1!$E$136</definedName>
    <definedName name="MC_N_C_price_major_high" localSheetId="3">MC_Tree_1!$G$28</definedName>
    <definedName name="MC_N_C_price_major_low" localSheetId="3">MC_Tree_1!$G$46</definedName>
    <definedName name="MC_N_C_price_major_med" localSheetId="3">MC_Tree_1!$G$38</definedName>
    <definedName name="MC_N_C_price_sig" localSheetId="3">MC_Tree_1!$F$68</definedName>
    <definedName name="MC_N_C_seismic" localSheetId="3">MC_Tree_1!$D$64</definedName>
    <definedName name="MC_N_C_tieback" localSheetId="3">MC_Tree_1!$F$88</definedName>
    <definedName name="MC_N_D_appraise_major" localSheetId="3">MC_Tree_1!$E$52</definedName>
    <definedName name="MC_N_D_appraise_sig" localSheetId="3">MC_Tree_1!$E$74</definedName>
    <definedName name="MC_N_D_drill_moderate" localSheetId="3">MC_Tree_1!$E$128</definedName>
    <definedName name="MC_N_D_drill_strong" localSheetId="3">MC_Tree_1!$E$114</definedName>
    <definedName name="MC_N_D_marginal" localSheetId="3">MC_Tree_1!$E$94</definedName>
    <definedName name="MC_N_D_root" localSheetId="3">MC_Tree_1!$C$104</definedName>
    <definedName name="MC_NP_T_3d_discovery" localSheetId="3">MC_Tree_1!$G$106</definedName>
    <definedName name="MC_NP_T_3d_dry" localSheetId="3">MC_Tree_1!$G$112</definedName>
    <definedName name="MC_NP_T_3d_marginal" localSheetId="3">MC_Tree_1!$G$110</definedName>
    <definedName name="MC_NP_T_appr_confirmed" localSheetId="3">MC_Tree_1!$G$54</definedName>
    <definedName name="MC_NP_T_appr_sig_conf" localSheetId="3">MC_Tree_1!$G$80</definedName>
    <definedName name="MC_NP_T_appr_sig_down" localSheetId="3">MC_Tree_1!$G$82</definedName>
    <definedName name="MC_NP_T_appr_sig_up" localSheetId="3">MC_Tree_1!$G$76</definedName>
    <definedName name="MC_NP_T_appr_smaller" localSheetId="3">MC_Tree_1!$G$58</definedName>
    <definedName name="MC_NP_T_appr_uneconomic" localSheetId="3">MC_Tree_1!$G$60</definedName>
    <definedName name="MC_NP_T_dry" localSheetId="3">MC_Tree_1!$E$102</definedName>
    <definedName name="MC_NP_T_farmout_discovery" localSheetId="3">MC_Tree_1!$F$134</definedName>
    <definedName name="MC_NP_T_farmout_dry" localSheetId="3">MC_Tree_1!$F$140</definedName>
    <definedName name="MC_NP_T_farmout_junior" localSheetId="3">MC_Tree_1!$E$144</definedName>
    <definedName name="MC_NP_T_farmout_marginal_r" localSheetId="3">MC_Tree_1!$F$138</definedName>
    <definedName name="MC_NP_T_farmout_none" localSheetId="3">MC_Tree_1!$E$146</definedName>
    <definedName name="MC_NP_T_farmout_strong" localSheetId="3">MC_Tree_1!$F$116</definedName>
    <definedName name="MC_NP_T_major_hh" localSheetId="3">MC_Tree_1!$H$26</definedName>
    <definedName name="MC_NP_T_major_hl" localSheetId="3">MC_Tree_1!$H$32</definedName>
    <definedName name="MC_NP_T_major_hm" localSheetId="3">MC_Tree_1!$H$30</definedName>
    <definedName name="MC_NP_T_major_lh" localSheetId="3">MC_Tree_1!$H$44</definedName>
    <definedName name="MC_NP_T_major_ll" localSheetId="3">MC_Tree_1!$H$50</definedName>
    <definedName name="MC_NP_T_major_lm" localSheetId="3">MC_Tree_1!$H$48</definedName>
    <definedName name="MC_NP_T_major_mh" localSheetId="3">MC_Tree_1!$H$36</definedName>
    <definedName name="MC_NP_T_major_ml" localSheetId="3">MC_Tree_1!$H$42</definedName>
    <definedName name="MC_NP_T_major_mm" localSheetId="3">MC_Tree_1!$H$40</definedName>
    <definedName name="MC_NP_T_mod_discovery" localSheetId="3">MC_Tree_1!$G$120</definedName>
    <definedName name="MC_NP_T_mod_dry" localSheetId="3">MC_Tree_1!$G$126</definedName>
    <definedName name="MC_NP_T_mod_shows" localSheetId="3">MC_Tree_1!$G$124</definedName>
    <definedName name="MC_NP_T_no_drill_mod" localSheetId="3">MC_Tree_1!$F$130</definedName>
    <definedName name="MC_NP_T_panda" localSheetId="3">MC_Tree_1!$F$98</definedName>
    <definedName name="MC_NP_T_relinquish" localSheetId="3">MC_Tree_1!$D$148</definedName>
    <definedName name="MC_NP_T_seismic_weak" localSheetId="3">MC_Tree_1!$E$132</definedName>
    <definedName name="MC_NP_T_sell_major" localSheetId="3">MC_Tree_1!$F$62</definedName>
    <definedName name="MC_NP_T_sell_marginal" localSheetId="3">MC_Tree_1!$F$96</definedName>
    <definedName name="MC_NP_T_sell_sig" localSheetId="3">MC_Tree_1!$F$84</definedName>
    <definedName name="MC_NP_T_shows" localSheetId="3">MC_Tree_1!$E$100</definedName>
    <definedName name="MC_NP_T_sig_high" localSheetId="3">MC_Tree_1!$G$66</definedName>
    <definedName name="MC_NP_T_sig_low" localSheetId="3">MC_Tree_1!$G$72</definedName>
    <definedName name="MC_NP_T_sig_mid" localSheetId="3">MC_Tree_1!$G$70</definedName>
    <definedName name="MC_NP_T_tieback_bad" localSheetId="3">MC_Tree_1!$G$92</definedName>
    <definedName name="MC_NP_T_tieback_even" localSheetId="3">MC_Tree_1!$G$90</definedName>
    <definedName name="MC_NP_T_tieback_ok" localSheetId="3">MC_Tree_1!$G$86</definedName>
    <definedName name="MC_V_C_3d_results" localSheetId="3">MC_Tree_1!$D$119</definedName>
    <definedName name="MC_V_C_appr_sig" localSheetId="3">MC_Tree_1!$F$79</definedName>
    <definedName name="MC_V_C_appraisal_major" localSheetId="3">MC_Tree_1!$F$57</definedName>
    <definedName name="MC_V_C_dev_major" localSheetId="3">MC_Tree_1!$F$35</definedName>
    <definedName name="MC_V_C_drill_moderate" localSheetId="3">MC_Tree_1!$F$123</definedName>
    <definedName name="MC_V_C_drill_strong" localSheetId="3">MC_Tree_1!$F$109</definedName>
    <definedName name="MC_V_C_farmout" localSheetId="3">MC_Tree_1!$D$143</definedName>
    <definedName name="MC_V_C_farmout_result" localSheetId="3">MC_Tree_1!$E$137</definedName>
    <definedName name="MC_V_C_price_major_high" localSheetId="3">MC_Tree_1!$G$29</definedName>
    <definedName name="MC_V_C_price_major_low" localSheetId="3">MC_Tree_1!$G$47</definedName>
    <definedName name="MC_V_C_price_major_med" localSheetId="3">MC_Tree_1!$G$39</definedName>
    <definedName name="MC_V_C_price_sig" localSheetId="3">MC_Tree_1!$F$69</definedName>
    <definedName name="MC_V_C_seismic" localSheetId="3">MC_Tree_1!$D$65</definedName>
    <definedName name="MC_V_C_tieback" localSheetId="3">MC_Tree_1!$F$89</definedName>
    <definedName name="MC_V_D_appraise_major" localSheetId="3">MC_Tree_1!$E$53</definedName>
    <definedName name="MC_V_D_appraise_sig" localSheetId="3">MC_Tree_1!$E$75</definedName>
    <definedName name="MC_V_D_drill_moderate" localSheetId="3">MC_Tree_1!$E$129</definedName>
    <definedName name="MC_V_D_drill_strong" localSheetId="3">MC_Tree_1!$E$115</definedName>
    <definedName name="MC_V_D_marginal" localSheetId="3">MC_Tree_1!$E$95</definedName>
    <definedName name="MC_V_D_root" localSheetId="3">MC_Tree_1!$C$105</definedName>
    <definedName name="MC_V_T_3d_discovery" localSheetId="3">MC_Tree_1!$G$107</definedName>
    <definedName name="MC_V_T_3d_dry" localSheetId="3">MC_Tree_1!$G$113</definedName>
    <definedName name="MC_V_T_3d_marginal" localSheetId="3">MC_Tree_1!$G$111</definedName>
    <definedName name="MC_V_T_appr_confirmed" localSheetId="3">MC_Tree_1!$G$55</definedName>
    <definedName name="MC_V_T_appr_sig_conf" localSheetId="3">MC_Tree_1!$G$81</definedName>
    <definedName name="MC_V_T_appr_sig_down" localSheetId="3">MC_Tree_1!$G$83</definedName>
    <definedName name="MC_V_T_appr_sig_up" localSheetId="3">MC_Tree_1!$G$77</definedName>
    <definedName name="MC_V_T_appr_smaller" localSheetId="3">MC_Tree_1!$G$59</definedName>
    <definedName name="MC_V_T_appr_uneconomic" localSheetId="3">MC_Tree_1!$G$61</definedName>
    <definedName name="MC_V_T_dry" localSheetId="3">MC_Tree_1!$E$103</definedName>
    <definedName name="MC_V_T_farmout_discovery" localSheetId="3">MC_Tree_1!$F$135</definedName>
    <definedName name="MC_V_T_farmout_dry" localSheetId="3">MC_Tree_1!$F$141</definedName>
    <definedName name="MC_V_T_farmout_junior" localSheetId="3">MC_Tree_1!$E$145</definedName>
    <definedName name="MC_V_T_farmout_marginal_r" localSheetId="3">MC_Tree_1!$F$139</definedName>
    <definedName name="MC_V_T_farmout_none" localSheetId="3">MC_Tree_1!$E$147</definedName>
    <definedName name="MC_V_T_farmout_strong" localSheetId="3">MC_Tree_1!$F$117</definedName>
    <definedName name="MC_V_T_major_hh" localSheetId="3">MC_Tree_1!$H$27</definedName>
    <definedName name="MC_V_T_major_hl" localSheetId="3">MC_Tree_1!$H$33</definedName>
    <definedName name="MC_V_T_major_hm" localSheetId="3">MC_Tree_1!$H$31</definedName>
    <definedName name="MC_V_T_major_lh" localSheetId="3">MC_Tree_1!$H$45</definedName>
    <definedName name="MC_V_T_major_ll" localSheetId="3">MC_Tree_1!$H$51</definedName>
    <definedName name="MC_V_T_major_lm" localSheetId="3">MC_Tree_1!$H$49</definedName>
    <definedName name="MC_V_T_major_mh" localSheetId="3">MC_Tree_1!$H$37</definedName>
    <definedName name="MC_V_T_major_ml" localSheetId="3">MC_Tree_1!$H$43</definedName>
    <definedName name="MC_V_T_major_mm" localSheetId="3">MC_Tree_1!$H$41</definedName>
    <definedName name="MC_V_T_mod_discovery" localSheetId="3">MC_Tree_1!$G$121</definedName>
    <definedName name="MC_V_T_mod_dry" localSheetId="3">MC_Tree_1!$G$127</definedName>
    <definedName name="MC_V_T_mod_shows" localSheetId="3">MC_Tree_1!$G$125</definedName>
    <definedName name="MC_V_T_no_drill_mod" localSheetId="3">MC_Tree_1!$F$131</definedName>
    <definedName name="MC_V_T_panda" localSheetId="3">MC_Tree_1!$F$99</definedName>
    <definedName name="MC_V_T_relinquish" localSheetId="3">MC_Tree_1!$D$149</definedName>
    <definedName name="MC_V_T_seismic_weak" localSheetId="3">MC_Tree_1!$E$133</definedName>
    <definedName name="MC_V_T_sell_major" localSheetId="3">MC_Tree_1!$F$63</definedName>
    <definedName name="MC_V_T_sell_marginal" localSheetId="3">MC_Tree_1!$F$97</definedName>
    <definedName name="MC_V_T_sell_sig" localSheetId="3">MC_Tree_1!$F$85</definedName>
    <definedName name="MC_V_T_shows" localSheetId="3">MC_Tree_1!$E$101</definedName>
    <definedName name="MC_V_T_sig_high" localSheetId="3">MC_Tree_1!$G$67</definedName>
    <definedName name="MC_V_T_sig_low" localSheetId="3">MC_Tree_1!$G$73</definedName>
    <definedName name="MC_V_T_sig_mid" localSheetId="3">MC_Tree_1!$G$71</definedName>
    <definedName name="MC_V_T_tieback_bad" localSheetId="3">MC_Tree_1!$G$93</definedName>
    <definedName name="MC_V_T_tieback_even" localSheetId="3">MC_Tree_1!$G$91</definedName>
    <definedName name="MC_V_T_tieback_ok" localSheetId="3">MC_Tree_1!$G$87</definedName>
    <definedName name="PlugAbandonCost">MC_Tree_1!$C$17</definedName>
    <definedName name="SellDiscoveryValue">MC_Tree_1!$C$11</definedName>
    <definedName name="SellDiscoveryValue2">MC_Tree_1!$C$14</definedName>
    <definedName name="SellToNearbyOperatorValue">MC_Tree_1!$C$16</definedName>
    <definedName name="TiebackToNearbyPlatformCost">MC_Tree_1!$C$15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5" i="3" l="1"/>
  <c r="C143" i="3"/>
  <c r="C119" i="3"/>
  <c r="E97" i="3"/>
  <c r="E99" i="3"/>
  <c r="E89" i="3"/>
  <c r="E117" i="3"/>
  <c r="E109" i="3"/>
  <c r="CS1" i="4" s="1"/>
  <c r="E131" i="3"/>
  <c r="E123" i="3"/>
  <c r="E85" i="3"/>
  <c r="E69" i="3"/>
  <c r="E79" i="3"/>
  <c r="E63" i="3"/>
  <c r="E35" i="3"/>
  <c r="E57" i="3"/>
  <c r="DA1" i="4"/>
  <c r="CZ1" i="4"/>
  <c r="CY1" i="4"/>
  <c r="CX1" i="4"/>
  <c r="CW1" i="4"/>
  <c r="CV1" i="4"/>
  <c r="CU1" i="4"/>
  <c r="CT1" i="4"/>
  <c r="CR1" i="4"/>
  <c r="CQ1" i="4"/>
  <c r="CP1" i="4"/>
  <c r="CO1" i="4"/>
  <c r="CN1" i="4"/>
  <c r="CM1" i="4"/>
  <c r="CL1" i="4"/>
  <c r="CK1" i="4"/>
  <c r="CJ1" i="4"/>
  <c r="CI1" i="4"/>
  <c r="CH1" i="4"/>
  <c r="CG1" i="4"/>
  <c r="CF1" i="4"/>
  <c r="CE1" i="4"/>
  <c r="CD1" i="4"/>
  <c r="CC1" i="4"/>
  <c r="CB1" i="4"/>
  <c r="CA1" i="4"/>
  <c r="BZ1" i="4"/>
  <c r="BY1" i="4"/>
  <c r="BX1" i="4"/>
  <c r="BW1" i="4"/>
  <c r="BV1" i="4"/>
  <c r="BU1" i="4"/>
  <c r="BT1" i="4"/>
  <c r="BS1" i="4"/>
  <c r="BR1" i="4"/>
  <c r="BQ1" i="4"/>
  <c r="BP1" i="4"/>
  <c r="BO1" i="4"/>
  <c r="BN1" i="4"/>
  <c r="BM1" i="4"/>
  <c r="BL1" i="4"/>
  <c r="BK1" i="4"/>
  <c r="BJ1" i="4"/>
  <c r="BI1" i="4"/>
  <c r="BH1" i="4"/>
  <c r="BG1" i="4"/>
  <c r="BF1" i="4"/>
  <c r="BE1" i="4"/>
  <c r="BD1" i="4"/>
  <c r="BC1" i="4"/>
  <c r="BB1" i="4"/>
  <c r="BA1" i="4"/>
  <c r="AZ1" i="4"/>
  <c r="AY1" i="4"/>
  <c r="AX1" i="4"/>
  <c r="AW1" i="4"/>
  <c r="AV1" i="4"/>
  <c r="AU1" i="4"/>
  <c r="AT1" i="4"/>
  <c r="AS1" i="4"/>
  <c r="AR1" i="4"/>
  <c r="AQ1" i="4"/>
  <c r="AP1" i="4"/>
  <c r="AO1" i="4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B1" i="4"/>
  <c r="A1" i="4"/>
  <c r="D149" i="3"/>
  <c r="F140" i="3"/>
  <c r="F131" i="3"/>
  <c r="G121" i="3"/>
  <c r="G111" i="3"/>
  <c r="E101" i="3"/>
  <c r="G92" i="3"/>
  <c r="G83" i="3"/>
  <c r="G73" i="3"/>
  <c r="F63" i="3"/>
  <c r="G54" i="3"/>
  <c r="H44" i="3"/>
  <c r="F35" i="3"/>
  <c r="D148" i="3"/>
  <c r="F139" i="3"/>
  <c r="F130" i="3"/>
  <c r="G120" i="3"/>
  <c r="G110" i="3"/>
  <c r="E100" i="3"/>
  <c r="G91" i="3"/>
  <c r="G82" i="3"/>
  <c r="G72" i="3"/>
  <c r="F62" i="3"/>
  <c r="E53" i="3"/>
  <c r="H43" i="3"/>
  <c r="H33" i="3"/>
  <c r="E130" i="3"/>
  <c r="E78" i="3"/>
  <c r="C64" i="3"/>
  <c r="E122" i="3"/>
  <c r="E68" i="3"/>
  <c r="G125" i="3"/>
  <c r="E115" i="3"/>
  <c r="G86" i="3"/>
  <c r="G77" i="3"/>
  <c r="H48" i="3"/>
  <c r="E34" i="3"/>
  <c r="D143" i="3"/>
  <c r="G124" i="3"/>
  <c r="E95" i="3"/>
  <c r="G66" i="3"/>
  <c r="F57" i="3"/>
  <c r="G47" i="3"/>
  <c r="E96" i="3"/>
  <c r="G112" i="3"/>
  <c r="F84" i="3"/>
  <c r="D65" i="3"/>
  <c r="H36" i="3"/>
  <c r="E147" i="3"/>
  <c r="F138" i="3"/>
  <c r="E129" i="3"/>
  <c r="D119" i="3"/>
  <c r="F109" i="3"/>
  <c r="F99" i="3"/>
  <c r="G90" i="3"/>
  <c r="G81" i="3"/>
  <c r="G71" i="3"/>
  <c r="G61" i="3"/>
  <c r="H51" i="3"/>
  <c r="H42" i="3"/>
  <c r="H32" i="3"/>
  <c r="F134" i="3"/>
  <c r="F85" i="3"/>
  <c r="H37" i="3"/>
  <c r="E132" i="3"/>
  <c r="E84" i="3"/>
  <c r="E146" i="3"/>
  <c r="E137" i="3"/>
  <c r="G127" i="3"/>
  <c r="F117" i="3"/>
  <c r="G107" i="3"/>
  <c r="F98" i="3"/>
  <c r="F89" i="3"/>
  <c r="G80" i="3"/>
  <c r="G70" i="3"/>
  <c r="G60" i="3"/>
  <c r="H50" i="3"/>
  <c r="H41" i="3"/>
  <c r="H31" i="3"/>
  <c r="E116" i="3"/>
  <c r="E62" i="3"/>
  <c r="E56" i="3"/>
  <c r="F96" i="3"/>
  <c r="G67" i="3"/>
  <c r="G39" i="3"/>
  <c r="E98" i="3"/>
  <c r="G113" i="3"/>
  <c r="G76" i="3"/>
  <c r="H27" i="3"/>
  <c r="F141" i="3"/>
  <c r="E102" i="3"/>
  <c r="E88" i="3"/>
  <c r="C142" i="3"/>
  <c r="E145" i="3"/>
  <c r="F135" i="3"/>
  <c r="G126" i="3"/>
  <c r="F116" i="3"/>
  <c r="G106" i="3"/>
  <c r="F97" i="3"/>
  <c r="G87" i="3"/>
  <c r="F79" i="3"/>
  <c r="F69" i="3"/>
  <c r="G59" i="3"/>
  <c r="H49" i="3"/>
  <c r="H40" i="3"/>
  <c r="H30" i="3"/>
  <c r="E108" i="3"/>
  <c r="E144" i="3"/>
  <c r="C105" i="3"/>
  <c r="G58" i="3"/>
  <c r="G29" i="3"/>
  <c r="E133" i="3"/>
  <c r="E103" i="3"/>
  <c r="C148" i="3"/>
  <c r="F123" i="3"/>
  <c r="G93" i="3"/>
  <c r="E75" i="3"/>
  <c r="G55" i="3"/>
  <c r="H45" i="3"/>
  <c r="H26" i="3"/>
  <c r="C118" i="3"/>
</calcChain>
</file>

<file path=xl/sharedStrings.xml><?xml version="1.0" encoding="utf-8"?>
<sst xmlns="http://schemas.openxmlformats.org/spreadsheetml/2006/main" count="128" uniqueCount="106">
  <si>
    <t>{"_v":2,"trees":{"MC_Tree_1":"{\r\n  \"RootId\": \"D_root\",\r\n  \"Nodes\": {\r\n    \"D_root\": {\r\n      \"type\": \"decision\",\r\n      \"id\": \"D_root\",\r\n      \"name\": \"Drilling Campaign\",\r\n      \"options\": [\r\n        {\r\n          \"name\": \"Drill Exploration Well\",\r\n          \"childId\": \"C_seismic\",\r\n          \"value\": -45000000\r\n        },\r\n        {\r\n          \"name\": \"Acquire 3D Seismic First\",\r\n          \"childId\": \"C_3d_results\",\r\n          \"value\": -8000000\r\n        },\r\n        {\r\n          \"name\": \"Farm Out (Keep 25%)\",\r\n          \"childId\": \"C_farmout\",\r\n          \"value\": -2000000\r\n        },\r\n        {\r\n          \"name\": \"Relinquish License\",\r\n          \"childId\": \"T_relinquish\"\r\n        }\r\n      ]\r\n    },\r\n    \"C_seismic\": {\r\n      \"type\": \"chance\",\r\n      \"id\": \"C_seismic\",\r\n      \"name\": \"Exploration Well Result\",\r\n      \"branches\": [\r\n        {\r\n          \"name\": \"Major Discovery\",\r\n          \"probability\": 0.1,\r\n          \"childId\": \"D_appraise_major\"\r\n        },\r\n        {\r\n          \"name\": \"Significant Find\",\r\n          \"probability\": 0.15,\r\n          \"childId\": \"D_appraise_sig\"\r\n        },\r\n        {\r\n          \"name\": \"Marginal Find\",\r\n          \"probability\": 0.2,\r\n          \"childId\": \"D_marginal\"\r\n        },\r\n        {\r\n          \"name\": \"Shows (Non-Commercial)\",\r\n          \"probability\": 0.25,\r\n          \"childId\": \"T_shows\"\r\n        },\r\n        {\r\n          \"name\": \"Dry Hole\",\r\n          \"probability\": 0.3,\r\n          \"childId\": \"T_dry\"\r\n        }\r\n      ]\r\n    },\r\n    \"D_appraise_major\": {\r\n      \"type\": \"decision\",\r\n      \"id\": \"D_appraise_major\",\r\n      \"name\": \"Appraise Major Discovery\",\r\n      \"options\": [\r\n        {\r\n          \"name\": \"Fast-Track Development\",\r\n          \"childId\": \"C_dev_major\",\r\n          \"value\": -350000000\r\n        },\r\n        {\r\n          \"name\": \"Appraisal Wells First\",\r\n          \"childId\": \"C_appraisal_major\",\r\n          \"value\": -60000000\r\n        },\r\n        {\r\n          \"name\": \"Sell Discovery\",\r\n          \"childId\": \"T_sell_major\",\r\n          \"value\": 250000000\r\n        }\r\n      ]\r\n    },\r\n    \"C_dev_major\": {\r\n      \"type\": \"chance\",\r\n      \"id\": \"C_dev_major\",\r\n      \"name\": \"Fast-Track Outcome\",\r\n      \"branches\": [\r\n        {\r\n          \"name\": \"On Budget + High Reserves\",\r\n          \"probability\": 0.25,\r\n          \"childId\": \"C_price_major_high\"\r\n        },\r\n        {\r\n          \"name\": \"Over Budget + Good Reserves\",\r\n          \"probability\": 0.4,\r\n          \"childId\": \"C_price_major_med\",\r\n          \"value\": -80000000\r\n        },\r\n        {\r\n          \"name\": \"Major Cost Overrun\",\r\n          \"probability\": 0.35,\r\n          \"childId\": \"C_price_major_low\",\r\n          \"value\": -150000000\r\n        }\r\n      ]\r\n    },\r\n    \"C_price_major_high\": {\r\n      \"type\": \"chance\",\r\n      \"id\": \"C_price_major_high\",\r\n      \"name\": \"Oil Price (High Reserves)\",\r\n      \"branches\": [\r\n        {\r\n          \"name\": \"High Oil Price\",\r\n          \"probability\": 0.25,\r\n          \"childId\": \"T_major_hh\",\r\n          \"value\": 1500000000\r\n        },\r\n        {\r\n          \"name\": \"Mid Oil Price\",\r\n          \"probability\": 0.5,\r\n          \"childId\": \"T_major_hm\",\r\n          \"value\": 900000000\r\n        },\r\n        {\r\n          \"name\": \"Low Oil Price\",\r\n          \"probability\": 0.25,\r\n          \"childId\": \"T_major_hl\",\r\n          \"value\": 400000000\r\n        }\r\n      ]\r\n    },\r\n    \"T_major_hh\": {\r\n      \"type\": \"terminal\",\r\n      \"id\": \"T_major_hh\",\r\n      \"name\": \"Major: High Res+High Price\",\r\n      \"value\": 0\r\n    },\r\n    \"T_major_hm\": {\r\n      \"type\": \"terminal\",\r\n      \"id\": \"T_major_hm\",\r\n      \"name\": \"Major: High Res+Mid Price\",\r\n      \"value\": 0\r\n    },\r\n    \"T_major_hl\": {\r\n      \"type\": \"terminal\",\r\n      \"id\": \"T_major_hl\",\r\n      \"name\": \"Major: High Res+Low Price\",\r\n      \"value\": 0\r\n    },\r\n    \"C_price_major_med\": {\r\n      \"type\": \"chance\",\r\n      \"id\": \"C_price_major_med\",\r\n      \"name\": \"Oil Price (Good Reserves)\",\r\n      \"branches\": [\r\n        {\r\n          \"name\": \"High Oil Price\",\r\n          \"probability\": 0.25,\r\n          \"childId\": \"T_major_mh\",\r\n          \"value\": 1100000000\r\n        },\r\n        {\r\n          \"name\": \"Mid Oil Price\",\r\n          \"probability\": 0.5,\r\n          \"childId\": \"T_major_mm\",\r\n          \"value\": 650000000\r\n        },\r\n        {\r\n          \"name\": \"Low Oil Price\",\r\n          \"probability\": 0.25,\r\n          \"childId\": \"T_major_ml\",\r\n          \"value\": 250000000\r\n        }\r\n      ]\r\n    },\r\n    \"T_major_mh\": {\r\n      \"type\": \"terminal\",\r\n      \"id\": \"T_major_mh\",\r\n      \"name\": \"Major: Good+High Price\",\r\n      \"value\": 0\r\n    },\r\n    \"T_major_mm\": {\r\n      \"type\": \"terminal\",\r\n      \"id\": \"T_major_mm\",\r\n      \"name\": \"Major: Good+Mid Price\",\r\n      \"value\": 0\r\n    },\r\n    \"T_major_ml\": {\r\n      \"type\": \"terminal\",\r\n      \"id\": \"T_major_ml\",\r\n      \"name\": \"Major: Good+Low Price\",\r\n      \"value\": 0\r\n    },\r\n    \"C_price_major_low\": {\r\n      \"type\": \"chance\",\r\n      \"id\": \"C_price_major_low\",\r\n      \"name\": \"Oil Price (Cost Overrun)\",\r\n      \"branches\": [\r\n        {\r\n          \"name\": \"High Oil Price\",\r\n          \"probability\": 0.25,\r\n          \"childId\": \"T_major_lh\",\r\n          \"value\": 800000000\r\n        },\r\n        {\r\n          \"name\": \"Mid Oil Price\",\r\n          \"probability\": 0.5,\r\n          \"childId\": \"T_major_lm\",\r\n          \"value\": 400000000\r\n        },\r\n        {\r\n          \"name\": \"Low Oil Price\",\r\n          \"probability\": 0.25,\r\n          \"childId\": \"T_major_ll\",\r\n          \"value\": 100000000\r\n        }\r\n      ]\r\n    },\r\n    \"T_major_lh\": {\r\n      \"type\": \"terminal\",\r\n      \"id\": \"T_major_lh\",\r\n      \"name\": \"Overrun+High Price\",\r\n      \"value\": 0\r\n    },\r\n    \"T_major_lm\": {\r\n      \"type\": \"terminal\",\r\n      \"id\": \"T_major_lm\",\r\n      \"name\": \"Overrun+Mid Price\",\r\n      \"value\": 0\r\n    },\r\n    \"T_major_ll\": {\r\n      \"type\": \"terminal\",\r\n      \"id\": \"T_major_ll\",\r\n      \"name\": \"Overrun+Low Price\",\r\n      \"value\": 0\r\n    },\r\n    \"C_appraisal_major\": {\r\n      \"type\": \"chance\",\r\n      \"id\": \"C_appraisal_major\",\r\n      \"name\": \"Appraisal Results\",\r\n      \"branches\": [\r\n        {\r\n          \"name\": \"Confirms Large Field\",\r\n          \"probability\": 0.5,\r\n          \"childId\": \"T_appr_confirmed\",\r\n          \"value\": 700000000\r\n        },\r\n        {\r\n          \"name\": \"Smaller Than Expected\",\r\n          \"probability\": 0.35,\r\n          \"childId\": \"T_appr_smaller\",\r\n          \"value\": 300000000\r\n        },\r\n        {\r\n          \"name\": \"Uneconomic at Current Price\",\r\n          \"probability\": 0.15,\r\n          \"childId\": \"T_appr_uneconomic\",\r\n          \"value\": 20000000\r\n        }\r\n      ]\r\n    },\r\n    \"T_appr_confirmed\": {\r\n      \"type\": \"terminal\",\r\n      \"id\": \"T_appr_confirmed\",\r\n      \"name\": \"Appraisal: Confirmed\",\r\n      \"value\": 0\r\n    },\r\n    \"T_appr_smaller\": {\r\n      \"type\": \"terminal\",\r\n      \"id\": \"T_appr_smaller\",\r\n      \"name\": \"Appraisal: Smaller\",\r\n      \"value\": 0\r\n    },\r\n    \"T_appr_uneconomic\": {\r\n      \"type\": \"terminal\",\r\n      \"id\": \"T_appr_uneconomic\",\r\n      \"name\": \"Appraisal: Uneconomic\",\r\n      \"value\": 0\r\n    },\r\n    \"T_sell_major\": {\r\n      \"type\": \"terminal\",\r\n      \"id\": \"T_sell_major\",\r\n      \"name\": \"Sell Major Discovery\",\r\n      \"value\": 0\r\n    },\r\n    \"D_appraise_sig\": {\r\n      \"type\": \"decision\",\r\n      \"id\": \"D_appraise_sig\",\r\n      \"name\": \"Appraise Significant Find\",\r\n      \"options\": [\r\n        {\r\n          \"name\": \"Develop (FPSO)\",\r\n          \"childId\": \"C_price_sig\",\r\n          \"value\": -200000000\r\n        },\r\n        {\r\n          \"name\": \"Appraisal Well\",\r\n          \"childId\": \"C_appr_sig\",\r\n          \"value\": -40000000\r\n        },\r\n        {\r\n          \"name\": \"Sell Discovery\",\r\n          \"childId\": \"T_sell_sig\",\r\n          \"value\": 100000000\r\n        }\r\n      ]\r\n    },\r\n    \"C_price_sig\": {\r\n      \"type\": \"chance\",\r\n      \"id\": \"C_price_sig\",\r\n      \"name\": \"Oil Price (Significant)\",\r\n      \"branches\": [\r\n        {\r\n          \"name\": \"High Oil Price\",\r\n          \"probability\": 0.25,\r\n          \"childId\": \"T_sig_high\",\r\n          \"value\": 600000000\r\n        },\r\n        {\r\n          \"name\": \"Mid Oil Price\",\r\n          \"probability\": 0.5,\r\n          \"childId\": \"T_sig_mid\",\r\n          \"value\": 350000000\r\n        },\r\n        {\r\n          \"name\": \"Low Oil Price\",\r\n          \"probability\": 0.25,\r\n          \"childId\": \"T_sig_low\",\r\n          \"value\": 120000000\r\n        }\r\n      ]\r\n    },\r\n    \"T_sig_high\": {\r\n      \"type\": \"terminal\",\r\n      \"id\": \"T_sig_high\",\r\n      \"name\": \"Significant+High Price\",\r\n      \"value\": 0\r\n    },\r\n    \"T_sig_mid\": {\r\n      \"type\": \"terminal\",\r\n      \"id\": \"T_sig_mid\",\r\n      \"name\": \"Significant+Mid Price\",\r\n      \"value\": 0\r\n    },\r\n    \"T_sig_low\": {\r\n      \"type\": \"terminal\",\r\n      \"id\": \"T_sig_low\",\r\n      \"name\": \"Significant+Low Price\",\r\n      \"value\": 0\r\n    },\r\n    \"C_appr_sig\": {\r\n      \"type\": \"chance\",\r\n      \"id\": \"C_appr_sig\",\r\n      \"name\": \"Appraisal Result (Significant)\",\r\n      \"branches\": [\r\n        {\r\n          \"name\": \"Upgrades Estimate\",\r\n          \"probability\": 0.4,\r\n          \"childId\": \"T_appr_sig_up\",\r\n          \"value\": 400000000\r\n        },\r\n        {\r\n          \"name\": \"Confirms Estimate\",\r\n          \"probability\": 0.4,\r\n          \"childId\": \"T_appr_sig_conf\",\r\n          \"value\": 250000000\r\n        },\r\n        {\r\n          \"name\": \"Downgrades\",\r\n          \"probability\": 0.2,\r\n          \"childId\": \"T_appr_sig_down\",\r\n          \"value\": 50000000\r\n        }\r\n      ]\r\n    },\r\n    \"T_appr_sig_up\": {\r\n      \"type\": \"terminal\",\r\n      \"id\": \"T_appr_sig_up\",\r\n      \"name\": \"Appraisal: Upgraded\",\r\n      \"value\": 0\r\n    },\r\n    \"T_appr_sig_conf\": {\r\n      \"type\": \"terminal\",\r\n      \"id\": \"T_appr_sig_conf\",\r\n      \"name\": \"Appraisal: Confirmed\",\r\n      \"value\": 0\r\n    },\r\n    \"T_appr_sig_down\": {\r\n      \"type\": \"terminal\",\r\n      \"id\": \"T_appr_sig_down\",\r\n      \"name\": \"Appraisal: Downgraded\",\r\n      \"value\": 0\r\n    },\r\n    \"T_sell_sig\": {\r\n      \"type\": \"terminal\",\r\n      \"id\": \"T_sell_sig\",\r\n      \"name\": \"Sell Significant Find\",\r\n      \"value\": 0\r\n    },\r\n    \"D_marginal\": {\r\n      \"type\": \"decision\",\r\n      \"id\": \"D_marginal\",\r\n      \"name\": \"Marginal Find Options\",\r\n      \"options\": [\r\n        {\r\n          \"name\": \"Tieback to Nearby Platform\",\r\n          \"childId\": \"C_tieback\",\r\n          \"value\": -80000000\r\n        },\r\n        {\r\n          \"name\": \"Sell to Nearby Operator\",\r\n          \"childId\": \"T_sell_marginal\",\r\n          \"value\": 25000000\r\n        },\r\n        {\r\n          \"name\": \"Plug \u0026 Abandon\",\r\n          \"childId\": \"T_panda\",\r\n          \"value\": -5000000\r\n        }\r\n      ]\r\n    },\r\n    \"C_tieback\": {\r\n      \"type\": \"chance\",\r\n      \"id\": \"C_tieback\",\r\n      \"name\": \"Tieback Economics\",\r\n      \"branches\": [\r\n        {\r\n          \"name\": \"Profitable Tieback\",\r\n          \"probability\": 0.45,\r\n          \"childId\": \"T_tieback_ok\",\r\n          \"value\": 150000000\r\n        },\r\n        {\r\n          \"name\": \"Breakeven\",\r\n          \"probability\": 0.3,\r\n          \"childId\": \"T_tieback_even\",\r\n          \"value\": 80000000\r\n        },\r\n        {\r\n          \"name\": \"Uneconomic\",\r\n          \"probability\": 0.25,\r\n          \"childId\": \"T_tieback_bad\",\r\n          \"value\": 20000000\r\n        }\r\n      ]\r\n    },\r\n    \"T_tieback_ok\": {\r\n      \"type\": \"terminal\",\r\n      \"id\": \"T_tieback_ok\",\r\n      \"name\": \"Tieback: Profitable\",\r\n      \"value\": 0\r\n    },\r\n    \"T_tieback_even\": {\r\n      \"type\": \"terminal\",\r\n      \"id\": \"T_tieback_even\",\r\n      \"name\": \"Tieback: Breakeven\",\r\n      \"value\": 0\r\n    },\r\n    \"T_tieback_bad\": {\r\n      \"type\": \"terminal\",\r\n      \"id\": \"T_tieback_bad\",\r\n      \"name\": \"Tieback: Uneconomic\",\r\n      \"value\": 0\r\n    },\r\n    \"T_sell_marginal\": {\r\n      \"type\": \"terminal\",\r\n      \"id\": \"T_sell_marginal\",\r\n      \"name\": \"Sell Marginal Find\",\r\n      \"value\": 0\r\n    },\r\n    \"T_panda\": {\r\n      \"type\": \"terminal\",\r\n      \"id\": \"T_panda\",\r\n      \"name\": \"Plug \u0026 Abandon\",\r\n      \"value\": 0\r\n    },\r\n    \"T_shows\": {\r\n      \"type\": \"terminal\",\r\n      \"id\": \"T_shows\",\r\n      \"name\": \"Shows Only\",\r\n      \"value\": 0\r\n    },\r\n    \"T_dry\": {\r\n      \"type\": \"terminal\",\r\n      \"id\": \"T_dry\",\r\n      \"name\": \"Dry Hole\",\r\n      \"value\": 0\r\n    },\r\n    \"C_3d_results\": {\r\n      \"type\": \"chance\",\r\n      \"id\": \"C_3d_results\",\r\n      \"name\": \"3D Seismic Interpretation\",\r\n      \"branches\": [\r\n        {\r\n          \"name\": \"Strong Prospect\",\r\n          \"probability\": 0.3,\r\n          \"childId\": \"D_drill_strong\"\r\n        },\r\n        {\r\n          \"name\": \"Moderate Prospect\",\r\n          \"probability\": 0.4,\r\n          \"childId\": \"D_drill_moderate\"\r\n        },\r\n        {\r\n          \"name\": \"Weak / No Prospect\",\r\n          \"probability\": 0.3,\r\n          \"childId\": \"T_seismic_weak\",\r\n          \"value\": 3000000\r\n        }\r\n      ]\r\n    },\r\n    \"D_drill_strong\": {\r\n      \"type\": \"decision\",\r\n      \"id\": \"D_drill_strong\",\r\n      \"name\": \"Drill Strong Prospect?\",\r\n      \"options\": [\r\n        {\r\n          \"name\": \"Drill Well\",\r\n          \"childId\": \"C_drill_strong\",\r\n          \"value\": -45000000\r\n        },\r\n        {\r\n          \"name\": \"Farm Out with Data\",\r\n          \"childId\": \"T_farmout_strong\",\r\n          \"value\": 30000000\r\n        }\r\n      ]\r\n    },\r\n    \"C_drill_strong\": {\r\n      \"type\": \"chance\",\r\n      \"id\": \"C_drill_strong\",\r\n      \"name\": \"Well Result (Strong Prospect)\",\r\n      \"branches\": [\r\n        {\r\n          \"name\": \"Discovery\",\r\n          \"probability\": 0.4,\r\n          \"childId\": \"T_3d_discovery\",\r\n          \"value\": 400000000\r\n        },\r\n        {\r\n          \"name\": \"Marginal\",\r\n          \"probability\": 0.3,\r\n          \"childId\": \"T_3d_marginal\",\r\n          \"value\": 60000000\r\n        },\r\n        {\r\n          \"name\": \"Dry\",\r\n          \"probability\": 0.3,\r\n          \"childId\": \"T_3d_dry\"\r\n        }\r\n      ]\r\n    },\r\n    \"T_3d_discovery\": {\r\n      \"type\": \"terminal\",\r\n      \"id\": \"T_3d_discovery\",\r\n      \"name\": \"3D Path: Discovery\",\r\n      \"value\": 0\r\n    },\r\n    \"T_3d_marginal\": {\r\n      \"type\": \"terminal\",\r\n      \"id\": \"T_3d_marginal\",\r\n      \"name\": \"3D Path: Marginal\",\r\n      \"value\": 0\r\n    },\r\n    \"T_3d_dry\": {\r\n      \"type\": \"terminal\",\r\n      \"id\": \"T_3d_dry\",\r\n      \"name\": \"3D Path: Dry Hole\",\r\n      \"value\": 0\r\n    },\r\n    \"T_farmout_strong\": {\r\n      \"type\": \"terminal\",\r\n      \"id\": \"T_farmout_strong\",\r\n      \"name\": \"Farm Out (Strong Data)\",\r\n      \"value\": 0\r\n    },\r\n    \"D_drill_moderate\": {\r\n      \"type\": \"decision\",\r\n      \"id\": \"D_drill_moderate\",\r\n      \"name\": \"Drill Moderate Prospect?\",\r\n      \"options\": [\r\n        {\r\n          \"name\": \"Drill Well\",\r\n          \"childId\": \"C_drill_moderate\",\r\n          \"value\": -45000000\r\n        },\r\n        {\r\n          \"name\": \"Don\u0027t Drill\",\r\n          \"childId\": \"T_no_drill_mod\",\r\n          \"value\": 5000000\r\n        }\r\n      ]\r\n    },\r\n    \"C_drill_moderate\": {\r\n      \"type\": \"chance\",\r\n      \"id\": \"C_drill_moderate\",\r\n      \"name\": \"Well Result (Moderate)\",\r\n      \"branches\": [\r\n        {\r\n          \"name\": \"Discovery\",\r\n          \"probability\": 0.2,\r\n          \"childId\": \"T_mod_discovery\",\r\n          \"value\": 300000000\r\n        },\r\n        {\r\n          \"name\": \"Shows\",\r\n          \"probability\": 0.3,\r\n          \"childId\": \"T_mod_shows\",\r\n          \"value\": 10000000\r\n        },\r\n        {\r\n          \"name\": \"Dry\",\r\n          \"probability\": 0.5,\r\n          \"childId\": \"T_mod_dry\"\r\n        }\r\n      ]\r\n    },\r\n    \"T_mod_discovery\": {\r\n      \"type\": \"terminal\",\r\n      \"id\": \"T_mod_discovery\",\r\n      \"name\": \"Moderate: Discovery\",\r\n      \"value\": 0\r\n    },\r\n    \"T_mod_shows\": {\r\n      \"type\": \"terminal\",\r\n      \"id\": \"T_mod_shows\",\r\n      \"name\": \"Moderate: Shows Only\",\r\n      \"value\": 0\r\n    },\r\n    \"T_mod_dry\": {\r\n      \"type\": \"terminal\",\r\n      \"id\": \"T_mod_dry\",\r\n      \"name\": \"Moderate: Dry Hole\",\r\n      \"value\": 0\r\n    },\r\n    \"T_no_drill_mod\": {\r\n      \"type\": \"terminal\",\r\n      \"id\": \"T_no_drill_mod\",\r\n      \"name\": \"Walk Away (Moderate)\",\r\n      \"value\": 0\r\n    },\r\n    \"T_seismic_weak\": {\r\n      \"type\": \"terminal\",\r\n      \"id\": \"T_seismic_weak\",\r\n      \"name\": \"Seismic: No Prospect\",\r\n      \"value\": 0\r\n    },\r\n    \"C_farmout\": {\r\n      \"type\": \"chance\",\r\n      \"id\": \"C_farmout\",\r\n      \"name\": \"Farm-Out Interest\",\r\n      \"branches\": [\r\n        {\r\n          \"name\": \"Major Operator Takes It\",\r\n          \"probability\": 0.35,\r\n          \"childId\": \"C_farmout_result\"\r\n        },\r\n        {\r\n          \"name\": \"Junior Operator\",\r\n          \"probability\": 0.35,\r\n          \"childId\": \"T_farmout_junior\",\r\n          \"value\": 8000000\r\n        },\r\n        {\r\n          \"name\": \"No Interest\",\r\n          \"probability\": 0.3,\r\n          \"childId\": \"T_farmout_none\"\r\n        }\r\n      ]\r\n    },\r\n    \"C_farmout_result\": {\r\n      \"type\": \"chance\",\r\n      \"id\": \"C_farmout_result\",\r\n      \"name\": \"Major Operator Drills\",\r\n      \"branches\": [\r\n        {\r\n          \"name\": \"Discovery (Your 25%)\",\r\n          \"probability\": 0.25,\r\n          \"childId\": \"T_farmout_discovery\",\r\n          \"value\": 120000000\r\n        },\r\n        {\r\n          \"name\": \"Marginal (Your 25%)\",\r\n          \"probability\": 0.25,\r\n          \"childId\": \"T_farmout_marginal_r\",\r\n          \"value\": 15000000\r\n        },\r\n        {\r\n          \"name\": \"Dry Hole\",\r\n          \"probability\": 0.5,\r\n          \"childId\": \"T_farmout_dry\"\r\n        }\r\n      ]\r\n    },\r\n    \"T_farmout_discovery\": {\r\n      \"type\": \"terminal\",\r\n      \"id\": \"T_farmout_discovery\",\r\n      \"name\": \"Farm-Out: 25% of Discovery\",\r\n      \"value\": 0\r\n    },\r\n    \"T_farmout_marginal_r\": {\r\n      \"type\": \"terminal\",\r\n      \"id\": \"T_farmout_marginal_r\",\r\n      \"name\": \"Farm-Out: 25% Marginal\",\r\n      \"value\": 0\r\n    },\r\n    \"T_farmout_dry\": {\r\n      \"type\": \"terminal\",\r\n      \"id\": \"T_farmout_dry\",\r\n      \"name\": \"Farm-Out: Dry Hole\",\r\n      \"value\": 0\r\n    },\r\n    \"T_farmout_junior\": {\r\n      \"type\": \"terminal\",\r\n      \"id\": \"T_farmout_junior\",\r\n      \"name\": \"Farm-Out: Junior Deal\",\r\n      \"value\": 0\r\n    },\r\n    \"T_farmout_none\": {\r\n      \"type\": \"terminal\",\r\n      \"id\": \"T_farmout_none\",\r\n      \"name\": \"No Farm-Out Interest\",\r\n      \"value\": 0\r\n    },\r\n    \"T_relinquish\": {\r\n      \"type\": \"terminal\",\r\n      \"id\": \"T_relinquish\",\r\n      \"name\": \"Relinquish License\",\r\n      \"value\": 0\r\n    }\r\n  },\r\n  \"Settings\": {\r\n    \"ModelName\": \"Offshore Drilling Campaign\",\r\n    \"CalculationMethod\": 0,\r\n    \"Maximize\": true,\r\n    \"UtilityConfig\": null,\r\n    \"Display\": {\r\n      \"DecimalPlaces\": 0,\r\n      \"ShowExpectedValues\": true,\r\n      \"ShowOptimalLabels\": true,\r\n      \"ShowRollbackValues\": true,\r\n      \"CalculatedValueFormat\": \"\\\"$\\\"#,##0\",\r\n      \"CalculatedProbabilityFormat\": \"0.0%\",\r\n      \"InputValueFormat\": \"\\\"$\\\"#,##0\",\r\n      \"InputProbabilityFormat\": \"0.0%\",\r\n      \"CalculatedValuesLabel\": \"\",\r\n      \"TreeStartRow\": 26\r\n    },\r\n    \"ChanceProbabilities\": 1,\r\n    \"ProbabilityTolerance\": 0.001,\r\n    \"Simulation\": {\r\n      \"CalculationMode\": 0,\r\n      \"DecisionMode\": 0\r\n    }\r\n  },\r\n  \"NodeMetadata\": {},\r\n  \"UserFormulas\": {\r\n      \"MC_BV_D_root_C_seismic\": \"=-DrillExplorationWellCost\",\r\n      \"MC_BV_D_root_C_3d_results\": \"=-Acquire3dSeismicFirstCost\",\r\n      \"MC_BV_D_root_C_farmout\": \"=-FarmOutKeep25Cost\",\r\n      \"MC_BV_D_appraise_major_C_dev_major\": \"=-FasttrackDevelopmentCost\",\r\n      \"MC_BV_D_appraise_major_C_appraisal_major\": \"=-AppraisalWellsFirstCost\",\r\n      \"MC_BV_D_appraise_major_T_sell_major\": \"=SellDiscoveryValue\",\r\n      \"MC_BV_D_appraise_sig_C_price_sig\": \"=-DevelopFpsoCost\",\r\n      \"MC_BV_D_appraise_sig_C_appr_sig\": \"=-AppraisalWellCost\",\r\n      \"MC_BV_D_appraise_sig_T_sell_sig\": \"=SellDiscoveryValue2\",\r\n      \"MC_BV_D_marginal_C_tieback\": \"=-TiebackToNearbyPlatformCost\",\r\n      \"MC_BV_D_marginal_T_sell_marginal\": \"=SellToNearbyOperatorValue\",\r\n      \"MC_BV_D_marginal_T_panda\": \"=-PlugAbandonCost\",\r\n      \"MC_BV_D_drill_strong_C_drill_strong\": \"=-DrillWellCost\",\r\n      \"MC_BV_D_drill_strong_T_farmout_strong\": \"=FarmOutWithDataValue\",\r\n      \"MC_BV_D_drill_moderate_C_drill_moderate\": \"=-DrillWellCost2\",\r\n      \"MC_BV_D_drill_moderate_T_no_drill_mod\": \"=DontDrillValue\"\r\n  }\r\n}"}}</t>
  </si>
  <si>
    <t>Oil Price (High Reserves)</t>
  </si>
  <si>
    <t>Fast-Track Outcome</t>
  </si>
  <si>
    <t>Oil Price (Good Reserves)</t>
  </si>
  <si>
    <t>Oil Price (Cost Overrun)</t>
  </si>
  <si>
    <t>Appraise Major Discovery</t>
  </si>
  <si>
    <t>Appraisal Results</t>
  </si>
  <si>
    <t>Exploration Well Result</t>
  </si>
  <si>
    <t>Oil Price (Significant)</t>
  </si>
  <si>
    <t>Appraise Significant Find</t>
  </si>
  <si>
    <t>Appraisal Result (Significant)</t>
  </si>
  <si>
    <t>Tieback Economics</t>
  </si>
  <si>
    <t>Marginal Find Options</t>
  </si>
  <si>
    <t>Drilling Campaign</t>
  </si>
  <si>
    <t>Well Result (Strong Prospect)</t>
  </si>
  <si>
    <t>Drill Strong Prospect?</t>
  </si>
  <si>
    <t>3D Seismic Interpretation</t>
  </si>
  <si>
    <t>Well Result (Moderate)</t>
  </si>
  <si>
    <t>Drill Moderate Prospect?</t>
  </si>
  <si>
    <t>Major Operator Drills</t>
  </si>
  <si>
    <t>Farm-Out Interest</t>
  </si>
  <si>
    <t>Offshore Drilling Campaign — Control Panel</t>
  </si>
  <si>
    <t>Adjust parameters below to update the decision tree instantly</t>
  </si>
  <si>
    <t>Parameter</t>
  </si>
  <si>
    <t>Value</t>
  </si>
  <si>
    <t>Units</t>
  </si>
  <si>
    <t>Notes</t>
  </si>
  <si>
    <t>Drill Exploration Well</t>
  </si>
  <si>
    <t>$</t>
  </si>
  <si>
    <t>Investment for Exploration Well Result path</t>
  </si>
  <si>
    <t>Acquire 3D Seismic First</t>
  </si>
  <si>
    <t>Investment for 3D Seismic Interpretation path</t>
  </si>
  <si>
    <t>Farm Out (Keep 25%)</t>
  </si>
  <si>
    <t>Investment for Farm-Out Interest path</t>
  </si>
  <si>
    <t>Fast-Track Development</t>
  </si>
  <si>
    <t>Investment for Fast-Track Outcome path</t>
  </si>
  <si>
    <t>Appraisal Wells First</t>
  </si>
  <si>
    <t>Investment for Appraisal Results path</t>
  </si>
  <si>
    <t>Sell Discovery</t>
  </si>
  <si>
    <t>Sell Major Discovery</t>
  </si>
  <si>
    <t>Develop (FPSO)</t>
  </si>
  <si>
    <t>Investment for Oil Price (Significant) path</t>
  </si>
  <si>
    <t>Appraisal Well</t>
  </si>
  <si>
    <t>Investment for Appraisal Result (Significant) path</t>
  </si>
  <si>
    <t>Sell Significant Find</t>
  </si>
  <si>
    <t>Tieback to Nearby Platform</t>
  </si>
  <si>
    <t>Investment for Tieback Economics path</t>
  </si>
  <si>
    <t>Sell to Nearby Operator</t>
  </si>
  <si>
    <t>Sell Marginal Find</t>
  </si>
  <si>
    <t>Plug &amp; Abandon</t>
  </si>
  <si>
    <t>Drill Well</t>
  </si>
  <si>
    <t>Investment for Well Result (Strong Prospect) path</t>
  </si>
  <si>
    <t>Farm Out with Data</t>
  </si>
  <si>
    <t>Farm Out (Strong Data)</t>
  </si>
  <si>
    <t>Investment for Well Result (Moderate) path</t>
  </si>
  <si>
    <t>Don't Drill</t>
  </si>
  <si>
    <t>Walk Away (Moderate)</t>
  </si>
  <si>
    <t>Offshore Drilling Campaign Decision</t>
  </si>
  <si>
    <t>ModelChoice Example Model</t>
  </si>
  <si>
    <t>Background</t>
  </si>
  <si>
    <t>An independent E&amp;P company holds an exploration license in a deepwater block</t>
  </si>
  <si>
    <t>offshore West Africa. The license expires in 3 years, requiring a drilling</t>
  </si>
  <si>
    <t>commitment or relinquishment. The company must decide its exploration strategy.</t>
  </si>
  <si>
    <t>Option 1: Drill Exploration Well ($45M)</t>
  </si>
  <si>
    <t>Drill directly based on existing 2D seismic data. Five possible outcomes from</t>
  </si>
  <si>
    <t>major discovery (10%) to dry hole (30%). If discovery, decide: fast-track</t>
  </si>
  <si>
    <t>development, run appraisal wells, or sell the discovery.</t>
  </si>
  <si>
    <t>Option 2: Acquire 3D Seismic First ($8M)</t>
  </si>
  <si>
    <t>Spend $8M on 3D seismic to de-risk the prospect before drilling. Better data</t>
  </si>
  <si>
    <t>improves well placement and raises discovery probability. Classic value of</t>
  </si>
  <si>
    <t>information decision.</t>
  </si>
  <si>
    <t>Option 3: Farm Out - Keep 25% ($2M)</t>
  </si>
  <si>
    <t>Find a partner to drill in exchange for 75% working interest. Keeps exposure</t>
  </si>
  <si>
    <t>low but gives up most of the upside.</t>
  </si>
  <si>
    <t>Option 4: Relinquish License</t>
  </si>
  <si>
    <t>Walk away. No further obligations.</t>
  </si>
  <si>
    <t>Decision Objective</t>
  </si>
  <si>
    <t>Maximize expected NPV. This is the classic oil &amp; gas exploration decision</t>
  </si>
  <si>
    <t>tree with geological risk, development cost uncertainty, and oil price risk.</t>
  </si>
  <si>
    <t>Key Assumptions</t>
  </si>
  <si>
    <t>Exploration Well Cost</t>
  </si>
  <si>
    <t>Deepwater well, 60-90 day program</t>
  </si>
  <si>
    <t>3D Seismic Survey</t>
  </si>
  <si>
    <t>800 sq km, processing &amp; interpretation</t>
  </si>
  <si>
    <t>FPSO + subsea, 3 year build</t>
  </si>
  <si>
    <t>Appraisal Well Program</t>
  </si>
  <si>
    <t>2 appraisal wells + testing</t>
  </si>
  <si>
    <t>Major Discovery Probability</t>
  </si>
  <si>
    <t>100+ MMbbl recoverable</t>
  </si>
  <si>
    <t>Significant Find Probability</t>
  </si>
  <si>
    <t>30-100 MMbbl recoverable</t>
  </si>
  <si>
    <t>Dry Hole Probability</t>
  </si>
  <si>
    <t>No commercial hydrocarbons</t>
  </si>
  <si>
    <t>Oil Price Scenarios</t>
  </si>
  <si>
    <t>$50/70/100 bbl</t>
  </si>
  <si>
    <t>Low/Mid/High, equal weighting</t>
  </si>
  <si>
    <t>Major Discovery NPV (Mid)</t>
  </si>
  <si>
    <t>$900M</t>
  </si>
  <si>
    <t>At $70/bbl, fast-track development</t>
  </si>
  <si>
    <t>Development Cost Overrun</t>
  </si>
  <si>
    <t>35-40%</t>
  </si>
  <si>
    <t>Common in deepwater projects</t>
  </si>
  <si>
    <t>Suggested Analyses</t>
  </si>
  <si>
    <t>▶ Strategy Table - Compare drill-now vs seismic-first vs farm-out strategies</t>
  </si>
  <si>
    <t>▶ Sensitivity Analysis - How does oil price and discovery probability affect EV?</t>
  </si>
  <si>
    <t>▶ Risk Profile - Visualize the high-risk/high-reward nature of exploration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</si>
</sst>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0.0%"/>
    <numFmt numFmtId="166" formatCode="&quot;$&quot;#,##0"/>
    <numFmt numFmtId="167" formatCode="\$#,##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0" fontId="9" fillId="0" borderId="0" xfId="0" applyFont="1"/>
    <xf numFmtId="0" fontId="10" fillId="0" borderId="0" xfId="0" applyFont="1"/>
    <xf numFmtId="6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104</xdr:row>
      <xdr:rowOff>0</xdr:rowOff>
    </xdr:from>
    <xdr:to>
      <xdr:col>2</xdr:col>
      <xdr:colOff>9525</xdr:colOff>
      <xdr:row>104</xdr:row>
      <xdr:rowOff>0</xdr:rowOff>
    </xdr:to>
    <xdr:cxnSp macro="">
      <xdr:nvCxnSpPr>
        <xdr:cNvPr id="203" name="MC_Entry">
          <a:extLst>
            <a:ext uri="{FF2B5EF4-FFF2-40B4-BE49-F238E27FC236}">
              <a16:creationId xmlns:a16="http://schemas.microsoft.com/office/drawing/2014/main" id="{A87B4E2D-61E3-9984-326E-02CCC5F04E37}"/>
            </a:ext>
          </a:extLst>
        </xdr:cNvPr>
        <xdr:cNvCxnSpPr/>
      </xdr:nvCxnSpPr>
      <xdr:spPr>
        <a:xfrm>
          <a:off x="665163" y="19697700"/>
          <a:ext cx="2001837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103</xdr:row>
      <xdr:rowOff>99250</xdr:rowOff>
    </xdr:from>
    <xdr:ext cx="1308628" cy="182550"/>
    <xdr:sp macro="_xll.MC_OnTreeNameClick" textlink="">
      <xdr:nvSpPr>
        <xdr:cNvPr id="204" name="MC_TreeName">
          <a:extLst>
            <a:ext uri="{FF2B5EF4-FFF2-40B4-BE49-F238E27FC236}">
              <a16:creationId xmlns:a16="http://schemas.microsoft.com/office/drawing/2014/main" id="{32CDD3C6-DC5F-8365-7D62-B1B9690D9F74}"/>
            </a:ext>
          </a:extLst>
        </xdr:cNvPr>
        <xdr:cNvSpPr txBox="1"/>
      </xdr:nvSpPr>
      <xdr:spPr>
        <a:xfrm>
          <a:off x="665163" y="19606450"/>
          <a:ext cx="130862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Offshore Drilling Campaign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84203</xdr:colOff>
      <xdr:row>63</xdr:row>
      <xdr:rowOff>184150</xdr:rowOff>
    </xdr:from>
    <xdr:to>
      <xdr:col>3</xdr:col>
      <xdr:colOff>47626</xdr:colOff>
      <xdr:row>104</xdr:row>
      <xdr:rowOff>141</xdr:rowOff>
    </xdr:to>
    <xdr:sp macro="" textlink="">
      <xdr:nvSpPr>
        <xdr:cNvPr id="205" name="MC_BR_D_root_C_seismic">
          <a:extLst>
            <a:ext uri="{FF2B5EF4-FFF2-40B4-BE49-F238E27FC236}">
              <a16:creationId xmlns:a16="http://schemas.microsoft.com/office/drawing/2014/main" id="{DE4476C6-C13E-0786-D4A4-54720C7A4768}"/>
            </a:ext>
          </a:extLst>
        </xdr:cNvPr>
        <xdr:cNvSpPr/>
      </xdr:nvSpPr>
      <xdr:spPr>
        <a:xfrm>
          <a:off x="2741678" y="12071350"/>
          <a:ext cx="2363723" cy="7626491"/>
        </a:xfrm>
        <a:custGeom>
          <a:avLst/>
          <a:gdLst/>
          <a:ahLst/>
          <a:cxnLst/>
          <a:rect l="0" t="0" r="0" b="0"/>
          <a:pathLst>
            <a:path w="2363723" h="7626491">
              <a:moveTo>
                <a:pt x="0" y="7626210"/>
              </a:moveTo>
              <a:lnTo>
                <a:pt x="166624" y="6211"/>
              </a:lnTo>
              <a:lnTo>
                <a:pt x="172972" y="0"/>
              </a:lnTo>
              <a:lnTo>
                <a:pt x="2363722" y="0"/>
              </a:lnTo>
              <a:lnTo>
                <a:pt x="2363722" y="12700"/>
              </a:lnTo>
              <a:lnTo>
                <a:pt x="172972" y="12700"/>
              </a:lnTo>
              <a:lnTo>
                <a:pt x="179320" y="6489"/>
              </a:lnTo>
              <a:lnTo>
                <a:pt x="12697" y="7626490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63</xdr:row>
      <xdr:rowOff>99251</xdr:rowOff>
    </xdr:from>
    <xdr:ext cx="1001684" cy="182550"/>
    <xdr:sp macro="_xll.MC_OnBranchLabelClick" textlink="">
      <xdr:nvSpPr>
        <xdr:cNvPr id="206" name="MC_BN_D_root_C_seismic">
          <a:extLst>
            <a:ext uri="{FF2B5EF4-FFF2-40B4-BE49-F238E27FC236}">
              <a16:creationId xmlns:a16="http://schemas.microsoft.com/office/drawing/2014/main" id="{69DCCE73-0C1F-EB98-77C1-43A6318A1BA8}"/>
            </a:ext>
          </a:extLst>
        </xdr:cNvPr>
        <xdr:cNvSpPr txBox="1"/>
      </xdr:nvSpPr>
      <xdr:spPr>
        <a:xfrm>
          <a:off x="2943860" y="11986451"/>
          <a:ext cx="100168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Drill Exploration Well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74707</xdr:colOff>
      <xdr:row>103</xdr:row>
      <xdr:rowOff>189509</xdr:rowOff>
    </xdr:from>
    <xdr:to>
      <xdr:col>3</xdr:col>
      <xdr:colOff>47626</xdr:colOff>
      <xdr:row>118</xdr:row>
      <xdr:rowOff>15876</xdr:rowOff>
    </xdr:to>
    <xdr:sp macro="" textlink="">
      <xdr:nvSpPr>
        <xdr:cNvPr id="207" name="MC_BR_D_root_C_3d_results">
          <a:extLst>
            <a:ext uri="{FF2B5EF4-FFF2-40B4-BE49-F238E27FC236}">
              <a16:creationId xmlns:a16="http://schemas.microsoft.com/office/drawing/2014/main" id="{ADB19359-EF35-A55F-FA77-87796B689AFC}"/>
            </a:ext>
          </a:extLst>
        </xdr:cNvPr>
        <xdr:cNvSpPr/>
      </xdr:nvSpPr>
      <xdr:spPr>
        <a:xfrm>
          <a:off x="2732182" y="19696709"/>
          <a:ext cx="2373219" cy="2683867"/>
        </a:xfrm>
        <a:custGeom>
          <a:avLst/>
          <a:gdLst/>
          <a:ahLst/>
          <a:cxnLst/>
          <a:rect l="0" t="0" r="0" b="0"/>
          <a:pathLst>
            <a:path w="2373219" h="2683867">
              <a:moveTo>
                <a:pt x="31688" y="0"/>
              </a:moveTo>
              <a:lnTo>
                <a:pt x="198312" y="2667000"/>
              </a:lnTo>
              <a:lnTo>
                <a:pt x="182468" y="2652116"/>
              </a:lnTo>
              <a:lnTo>
                <a:pt x="2373218" y="2652116"/>
              </a:lnTo>
              <a:lnTo>
                <a:pt x="2373218" y="2683866"/>
              </a:lnTo>
              <a:lnTo>
                <a:pt x="182468" y="2683866"/>
              </a:lnTo>
              <a:lnTo>
                <a:pt x="166624" y="2668982"/>
              </a:lnTo>
              <a:lnTo>
                <a:pt x="0" y="19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117</xdr:row>
      <xdr:rowOff>99250</xdr:rowOff>
    </xdr:from>
    <xdr:ext cx="1178464" cy="182550"/>
    <xdr:sp macro="_xll.MC_OnBranchLabelClick" textlink="">
      <xdr:nvSpPr>
        <xdr:cNvPr id="208" name="MC_BN_D_root_C_3d_results">
          <a:extLst>
            <a:ext uri="{FF2B5EF4-FFF2-40B4-BE49-F238E27FC236}">
              <a16:creationId xmlns:a16="http://schemas.microsoft.com/office/drawing/2014/main" id="{BA0BE51C-8270-98B7-F7C3-6E2FB2F0FCC6}"/>
            </a:ext>
          </a:extLst>
        </xdr:cNvPr>
        <xdr:cNvSpPr txBox="1"/>
      </xdr:nvSpPr>
      <xdr:spPr>
        <a:xfrm>
          <a:off x="2943860" y="22273450"/>
          <a:ext cx="117846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Acquire 3D Seismic First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84203</xdr:colOff>
      <xdr:row>103</xdr:row>
      <xdr:rowOff>190354</xdr:rowOff>
    </xdr:from>
    <xdr:to>
      <xdr:col>3</xdr:col>
      <xdr:colOff>47626</xdr:colOff>
      <xdr:row>142</xdr:row>
      <xdr:rowOff>6351</xdr:rowOff>
    </xdr:to>
    <xdr:sp macro="" textlink="">
      <xdr:nvSpPr>
        <xdr:cNvPr id="209" name="MC_BR_D_root_C_farmout">
          <a:extLst>
            <a:ext uri="{FF2B5EF4-FFF2-40B4-BE49-F238E27FC236}">
              <a16:creationId xmlns:a16="http://schemas.microsoft.com/office/drawing/2014/main" id="{684AC202-C1F5-BE60-1884-FB4FBF42A2CF}"/>
            </a:ext>
          </a:extLst>
        </xdr:cNvPr>
        <xdr:cNvSpPr/>
      </xdr:nvSpPr>
      <xdr:spPr>
        <a:xfrm>
          <a:off x="2741678" y="19697554"/>
          <a:ext cx="2363723" cy="7245497"/>
        </a:xfrm>
        <a:custGeom>
          <a:avLst/>
          <a:gdLst/>
          <a:ahLst/>
          <a:cxnLst/>
          <a:rect l="0" t="0" r="0" b="0"/>
          <a:pathLst>
            <a:path w="2363723" h="7245497">
              <a:moveTo>
                <a:pt x="12696" y="0"/>
              </a:moveTo>
              <a:lnTo>
                <a:pt x="179320" y="7239000"/>
              </a:lnTo>
              <a:lnTo>
                <a:pt x="172972" y="7232796"/>
              </a:lnTo>
              <a:lnTo>
                <a:pt x="2363722" y="7232796"/>
              </a:lnTo>
              <a:lnTo>
                <a:pt x="2363722" y="7245496"/>
              </a:lnTo>
              <a:lnTo>
                <a:pt x="172972" y="7245496"/>
              </a:lnTo>
              <a:lnTo>
                <a:pt x="166624" y="7239292"/>
              </a:lnTo>
              <a:lnTo>
                <a:pt x="0" y="29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141</xdr:row>
      <xdr:rowOff>99250</xdr:rowOff>
    </xdr:from>
    <xdr:ext cx="1059136" cy="182550"/>
    <xdr:sp macro="_xll.MC_OnBranchLabelClick" textlink="">
      <xdr:nvSpPr>
        <xdr:cNvPr id="210" name="MC_BN_D_root_C_farmout">
          <a:extLst>
            <a:ext uri="{FF2B5EF4-FFF2-40B4-BE49-F238E27FC236}">
              <a16:creationId xmlns:a16="http://schemas.microsoft.com/office/drawing/2014/main" id="{53E48E74-4D1D-944C-BE98-D4C5A40D9FDC}"/>
            </a:ext>
          </a:extLst>
        </xdr:cNvPr>
        <xdr:cNvSpPr txBox="1"/>
      </xdr:nvSpPr>
      <xdr:spPr>
        <a:xfrm>
          <a:off x="2943860" y="26845450"/>
          <a:ext cx="105913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Farm Out (Keep 25%)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84202</xdr:colOff>
      <xdr:row>103</xdr:row>
      <xdr:rowOff>190374</xdr:rowOff>
    </xdr:from>
    <xdr:to>
      <xdr:col>3</xdr:col>
      <xdr:colOff>47626</xdr:colOff>
      <xdr:row>148</xdr:row>
      <xdr:rowOff>6351</xdr:rowOff>
    </xdr:to>
    <xdr:sp macro="" textlink="">
      <xdr:nvSpPr>
        <xdr:cNvPr id="211" name="MC_BR_D_root_T_relinquish">
          <a:extLst>
            <a:ext uri="{FF2B5EF4-FFF2-40B4-BE49-F238E27FC236}">
              <a16:creationId xmlns:a16="http://schemas.microsoft.com/office/drawing/2014/main" id="{1B0942E5-D40A-98CA-D3D1-75C92B7E3F34}"/>
            </a:ext>
          </a:extLst>
        </xdr:cNvPr>
        <xdr:cNvSpPr/>
      </xdr:nvSpPr>
      <xdr:spPr>
        <a:xfrm>
          <a:off x="2741677" y="19697574"/>
          <a:ext cx="2363724" cy="8388477"/>
        </a:xfrm>
        <a:custGeom>
          <a:avLst/>
          <a:gdLst/>
          <a:ahLst/>
          <a:cxnLst/>
          <a:rect l="0" t="0" r="0" b="0"/>
          <a:pathLst>
            <a:path w="2363724" h="8388477">
              <a:moveTo>
                <a:pt x="12698" y="0"/>
              </a:moveTo>
              <a:lnTo>
                <a:pt x="179322" y="8381999"/>
              </a:lnTo>
              <a:lnTo>
                <a:pt x="172973" y="8375776"/>
              </a:lnTo>
              <a:lnTo>
                <a:pt x="2363723" y="8375776"/>
              </a:lnTo>
              <a:lnTo>
                <a:pt x="2363723" y="8388476"/>
              </a:lnTo>
              <a:lnTo>
                <a:pt x="172973" y="8388476"/>
              </a:lnTo>
              <a:lnTo>
                <a:pt x="166624" y="8382253"/>
              </a:lnTo>
              <a:lnTo>
                <a:pt x="0" y="25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147</xdr:row>
      <xdr:rowOff>99250</xdr:rowOff>
    </xdr:from>
    <xdr:ext cx="916533" cy="182550"/>
    <xdr:sp macro="_xll.MC_OnBranchLabelClick" textlink="">
      <xdr:nvSpPr>
        <xdr:cNvPr id="212" name="MC_BN_D_root_T_relinquish">
          <a:extLst>
            <a:ext uri="{FF2B5EF4-FFF2-40B4-BE49-F238E27FC236}">
              <a16:creationId xmlns:a16="http://schemas.microsoft.com/office/drawing/2014/main" id="{D8F90E7C-6BCE-797C-80A4-9B710EC3DA4B}"/>
            </a:ext>
          </a:extLst>
        </xdr:cNvPr>
        <xdr:cNvSpPr txBox="1"/>
      </xdr:nvSpPr>
      <xdr:spPr>
        <a:xfrm>
          <a:off x="2943860" y="27988450"/>
          <a:ext cx="91653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Relinquish License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84218</xdr:colOff>
      <xdr:row>51</xdr:row>
      <xdr:rowOff>184150</xdr:rowOff>
    </xdr:from>
    <xdr:to>
      <xdr:col>4</xdr:col>
      <xdr:colOff>47626</xdr:colOff>
      <xdr:row>64</xdr:row>
      <xdr:rowOff>463</xdr:rowOff>
    </xdr:to>
    <xdr:sp macro="" textlink="">
      <xdr:nvSpPr>
        <xdr:cNvPr id="213" name="MC_BR_C_seismic_D_appraise_major">
          <a:extLst>
            <a:ext uri="{FF2B5EF4-FFF2-40B4-BE49-F238E27FC236}">
              <a16:creationId xmlns:a16="http://schemas.microsoft.com/office/drawing/2014/main" id="{BD9AE073-6947-5A9A-8D67-A6DE370D742B}"/>
            </a:ext>
          </a:extLst>
        </xdr:cNvPr>
        <xdr:cNvSpPr/>
      </xdr:nvSpPr>
      <xdr:spPr>
        <a:xfrm>
          <a:off x="5141993" y="9785350"/>
          <a:ext cx="2435146" cy="2292813"/>
        </a:xfrm>
        <a:custGeom>
          <a:avLst/>
          <a:gdLst/>
          <a:ahLst/>
          <a:cxnLst/>
          <a:rect l="0" t="0" r="0" b="0"/>
          <a:pathLst>
            <a:path w="2435146" h="2292813">
              <a:moveTo>
                <a:pt x="0" y="2291888"/>
              </a:moveTo>
              <a:lnTo>
                <a:pt x="166624" y="5888"/>
              </a:lnTo>
              <a:lnTo>
                <a:pt x="172957" y="0"/>
              </a:lnTo>
              <a:lnTo>
                <a:pt x="2435145" y="0"/>
              </a:lnTo>
              <a:lnTo>
                <a:pt x="2435145" y="12700"/>
              </a:lnTo>
              <a:lnTo>
                <a:pt x="172957" y="12700"/>
              </a:lnTo>
              <a:lnTo>
                <a:pt x="179290" y="6812"/>
              </a:lnTo>
              <a:lnTo>
                <a:pt x="12666" y="229281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51</xdr:row>
      <xdr:rowOff>99251</xdr:rowOff>
    </xdr:from>
    <xdr:ext cx="790794" cy="182550"/>
    <xdr:sp macro="_xll.MC_OnBranchLabelClick" textlink="">
      <xdr:nvSpPr>
        <xdr:cNvPr id="214" name="MC_BN_C_seismic_D_appraise_major">
          <a:extLst>
            <a:ext uri="{FF2B5EF4-FFF2-40B4-BE49-F238E27FC236}">
              <a16:creationId xmlns:a16="http://schemas.microsoft.com/office/drawing/2014/main" id="{F4255BA4-FB35-A08E-D63E-CDD348D3B9B0}"/>
            </a:ext>
          </a:extLst>
        </xdr:cNvPr>
        <xdr:cNvSpPr txBox="1"/>
      </xdr:nvSpPr>
      <xdr:spPr>
        <a:xfrm>
          <a:off x="5344160" y="9700451"/>
          <a:ext cx="79079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Major Discovery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84225</xdr:colOff>
      <xdr:row>63</xdr:row>
      <xdr:rowOff>189947</xdr:rowOff>
    </xdr:from>
    <xdr:to>
      <xdr:col>4</xdr:col>
      <xdr:colOff>47626</xdr:colOff>
      <xdr:row>74</xdr:row>
      <xdr:rowOff>6351</xdr:rowOff>
    </xdr:to>
    <xdr:sp macro="" textlink="">
      <xdr:nvSpPr>
        <xdr:cNvPr id="215" name="MC_BR_C_seismic_D_appraise_sig">
          <a:extLst>
            <a:ext uri="{FF2B5EF4-FFF2-40B4-BE49-F238E27FC236}">
              <a16:creationId xmlns:a16="http://schemas.microsoft.com/office/drawing/2014/main" id="{A55B1137-1AE8-7E63-69AE-720A61F5FEFF}"/>
            </a:ext>
          </a:extLst>
        </xdr:cNvPr>
        <xdr:cNvSpPr/>
      </xdr:nvSpPr>
      <xdr:spPr>
        <a:xfrm>
          <a:off x="5142000" y="12077147"/>
          <a:ext cx="2435139" cy="1911904"/>
        </a:xfrm>
        <a:custGeom>
          <a:avLst/>
          <a:gdLst/>
          <a:ahLst/>
          <a:cxnLst/>
          <a:rect l="0" t="0" r="0" b="0"/>
          <a:pathLst>
            <a:path w="2435139" h="1911904">
              <a:moveTo>
                <a:pt x="12652" y="0"/>
              </a:moveTo>
              <a:lnTo>
                <a:pt x="179276" y="1905000"/>
              </a:lnTo>
              <a:lnTo>
                <a:pt x="172950" y="1899203"/>
              </a:lnTo>
              <a:lnTo>
                <a:pt x="2435138" y="1899203"/>
              </a:lnTo>
              <a:lnTo>
                <a:pt x="2435138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73</xdr:row>
      <xdr:rowOff>99250</xdr:rowOff>
    </xdr:from>
    <xdr:ext cx="756810" cy="182550"/>
    <xdr:sp macro="_xll.MC_OnBranchLabelClick" textlink="">
      <xdr:nvSpPr>
        <xdr:cNvPr id="216" name="MC_BN_C_seismic_D_appraise_sig">
          <a:extLst>
            <a:ext uri="{FF2B5EF4-FFF2-40B4-BE49-F238E27FC236}">
              <a16:creationId xmlns:a16="http://schemas.microsoft.com/office/drawing/2014/main" id="{655EF7D1-8664-9EEE-9A0F-11E65098E476}"/>
            </a:ext>
          </a:extLst>
        </xdr:cNvPr>
        <xdr:cNvSpPr txBox="1"/>
      </xdr:nvSpPr>
      <xdr:spPr>
        <a:xfrm>
          <a:off x="5344160" y="13891450"/>
          <a:ext cx="75681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Significant Find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84204</xdr:colOff>
      <xdr:row>63</xdr:row>
      <xdr:rowOff>190315</xdr:rowOff>
    </xdr:from>
    <xdr:to>
      <xdr:col>4</xdr:col>
      <xdr:colOff>47626</xdr:colOff>
      <xdr:row>94</xdr:row>
      <xdr:rowOff>6351</xdr:rowOff>
    </xdr:to>
    <xdr:sp macro="" textlink="">
      <xdr:nvSpPr>
        <xdr:cNvPr id="217" name="MC_BR_C_seismic_D_marginal">
          <a:extLst>
            <a:ext uri="{FF2B5EF4-FFF2-40B4-BE49-F238E27FC236}">
              <a16:creationId xmlns:a16="http://schemas.microsoft.com/office/drawing/2014/main" id="{8582CFE6-C2D4-A5E2-0708-57C746251871}"/>
            </a:ext>
          </a:extLst>
        </xdr:cNvPr>
        <xdr:cNvSpPr/>
      </xdr:nvSpPr>
      <xdr:spPr>
        <a:xfrm>
          <a:off x="5141979" y="12077515"/>
          <a:ext cx="2435160" cy="5721536"/>
        </a:xfrm>
        <a:custGeom>
          <a:avLst/>
          <a:gdLst/>
          <a:ahLst/>
          <a:cxnLst/>
          <a:rect l="0" t="0" r="0" b="0"/>
          <a:pathLst>
            <a:path w="2435160" h="5721536">
              <a:moveTo>
                <a:pt x="12694" y="0"/>
              </a:moveTo>
              <a:lnTo>
                <a:pt x="179318" y="5715001"/>
              </a:lnTo>
              <a:lnTo>
                <a:pt x="172971" y="5708835"/>
              </a:lnTo>
              <a:lnTo>
                <a:pt x="2435159" y="5708835"/>
              </a:lnTo>
              <a:lnTo>
                <a:pt x="2435159" y="5721535"/>
              </a:lnTo>
              <a:lnTo>
                <a:pt x="172971" y="5721535"/>
              </a:lnTo>
              <a:lnTo>
                <a:pt x="166624" y="5715369"/>
              </a:lnTo>
              <a:lnTo>
                <a:pt x="0" y="370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93</xdr:row>
      <xdr:rowOff>99250</xdr:rowOff>
    </xdr:from>
    <xdr:ext cx="676917" cy="182550"/>
    <xdr:sp macro="_xll.MC_OnBranchLabelClick" textlink="">
      <xdr:nvSpPr>
        <xdr:cNvPr id="218" name="MC_BN_C_seismic_D_marginal">
          <a:extLst>
            <a:ext uri="{FF2B5EF4-FFF2-40B4-BE49-F238E27FC236}">
              <a16:creationId xmlns:a16="http://schemas.microsoft.com/office/drawing/2014/main" id="{6F6F63FF-7534-594F-9E01-3AE6A0A8C359}"/>
            </a:ext>
          </a:extLst>
        </xdr:cNvPr>
        <xdr:cNvSpPr txBox="1"/>
      </xdr:nvSpPr>
      <xdr:spPr>
        <a:xfrm>
          <a:off x="5344160" y="17701450"/>
          <a:ext cx="67691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Marginal Find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84203</xdr:colOff>
      <xdr:row>63</xdr:row>
      <xdr:rowOff>190346</xdr:rowOff>
    </xdr:from>
    <xdr:to>
      <xdr:col>4</xdr:col>
      <xdr:colOff>47626</xdr:colOff>
      <xdr:row>100</xdr:row>
      <xdr:rowOff>6351</xdr:rowOff>
    </xdr:to>
    <xdr:sp macro="" textlink="">
      <xdr:nvSpPr>
        <xdr:cNvPr id="219" name="MC_BR_C_seismic_T_shows">
          <a:extLst>
            <a:ext uri="{FF2B5EF4-FFF2-40B4-BE49-F238E27FC236}">
              <a16:creationId xmlns:a16="http://schemas.microsoft.com/office/drawing/2014/main" id="{03C95EDD-E56A-4D63-173A-8D2A61F6EF36}"/>
            </a:ext>
          </a:extLst>
        </xdr:cNvPr>
        <xdr:cNvSpPr/>
      </xdr:nvSpPr>
      <xdr:spPr>
        <a:xfrm>
          <a:off x="5141978" y="12077546"/>
          <a:ext cx="2435161" cy="6864505"/>
        </a:xfrm>
        <a:custGeom>
          <a:avLst/>
          <a:gdLst/>
          <a:ahLst/>
          <a:cxnLst/>
          <a:rect l="0" t="0" r="0" b="0"/>
          <a:pathLst>
            <a:path w="2435161" h="6864505">
              <a:moveTo>
                <a:pt x="12696" y="0"/>
              </a:moveTo>
              <a:lnTo>
                <a:pt x="179320" y="6858001"/>
              </a:lnTo>
              <a:lnTo>
                <a:pt x="172972" y="6851804"/>
              </a:lnTo>
              <a:lnTo>
                <a:pt x="2435160" y="6851804"/>
              </a:lnTo>
              <a:lnTo>
                <a:pt x="2435160" y="6864504"/>
              </a:lnTo>
              <a:lnTo>
                <a:pt x="172972" y="6864504"/>
              </a:lnTo>
              <a:lnTo>
                <a:pt x="166624" y="6858307"/>
              </a:lnTo>
              <a:lnTo>
                <a:pt x="0" y="30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99</xdr:row>
      <xdr:rowOff>99250</xdr:rowOff>
    </xdr:from>
    <xdr:ext cx="1229760" cy="182550"/>
    <xdr:sp macro="_xll.MC_OnBranchLabelClick" textlink="">
      <xdr:nvSpPr>
        <xdr:cNvPr id="220" name="MC_BN_C_seismic_T_shows">
          <a:extLst>
            <a:ext uri="{FF2B5EF4-FFF2-40B4-BE49-F238E27FC236}">
              <a16:creationId xmlns:a16="http://schemas.microsoft.com/office/drawing/2014/main" id="{E1B9AB3A-0B8C-A0B3-48BB-70F92BB60866}"/>
            </a:ext>
          </a:extLst>
        </xdr:cNvPr>
        <xdr:cNvSpPr txBox="1"/>
      </xdr:nvSpPr>
      <xdr:spPr>
        <a:xfrm>
          <a:off x="5344160" y="18844450"/>
          <a:ext cx="122976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Shows (Non-Commercial)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84203</xdr:colOff>
      <xdr:row>63</xdr:row>
      <xdr:rowOff>190353</xdr:rowOff>
    </xdr:from>
    <xdr:to>
      <xdr:col>4</xdr:col>
      <xdr:colOff>47626</xdr:colOff>
      <xdr:row>102</xdr:row>
      <xdr:rowOff>6351</xdr:rowOff>
    </xdr:to>
    <xdr:sp macro="" textlink="">
      <xdr:nvSpPr>
        <xdr:cNvPr id="221" name="MC_BR_C_seismic_T_dry">
          <a:extLst>
            <a:ext uri="{FF2B5EF4-FFF2-40B4-BE49-F238E27FC236}">
              <a16:creationId xmlns:a16="http://schemas.microsoft.com/office/drawing/2014/main" id="{D6CD321D-ECF6-A2C8-78AC-9434A1939C7B}"/>
            </a:ext>
          </a:extLst>
        </xdr:cNvPr>
        <xdr:cNvSpPr/>
      </xdr:nvSpPr>
      <xdr:spPr>
        <a:xfrm>
          <a:off x="5141978" y="12077553"/>
          <a:ext cx="2435161" cy="7245498"/>
        </a:xfrm>
        <a:custGeom>
          <a:avLst/>
          <a:gdLst/>
          <a:ahLst/>
          <a:cxnLst/>
          <a:rect l="0" t="0" r="0" b="0"/>
          <a:pathLst>
            <a:path w="2435161" h="7245498">
              <a:moveTo>
                <a:pt x="12697" y="0"/>
              </a:moveTo>
              <a:lnTo>
                <a:pt x="179320" y="7239001"/>
              </a:lnTo>
              <a:lnTo>
                <a:pt x="172972" y="7232797"/>
              </a:lnTo>
              <a:lnTo>
                <a:pt x="2435160" y="7232797"/>
              </a:lnTo>
              <a:lnTo>
                <a:pt x="2435160" y="7245497"/>
              </a:lnTo>
              <a:lnTo>
                <a:pt x="172972" y="7245497"/>
              </a:lnTo>
              <a:lnTo>
                <a:pt x="166624" y="7239293"/>
              </a:lnTo>
              <a:lnTo>
                <a:pt x="0" y="2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101</xdr:row>
      <xdr:rowOff>99250</xdr:rowOff>
    </xdr:from>
    <xdr:ext cx="454420" cy="182550"/>
    <xdr:sp macro="_xll.MC_OnBranchLabelClick" textlink="">
      <xdr:nvSpPr>
        <xdr:cNvPr id="222" name="MC_BN_C_seismic_T_dry">
          <a:extLst>
            <a:ext uri="{FF2B5EF4-FFF2-40B4-BE49-F238E27FC236}">
              <a16:creationId xmlns:a16="http://schemas.microsoft.com/office/drawing/2014/main" id="{0187B872-5CB9-D810-A3B0-B802F1EE9B0C}"/>
            </a:ext>
          </a:extLst>
        </xdr:cNvPr>
        <xdr:cNvSpPr txBox="1"/>
      </xdr:nvSpPr>
      <xdr:spPr>
        <a:xfrm>
          <a:off x="5344160" y="19225450"/>
          <a:ext cx="45442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Dry Hole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84208</xdr:colOff>
      <xdr:row>33</xdr:row>
      <xdr:rowOff>184150</xdr:rowOff>
    </xdr:from>
    <xdr:to>
      <xdr:col>5</xdr:col>
      <xdr:colOff>47626</xdr:colOff>
      <xdr:row>52</xdr:row>
      <xdr:rowOff>310</xdr:rowOff>
    </xdr:to>
    <xdr:sp macro="" textlink="">
      <xdr:nvSpPr>
        <xdr:cNvPr id="223" name="MC_BR_D_appraise_major_C_dev_major">
          <a:extLst>
            <a:ext uri="{FF2B5EF4-FFF2-40B4-BE49-F238E27FC236}">
              <a16:creationId xmlns:a16="http://schemas.microsoft.com/office/drawing/2014/main" id="{B65AF611-C5FB-31EC-8246-C86124542563}"/>
            </a:ext>
          </a:extLst>
        </xdr:cNvPr>
        <xdr:cNvSpPr/>
      </xdr:nvSpPr>
      <xdr:spPr>
        <a:xfrm>
          <a:off x="7613721" y="6356350"/>
          <a:ext cx="2520880" cy="3435660"/>
        </a:xfrm>
        <a:custGeom>
          <a:avLst/>
          <a:gdLst/>
          <a:ahLst/>
          <a:cxnLst/>
          <a:rect l="0" t="0" r="0" b="0"/>
          <a:pathLst>
            <a:path w="2520880" h="3435660">
              <a:moveTo>
                <a:pt x="0" y="3435041"/>
              </a:moveTo>
              <a:lnTo>
                <a:pt x="166624" y="6042"/>
              </a:lnTo>
              <a:lnTo>
                <a:pt x="172967" y="0"/>
              </a:lnTo>
              <a:lnTo>
                <a:pt x="2520879" y="0"/>
              </a:lnTo>
              <a:lnTo>
                <a:pt x="2520879" y="12700"/>
              </a:lnTo>
              <a:lnTo>
                <a:pt x="172967" y="12700"/>
              </a:lnTo>
              <a:lnTo>
                <a:pt x="179309" y="6658"/>
              </a:lnTo>
              <a:lnTo>
                <a:pt x="12685" y="3435659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33</xdr:row>
      <xdr:rowOff>99251</xdr:rowOff>
    </xdr:from>
    <xdr:ext cx="1178656" cy="182550"/>
    <xdr:sp macro="_xll.MC_OnBranchLabelClick" textlink="">
      <xdr:nvSpPr>
        <xdr:cNvPr id="224" name="MC_BN_D_appraise_major_C_dev_major">
          <a:extLst>
            <a:ext uri="{FF2B5EF4-FFF2-40B4-BE49-F238E27FC236}">
              <a16:creationId xmlns:a16="http://schemas.microsoft.com/office/drawing/2014/main" id="{1B753D4E-84E0-F6A6-B66C-AC6734F61B9E}"/>
            </a:ext>
          </a:extLst>
        </xdr:cNvPr>
        <xdr:cNvSpPr txBox="1"/>
      </xdr:nvSpPr>
      <xdr:spPr>
        <a:xfrm>
          <a:off x="7815897" y="6271451"/>
          <a:ext cx="117865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Fast-Track Development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51</xdr:row>
      <xdr:rowOff>189143</xdr:rowOff>
    </xdr:from>
    <xdr:to>
      <xdr:col>5</xdr:col>
      <xdr:colOff>47626</xdr:colOff>
      <xdr:row>56</xdr:row>
      <xdr:rowOff>6351</xdr:rowOff>
    </xdr:to>
    <xdr:sp macro="" textlink="">
      <xdr:nvSpPr>
        <xdr:cNvPr id="225" name="MC_BR_D_appraise_major_C_appraisal_major">
          <a:extLst>
            <a:ext uri="{FF2B5EF4-FFF2-40B4-BE49-F238E27FC236}">
              <a16:creationId xmlns:a16="http://schemas.microsoft.com/office/drawing/2014/main" id="{DDB1D62A-CCDB-907B-E4EC-066C2A9E4C72}"/>
            </a:ext>
          </a:extLst>
        </xdr:cNvPr>
        <xdr:cNvSpPr/>
      </xdr:nvSpPr>
      <xdr:spPr>
        <a:xfrm>
          <a:off x="7613860" y="979034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55</xdr:row>
      <xdr:rowOff>99251</xdr:rowOff>
    </xdr:from>
    <xdr:ext cx="990271" cy="182550"/>
    <xdr:sp macro="_xll.MC_OnBranchLabelClick" textlink="">
      <xdr:nvSpPr>
        <xdr:cNvPr id="226" name="MC_BN_D_appraise_major_C_appraisal_major">
          <a:extLst>
            <a:ext uri="{FF2B5EF4-FFF2-40B4-BE49-F238E27FC236}">
              <a16:creationId xmlns:a16="http://schemas.microsoft.com/office/drawing/2014/main" id="{AEF8C342-AF95-8278-A549-80EDF3B305A3}"/>
            </a:ext>
          </a:extLst>
        </xdr:cNvPr>
        <xdr:cNvSpPr txBox="1"/>
      </xdr:nvSpPr>
      <xdr:spPr>
        <a:xfrm>
          <a:off x="7815897" y="10462451"/>
          <a:ext cx="99027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Appraisal Wells First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84225</xdr:colOff>
      <xdr:row>51</xdr:row>
      <xdr:rowOff>189947</xdr:rowOff>
    </xdr:from>
    <xdr:to>
      <xdr:col>5</xdr:col>
      <xdr:colOff>47626</xdr:colOff>
      <xdr:row>62</xdr:row>
      <xdr:rowOff>6351</xdr:rowOff>
    </xdr:to>
    <xdr:sp macro="" textlink="">
      <xdr:nvSpPr>
        <xdr:cNvPr id="227" name="MC_BR_D_appraise_major_T_sell_major">
          <a:extLst>
            <a:ext uri="{FF2B5EF4-FFF2-40B4-BE49-F238E27FC236}">
              <a16:creationId xmlns:a16="http://schemas.microsoft.com/office/drawing/2014/main" id="{E54D646A-D157-081D-154D-8311EA9EC271}"/>
            </a:ext>
          </a:extLst>
        </xdr:cNvPr>
        <xdr:cNvSpPr/>
      </xdr:nvSpPr>
      <xdr:spPr>
        <a:xfrm>
          <a:off x="7613738" y="9791147"/>
          <a:ext cx="2520863" cy="1911904"/>
        </a:xfrm>
        <a:custGeom>
          <a:avLst/>
          <a:gdLst/>
          <a:ahLst/>
          <a:cxnLst/>
          <a:rect l="0" t="0" r="0" b="0"/>
          <a:pathLst>
            <a:path w="2520863" h="1911904">
              <a:moveTo>
                <a:pt x="12652" y="0"/>
              </a:moveTo>
              <a:lnTo>
                <a:pt x="179275" y="1905000"/>
              </a:lnTo>
              <a:lnTo>
                <a:pt x="172950" y="1899203"/>
              </a:lnTo>
              <a:lnTo>
                <a:pt x="2520862" y="1899203"/>
              </a:lnTo>
              <a:lnTo>
                <a:pt x="2520862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61</xdr:row>
      <xdr:rowOff>99251</xdr:rowOff>
    </xdr:from>
    <xdr:ext cx="705258" cy="182550"/>
    <xdr:sp macro="_xll.MC_OnBranchLabelClick" textlink="">
      <xdr:nvSpPr>
        <xdr:cNvPr id="228" name="MC_BN_D_appraise_major_T_sell_major">
          <a:extLst>
            <a:ext uri="{FF2B5EF4-FFF2-40B4-BE49-F238E27FC236}">
              <a16:creationId xmlns:a16="http://schemas.microsoft.com/office/drawing/2014/main" id="{F86666FE-2CBD-86A2-11BB-11D80D5F746C}"/>
            </a:ext>
          </a:extLst>
        </xdr:cNvPr>
        <xdr:cNvSpPr txBox="1"/>
      </xdr:nvSpPr>
      <xdr:spPr>
        <a:xfrm>
          <a:off x="7815897" y="11605451"/>
          <a:ext cx="70525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Sell Discovery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84268</xdr:colOff>
      <xdr:row>27</xdr:row>
      <xdr:rowOff>184150</xdr:rowOff>
    </xdr:from>
    <xdr:to>
      <xdr:col>6</xdr:col>
      <xdr:colOff>47626</xdr:colOff>
      <xdr:row>34</xdr:row>
      <xdr:rowOff>917</xdr:rowOff>
    </xdr:to>
    <xdr:sp macro="" textlink="">
      <xdr:nvSpPr>
        <xdr:cNvPr id="229" name="MC_BR_C_dev_major_C_price_major_high">
          <a:extLst>
            <a:ext uri="{FF2B5EF4-FFF2-40B4-BE49-F238E27FC236}">
              <a16:creationId xmlns:a16="http://schemas.microsoft.com/office/drawing/2014/main" id="{36F35AE1-A861-8F1A-1E61-11B5E7553EB1}"/>
            </a:ext>
          </a:extLst>
        </xdr:cNvPr>
        <xdr:cNvSpPr/>
      </xdr:nvSpPr>
      <xdr:spPr>
        <a:xfrm>
          <a:off x="10171243" y="5213350"/>
          <a:ext cx="2863721" cy="1150267"/>
        </a:xfrm>
        <a:custGeom>
          <a:avLst/>
          <a:gdLst/>
          <a:ahLst/>
          <a:cxnLst/>
          <a:rect l="0" t="0" r="0" b="0"/>
          <a:pathLst>
            <a:path w="2863721" h="1150267">
              <a:moveTo>
                <a:pt x="0" y="1148434"/>
              </a:moveTo>
              <a:lnTo>
                <a:pt x="166624" y="5434"/>
              </a:lnTo>
              <a:lnTo>
                <a:pt x="172907" y="0"/>
              </a:lnTo>
              <a:lnTo>
                <a:pt x="2863720" y="0"/>
              </a:lnTo>
              <a:lnTo>
                <a:pt x="2863720" y="12700"/>
              </a:lnTo>
              <a:lnTo>
                <a:pt x="172907" y="12700"/>
              </a:lnTo>
              <a:lnTo>
                <a:pt x="179190" y="7266"/>
              </a:lnTo>
              <a:lnTo>
                <a:pt x="12566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27</xdr:row>
      <xdr:rowOff>99251</xdr:rowOff>
    </xdr:from>
    <xdr:ext cx="1335815" cy="182550"/>
    <xdr:sp macro="_xll.MC_OnBranchLabelClick" textlink="">
      <xdr:nvSpPr>
        <xdr:cNvPr id="230" name="MC_BN_C_dev_major_C_price_major_high">
          <a:extLst>
            <a:ext uri="{FF2B5EF4-FFF2-40B4-BE49-F238E27FC236}">
              <a16:creationId xmlns:a16="http://schemas.microsoft.com/office/drawing/2014/main" id="{B5DA5F3A-969F-4080-8392-41257683EE6B}"/>
            </a:ext>
          </a:extLst>
        </xdr:cNvPr>
        <xdr:cNvSpPr txBox="1"/>
      </xdr:nvSpPr>
      <xdr:spPr>
        <a:xfrm>
          <a:off x="10373360" y="5128451"/>
          <a:ext cx="133581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On Budget + High Reserves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33</xdr:row>
      <xdr:rowOff>189143</xdr:rowOff>
    </xdr:from>
    <xdr:to>
      <xdr:col>6</xdr:col>
      <xdr:colOff>47626</xdr:colOff>
      <xdr:row>38</xdr:row>
      <xdr:rowOff>6351</xdr:rowOff>
    </xdr:to>
    <xdr:sp macro="" textlink="">
      <xdr:nvSpPr>
        <xdr:cNvPr id="231" name="MC_BR_C_dev_major_C_price_major_med">
          <a:extLst>
            <a:ext uri="{FF2B5EF4-FFF2-40B4-BE49-F238E27FC236}">
              <a16:creationId xmlns:a16="http://schemas.microsoft.com/office/drawing/2014/main" id="{D984CF6C-A8C2-969F-D073-B5EE61ECBE32}"/>
            </a:ext>
          </a:extLst>
        </xdr:cNvPr>
        <xdr:cNvSpPr/>
      </xdr:nvSpPr>
      <xdr:spPr>
        <a:xfrm>
          <a:off x="10171323" y="6361343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863640" y="757007"/>
              </a:lnTo>
              <a:lnTo>
                <a:pt x="28636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37</xdr:row>
      <xdr:rowOff>99251</xdr:rowOff>
    </xdr:from>
    <xdr:ext cx="1461362" cy="182550"/>
    <xdr:sp macro="_xll.MC_OnBranchLabelClick" textlink="">
      <xdr:nvSpPr>
        <xdr:cNvPr id="232" name="MC_BN_C_dev_major_C_price_major_med">
          <a:extLst>
            <a:ext uri="{FF2B5EF4-FFF2-40B4-BE49-F238E27FC236}">
              <a16:creationId xmlns:a16="http://schemas.microsoft.com/office/drawing/2014/main" id="{D6E5FD44-2F25-C618-4258-E5EACEC89738}"/>
            </a:ext>
          </a:extLst>
        </xdr:cNvPr>
        <xdr:cNvSpPr txBox="1"/>
      </xdr:nvSpPr>
      <xdr:spPr>
        <a:xfrm>
          <a:off x="10373360" y="7033451"/>
          <a:ext cx="146136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Over Budget + Good Reserves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84218</xdr:colOff>
      <xdr:row>33</xdr:row>
      <xdr:rowOff>190038</xdr:rowOff>
    </xdr:from>
    <xdr:to>
      <xdr:col>6</xdr:col>
      <xdr:colOff>47626</xdr:colOff>
      <xdr:row>46</xdr:row>
      <xdr:rowOff>6351</xdr:rowOff>
    </xdr:to>
    <xdr:sp macro="" textlink="">
      <xdr:nvSpPr>
        <xdr:cNvPr id="233" name="MC_BR_C_dev_major_C_price_major_low">
          <a:extLst>
            <a:ext uri="{FF2B5EF4-FFF2-40B4-BE49-F238E27FC236}">
              <a16:creationId xmlns:a16="http://schemas.microsoft.com/office/drawing/2014/main" id="{8AE9B3D4-578B-80DD-F608-1BFE033677AB}"/>
            </a:ext>
          </a:extLst>
        </xdr:cNvPr>
        <xdr:cNvSpPr/>
      </xdr:nvSpPr>
      <xdr:spPr>
        <a:xfrm>
          <a:off x="10171193" y="6362238"/>
          <a:ext cx="2863771" cy="2292813"/>
        </a:xfrm>
        <a:custGeom>
          <a:avLst/>
          <a:gdLst/>
          <a:ahLst/>
          <a:cxnLst/>
          <a:rect l="0" t="0" r="0" b="0"/>
          <a:pathLst>
            <a:path w="2863771" h="2292813">
              <a:moveTo>
                <a:pt x="12666" y="0"/>
              </a:moveTo>
              <a:lnTo>
                <a:pt x="179290" y="2286000"/>
              </a:lnTo>
              <a:lnTo>
                <a:pt x="172957" y="2280112"/>
              </a:lnTo>
              <a:lnTo>
                <a:pt x="2863770" y="2280112"/>
              </a:lnTo>
              <a:lnTo>
                <a:pt x="2863770" y="2292812"/>
              </a:lnTo>
              <a:lnTo>
                <a:pt x="172957" y="2292812"/>
              </a:lnTo>
              <a:lnTo>
                <a:pt x="166624" y="2286924"/>
              </a:lnTo>
              <a:lnTo>
                <a:pt x="0" y="92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45</xdr:row>
      <xdr:rowOff>99251</xdr:rowOff>
    </xdr:from>
    <xdr:ext cx="950645" cy="182550"/>
    <xdr:sp macro="_xll.MC_OnBranchLabelClick" textlink="">
      <xdr:nvSpPr>
        <xdr:cNvPr id="234" name="MC_BN_C_dev_major_C_price_major_low">
          <a:extLst>
            <a:ext uri="{FF2B5EF4-FFF2-40B4-BE49-F238E27FC236}">
              <a16:creationId xmlns:a16="http://schemas.microsoft.com/office/drawing/2014/main" id="{8D49EA6A-E00E-1AC8-8F55-F1B309226D17}"/>
            </a:ext>
          </a:extLst>
        </xdr:cNvPr>
        <xdr:cNvSpPr txBox="1"/>
      </xdr:nvSpPr>
      <xdr:spPr>
        <a:xfrm>
          <a:off x="10373360" y="8557451"/>
          <a:ext cx="95064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Major Cost Overrun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84732</xdr:colOff>
      <xdr:row>25</xdr:row>
      <xdr:rowOff>184150</xdr:rowOff>
    </xdr:from>
    <xdr:to>
      <xdr:col>7</xdr:col>
      <xdr:colOff>47626</xdr:colOff>
      <xdr:row>28</xdr:row>
      <xdr:rowOff>2545</xdr:rowOff>
    </xdr:to>
    <xdr:sp macro="" textlink="">
      <xdr:nvSpPr>
        <xdr:cNvPr id="235" name="MC_BR_C_price_major_high_T_major_hh">
          <a:extLst>
            <a:ext uri="{FF2B5EF4-FFF2-40B4-BE49-F238E27FC236}">
              <a16:creationId xmlns:a16="http://schemas.microsoft.com/office/drawing/2014/main" id="{194B8A79-549B-5C94-CC0D-33109AD4DF91}"/>
            </a:ext>
          </a:extLst>
        </xdr:cNvPr>
        <xdr:cNvSpPr/>
      </xdr:nvSpPr>
      <xdr:spPr>
        <a:xfrm>
          <a:off x="13072070" y="4832350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434630" y="0"/>
              </a:lnTo>
              <a:lnTo>
                <a:pt x="243463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25</xdr:row>
      <xdr:rowOff>99251</xdr:rowOff>
    </xdr:from>
    <xdr:ext cx="682495" cy="182550"/>
    <xdr:sp macro="_xll.MC_OnBranchLabelClick" textlink="">
      <xdr:nvSpPr>
        <xdr:cNvPr id="236" name="MC_BN_C_price_major_high_T_major_hh">
          <a:extLst>
            <a:ext uri="{FF2B5EF4-FFF2-40B4-BE49-F238E27FC236}">
              <a16:creationId xmlns:a16="http://schemas.microsoft.com/office/drawing/2014/main" id="{C151FB08-B6AD-0A4A-3AE0-70102F364B2B}"/>
            </a:ext>
          </a:extLst>
        </xdr:cNvPr>
        <xdr:cNvSpPr txBox="1"/>
      </xdr:nvSpPr>
      <xdr:spPr>
        <a:xfrm>
          <a:off x="13273723" y="4747451"/>
          <a:ext cx="68249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Oil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84732</xdr:colOff>
      <xdr:row>27</xdr:row>
      <xdr:rowOff>187956</xdr:rowOff>
    </xdr:from>
    <xdr:to>
      <xdr:col>7</xdr:col>
      <xdr:colOff>47626</xdr:colOff>
      <xdr:row>30</xdr:row>
      <xdr:rowOff>6351</xdr:rowOff>
    </xdr:to>
    <xdr:sp macro="" textlink="">
      <xdr:nvSpPr>
        <xdr:cNvPr id="237" name="MC_BR_C_price_major_high_T_major_hm">
          <a:extLst>
            <a:ext uri="{FF2B5EF4-FFF2-40B4-BE49-F238E27FC236}">
              <a16:creationId xmlns:a16="http://schemas.microsoft.com/office/drawing/2014/main" id="{6DDA8AFF-32E0-4340-2902-46C35F0D48A2}"/>
            </a:ext>
          </a:extLst>
        </xdr:cNvPr>
        <xdr:cNvSpPr/>
      </xdr:nvSpPr>
      <xdr:spPr>
        <a:xfrm>
          <a:off x="13072070" y="5217156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434630" y="377194"/>
              </a:lnTo>
              <a:lnTo>
                <a:pt x="243463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29</xdr:row>
      <xdr:rowOff>99251</xdr:rowOff>
    </xdr:from>
    <xdr:ext cx="636841" cy="182550"/>
    <xdr:sp macro="_xll.MC_OnBranchLabelClick" textlink="">
      <xdr:nvSpPr>
        <xdr:cNvPr id="238" name="MC_BN_C_price_major_high_T_major_hm">
          <a:extLst>
            <a:ext uri="{FF2B5EF4-FFF2-40B4-BE49-F238E27FC236}">
              <a16:creationId xmlns:a16="http://schemas.microsoft.com/office/drawing/2014/main" id="{D64E1143-DAF0-2717-4F88-916E64448D9D}"/>
            </a:ext>
          </a:extLst>
        </xdr:cNvPr>
        <xdr:cNvSpPr txBox="1"/>
      </xdr:nvSpPr>
      <xdr:spPr>
        <a:xfrm>
          <a:off x="13273723" y="5509451"/>
          <a:ext cx="63684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Mid Oil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84348</xdr:colOff>
      <xdr:row>27</xdr:row>
      <xdr:rowOff>189143</xdr:rowOff>
    </xdr:from>
    <xdr:to>
      <xdr:col>7</xdr:col>
      <xdr:colOff>47626</xdr:colOff>
      <xdr:row>32</xdr:row>
      <xdr:rowOff>6351</xdr:rowOff>
    </xdr:to>
    <xdr:sp macro="" textlink="">
      <xdr:nvSpPr>
        <xdr:cNvPr id="239" name="MC_BR_C_price_major_high_T_major_hl">
          <a:extLst>
            <a:ext uri="{FF2B5EF4-FFF2-40B4-BE49-F238E27FC236}">
              <a16:creationId xmlns:a16="http://schemas.microsoft.com/office/drawing/2014/main" id="{DAED4B61-00F8-1C85-F931-426D9C852F2C}"/>
            </a:ext>
          </a:extLst>
        </xdr:cNvPr>
        <xdr:cNvSpPr/>
      </xdr:nvSpPr>
      <xdr:spPr>
        <a:xfrm>
          <a:off x="13071686" y="5218343"/>
          <a:ext cx="2435015" cy="769708"/>
        </a:xfrm>
        <a:custGeom>
          <a:avLst/>
          <a:gdLst/>
          <a:ahLst/>
          <a:cxnLst/>
          <a:rect l="0" t="0" r="0" b="0"/>
          <a:pathLst>
            <a:path w="2435015" h="769708">
              <a:moveTo>
                <a:pt x="12405" y="0"/>
              </a:moveTo>
              <a:lnTo>
                <a:pt x="179029" y="762000"/>
              </a:lnTo>
              <a:lnTo>
                <a:pt x="172827" y="757007"/>
              </a:lnTo>
              <a:lnTo>
                <a:pt x="2435014" y="757007"/>
              </a:lnTo>
              <a:lnTo>
                <a:pt x="2435014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31</xdr:row>
      <xdr:rowOff>99251</xdr:rowOff>
    </xdr:from>
    <xdr:ext cx="659732" cy="182550"/>
    <xdr:sp macro="_xll.MC_OnBranchLabelClick" textlink="">
      <xdr:nvSpPr>
        <xdr:cNvPr id="240" name="MC_BN_C_price_major_high_T_major_hl">
          <a:extLst>
            <a:ext uri="{FF2B5EF4-FFF2-40B4-BE49-F238E27FC236}">
              <a16:creationId xmlns:a16="http://schemas.microsoft.com/office/drawing/2014/main" id="{0E49180B-07A6-9688-07C8-7F5B2AE43834}"/>
            </a:ext>
          </a:extLst>
        </xdr:cNvPr>
        <xdr:cNvSpPr txBox="1"/>
      </xdr:nvSpPr>
      <xdr:spPr>
        <a:xfrm>
          <a:off x="13273723" y="5890451"/>
          <a:ext cx="65973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 Oil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84732</xdr:colOff>
      <xdr:row>35</xdr:row>
      <xdr:rowOff>184150</xdr:rowOff>
    </xdr:from>
    <xdr:to>
      <xdr:col>7</xdr:col>
      <xdr:colOff>47626</xdr:colOff>
      <xdr:row>38</xdr:row>
      <xdr:rowOff>2545</xdr:rowOff>
    </xdr:to>
    <xdr:sp macro="" textlink="">
      <xdr:nvSpPr>
        <xdr:cNvPr id="241" name="MC_BR_C_price_major_med_T_major_mh">
          <a:extLst>
            <a:ext uri="{FF2B5EF4-FFF2-40B4-BE49-F238E27FC236}">
              <a16:creationId xmlns:a16="http://schemas.microsoft.com/office/drawing/2014/main" id="{E3AF52D1-406D-83A1-F93A-DA7C9357F67C}"/>
            </a:ext>
          </a:extLst>
        </xdr:cNvPr>
        <xdr:cNvSpPr/>
      </xdr:nvSpPr>
      <xdr:spPr>
        <a:xfrm>
          <a:off x="13072070" y="6737350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434630" y="0"/>
              </a:lnTo>
              <a:lnTo>
                <a:pt x="243463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35</xdr:row>
      <xdr:rowOff>99251</xdr:rowOff>
    </xdr:from>
    <xdr:ext cx="682495" cy="182550"/>
    <xdr:sp macro="_xll.MC_OnBranchLabelClick" textlink="">
      <xdr:nvSpPr>
        <xdr:cNvPr id="242" name="MC_BN_C_price_major_med_T_major_mh">
          <a:extLst>
            <a:ext uri="{FF2B5EF4-FFF2-40B4-BE49-F238E27FC236}">
              <a16:creationId xmlns:a16="http://schemas.microsoft.com/office/drawing/2014/main" id="{6C3CBD2C-32B2-1D8F-655D-A23BF8956825}"/>
            </a:ext>
          </a:extLst>
        </xdr:cNvPr>
        <xdr:cNvSpPr txBox="1"/>
      </xdr:nvSpPr>
      <xdr:spPr>
        <a:xfrm>
          <a:off x="13273723" y="6652451"/>
          <a:ext cx="68249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Oil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84732</xdr:colOff>
      <xdr:row>37</xdr:row>
      <xdr:rowOff>187956</xdr:rowOff>
    </xdr:from>
    <xdr:to>
      <xdr:col>7</xdr:col>
      <xdr:colOff>47626</xdr:colOff>
      <xdr:row>40</xdr:row>
      <xdr:rowOff>6351</xdr:rowOff>
    </xdr:to>
    <xdr:sp macro="" textlink="">
      <xdr:nvSpPr>
        <xdr:cNvPr id="243" name="MC_BR_C_price_major_med_T_major_mm">
          <a:extLst>
            <a:ext uri="{FF2B5EF4-FFF2-40B4-BE49-F238E27FC236}">
              <a16:creationId xmlns:a16="http://schemas.microsoft.com/office/drawing/2014/main" id="{21C29283-F623-7303-FC0B-AEE2CD13CA5B}"/>
            </a:ext>
          </a:extLst>
        </xdr:cNvPr>
        <xdr:cNvSpPr/>
      </xdr:nvSpPr>
      <xdr:spPr>
        <a:xfrm>
          <a:off x="13072070" y="7122156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434630" y="377194"/>
              </a:lnTo>
              <a:lnTo>
                <a:pt x="243463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39</xdr:row>
      <xdr:rowOff>99251</xdr:rowOff>
    </xdr:from>
    <xdr:ext cx="636841" cy="182550"/>
    <xdr:sp macro="_xll.MC_OnBranchLabelClick" textlink="">
      <xdr:nvSpPr>
        <xdr:cNvPr id="244" name="MC_BN_C_price_major_med_T_major_mm">
          <a:extLst>
            <a:ext uri="{FF2B5EF4-FFF2-40B4-BE49-F238E27FC236}">
              <a16:creationId xmlns:a16="http://schemas.microsoft.com/office/drawing/2014/main" id="{B8A3CA7D-0567-1461-BF39-38CEBA45EECE}"/>
            </a:ext>
          </a:extLst>
        </xdr:cNvPr>
        <xdr:cNvSpPr txBox="1"/>
      </xdr:nvSpPr>
      <xdr:spPr>
        <a:xfrm>
          <a:off x="13273723" y="7414451"/>
          <a:ext cx="63684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Mid Oil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84348</xdr:colOff>
      <xdr:row>37</xdr:row>
      <xdr:rowOff>189143</xdr:rowOff>
    </xdr:from>
    <xdr:to>
      <xdr:col>7</xdr:col>
      <xdr:colOff>47626</xdr:colOff>
      <xdr:row>42</xdr:row>
      <xdr:rowOff>6351</xdr:rowOff>
    </xdr:to>
    <xdr:sp macro="" textlink="">
      <xdr:nvSpPr>
        <xdr:cNvPr id="245" name="MC_BR_C_price_major_med_T_major_ml">
          <a:extLst>
            <a:ext uri="{FF2B5EF4-FFF2-40B4-BE49-F238E27FC236}">
              <a16:creationId xmlns:a16="http://schemas.microsoft.com/office/drawing/2014/main" id="{680543F6-DE38-D5F9-47E5-3BF839AE903D}"/>
            </a:ext>
          </a:extLst>
        </xdr:cNvPr>
        <xdr:cNvSpPr/>
      </xdr:nvSpPr>
      <xdr:spPr>
        <a:xfrm>
          <a:off x="13071686" y="7123343"/>
          <a:ext cx="2435015" cy="769708"/>
        </a:xfrm>
        <a:custGeom>
          <a:avLst/>
          <a:gdLst/>
          <a:ahLst/>
          <a:cxnLst/>
          <a:rect l="0" t="0" r="0" b="0"/>
          <a:pathLst>
            <a:path w="2435015" h="769708">
              <a:moveTo>
                <a:pt x="12405" y="0"/>
              </a:moveTo>
              <a:lnTo>
                <a:pt x="179029" y="762000"/>
              </a:lnTo>
              <a:lnTo>
                <a:pt x="172827" y="757007"/>
              </a:lnTo>
              <a:lnTo>
                <a:pt x="2435014" y="757007"/>
              </a:lnTo>
              <a:lnTo>
                <a:pt x="2435014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41</xdr:row>
      <xdr:rowOff>99251</xdr:rowOff>
    </xdr:from>
    <xdr:ext cx="659732" cy="182550"/>
    <xdr:sp macro="_xll.MC_OnBranchLabelClick" textlink="">
      <xdr:nvSpPr>
        <xdr:cNvPr id="246" name="MC_BN_C_price_major_med_T_major_ml">
          <a:extLst>
            <a:ext uri="{FF2B5EF4-FFF2-40B4-BE49-F238E27FC236}">
              <a16:creationId xmlns:a16="http://schemas.microsoft.com/office/drawing/2014/main" id="{45601534-46CA-281D-2487-5D49AA3B4ACE}"/>
            </a:ext>
          </a:extLst>
        </xdr:cNvPr>
        <xdr:cNvSpPr txBox="1"/>
      </xdr:nvSpPr>
      <xdr:spPr>
        <a:xfrm>
          <a:off x="13273723" y="7795451"/>
          <a:ext cx="65973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 Oil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84732</xdr:colOff>
      <xdr:row>43</xdr:row>
      <xdr:rowOff>184150</xdr:rowOff>
    </xdr:from>
    <xdr:to>
      <xdr:col>7</xdr:col>
      <xdr:colOff>47626</xdr:colOff>
      <xdr:row>46</xdr:row>
      <xdr:rowOff>2545</xdr:rowOff>
    </xdr:to>
    <xdr:sp macro="" textlink="">
      <xdr:nvSpPr>
        <xdr:cNvPr id="247" name="MC_BR_C_price_major_low_T_major_lh">
          <a:extLst>
            <a:ext uri="{FF2B5EF4-FFF2-40B4-BE49-F238E27FC236}">
              <a16:creationId xmlns:a16="http://schemas.microsoft.com/office/drawing/2014/main" id="{D652962D-AD52-94F0-7569-8821712A4A8D}"/>
            </a:ext>
          </a:extLst>
        </xdr:cNvPr>
        <xdr:cNvSpPr/>
      </xdr:nvSpPr>
      <xdr:spPr>
        <a:xfrm>
          <a:off x="13072070" y="8261350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434630" y="0"/>
              </a:lnTo>
              <a:lnTo>
                <a:pt x="243463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43</xdr:row>
      <xdr:rowOff>99251</xdr:rowOff>
    </xdr:from>
    <xdr:ext cx="682495" cy="182550"/>
    <xdr:sp macro="_xll.MC_OnBranchLabelClick" textlink="">
      <xdr:nvSpPr>
        <xdr:cNvPr id="248" name="MC_BN_C_price_major_low_T_major_lh">
          <a:extLst>
            <a:ext uri="{FF2B5EF4-FFF2-40B4-BE49-F238E27FC236}">
              <a16:creationId xmlns:a16="http://schemas.microsoft.com/office/drawing/2014/main" id="{06C6EE7D-8DB3-9A54-D113-CA742E81B995}"/>
            </a:ext>
          </a:extLst>
        </xdr:cNvPr>
        <xdr:cNvSpPr txBox="1"/>
      </xdr:nvSpPr>
      <xdr:spPr>
        <a:xfrm>
          <a:off x="13273723" y="8176451"/>
          <a:ext cx="68249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Oil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84732</xdr:colOff>
      <xdr:row>45</xdr:row>
      <xdr:rowOff>187956</xdr:rowOff>
    </xdr:from>
    <xdr:to>
      <xdr:col>7</xdr:col>
      <xdr:colOff>47626</xdr:colOff>
      <xdr:row>48</xdr:row>
      <xdr:rowOff>6351</xdr:rowOff>
    </xdr:to>
    <xdr:sp macro="" textlink="">
      <xdr:nvSpPr>
        <xdr:cNvPr id="249" name="MC_BR_C_price_major_low_T_major_lm">
          <a:extLst>
            <a:ext uri="{FF2B5EF4-FFF2-40B4-BE49-F238E27FC236}">
              <a16:creationId xmlns:a16="http://schemas.microsoft.com/office/drawing/2014/main" id="{2A2B80B6-BCBE-379C-F280-42CA2874B1A1}"/>
            </a:ext>
          </a:extLst>
        </xdr:cNvPr>
        <xdr:cNvSpPr/>
      </xdr:nvSpPr>
      <xdr:spPr>
        <a:xfrm>
          <a:off x="13072070" y="8646156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434630" y="377194"/>
              </a:lnTo>
              <a:lnTo>
                <a:pt x="243463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47</xdr:row>
      <xdr:rowOff>99251</xdr:rowOff>
    </xdr:from>
    <xdr:ext cx="636841" cy="182550"/>
    <xdr:sp macro="_xll.MC_OnBranchLabelClick" textlink="">
      <xdr:nvSpPr>
        <xdr:cNvPr id="250" name="MC_BN_C_price_major_low_T_major_lm">
          <a:extLst>
            <a:ext uri="{FF2B5EF4-FFF2-40B4-BE49-F238E27FC236}">
              <a16:creationId xmlns:a16="http://schemas.microsoft.com/office/drawing/2014/main" id="{5FA30E24-FF86-E8E7-3380-47408E00EC69}"/>
            </a:ext>
          </a:extLst>
        </xdr:cNvPr>
        <xdr:cNvSpPr txBox="1"/>
      </xdr:nvSpPr>
      <xdr:spPr>
        <a:xfrm>
          <a:off x="13273723" y="8938451"/>
          <a:ext cx="63684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Mid Oil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84348</xdr:colOff>
      <xdr:row>45</xdr:row>
      <xdr:rowOff>189143</xdr:rowOff>
    </xdr:from>
    <xdr:to>
      <xdr:col>7</xdr:col>
      <xdr:colOff>47626</xdr:colOff>
      <xdr:row>50</xdr:row>
      <xdr:rowOff>6351</xdr:rowOff>
    </xdr:to>
    <xdr:sp macro="" textlink="">
      <xdr:nvSpPr>
        <xdr:cNvPr id="251" name="MC_BR_C_price_major_low_T_major_ll">
          <a:extLst>
            <a:ext uri="{FF2B5EF4-FFF2-40B4-BE49-F238E27FC236}">
              <a16:creationId xmlns:a16="http://schemas.microsoft.com/office/drawing/2014/main" id="{332AEF3E-CE33-0889-C181-3D053E2AB308}"/>
            </a:ext>
          </a:extLst>
        </xdr:cNvPr>
        <xdr:cNvSpPr/>
      </xdr:nvSpPr>
      <xdr:spPr>
        <a:xfrm>
          <a:off x="13071686" y="8647343"/>
          <a:ext cx="2435015" cy="769708"/>
        </a:xfrm>
        <a:custGeom>
          <a:avLst/>
          <a:gdLst/>
          <a:ahLst/>
          <a:cxnLst/>
          <a:rect l="0" t="0" r="0" b="0"/>
          <a:pathLst>
            <a:path w="2435015" h="769708">
              <a:moveTo>
                <a:pt x="12405" y="0"/>
              </a:moveTo>
              <a:lnTo>
                <a:pt x="179029" y="762000"/>
              </a:lnTo>
              <a:lnTo>
                <a:pt x="172827" y="757007"/>
              </a:lnTo>
              <a:lnTo>
                <a:pt x="2435014" y="757007"/>
              </a:lnTo>
              <a:lnTo>
                <a:pt x="2435014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49</xdr:row>
      <xdr:rowOff>99251</xdr:rowOff>
    </xdr:from>
    <xdr:ext cx="659732" cy="182550"/>
    <xdr:sp macro="_xll.MC_OnBranchLabelClick" textlink="">
      <xdr:nvSpPr>
        <xdr:cNvPr id="252" name="MC_BN_C_price_major_low_T_major_ll">
          <a:extLst>
            <a:ext uri="{FF2B5EF4-FFF2-40B4-BE49-F238E27FC236}">
              <a16:creationId xmlns:a16="http://schemas.microsoft.com/office/drawing/2014/main" id="{14647386-F18C-C262-786A-782F736D5B59}"/>
            </a:ext>
          </a:extLst>
        </xdr:cNvPr>
        <xdr:cNvSpPr txBox="1"/>
      </xdr:nvSpPr>
      <xdr:spPr>
        <a:xfrm>
          <a:off x="13273723" y="9319451"/>
          <a:ext cx="65973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 Oil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53</xdr:row>
      <xdr:rowOff>184150</xdr:rowOff>
    </xdr:from>
    <xdr:to>
      <xdr:col>6</xdr:col>
      <xdr:colOff>47626</xdr:colOff>
      <xdr:row>56</xdr:row>
      <xdr:rowOff>2545</xdr:rowOff>
    </xdr:to>
    <xdr:sp macro="" textlink="">
      <xdr:nvSpPr>
        <xdr:cNvPr id="253" name="MC_BR_C_appraisal_major_T_appr_confirmed">
          <a:extLst>
            <a:ext uri="{FF2B5EF4-FFF2-40B4-BE49-F238E27FC236}">
              <a16:creationId xmlns:a16="http://schemas.microsoft.com/office/drawing/2014/main" id="{98C8C1EA-F206-41B6-A6FC-A6285B1233DF}"/>
            </a:ext>
          </a:extLst>
        </xdr:cNvPr>
        <xdr:cNvSpPr/>
      </xdr:nvSpPr>
      <xdr:spPr>
        <a:xfrm>
          <a:off x="10171708" y="10166350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863255" y="0"/>
              </a:lnTo>
              <a:lnTo>
                <a:pt x="286325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53</xdr:row>
      <xdr:rowOff>99251</xdr:rowOff>
    </xdr:from>
    <xdr:ext cx="1007648" cy="182550"/>
    <xdr:sp macro="_xll.MC_OnBranchLabelClick" textlink="">
      <xdr:nvSpPr>
        <xdr:cNvPr id="254" name="MC_BN_C_appraisal_major_T_appr_confirmed">
          <a:extLst>
            <a:ext uri="{FF2B5EF4-FFF2-40B4-BE49-F238E27FC236}">
              <a16:creationId xmlns:a16="http://schemas.microsoft.com/office/drawing/2014/main" id="{33581952-1D47-FCA8-8758-5B6E58670449}"/>
            </a:ext>
          </a:extLst>
        </xdr:cNvPr>
        <xdr:cNvSpPr txBox="1"/>
      </xdr:nvSpPr>
      <xdr:spPr>
        <a:xfrm>
          <a:off x="10373360" y="10081451"/>
          <a:ext cx="100764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Confirms Large Field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55</xdr:row>
      <xdr:rowOff>187956</xdr:rowOff>
    </xdr:from>
    <xdr:to>
      <xdr:col>6</xdr:col>
      <xdr:colOff>47626</xdr:colOff>
      <xdr:row>58</xdr:row>
      <xdr:rowOff>6351</xdr:rowOff>
    </xdr:to>
    <xdr:sp macro="" textlink="">
      <xdr:nvSpPr>
        <xdr:cNvPr id="255" name="MC_BR_C_appraisal_major_T_appr_smaller">
          <a:extLst>
            <a:ext uri="{FF2B5EF4-FFF2-40B4-BE49-F238E27FC236}">
              <a16:creationId xmlns:a16="http://schemas.microsoft.com/office/drawing/2014/main" id="{6BE9C81E-716A-E515-FFF6-02B12F1BC252}"/>
            </a:ext>
          </a:extLst>
        </xdr:cNvPr>
        <xdr:cNvSpPr/>
      </xdr:nvSpPr>
      <xdr:spPr>
        <a:xfrm>
          <a:off x="10171708" y="10551156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863255" y="377194"/>
              </a:lnTo>
              <a:lnTo>
                <a:pt x="28632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57</xdr:row>
      <xdr:rowOff>99251</xdr:rowOff>
    </xdr:from>
    <xdr:ext cx="1121846" cy="182550"/>
    <xdr:sp macro="_xll.MC_OnBranchLabelClick" textlink="">
      <xdr:nvSpPr>
        <xdr:cNvPr id="256" name="MC_BN_C_appraisal_major_T_appr_smaller">
          <a:extLst>
            <a:ext uri="{FF2B5EF4-FFF2-40B4-BE49-F238E27FC236}">
              <a16:creationId xmlns:a16="http://schemas.microsoft.com/office/drawing/2014/main" id="{DF25CBB5-0369-284B-414E-026F58CF643D}"/>
            </a:ext>
          </a:extLst>
        </xdr:cNvPr>
        <xdr:cNvSpPr txBox="1"/>
      </xdr:nvSpPr>
      <xdr:spPr>
        <a:xfrm>
          <a:off x="10373360" y="10843451"/>
          <a:ext cx="112184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Smaller Than Expected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55</xdr:row>
      <xdr:rowOff>189143</xdr:rowOff>
    </xdr:from>
    <xdr:to>
      <xdr:col>6</xdr:col>
      <xdr:colOff>47626</xdr:colOff>
      <xdr:row>60</xdr:row>
      <xdr:rowOff>6351</xdr:rowOff>
    </xdr:to>
    <xdr:sp macro="" textlink="">
      <xdr:nvSpPr>
        <xdr:cNvPr id="257" name="MC_BR_C_appraisal_major_T_appr_uneconomic">
          <a:extLst>
            <a:ext uri="{FF2B5EF4-FFF2-40B4-BE49-F238E27FC236}">
              <a16:creationId xmlns:a16="http://schemas.microsoft.com/office/drawing/2014/main" id="{F4DF08D3-14ED-A215-B2C2-0680A6B577DB}"/>
            </a:ext>
          </a:extLst>
        </xdr:cNvPr>
        <xdr:cNvSpPr/>
      </xdr:nvSpPr>
      <xdr:spPr>
        <a:xfrm>
          <a:off x="10171323" y="10552343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863640" y="757007"/>
              </a:lnTo>
              <a:lnTo>
                <a:pt x="28636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59</xdr:row>
      <xdr:rowOff>99251</xdr:rowOff>
    </xdr:from>
    <xdr:ext cx="1372683" cy="182550"/>
    <xdr:sp macro="_xll.MC_OnBranchLabelClick" textlink="">
      <xdr:nvSpPr>
        <xdr:cNvPr id="258" name="MC_BN_C_appraisal_major_T_appr_uneconomic">
          <a:extLst>
            <a:ext uri="{FF2B5EF4-FFF2-40B4-BE49-F238E27FC236}">
              <a16:creationId xmlns:a16="http://schemas.microsoft.com/office/drawing/2014/main" id="{607CC982-9FD8-C94B-79BD-6EFAB08299C4}"/>
            </a:ext>
          </a:extLst>
        </xdr:cNvPr>
        <xdr:cNvSpPr txBox="1"/>
      </xdr:nvSpPr>
      <xdr:spPr>
        <a:xfrm>
          <a:off x="10373360" y="11224451"/>
          <a:ext cx="137268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Uneconomic at Current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84267</xdr:colOff>
      <xdr:row>67</xdr:row>
      <xdr:rowOff>184150</xdr:rowOff>
    </xdr:from>
    <xdr:to>
      <xdr:col>5</xdr:col>
      <xdr:colOff>47626</xdr:colOff>
      <xdr:row>74</xdr:row>
      <xdr:rowOff>917</xdr:rowOff>
    </xdr:to>
    <xdr:sp macro="" textlink="">
      <xdr:nvSpPr>
        <xdr:cNvPr id="259" name="MC_BR_D_appraise_sig_C_price_sig">
          <a:extLst>
            <a:ext uri="{FF2B5EF4-FFF2-40B4-BE49-F238E27FC236}">
              <a16:creationId xmlns:a16="http://schemas.microsoft.com/office/drawing/2014/main" id="{17E2A294-77C6-B3E6-CE95-0F676E709770}"/>
            </a:ext>
          </a:extLst>
        </xdr:cNvPr>
        <xdr:cNvSpPr/>
      </xdr:nvSpPr>
      <xdr:spPr>
        <a:xfrm>
          <a:off x="7613780" y="12833350"/>
          <a:ext cx="2520821" cy="1150267"/>
        </a:xfrm>
        <a:custGeom>
          <a:avLst/>
          <a:gdLst/>
          <a:ahLst/>
          <a:cxnLst/>
          <a:rect l="0" t="0" r="0" b="0"/>
          <a:pathLst>
            <a:path w="2520821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520820" y="0"/>
              </a:lnTo>
              <a:lnTo>
                <a:pt x="2520820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67</xdr:row>
      <xdr:rowOff>99251</xdr:rowOff>
    </xdr:from>
    <xdr:ext cx="807978" cy="182550"/>
    <xdr:sp macro="_xll.MC_OnBranchLabelClick" textlink="">
      <xdr:nvSpPr>
        <xdr:cNvPr id="260" name="MC_BN_D_appraise_sig_C_price_sig">
          <a:extLst>
            <a:ext uri="{FF2B5EF4-FFF2-40B4-BE49-F238E27FC236}">
              <a16:creationId xmlns:a16="http://schemas.microsoft.com/office/drawing/2014/main" id="{DE71624E-EE40-BACE-9544-92C16537721D}"/>
            </a:ext>
          </a:extLst>
        </xdr:cNvPr>
        <xdr:cNvSpPr txBox="1"/>
      </xdr:nvSpPr>
      <xdr:spPr>
        <a:xfrm>
          <a:off x="7815897" y="12748451"/>
          <a:ext cx="80797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Develop (FPSO)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73</xdr:row>
      <xdr:rowOff>189143</xdr:rowOff>
    </xdr:from>
    <xdr:to>
      <xdr:col>5</xdr:col>
      <xdr:colOff>47626</xdr:colOff>
      <xdr:row>78</xdr:row>
      <xdr:rowOff>6351</xdr:rowOff>
    </xdr:to>
    <xdr:sp macro="" textlink="">
      <xdr:nvSpPr>
        <xdr:cNvPr id="261" name="MC_BR_D_appraise_sig_C_appr_sig">
          <a:extLst>
            <a:ext uri="{FF2B5EF4-FFF2-40B4-BE49-F238E27FC236}">
              <a16:creationId xmlns:a16="http://schemas.microsoft.com/office/drawing/2014/main" id="{C1ECAA5E-4E92-1A78-84FE-643BF0A3CCC0}"/>
            </a:ext>
          </a:extLst>
        </xdr:cNvPr>
        <xdr:cNvSpPr/>
      </xdr:nvSpPr>
      <xdr:spPr>
        <a:xfrm>
          <a:off x="7613860" y="1398134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77</xdr:row>
      <xdr:rowOff>99250</xdr:rowOff>
    </xdr:from>
    <xdr:ext cx="711028" cy="182550"/>
    <xdr:sp macro="_xll.MC_OnBranchLabelClick" textlink="">
      <xdr:nvSpPr>
        <xdr:cNvPr id="262" name="MC_BN_D_appraise_sig_C_appr_sig">
          <a:extLst>
            <a:ext uri="{FF2B5EF4-FFF2-40B4-BE49-F238E27FC236}">
              <a16:creationId xmlns:a16="http://schemas.microsoft.com/office/drawing/2014/main" id="{425DB2A2-9492-BE7D-C99D-F9FC138851A5}"/>
            </a:ext>
          </a:extLst>
        </xdr:cNvPr>
        <xdr:cNvSpPr txBox="1"/>
      </xdr:nvSpPr>
      <xdr:spPr>
        <a:xfrm>
          <a:off x="7815897" y="14653450"/>
          <a:ext cx="71102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Appraisal Well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84225</xdr:colOff>
      <xdr:row>73</xdr:row>
      <xdr:rowOff>189947</xdr:rowOff>
    </xdr:from>
    <xdr:to>
      <xdr:col>5</xdr:col>
      <xdr:colOff>47626</xdr:colOff>
      <xdr:row>84</xdr:row>
      <xdr:rowOff>6351</xdr:rowOff>
    </xdr:to>
    <xdr:sp macro="" textlink="">
      <xdr:nvSpPr>
        <xdr:cNvPr id="263" name="MC_BR_D_appraise_sig_T_sell_sig">
          <a:extLst>
            <a:ext uri="{FF2B5EF4-FFF2-40B4-BE49-F238E27FC236}">
              <a16:creationId xmlns:a16="http://schemas.microsoft.com/office/drawing/2014/main" id="{449FA2A2-6AC3-AAF3-56EC-46BD76A49E20}"/>
            </a:ext>
          </a:extLst>
        </xdr:cNvPr>
        <xdr:cNvSpPr/>
      </xdr:nvSpPr>
      <xdr:spPr>
        <a:xfrm>
          <a:off x="7613738" y="13982147"/>
          <a:ext cx="2520863" cy="1911904"/>
        </a:xfrm>
        <a:custGeom>
          <a:avLst/>
          <a:gdLst/>
          <a:ahLst/>
          <a:cxnLst/>
          <a:rect l="0" t="0" r="0" b="0"/>
          <a:pathLst>
            <a:path w="2520863" h="1911904">
              <a:moveTo>
                <a:pt x="12652" y="0"/>
              </a:moveTo>
              <a:lnTo>
                <a:pt x="179275" y="1905000"/>
              </a:lnTo>
              <a:lnTo>
                <a:pt x="172950" y="1899203"/>
              </a:lnTo>
              <a:lnTo>
                <a:pt x="2520862" y="1899203"/>
              </a:lnTo>
              <a:lnTo>
                <a:pt x="2520862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83</xdr:row>
      <xdr:rowOff>99250</xdr:rowOff>
    </xdr:from>
    <xdr:ext cx="705258" cy="182550"/>
    <xdr:sp macro="_xll.MC_OnBranchLabelClick" textlink="">
      <xdr:nvSpPr>
        <xdr:cNvPr id="264" name="MC_BN_D_appraise_sig_T_sell_sig">
          <a:extLst>
            <a:ext uri="{FF2B5EF4-FFF2-40B4-BE49-F238E27FC236}">
              <a16:creationId xmlns:a16="http://schemas.microsoft.com/office/drawing/2014/main" id="{C76F8758-E9EB-BE46-2944-29646814A959}"/>
            </a:ext>
          </a:extLst>
        </xdr:cNvPr>
        <xdr:cNvSpPr txBox="1"/>
      </xdr:nvSpPr>
      <xdr:spPr>
        <a:xfrm>
          <a:off x="7815897" y="15796450"/>
          <a:ext cx="70525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Sell Discovery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65</xdr:row>
      <xdr:rowOff>184150</xdr:rowOff>
    </xdr:from>
    <xdr:to>
      <xdr:col>6</xdr:col>
      <xdr:colOff>47626</xdr:colOff>
      <xdr:row>68</xdr:row>
      <xdr:rowOff>2545</xdr:rowOff>
    </xdr:to>
    <xdr:sp macro="" textlink="">
      <xdr:nvSpPr>
        <xdr:cNvPr id="265" name="MC_BR_C_price_sig_T_sig_high">
          <a:extLst>
            <a:ext uri="{FF2B5EF4-FFF2-40B4-BE49-F238E27FC236}">
              <a16:creationId xmlns:a16="http://schemas.microsoft.com/office/drawing/2014/main" id="{A7C8E2AD-1B55-1A24-C0B0-6314277A015E}"/>
            </a:ext>
          </a:extLst>
        </xdr:cNvPr>
        <xdr:cNvSpPr/>
      </xdr:nvSpPr>
      <xdr:spPr>
        <a:xfrm>
          <a:off x="10171708" y="12452350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863255" y="0"/>
              </a:lnTo>
              <a:lnTo>
                <a:pt x="286325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65</xdr:row>
      <xdr:rowOff>99251</xdr:rowOff>
    </xdr:from>
    <xdr:ext cx="682495" cy="182550"/>
    <xdr:sp macro="_xll.MC_OnBranchLabelClick" textlink="">
      <xdr:nvSpPr>
        <xdr:cNvPr id="266" name="MC_BN_C_price_sig_T_sig_high">
          <a:extLst>
            <a:ext uri="{FF2B5EF4-FFF2-40B4-BE49-F238E27FC236}">
              <a16:creationId xmlns:a16="http://schemas.microsoft.com/office/drawing/2014/main" id="{DAAEC979-1BBE-6419-92A3-062D4A7445D0}"/>
            </a:ext>
          </a:extLst>
        </xdr:cNvPr>
        <xdr:cNvSpPr txBox="1"/>
      </xdr:nvSpPr>
      <xdr:spPr>
        <a:xfrm>
          <a:off x="10373360" y="12367451"/>
          <a:ext cx="68249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Oil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67</xdr:row>
      <xdr:rowOff>187956</xdr:rowOff>
    </xdr:from>
    <xdr:to>
      <xdr:col>6</xdr:col>
      <xdr:colOff>47626</xdr:colOff>
      <xdr:row>70</xdr:row>
      <xdr:rowOff>6351</xdr:rowOff>
    </xdr:to>
    <xdr:sp macro="" textlink="">
      <xdr:nvSpPr>
        <xdr:cNvPr id="267" name="MC_BR_C_price_sig_T_sig_mid">
          <a:extLst>
            <a:ext uri="{FF2B5EF4-FFF2-40B4-BE49-F238E27FC236}">
              <a16:creationId xmlns:a16="http://schemas.microsoft.com/office/drawing/2014/main" id="{BF4EBFFE-F5D3-F2EC-E5AB-1DE2EECE3DCC}"/>
            </a:ext>
          </a:extLst>
        </xdr:cNvPr>
        <xdr:cNvSpPr/>
      </xdr:nvSpPr>
      <xdr:spPr>
        <a:xfrm>
          <a:off x="10171708" y="12837156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863255" y="377194"/>
              </a:lnTo>
              <a:lnTo>
                <a:pt x="28632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69</xdr:row>
      <xdr:rowOff>99250</xdr:rowOff>
    </xdr:from>
    <xdr:ext cx="636841" cy="182550"/>
    <xdr:sp macro="_xll.MC_OnBranchLabelClick" textlink="">
      <xdr:nvSpPr>
        <xdr:cNvPr id="268" name="MC_BN_C_price_sig_T_sig_mid">
          <a:extLst>
            <a:ext uri="{FF2B5EF4-FFF2-40B4-BE49-F238E27FC236}">
              <a16:creationId xmlns:a16="http://schemas.microsoft.com/office/drawing/2014/main" id="{FD51805B-40DA-2C99-0427-37E00F804A49}"/>
            </a:ext>
          </a:extLst>
        </xdr:cNvPr>
        <xdr:cNvSpPr txBox="1"/>
      </xdr:nvSpPr>
      <xdr:spPr>
        <a:xfrm>
          <a:off x="10373360" y="13129450"/>
          <a:ext cx="63684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Mid Oil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67</xdr:row>
      <xdr:rowOff>189143</xdr:rowOff>
    </xdr:from>
    <xdr:to>
      <xdr:col>6</xdr:col>
      <xdr:colOff>47626</xdr:colOff>
      <xdr:row>72</xdr:row>
      <xdr:rowOff>6351</xdr:rowOff>
    </xdr:to>
    <xdr:sp macro="" textlink="">
      <xdr:nvSpPr>
        <xdr:cNvPr id="269" name="MC_BR_C_price_sig_T_sig_low">
          <a:extLst>
            <a:ext uri="{FF2B5EF4-FFF2-40B4-BE49-F238E27FC236}">
              <a16:creationId xmlns:a16="http://schemas.microsoft.com/office/drawing/2014/main" id="{9E7B786B-0E62-AAB8-CAD9-7FD15FE549C4}"/>
            </a:ext>
          </a:extLst>
        </xdr:cNvPr>
        <xdr:cNvSpPr/>
      </xdr:nvSpPr>
      <xdr:spPr>
        <a:xfrm>
          <a:off x="10171323" y="12838343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863640" y="757007"/>
              </a:lnTo>
              <a:lnTo>
                <a:pt x="28636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71</xdr:row>
      <xdr:rowOff>99250</xdr:rowOff>
    </xdr:from>
    <xdr:ext cx="659732" cy="182550"/>
    <xdr:sp macro="_xll.MC_OnBranchLabelClick" textlink="">
      <xdr:nvSpPr>
        <xdr:cNvPr id="270" name="MC_BN_C_price_sig_T_sig_low">
          <a:extLst>
            <a:ext uri="{FF2B5EF4-FFF2-40B4-BE49-F238E27FC236}">
              <a16:creationId xmlns:a16="http://schemas.microsoft.com/office/drawing/2014/main" id="{B3BA99FB-5E02-1F0A-2628-0F569CE1116B}"/>
            </a:ext>
          </a:extLst>
        </xdr:cNvPr>
        <xdr:cNvSpPr txBox="1"/>
      </xdr:nvSpPr>
      <xdr:spPr>
        <a:xfrm>
          <a:off x="10373360" y="13510450"/>
          <a:ext cx="65973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 Oil Price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75</xdr:row>
      <xdr:rowOff>184150</xdr:rowOff>
    </xdr:from>
    <xdr:to>
      <xdr:col>6</xdr:col>
      <xdr:colOff>47626</xdr:colOff>
      <xdr:row>78</xdr:row>
      <xdr:rowOff>2545</xdr:rowOff>
    </xdr:to>
    <xdr:sp macro="" textlink="">
      <xdr:nvSpPr>
        <xdr:cNvPr id="271" name="MC_BR_C_appr_sig_T_appr_sig_up">
          <a:extLst>
            <a:ext uri="{FF2B5EF4-FFF2-40B4-BE49-F238E27FC236}">
              <a16:creationId xmlns:a16="http://schemas.microsoft.com/office/drawing/2014/main" id="{9C37C662-3E87-8F87-CB7C-C03A76D7D13B}"/>
            </a:ext>
          </a:extLst>
        </xdr:cNvPr>
        <xdr:cNvSpPr/>
      </xdr:nvSpPr>
      <xdr:spPr>
        <a:xfrm>
          <a:off x="10171708" y="14357350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863255" y="0"/>
              </a:lnTo>
              <a:lnTo>
                <a:pt x="286325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75</xdr:row>
      <xdr:rowOff>99250</xdr:rowOff>
    </xdr:from>
    <xdr:ext cx="927946" cy="182550"/>
    <xdr:sp macro="_xll.MC_OnBranchLabelClick" textlink="">
      <xdr:nvSpPr>
        <xdr:cNvPr id="272" name="MC_BN_C_appr_sig_T_appr_sig_up">
          <a:extLst>
            <a:ext uri="{FF2B5EF4-FFF2-40B4-BE49-F238E27FC236}">
              <a16:creationId xmlns:a16="http://schemas.microsoft.com/office/drawing/2014/main" id="{48545043-9970-CA9A-6830-C1B2F6EA3244}"/>
            </a:ext>
          </a:extLst>
        </xdr:cNvPr>
        <xdr:cNvSpPr txBox="1"/>
      </xdr:nvSpPr>
      <xdr:spPr>
        <a:xfrm>
          <a:off x="10373360" y="14272450"/>
          <a:ext cx="92794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Upgrades Estimate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77</xdr:row>
      <xdr:rowOff>187956</xdr:rowOff>
    </xdr:from>
    <xdr:to>
      <xdr:col>6</xdr:col>
      <xdr:colOff>47626</xdr:colOff>
      <xdr:row>80</xdr:row>
      <xdr:rowOff>6351</xdr:rowOff>
    </xdr:to>
    <xdr:sp macro="" textlink="">
      <xdr:nvSpPr>
        <xdr:cNvPr id="273" name="MC_BR_C_appr_sig_T_appr_sig_conf">
          <a:extLst>
            <a:ext uri="{FF2B5EF4-FFF2-40B4-BE49-F238E27FC236}">
              <a16:creationId xmlns:a16="http://schemas.microsoft.com/office/drawing/2014/main" id="{ED50870D-340C-7CF4-6367-E8E276D6289D}"/>
            </a:ext>
          </a:extLst>
        </xdr:cNvPr>
        <xdr:cNvSpPr/>
      </xdr:nvSpPr>
      <xdr:spPr>
        <a:xfrm>
          <a:off x="10171708" y="14742156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863255" y="377194"/>
              </a:lnTo>
              <a:lnTo>
                <a:pt x="28632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79</xdr:row>
      <xdr:rowOff>99250</xdr:rowOff>
    </xdr:from>
    <xdr:ext cx="893514" cy="182550"/>
    <xdr:sp macro="_xll.MC_OnBranchLabelClick" textlink="">
      <xdr:nvSpPr>
        <xdr:cNvPr id="274" name="MC_BN_C_appr_sig_T_appr_sig_conf">
          <a:extLst>
            <a:ext uri="{FF2B5EF4-FFF2-40B4-BE49-F238E27FC236}">
              <a16:creationId xmlns:a16="http://schemas.microsoft.com/office/drawing/2014/main" id="{71129227-5B71-4405-ACF4-0DB0B5F83AF9}"/>
            </a:ext>
          </a:extLst>
        </xdr:cNvPr>
        <xdr:cNvSpPr txBox="1"/>
      </xdr:nvSpPr>
      <xdr:spPr>
        <a:xfrm>
          <a:off x="10373360" y="15034450"/>
          <a:ext cx="89351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Confirms Estimate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77</xdr:row>
      <xdr:rowOff>189143</xdr:rowOff>
    </xdr:from>
    <xdr:to>
      <xdr:col>6</xdr:col>
      <xdr:colOff>47626</xdr:colOff>
      <xdr:row>82</xdr:row>
      <xdr:rowOff>6351</xdr:rowOff>
    </xdr:to>
    <xdr:sp macro="" textlink="">
      <xdr:nvSpPr>
        <xdr:cNvPr id="275" name="MC_BR_C_appr_sig_T_appr_sig_down">
          <a:extLst>
            <a:ext uri="{FF2B5EF4-FFF2-40B4-BE49-F238E27FC236}">
              <a16:creationId xmlns:a16="http://schemas.microsoft.com/office/drawing/2014/main" id="{C48B1CC6-B85D-2F86-FDD5-D9B659981E44}"/>
            </a:ext>
          </a:extLst>
        </xdr:cNvPr>
        <xdr:cNvSpPr/>
      </xdr:nvSpPr>
      <xdr:spPr>
        <a:xfrm>
          <a:off x="10171323" y="14743343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863640" y="757007"/>
              </a:lnTo>
              <a:lnTo>
                <a:pt x="28636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81</xdr:row>
      <xdr:rowOff>99250</xdr:rowOff>
    </xdr:from>
    <xdr:ext cx="631391" cy="182550"/>
    <xdr:sp macro="_xll.MC_OnBranchLabelClick" textlink="">
      <xdr:nvSpPr>
        <xdr:cNvPr id="276" name="MC_BN_C_appr_sig_T_appr_sig_down">
          <a:extLst>
            <a:ext uri="{FF2B5EF4-FFF2-40B4-BE49-F238E27FC236}">
              <a16:creationId xmlns:a16="http://schemas.microsoft.com/office/drawing/2014/main" id="{C972CF1A-843C-279F-7F02-80E1AE21CFE5}"/>
            </a:ext>
          </a:extLst>
        </xdr:cNvPr>
        <xdr:cNvSpPr txBox="1"/>
      </xdr:nvSpPr>
      <xdr:spPr>
        <a:xfrm>
          <a:off x="10373360" y="15415450"/>
          <a:ext cx="63139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Downgrades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84267</xdr:colOff>
      <xdr:row>87</xdr:row>
      <xdr:rowOff>184150</xdr:rowOff>
    </xdr:from>
    <xdr:to>
      <xdr:col>5</xdr:col>
      <xdr:colOff>47626</xdr:colOff>
      <xdr:row>94</xdr:row>
      <xdr:rowOff>917</xdr:rowOff>
    </xdr:to>
    <xdr:sp macro="" textlink="">
      <xdr:nvSpPr>
        <xdr:cNvPr id="277" name="MC_BR_D_marginal_C_tieback">
          <a:extLst>
            <a:ext uri="{FF2B5EF4-FFF2-40B4-BE49-F238E27FC236}">
              <a16:creationId xmlns:a16="http://schemas.microsoft.com/office/drawing/2014/main" id="{6851FDB5-D8A1-2290-3CF2-6E4F3A413839}"/>
            </a:ext>
          </a:extLst>
        </xdr:cNvPr>
        <xdr:cNvSpPr/>
      </xdr:nvSpPr>
      <xdr:spPr>
        <a:xfrm>
          <a:off x="7613780" y="16643350"/>
          <a:ext cx="2520821" cy="1150267"/>
        </a:xfrm>
        <a:custGeom>
          <a:avLst/>
          <a:gdLst/>
          <a:ahLst/>
          <a:cxnLst/>
          <a:rect l="0" t="0" r="0" b="0"/>
          <a:pathLst>
            <a:path w="2520821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520820" y="0"/>
              </a:lnTo>
              <a:lnTo>
                <a:pt x="2520820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87</xdr:row>
      <xdr:rowOff>99250</xdr:rowOff>
    </xdr:from>
    <xdr:ext cx="1298561" cy="182550"/>
    <xdr:sp macro="_xll.MC_OnBranchLabelClick" textlink="">
      <xdr:nvSpPr>
        <xdr:cNvPr id="278" name="MC_BN_D_marginal_C_tieback">
          <a:extLst>
            <a:ext uri="{FF2B5EF4-FFF2-40B4-BE49-F238E27FC236}">
              <a16:creationId xmlns:a16="http://schemas.microsoft.com/office/drawing/2014/main" id="{DA0E53C0-6791-5D7A-0EF3-E7949403BDE4}"/>
            </a:ext>
          </a:extLst>
        </xdr:cNvPr>
        <xdr:cNvSpPr txBox="1"/>
      </xdr:nvSpPr>
      <xdr:spPr>
        <a:xfrm>
          <a:off x="7815897" y="16558450"/>
          <a:ext cx="129856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Tieback to Nearby Platform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93</xdr:row>
      <xdr:rowOff>187956</xdr:rowOff>
    </xdr:from>
    <xdr:to>
      <xdr:col>5</xdr:col>
      <xdr:colOff>47626</xdr:colOff>
      <xdr:row>96</xdr:row>
      <xdr:rowOff>6351</xdr:rowOff>
    </xdr:to>
    <xdr:sp macro="" textlink="">
      <xdr:nvSpPr>
        <xdr:cNvPr id="279" name="MC_BR_D_marginal_T_sell_marginal">
          <a:extLst>
            <a:ext uri="{FF2B5EF4-FFF2-40B4-BE49-F238E27FC236}">
              <a16:creationId xmlns:a16="http://schemas.microsoft.com/office/drawing/2014/main" id="{4B5B5AD7-75B7-08D2-F534-61900572BFE2}"/>
            </a:ext>
          </a:extLst>
        </xdr:cNvPr>
        <xdr:cNvSpPr/>
      </xdr:nvSpPr>
      <xdr:spPr>
        <a:xfrm>
          <a:off x="7614245" y="1779015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95</xdr:row>
      <xdr:rowOff>99250</xdr:rowOff>
    </xdr:from>
    <xdr:ext cx="1133324" cy="182550"/>
    <xdr:sp macro="_xll.MC_OnBranchLabelClick" textlink="">
      <xdr:nvSpPr>
        <xdr:cNvPr id="280" name="MC_BN_D_marginal_T_sell_marginal">
          <a:extLst>
            <a:ext uri="{FF2B5EF4-FFF2-40B4-BE49-F238E27FC236}">
              <a16:creationId xmlns:a16="http://schemas.microsoft.com/office/drawing/2014/main" id="{88985C52-2BE1-F35D-F59F-31D1847B2C0F}"/>
            </a:ext>
          </a:extLst>
        </xdr:cNvPr>
        <xdr:cNvSpPr txBox="1"/>
      </xdr:nvSpPr>
      <xdr:spPr>
        <a:xfrm>
          <a:off x="7815897" y="18082450"/>
          <a:ext cx="113332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Sell to Nearby Operator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93</xdr:row>
      <xdr:rowOff>189143</xdr:rowOff>
    </xdr:from>
    <xdr:to>
      <xdr:col>5</xdr:col>
      <xdr:colOff>47626</xdr:colOff>
      <xdr:row>98</xdr:row>
      <xdr:rowOff>6351</xdr:rowOff>
    </xdr:to>
    <xdr:sp macro="" textlink="">
      <xdr:nvSpPr>
        <xdr:cNvPr id="281" name="MC_BR_D_marginal_T_panda">
          <a:extLst>
            <a:ext uri="{FF2B5EF4-FFF2-40B4-BE49-F238E27FC236}">
              <a16:creationId xmlns:a16="http://schemas.microsoft.com/office/drawing/2014/main" id="{A8818A27-D9A6-ECF4-6148-27FB45F866E0}"/>
            </a:ext>
          </a:extLst>
        </xdr:cNvPr>
        <xdr:cNvSpPr/>
      </xdr:nvSpPr>
      <xdr:spPr>
        <a:xfrm>
          <a:off x="7613860" y="1779134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97</xdr:row>
      <xdr:rowOff>99250</xdr:rowOff>
    </xdr:from>
    <xdr:ext cx="797013" cy="182550"/>
    <xdr:sp macro="_xll.MC_OnBranchLabelClick" textlink="">
      <xdr:nvSpPr>
        <xdr:cNvPr id="282" name="MC_BN_D_marginal_T_panda">
          <a:extLst>
            <a:ext uri="{FF2B5EF4-FFF2-40B4-BE49-F238E27FC236}">
              <a16:creationId xmlns:a16="http://schemas.microsoft.com/office/drawing/2014/main" id="{C16FB593-DDB1-D3C5-CE0F-5C6A2AF6638A}"/>
            </a:ext>
          </a:extLst>
        </xdr:cNvPr>
        <xdr:cNvSpPr txBox="1"/>
      </xdr:nvSpPr>
      <xdr:spPr>
        <a:xfrm>
          <a:off x="7815897" y="18463450"/>
          <a:ext cx="79701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Plug &amp; Abandon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85</xdr:row>
      <xdr:rowOff>184150</xdr:rowOff>
    </xdr:from>
    <xdr:to>
      <xdr:col>6</xdr:col>
      <xdr:colOff>47626</xdr:colOff>
      <xdr:row>88</xdr:row>
      <xdr:rowOff>2545</xdr:rowOff>
    </xdr:to>
    <xdr:sp macro="" textlink="">
      <xdr:nvSpPr>
        <xdr:cNvPr id="283" name="MC_BR_C_tieback_T_tieback_ok">
          <a:extLst>
            <a:ext uri="{FF2B5EF4-FFF2-40B4-BE49-F238E27FC236}">
              <a16:creationId xmlns:a16="http://schemas.microsoft.com/office/drawing/2014/main" id="{38742725-243A-1345-4552-2FABA2A995CE}"/>
            </a:ext>
          </a:extLst>
        </xdr:cNvPr>
        <xdr:cNvSpPr/>
      </xdr:nvSpPr>
      <xdr:spPr>
        <a:xfrm>
          <a:off x="10171708" y="16262350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863255" y="0"/>
              </a:lnTo>
              <a:lnTo>
                <a:pt x="286325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85</xdr:row>
      <xdr:rowOff>99250</xdr:rowOff>
    </xdr:from>
    <xdr:ext cx="876587" cy="182550"/>
    <xdr:sp macro="_xll.MC_OnBranchLabelClick" textlink="">
      <xdr:nvSpPr>
        <xdr:cNvPr id="284" name="MC_BN_C_tieback_T_tieback_ok">
          <a:extLst>
            <a:ext uri="{FF2B5EF4-FFF2-40B4-BE49-F238E27FC236}">
              <a16:creationId xmlns:a16="http://schemas.microsoft.com/office/drawing/2014/main" id="{795E81D3-2042-6601-2310-2A03D6A74F02}"/>
            </a:ext>
          </a:extLst>
        </xdr:cNvPr>
        <xdr:cNvSpPr txBox="1"/>
      </xdr:nvSpPr>
      <xdr:spPr>
        <a:xfrm>
          <a:off x="10373360" y="16177450"/>
          <a:ext cx="87658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Profitable Tieback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87</xdr:row>
      <xdr:rowOff>187956</xdr:rowOff>
    </xdr:from>
    <xdr:to>
      <xdr:col>6</xdr:col>
      <xdr:colOff>47626</xdr:colOff>
      <xdr:row>90</xdr:row>
      <xdr:rowOff>6351</xdr:rowOff>
    </xdr:to>
    <xdr:sp macro="" textlink="">
      <xdr:nvSpPr>
        <xdr:cNvPr id="285" name="MC_BR_C_tieback_T_tieback_even">
          <a:extLst>
            <a:ext uri="{FF2B5EF4-FFF2-40B4-BE49-F238E27FC236}">
              <a16:creationId xmlns:a16="http://schemas.microsoft.com/office/drawing/2014/main" id="{5F3D055E-BDCE-3E83-2F75-7C416EBEC020}"/>
            </a:ext>
          </a:extLst>
        </xdr:cNvPr>
        <xdr:cNvSpPr/>
      </xdr:nvSpPr>
      <xdr:spPr>
        <a:xfrm>
          <a:off x="10171708" y="16647156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863255" y="377194"/>
              </a:lnTo>
              <a:lnTo>
                <a:pt x="28632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89</xdr:row>
      <xdr:rowOff>99250</xdr:rowOff>
    </xdr:from>
    <xdr:ext cx="545919" cy="182550"/>
    <xdr:sp macro="_xll.MC_OnBranchLabelClick" textlink="">
      <xdr:nvSpPr>
        <xdr:cNvPr id="286" name="MC_BN_C_tieback_T_tieback_even">
          <a:extLst>
            <a:ext uri="{FF2B5EF4-FFF2-40B4-BE49-F238E27FC236}">
              <a16:creationId xmlns:a16="http://schemas.microsoft.com/office/drawing/2014/main" id="{9C797E37-A5FB-AABE-5886-7E8213C29809}"/>
            </a:ext>
          </a:extLst>
        </xdr:cNvPr>
        <xdr:cNvSpPr txBox="1"/>
      </xdr:nvSpPr>
      <xdr:spPr>
        <a:xfrm>
          <a:off x="10373360" y="16939450"/>
          <a:ext cx="54591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Breakeven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87</xdr:row>
      <xdr:rowOff>189143</xdr:rowOff>
    </xdr:from>
    <xdr:to>
      <xdr:col>6</xdr:col>
      <xdr:colOff>47626</xdr:colOff>
      <xdr:row>92</xdr:row>
      <xdr:rowOff>6351</xdr:rowOff>
    </xdr:to>
    <xdr:sp macro="" textlink="">
      <xdr:nvSpPr>
        <xdr:cNvPr id="287" name="MC_BR_C_tieback_T_tieback_bad">
          <a:extLst>
            <a:ext uri="{FF2B5EF4-FFF2-40B4-BE49-F238E27FC236}">
              <a16:creationId xmlns:a16="http://schemas.microsoft.com/office/drawing/2014/main" id="{E54399D0-63FD-2415-6AF7-F49A0447EC7A}"/>
            </a:ext>
          </a:extLst>
        </xdr:cNvPr>
        <xdr:cNvSpPr/>
      </xdr:nvSpPr>
      <xdr:spPr>
        <a:xfrm>
          <a:off x="10171323" y="16648343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863640" y="757007"/>
              </a:lnTo>
              <a:lnTo>
                <a:pt x="28636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91</xdr:row>
      <xdr:rowOff>99250</xdr:rowOff>
    </xdr:from>
    <xdr:ext cx="625620" cy="182550"/>
    <xdr:sp macro="_xll.MC_OnBranchLabelClick" textlink="">
      <xdr:nvSpPr>
        <xdr:cNvPr id="288" name="MC_BN_C_tieback_T_tieback_bad">
          <a:extLst>
            <a:ext uri="{FF2B5EF4-FFF2-40B4-BE49-F238E27FC236}">
              <a16:creationId xmlns:a16="http://schemas.microsoft.com/office/drawing/2014/main" id="{5EB082C9-1F57-C869-4583-773B02767EEA}"/>
            </a:ext>
          </a:extLst>
        </xdr:cNvPr>
        <xdr:cNvSpPr txBox="1"/>
      </xdr:nvSpPr>
      <xdr:spPr>
        <a:xfrm>
          <a:off x="10373360" y="17320450"/>
          <a:ext cx="62562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Uneconomic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113</xdr:row>
      <xdr:rowOff>174625</xdr:rowOff>
    </xdr:from>
    <xdr:to>
      <xdr:col>4</xdr:col>
      <xdr:colOff>47626</xdr:colOff>
      <xdr:row>118</xdr:row>
      <xdr:rowOff>3391</xdr:rowOff>
    </xdr:to>
    <xdr:sp macro="" textlink="">
      <xdr:nvSpPr>
        <xdr:cNvPr id="289" name="MC_BR_C_3d_results_D_drill_strong">
          <a:extLst>
            <a:ext uri="{FF2B5EF4-FFF2-40B4-BE49-F238E27FC236}">
              <a16:creationId xmlns:a16="http://schemas.microsoft.com/office/drawing/2014/main" id="{1313B7A2-96CA-883C-3D52-567A1447AAE0}"/>
            </a:ext>
          </a:extLst>
        </xdr:cNvPr>
        <xdr:cNvSpPr/>
      </xdr:nvSpPr>
      <xdr:spPr>
        <a:xfrm>
          <a:off x="5132817" y="21586825"/>
          <a:ext cx="2444322" cy="781266"/>
        </a:xfrm>
        <a:custGeom>
          <a:avLst/>
          <a:gdLst/>
          <a:ahLst/>
          <a:cxnLst/>
          <a:rect l="0" t="0" r="0" b="0"/>
          <a:pathLst>
            <a:path w="2444322" h="781266">
              <a:moveTo>
                <a:pt x="0" y="774485"/>
              </a:moveTo>
              <a:lnTo>
                <a:pt x="166624" y="12485"/>
              </a:lnTo>
              <a:lnTo>
                <a:pt x="182133" y="0"/>
              </a:lnTo>
              <a:lnTo>
                <a:pt x="2444321" y="0"/>
              </a:lnTo>
              <a:lnTo>
                <a:pt x="2444321" y="31750"/>
              </a:lnTo>
              <a:lnTo>
                <a:pt x="182133" y="31750"/>
              </a:lnTo>
              <a:lnTo>
                <a:pt x="197642" y="19265"/>
              </a:lnTo>
              <a:lnTo>
                <a:pt x="31017" y="7812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113</xdr:row>
      <xdr:rowOff>99250</xdr:rowOff>
    </xdr:from>
    <xdr:ext cx="791179" cy="182550"/>
    <xdr:sp macro="_xll.MC_OnBranchLabelClick" textlink="">
      <xdr:nvSpPr>
        <xdr:cNvPr id="290" name="MC_BN_C_3d_results_D_drill_strong">
          <a:extLst>
            <a:ext uri="{FF2B5EF4-FFF2-40B4-BE49-F238E27FC236}">
              <a16:creationId xmlns:a16="http://schemas.microsoft.com/office/drawing/2014/main" id="{9339A4A1-F785-E6A5-178B-668989DD7785}"/>
            </a:ext>
          </a:extLst>
        </xdr:cNvPr>
        <xdr:cNvSpPr txBox="1"/>
      </xdr:nvSpPr>
      <xdr:spPr>
        <a:xfrm>
          <a:off x="5344160" y="21511450"/>
          <a:ext cx="79117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Strong Prospect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74737</xdr:colOff>
      <xdr:row>117</xdr:row>
      <xdr:rowOff>189117</xdr:rowOff>
    </xdr:from>
    <xdr:to>
      <xdr:col>4</xdr:col>
      <xdr:colOff>47626</xdr:colOff>
      <xdr:row>128</xdr:row>
      <xdr:rowOff>15876</xdr:rowOff>
    </xdr:to>
    <xdr:sp macro="" textlink="">
      <xdr:nvSpPr>
        <xdr:cNvPr id="291" name="MC_BR_C_3d_results_D_drill_moderate">
          <a:extLst>
            <a:ext uri="{FF2B5EF4-FFF2-40B4-BE49-F238E27FC236}">
              <a16:creationId xmlns:a16="http://schemas.microsoft.com/office/drawing/2014/main" id="{B6F82D2B-C8D3-858E-69FE-F71D776CED4F}"/>
            </a:ext>
          </a:extLst>
        </xdr:cNvPr>
        <xdr:cNvSpPr/>
      </xdr:nvSpPr>
      <xdr:spPr>
        <a:xfrm>
          <a:off x="5132512" y="22363317"/>
          <a:ext cx="2444627" cy="1922259"/>
        </a:xfrm>
        <a:custGeom>
          <a:avLst/>
          <a:gdLst/>
          <a:ahLst/>
          <a:cxnLst/>
          <a:rect l="0" t="0" r="0" b="0"/>
          <a:pathLst>
            <a:path w="2444627" h="1922259">
              <a:moveTo>
                <a:pt x="31629" y="0"/>
              </a:moveTo>
              <a:lnTo>
                <a:pt x="198253" y="1905000"/>
              </a:lnTo>
              <a:lnTo>
                <a:pt x="182438" y="1890508"/>
              </a:lnTo>
              <a:lnTo>
                <a:pt x="2444626" y="1890508"/>
              </a:lnTo>
              <a:lnTo>
                <a:pt x="2444626" y="1922258"/>
              </a:lnTo>
              <a:lnTo>
                <a:pt x="182438" y="1922258"/>
              </a:lnTo>
              <a:lnTo>
                <a:pt x="166623" y="1907766"/>
              </a:lnTo>
              <a:lnTo>
                <a:pt x="0" y="276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127</xdr:row>
      <xdr:rowOff>99250</xdr:rowOff>
    </xdr:from>
    <xdr:ext cx="922368" cy="182550"/>
    <xdr:sp macro="_xll.MC_OnBranchLabelClick" textlink="">
      <xdr:nvSpPr>
        <xdr:cNvPr id="292" name="MC_BN_C_3d_results_D_drill_moderate">
          <a:extLst>
            <a:ext uri="{FF2B5EF4-FFF2-40B4-BE49-F238E27FC236}">
              <a16:creationId xmlns:a16="http://schemas.microsoft.com/office/drawing/2014/main" id="{C6C076D9-FC53-05F4-6DDF-F2173D89E96C}"/>
            </a:ext>
          </a:extLst>
        </xdr:cNvPr>
        <xdr:cNvSpPr txBox="1"/>
      </xdr:nvSpPr>
      <xdr:spPr>
        <a:xfrm>
          <a:off x="5344160" y="24178450"/>
          <a:ext cx="9223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Moderate Prospect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74707</xdr:colOff>
      <xdr:row>117</xdr:row>
      <xdr:rowOff>189509</xdr:rowOff>
    </xdr:from>
    <xdr:to>
      <xdr:col>4</xdr:col>
      <xdr:colOff>47626</xdr:colOff>
      <xdr:row>132</xdr:row>
      <xdr:rowOff>15876</xdr:rowOff>
    </xdr:to>
    <xdr:sp macro="" textlink="">
      <xdr:nvSpPr>
        <xdr:cNvPr id="293" name="MC_BR_C_3d_results_T_seismic_weak">
          <a:extLst>
            <a:ext uri="{FF2B5EF4-FFF2-40B4-BE49-F238E27FC236}">
              <a16:creationId xmlns:a16="http://schemas.microsoft.com/office/drawing/2014/main" id="{18AEBE13-D657-CFBE-FCCE-6CB599B5FFC1}"/>
            </a:ext>
          </a:extLst>
        </xdr:cNvPr>
        <xdr:cNvSpPr/>
      </xdr:nvSpPr>
      <xdr:spPr>
        <a:xfrm>
          <a:off x="5132482" y="22363709"/>
          <a:ext cx="2444657" cy="2683867"/>
        </a:xfrm>
        <a:custGeom>
          <a:avLst/>
          <a:gdLst/>
          <a:ahLst/>
          <a:cxnLst/>
          <a:rect l="0" t="0" r="0" b="0"/>
          <a:pathLst>
            <a:path w="2444657" h="2683867">
              <a:moveTo>
                <a:pt x="31688" y="0"/>
              </a:moveTo>
              <a:lnTo>
                <a:pt x="198312" y="2667000"/>
              </a:lnTo>
              <a:lnTo>
                <a:pt x="182468" y="2652116"/>
              </a:lnTo>
              <a:lnTo>
                <a:pt x="2444656" y="2652116"/>
              </a:lnTo>
              <a:lnTo>
                <a:pt x="2444656" y="2683866"/>
              </a:lnTo>
              <a:lnTo>
                <a:pt x="182468" y="2683866"/>
              </a:lnTo>
              <a:lnTo>
                <a:pt x="166624" y="2668982"/>
              </a:lnTo>
              <a:lnTo>
                <a:pt x="0" y="19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131</xdr:row>
      <xdr:rowOff>99250</xdr:rowOff>
    </xdr:from>
    <xdr:ext cx="967829" cy="182550"/>
    <xdr:sp macro="_xll.MC_OnBranchLabelClick" textlink="">
      <xdr:nvSpPr>
        <xdr:cNvPr id="294" name="MC_BN_C_3d_results_T_seismic_weak">
          <a:extLst>
            <a:ext uri="{FF2B5EF4-FFF2-40B4-BE49-F238E27FC236}">
              <a16:creationId xmlns:a16="http://schemas.microsoft.com/office/drawing/2014/main" id="{44D79360-C402-A016-CC29-390478356E08}"/>
            </a:ext>
          </a:extLst>
        </xdr:cNvPr>
        <xdr:cNvSpPr txBox="1"/>
      </xdr:nvSpPr>
      <xdr:spPr>
        <a:xfrm>
          <a:off x="5344160" y="24940450"/>
          <a:ext cx="96782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Weak / No Prospect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74841</xdr:colOff>
      <xdr:row>107</xdr:row>
      <xdr:rowOff>174625</xdr:rowOff>
    </xdr:from>
    <xdr:to>
      <xdr:col>5</xdr:col>
      <xdr:colOff>47626</xdr:colOff>
      <xdr:row>114</xdr:row>
      <xdr:rowOff>2291</xdr:rowOff>
    </xdr:to>
    <xdr:sp macro="" textlink="">
      <xdr:nvSpPr>
        <xdr:cNvPr id="295" name="MC_BR_D_drill_strong_C_drill_strong">
          <a:extLst>
            <a:ext uri="{FF2B5EF4-FFF2-40B4-BE49-F238E27FC236}">
              <a16:creationId xmlns:a16="http://schemas.microsoft.com/office/drawing/2014/main" id="{3C4AC155-E87C-B8F3-E962-A57F36708FCF}"/>
            </a:ext>
          </a:extLst>
        </xdr:cNvPr>
        <xdr:cNvSpPr/>
      </xdr:nvSpPr>
      <xdr:spPr>
        <a:xfrm>
          <a:off x="7604354" y="20443825"/>
          <a:ext cx="2530247" cy="1161166"/>
        </a:xfrm>
        <a:custGeom>
          <a:avLst/>
          <a:gdLst/>
          <a:ahLst/>
          <a:cxnLst/>
          <a:rect l="0" t="0" r="0" b="0"/>
          <a:pathLst>
            <a:path w="2530247" h="1161166">
              <a:moveTo>
                <a:pt x="0" y="1156585"/>
              </a:moveTo>
              <a:lnTo>
                <a:pt x="166624" y="13585"/>
              </a:lnTo>
              <a:lnTo>
                <a:pt x="182334" y="0"/>
              </a:lnTo>
              <a:lnTo>
                <a:pt x="2530246" y="0"/>
              </a:lnTo>
              <a:lnTo>
                <a:pt x="2530246" y="31750"/>
              </a:lnTo>
              <a:lnTo>
                <a:pt x="182334" y="31750"/>
              </a:lnTo>
              <a:lnTo>
                <a:pt x="198043" y="18165"/>
              </a:lnTo>
              <a:lnTo>
                <a:pt x="31419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107</xdr:row>
      <xdr:rowOff>99250</xdr:rowOff>
    </xdr:from>
    <xdr:ext cx="459869" cy="182550"/>
    <xdr:sp macro="_xll.MC_OnBranchLabelClick" textlink="">
      <xdr:nvSpPr>
        <xdr:cNvPr id="296" name="MC_BN_D_drill_strong_C_drill_strong">
          <a:extLst>
            <a:ext uri="{FF2B5EF4-FFF2-40B4-BE49-F238E27FC236}">
              <a16:creationId xmlns:a16="http://schemas.microsoft.com/office/drawing/2014/main" id="{611242EC-2D28-43D8-A30D-06E905FA2D8F}"/>
            </a:ext>
          </a:extLst>
        </xdr:cNvPr>
        <xdr:cNvSpPr txBox="1"/>
      </xdr:nvSpPr>
      <xdr:spPr>
        <a:xfrm>
          <a:off x="7815897" y="20368450"/>
          <a:ext cx="4598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Drill Well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113</xdr:row>
      <xdr:rowOff>187956</xdr:rowOff>
    </xdr:from>
    <xdr:to>
      <xdr:col>5</xdr:col>
      <xdr:colOff>47626</xdr:colOff>
      <xdr:row>116</xdr:row>
      <xdr:rowOff>6351</xdr:rowOff>
    </xdr:to>
    <xdr:sp macro="" textlink="">
      <xdr:nvSpPr>
        <xdr:cNvPr id="297" name="MC_BR_D_drill_strong_T_farmout_strong">
          <a:extLst>
            <a:ext uri="{FF2B5EF4-FFF2-40B4-BE49-F238E27FC236}">
              <a16:creationId xmlns:a16="http://schemas.microsoft.com/office/drawing/2014/main" id="{7BD90D83-8C05-62ED-6BAF-51B9D81C0D75}"/>
            </a:ext>
          </a:extLst>
        </xdr:cNvPr>
        <xdr:cNvSpPr/>
      </xdr:nvSpPr>
      <xdr:spPr>
        <a:xfrm>
          <a:off x="7614245" y="2160015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115</xdr:row>
      <xdr:rowOff>99250</xdr:rowOff>
    </xdr:from>
    <xdr:ext cx="944939" cy="182550"/>
    <xdr:sp macro="_xll.MC_OnBranchLabelClick" textlink="">
      <xdr:nvSpPr>
        <xdr:cNvPr id="298" name="MC_BN_D_drill_strong_T_farmout_strong">
          <a:extLst>
            <a:ext uri="{FF2B5EF4-FFF2-40B4-BE49-F238E27FC236}">
              <a16:creationId xmlns:a16="http://schemas.microsoft.com/office/drawing/2014/main" id="{B6DEDB5E-348B-F023-7ABC-BB44F130A738}"/>
            </a:ext>
          </a:extLst>
        </xdr:cNvPr>
        <xdr:cNvSpPr txBox="1"/>
      </xdr:nvSpPr>
      <xdr:spPr>
        <a:xfrm>
          <a:off x="7815897" y="21892450"/>
          <a:ext cx="94493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Farm Out with Data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105</xdr:row>
      <xdr:rowOff>174625</xdr:rowOff>
    </xdr:from>
    <xdr:to>
      <xdr:col>6</xdr:col>
      <xdr:colOff>47626</xdr:colOff>
      <xdr:row>108</xdr:row>
      <xdr:rowOff>6362</xdr:rowOff>
    </xdr:to>
    <xdr:sp macro="" textlink="">
      <xdr:nvSpPr>
        <xdr:cNvPr id="299" name="MC_BR_C_drill_strong_T_3d_discovery">
          <a:extLst>
            <a:ext uri="{FF2B5EF4-FFF2-40B4-BE49-F238E27FC236}">
              <a16:creationId xmlns:a16="http://schemas.microsoft.com/office/drawing/2014/main" id="{7ECB0D86-6730-5CEC-2CF4-DD3F205B2586}"/>
            </a:ext>
          </a:extLst>
        </xdr:cNvPr>
        <xdr:cNvSpPr/>
      </xdr:nvSpPr>
      <xdr:spPr>
        <a:xfrm>
          <a:off x="10162981" y="20062825"/>
          <a:ext cx="2871983" cy="403237"/>
        </a:xfrm>
        <a:custGeom>
          <a:avLst/>
          <a:gdLst/>
          <a:ahLst/>
          <a:cxnLst/>
          <a:rect l="0" t="0" r="0" b="0"/>
          <a:pathLst>
            <a:path w="2871983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871982" y="0"/>
              </a:lnTo>
              <a:lnTo>
                <a:pt x="2871982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105</xdr:row>
      <xdr:rowOff>99250</xdr:rowOff>
    </xdr:from>
    <xdr:ext cx="505716" cy="182550"/>
    <xdr:sp macro="_xll.MC_OnBranchLabelClick" textlink="">
      <xdr:nvSpPr>
        <xdr:cNvPr id="300" name="MC_BN_C_drill_strong_T_3d_discovery">
          <a:extLst>
            <a:ext uri="{FF2B5EF4-FFF2-40B4-BE49-F238E27FC236}">
              <a16:creationId xmlns:a16="http://schemas.microsoft.com/office/drawing/2014/main" id="{CE4A3C71-09C1-6EF9-EE81-633A8ADE3919}"/>
            </a:ext>
          </a:extLst>
        </xdr:cNvPr>
        <xdr:cNvSpPr txBox="1"/>
      </xdr:nvSpPr>
      <xdr:spPr>
        <a:xfrm>
          <a:off x="10373360" y="19987450"/>
          <a:ext cx="50571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Discovery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107</xdr:row>
      <xdr:rowOff>184139</xdr:rowOff>
    </xdr:from>
    <xdr:to>
      <xdr:col>6</xdr:col>
      <xdr:colOff>47626</xdr:colOff>
      <xdr:row>110</xdr:row>
      <xdr:rowOff>15876</xdr:rowOff>
    </xdr:to>
    <xdr:sp macro="" textlink="">
      <xdr:nvSpPr>
        <xdr:cNvPr id="301" name="MC_BR_C_drill_strong_T_3d_marginal">
          <a:extLst>
            <a:ext uri="{FF2B5EF4-FFF2-40B4-BE49-F238E27FC236}">
              <a16:creationId xmlns:a16="http://schemas.microsoft.com/office/drawing/2014/main" id="{4B228D5A-C41F-595C-AB25-5FB8EF640B8E}"/>
            </a:ext>
          </a:extLst>
        </xdr:cNvPr>
        <xdr:cNvSpPr/>
      </xdr:nvSpPr>
      <xdr:spPr>
        <a:xfrm>
          <a:off x="10162981" y="20453339"/>
          <a:ext cx="2871983" cy="403237"/>
        </a:xfrm>
        <a:custGeom>
          <a:avLst/>
          <a:gdLst/>
          <a:ahLst/>
          <a:cxnLst/>
          <a:rect l="0" t="0" r="0" b="0"/>
          <a:pathLst>
            <a:path w="2871983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871982" y="371486"/>
              </a:lnTo>
              <a:lnTo>
                <a:pt x="2871982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109</xdr:row>
      <xdr:rowOff>99250</xdr:rowOff>
    </xdr:from>
    <xdr:ext cx="448841" cy="182550"/>
    <xdr:sp macro="_xll.MC_OnBranchLabelClick" textlink="">
      <xdr:nvSpPr>
        <xdr:cNvPr id="302" name="MC_BN_C_drill_strong_T_3d_marginal">
          <a:extLst>
            <a:ext uri="{FF2B5EF4-FFF2-40B4-BE49-F238E27FC236}">
              <a16:creationId xmlns:a16="http://schemas.microsoft.com/office/drawing/2014/main" id="{2DCC8AA9-AF41-ADA9-6930-4BC08EF9BF91}"/>
            </a:ext>
          </a:extLst>
        </xdr:cNvPr>
        <xdr:cNvSpPr txBox="1"/>
      </xdr:nvSpPr>
      <xdr:spPr>
        <a:xfrm>
          <a:off x="10373360" y="20749450"/>
          <a:ext cx="44884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Marginal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75043</xdr:colOff>
      <xdr:row>107</xdr:row>
      <xdr:rowOff>187110</xdr:rowOff>
    </xdr:from>
    <xdr:to>
      <xdr:col>6</xdr:col>
      <xdr:colOff>47626</xdr:colOff>
      <xdr:row>112</xdr:row>
      <xdr:rowOff>15876</xdr:rowOff>
    </xdr:to>
    <xdr:sp macro="" textlink="">
      <xdr:nvSpPr>
        <xdr:cNvPr id="303" name="MC_BR_C_drill_strong_T_3d_dry">
          <a:extLst>
            <a:ext uri="{FF2B5EF4-FFF2-40B4-BE49-F238E27FC236}">
              <a16:creationId xmlns:a16="http://schemas.microsoft.com/office/drawing/2014/main" id="{05F7F58E-5D11-3599-2BAF-00249B7AD212}"/>
            </a:ext>
          </a:extLst>
        </xdr:cNvPr>
        <xdr:cNvSpPr/>
      </xdr:nvSpPr>
      <xdr:spPr>
        <a:xfrm>
          <a:off x="10162018" y="20456310"/>
          <a:ext cx="2872946" cy="781266"/>
        </a:xfrm>
        <a:custGeom>
          <a:avLst/>
          <a:gdLst/>
          <a:ahLst/>
          <a:cxnLst/>
          <a:rect l="0" t="0" r="0" b="0"/>
          <a:pathLst>
            <a:path w="2872946" h="781266">
              <a:moveTo>
                <a:pt x="31016" y="0"/>
              </a:moveTo>
              <a:lnTo>
                <a:pt x="197640" y="762000"/>
              </a:lnTo>
              <a:lnTo>
                <a:pt x="182132" y="749515"/>
              </a:lnTo>
              <a:lnTo>
                <a:pt x="2872945" y="749515"/>
              </a:lnTo>
              <a:lnTo>
                <a:pt x="2872945" y="781265"/>
              </a:lnTo>
              <a:lnTo>
                <a:pt x="182132" y="781265"/>
              </a:lnTo>
              <a:lnTo>
                <a:pt x="166624" y="768780"/>
              </a:lnTo>
              <a:lnTo>
                <a:pt x="0" y="67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111</xdr:row>
      <xdr:rowOff>99250</xdr:rowOff>
    </xdr:from>
    <xdr:ext cx="214931" cy="182550"/>
    <xdr:sp macro="_xll.MC_OnBranchLabelClick" textlink="">
      <xdr:nvSpPr>
        <xdr:cNvPr id="304" name="MC_BN_C_drill_strong_T_3d_dry">
          <a:extLst>
            <a:ext uri="{FF2B5EF4-FFF2-40B4-BE49-F238E27FC236}">
              <a16:creationId xmlns:a16="http://schemas.microsoft.com/office/drawing/2014/main" id="{26743A61-6B2C-B59E-D0D7-E0CBC00972D3}"/>
            </a:ext>
          </a:extLst>
        </xdr:cNvPr>
        <xdr:cNvSpPr txBox="1"/>
      </xdr:nvSpPr>
      <xdr:spPr>
        <a:xfrm>
          <a:off x="10373360" y="21130450"/>
          <a:ext cx="21493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Dry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74841</xdr:colOff>
      <xdr:row>121</xdr:row>
      <xdr:rowOff>174625</xdr:rowOff>
    </xdr:from>
    <xdr:to>
      <xdr:col>5</xdr:col>
      <xdr:colOff>47626</xdr:colOff>
      <xdr:row>128</xdr:row>
      <xdr:rowOff>2291</xdr:rowOff>
    </xdr:to>
    <xdr:sp macro="" textlink="">
      <xdr:nvSpPr>
        <xdr:cNvPr id="305" name="MC_BR_D_drill_moderate_C_drill_moderate">
          <a:extLst>
            <a:ext uri="{FF2B5EF4-FFF2-40B4-BE49-F238E27FC236}">
              <a16:creationId xmlns:a16="http://schemas.microsoft.com/office/drawing/2014/main" id="{6898F3D0-5F7C-1C79-8245-24C535FC9859}"/>
            </a:ext>
          </a:extLst>
        </xdr:cNvPr>
        <xdr:cNvSpPr/>
      </xdr:nvSpPr>
      <xdr:spPr>
        <a:xfrm>
          <a:off x="7604354" y="23110825"/>
          <a:ext cx="2530247" cy="1161166"/>
        </a:xfrm>
        <a:custGeom>
          <a:avLst/>
          <a:gdLst/>
          <a:ahLst/>
          <a:cxnLst/>
          <a:rect l="0" t="0" r="0" b="0"/>
          <a:pathLst>
            <a:path w="2530247" h="1161166">
              <a:moveTo>
                <a:pt x="0" y="1156585"/>
              </a:moveTo>
              <a:lnTo>
                <a:pt x="166624" y="13585"/>
              </a:lnTo>
              <a:lnTo>
                <a:pt x="182334" y="0"/>
              </a:lnTo>
              <a:lnTo>
                <a:pt x="2530246" y="0"/>
              </a:lnTo>
              <a:lnTo>
                <a:pt x="2530246" y="31750"/>
              </a:lnTo>
              <a:lnTo>
                <a:pt x="182334" y="31750"/>
              </a:lnTo>
              <a:lnTo>
                <a:pt x="198043" y="18165"/>
              </a:lnTo>
              <a:lnTo>
                <a:pt x="31419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121</xdr:row>
      <xdr:rowOff>99250</xdr:rowOff>
    </xdr:from>
    <xdr:ext cx="459869" cy="182550"/>
    <xdr:sp macro="_xll.MC_OnBranchLabelClick" textlink="">
      <xdr:nvSpPr>
        <xdr:cNvPr id="306" name="MC_BN_D_drill_moderate_C_drill_moderate">
          <a:extLst>
            <a:ext uri="{FF2B5EF4-FFF2-40B4-BE49-F238E27FC236}">
              <a16:creationId xmlns:a16="http://schemas.microsoft.com/office/drawing/2014/main" id="{A0E0996A-29A3-5AC0-E2E5-05C87C6526BF}"/>
            </a:ext>
          </a:extLst>
        </xdr:cNvPr>
        <xdr:cNvSpPr txBox="1"/>
      </xdr:nvSpPr>
      <xdr:spPr>
        <a:xfrm>
          <a:off x="7815897" y="23035450"/>
          <a:ext cx="4598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Drill Well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127</xdr:row>
      <xdr:rowOff>187956</xdr:rowOff>
    </xdr:from>
    <xdr:to>
      <xdr:col>5</xdr:col>
      <xdr:colOff>47626</xdr:colOff>
      <xdr:row>130</xdr:row>
      <xdr:rowOff>6351</xdr:rowOff>
    </xdr:to>
    <xdr:sp macro="" textlink="">
      <xdr:nvSpPr>
        <xdr:cNvPr id="307" name="MC_BR_D_drill_moderate_T_no_drill_mod">
          <a:extLst>
            <a:ext uri="{FF2B5EF4-FFF2-40B4-BE49-F238E27FC236}">
              <a16:creationId xmlns:a16="http://schemas.microsoft.com/office/drawing/2014/main" id="{67605973-8730-C47D-0901-319CB672EBF6}"/>
            </a:ext>
          </a:extLst>
        </xdr:cNvPr>
        <xdr:cNvSpPr/>
      </xdr:nvSpPr>
      <xdr:spPr>
        <a:xfrm>
          <a:off x="7614245" y="2426715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129</xdr:row>
      <xdr:rowOff>99250</xdr:rowOff>
    </xdr:from>
    <xdr:ext cx="496739" cy="182550"/>
    <xdr:sp macro="_xll.MC_OnBranchLabelClick" textlink="">
      <xdr:nvSpPr>
        <xdr:cNvPr id="308" name="MC_BN_D_drill_moderate_T_no_drill_mod">
          <a:extLst>
            <a:ext uri="{FF2B5EF4-FFF2-40B4-BE49-F238E27FC236}">
              <a16:creationId xmlns:a16="http://schemas.microsoft.com/office/drawing/2014/main" id="{BF0A3F1D-9196-7677-9876-6659ABF72355}"/>
            </a:ext>
          </a:extLst>
        </xdr:cNvPr>
        <xdr:cNvSpPr txBox="1"/>
      </xdr:nvSpPr>
      <xdr:spPr>
        <a:xfrm>
          <a:off x="7815897" y="24559450"/>
          <a:ext cx="49673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Don't Drill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119</xdr:row>
      <xdr:rowOff>174625</xdr:rowOff>
    </xdr:from>
    <xdr:to>
      <xdr:col>6</xdr:col>
      <xdr:colOff>47626</xdr:colOff>
      <xdr:row>122</xdr:row>
      <xdr:rowOff>6362</xdr:rowOff>
    </xdr:to>
    <xdr:sp macro="" textlink="">
      <xdr:nvSpPr>
        <xdr:cNvPr id="309" name="MC_BR_C_drill_moderate_T_mod_discovery">
          <a:extLst>
            <a:ext uri="{FF2B5EF4-FFF2-40B4-BE49-F238E27FC236}">
              <a16:creationId xmlns:a16="http://schemas.microsoft.com/office/drawing/2014/main" id="{27AC4A19-21F6-35E2-6293-B88BAB63D1BA}"/>
            </a:ext>
          </a:extLst>
        </xdr:cNvPr>
        <xdr:cNvSpPr/>
      </xdr:nvSpPr>
      <xdr:spPr>
        <a:xfrm>
          <a:off x="10162981" y="22729825"/>
          <a:ext cx="2871983" cy="403237"/>
        </a:xfrm>
        <a:custGeom>
          <a:avLst/>
          <a:gdLst/>
          <a:ahLst/>
          <a:cxnLst/>
          <a:rect l="0" t="0" r="0" b="0"/>
          <a:pathLst>
            <a:path w="2871983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871982" y="0"/>
              </a:lnTo>
              <a:lnTo>
                <a:pt x="2871982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119</xdr:row>
      <xdr:rowOff>99250</xdr:rowOff>
    </xdr:from>
    <xdr:ext cx="505716" cy="182550"/>
    <xdr:sp macro="_xll.MC_OnBranchLabelClick" textlink="">
      <xdr:nvSpPr>
        <xdr:cNvPr id="310" name="MC_BN_C_drill_moderate_T_mod_discovery">
          <a:extLst>
            <a:ext uri="{FF2B5EF4-FFF2-40B4-BE49-F238E27FC236}">
              <a16:creationId xmlns:a16="http://schemas.microsoft.com/office/drawing/2014/main" id="{E966294F-144F-5A99-1BCB-79F0D2ECFDDC}"/>
            </a:ext>
          </a:extLst>
        </xdr:cNvPr>
        <xdr:cNvSpPr txBox="1"/>
      </xdr:nvSpPr>
      <xdr:spPr>
        <a:xfrm>
          <a:off x="10373360" y="22654450"/>
          <a:ext cx="50571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Discovery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121</xdr:row>
      <xdr:rowOff>184139</xdr:rowOff>
    </xdr:from>
    <xdr:to>
      <xdr:col>6</xdr:col>
      <xdr:colOff>47626</xdr:colOff>
      <xdr:row>124</xdr:row>
      <xdr:rowOff>15876</xdr:rowOff>
    </xdr:to>
    <xdr:sp macro="" textlink="">
      <xdr:nvSpPr>
        <xdr:cNvPr id="311" name="MC_BR_C_drill_moderate_T_mod_shows">
          <a:extLst>
            <a:ext uri="{FF2B5EF4-FFF2-40B4-BE49-F238E27FC236}">
              <a16:creationId xmlns:a16="http://schemas.microsoft.com/office/drawing/2014/main" id="{0C6CE4FF-4067-2AC2-2774-5CC9A1C8C587}"/>
            </a:ext>
          </a:extLst>
        </xdr:cNvPr>
        <xdr:cNvSpPr/>
      </xdr:nvSpPr>
      <xdr:spPr>
        <a:xfrm>
          <a:off x="10162981" y="23120339"/>
          <a:ext cx="2871983" cy="403237"/>
        </a:xfrm>
        <a:custGeom>
          <a:avLst/>
          <a:gdLst/>
          <a:ahLst/>
          <a:cxnLst/>
          <a:rect l="0" t="0" r="0" b="0"/>
          <a:pathLst>
            <a:path w="2871983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871982" y="371486"/>
              </a:lnTo>
              <a:lnTo>
                <a:pt x="2871982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123</xdr:row>
      <xdr:rowOff>99250</xdr:rowOff>
    </xdr:from>
    <xdr:ext cx="363305" cy="182550"/>
    <xdr:sp macro="_xll.MC_OnBranchLabelClick" textlink="">
      <xdr:nvSpPr>
        <xdr:cNvPr id="312" name="MC_BN_C_drill_moderate_T_mod_shows">
          <a:extLst>
            <a:ext uri="{FF2B5EF4-FFF2-40B4-BE49-F238E27FC236}">
              <a16:creationId xmlns:a16="http://schemas.microsoft.com/office/drawing/2014/main" id="{31B35C7D-0A55-F728-4C33-A5583BB8A4BF}"/>
            </a:ext>
          </a:extLst>
        </xdr:cNvPr>
        <xdr:cNvSpPr txBox="1"/>
      </xdr:nvSpPr>
      <xdr:spPr>
        <a:xfrm>
          <a:off x="10373360" y="23416450"/>
          <a:ext cx="36330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Shows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75043</xdr:colOff>
      <xdr:row>121</xdr:row>
      <xdr:rowOff>187110</xdr:rowOff>
    </xdr:from>
    <xdr:to>
      <xdr:col>6</xdr:col>
      <xdr:colOff>47626</xdr:colOff>
      <xdr:row>126</xdr:row>
      <xdr:rowOff>15876</xdr:rowOff>
    </xdr:to>
    <xdr:sp macro="" textlink="">
      <xdr:nvSpPr>
        <xdr:cNvPr id="313" name="MC_BR_C_drill_moderate_T_mod_dry">
          <a:extLst>
            <a:ext uri="{FF2B5EF4-FFF2-40B4-BE49-F238E27FC236}">
              <a16:creationId xmlns:a16="http://schemas.microsoft.com/office/drawing/2014/main" id="{D20AEA0E-938F-DBB6-A7BC-E40C0B1FC171}"/>
            </a:ext>
          </a:extLst>
        </xdr:cNvPr>
        <xdr:cNvSpPr/>
      </xdr:nvSpPr>
      <xdr:spPr>
        <a:xfrm>
          <a:off x="10162018" y="23123310"/>
          <a:ext cx="2872946" cy="781266"/>
        </a:xfrm>
        <a:custGeom>
          <a:avLst/>
          <a:gdLst/>
          <a:ahLst/>
          <a:cxnLst/>
          <a:rect l="0" t="0" r="0" b="0"/>
          <a:pathLst>
            <a:path w="2872946" h="781266">
              <a:moveTo>
                <a:pt x="31016" y="0"/>
              </a:moveTo>
              <a:lnTo>
                <a:pt x="197640" y="762000"/>
              </a:lnTo>
              <a:lnTo>
                <a:pt x="182132" y="749515"/>
              </a:lnTo>
              <a:lnTo>
                <a:pt x="2872945" y="749515"/>
              </a:lnTo>
              <a:lnTo>
                <a:pt x="2872945" y="781265"/>
              </a:lnTo>
              <a:lnTo>
                <a:pt x="182132" y="781265"/>
              </a:lnTo>
              <a:lnTo>
                <a:pt x="166624" y="768780"/>
              </a:lnTo>
              <a:lnTo>
                <a:pt x="0" y="67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125</xdr:row>
      <xdr:rowOff>99250</xdr:rowOff>
    </xdr:from>
    <xdr:ext cx="214931" cy="182550"/>
    <xdr:sp macro="_xll.MC_OnBranchLabelClick" textlink="">
      <xdr:nvSpPr>
        <xdr:cNvPr id="314" name="MC_BN_C_drill_moderate_T_mod_dry">
          <a:extLst>
            <a:ext uri="{FF2B5EF4-FFF2-40B4-BE49-F238E27FC236}">
              <a16:creationId xmlns:a16="http://schemas.microsoft.com/office/drawing/2014/main" id="{DBDDB2E6-4709-CBC5-7B89-52369909705C}"/>
            </a:ext>
          </a:extLst>
        </xdr:cNvPr>
        <xdr:cNvSpPr txBox="1"/>
      </xdr:nvSpPr>
      <xdr:spPr>
        <a:xfrm>
          <a:off x="10373360" y="23797450"/>
          <a:ext cx="21493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Dry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135</xdr:row>
      <xdr:rowOff>184150</xdr:rowOff>
    </xdr:from>
    <xdr:to>
      <xdr:col>4</xdr:col>
      <xdr:colOff>47626</xdr:colOff>
      <xdr:row>142</xdr:row>
      <xdr:rowOff>916</xdr:rowOff>
    </xdr:to>
    <xdr:sp macro="" textlink="">
      <xdr:nvSpPr>
        <xdr:cNvPr id="315" name="MC_BR_C_farmout_C_farmout_result">
          <a:extLst>
            <a:ext uri="{FF2B5EF4-FFF2-40B4-BE49-F238E27FC236}">
              <a16:creationId xmlns:a16="http://schemas.microsoft.com/office/drawing/2014/main" id="{A208867D-0AAB-5B3B-5A29-18BCABD127A2}"/>
            </a:ext>
          </a:extLst>
        </xdr:cNvPr>
        <xdr:cNvSpPr/>
      </xdr:nvSpPr>
      <xdr:spPr>
        <a:xfrm>
          <a:off x="5142042" y="25787350"/>
          <a:ext cx="2435097" cy="1150266"/>
        </a:xfrm>
        <a:custGeom>
          <a:avLst/>
          <a:gdLst/>
          <a:ahLst/>
          <a:cxnLst/>
          <a:rect l="0" t="0" r="0" b="0"/>
          <a:pathLst>
            <a:path w="2435097" h="1150266">
              <a:moveTo>
                <a:pt x="0" y="1148435"/>
              </a:moveTo>
              <a:lnTo>
                <a:pt x="166624" y="5434"/>
              </a:lnTo>
              <a:lnTo>
                <a:pt x="172908" y="0"/>
              </a:lnTo>
              <a:lnTo>
                <a:pt x="2435096" y="0"/>
              </a:lnTo>
              <a:lnTo>
                <a:pt x="2435096" y="12700"/>
              </a:lnTo>
              <a:lnTo>
                <a:pt x="172908" y="12700"/>
              </a:lnTo>
              <a:lnTo>
                <a:pt x="179192" y="7266"/>
              </a:lnTo>
              <a:lnTo>
                <a:pt x="12567" y="1150265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135</xdr:row>
      <xdr:rowOff>99250</xdr:rowOff>
    </xdr:from>
    <xdr:ext cx="1138966" cy="182550"/>
    <xdr:sp macro="_xll.MC_OnBranchLabelClick" textlink="">
      <xdr:nvSpPr>
        <xdr:cNvPr id="316" name="MC_BN_C_farmout_C_farmout_result">
          <a:extLst>
            <a:ext uri="{FF2B5EF4-FFF2-40B4-BE49-F238E27FC236}">
              <a16:creationId xmlns:a16="http://schemas.microsoft.com/office/drawing/2014/main" id="{F2164FBE-FC05-5729-F329-2900B59389BD}"/>
            </a:ext>
          </a:extLst>
        </xdr:cNvPr>
        <xdr:cNvSpPr txBox="1"/>
      </xdr:nvSpPr>
      <xdr:spPr>
        <a:xfrm>
          <a:off x="5344160" y="25702450"/>
          <a:ext cx="113896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Major Operator Takes It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141</xdr:row>
      <xdr:rowOff>187954</xdr:rowOff>
    </xdr:from>
    <xdr:to>
      <xdr:col>4</xdr:col>
      <xdr:colOff>47626</xdr:colOff>
      <xdr:row>144</xdr:row>
      <xdr:rowOff>6351</xdr:rowOff>
    </xdr:to>
    <xdr:sp macro="" textlink="">
      <xdr:nvSpPr>
        <xdr:cNvPr id="317" name="MC_BR_C_farmout_T_farmout_junior">
          <a:extLst>
            <a:ext uri="{FF2B5EF4-FFF2-40B4-BE49-F238E27FC236}">
              <a16:creationId xmlns:a16="http://schemas.microsoft.com/office/drawing/2014/main" id="{0B1578F4-6C5F-6DAF-107F-C5E4FA879E2C}"/>
            </a:ext>
          </a:extLst>
        </xdr:cNvPr>
        <xdr:cNvSpPr/>
      </xdr:nvSpPr>
      <xdr:spPr>
        <a:xfrm>
          <a:off x="5142508" y="26934154"/>
          <a:ext cx="2434631" cy="389897"/>
        </a:xfrm>
        <a:custGeom>
          <a:avLst/>
          <a:gdLst/>
          <a:ahLst/>
          <a:cxnLst/>
          <a:rect l="0" t="0" r="0" b="0"/>
          <a:pathLst>
            <a:path w="2434631" h="389897">
              <a:moveTo>
                <a:pt x="11636" y="0"/>
              </a:moveTo>
              <a:lnTo>
                <a:pt x="178260" y="381000"/>
              </a:lnTo>
              <a:lnTo>
                <a:pt x="172442" y="377196"/>
              </a:lnTo>
              <a:lnTo>
                <a:pt x="2434630" y="377196"/>
              </a:lnTo>
              <a:lnTo>
                <a:pt x="2434630" y="389896"/>
              </a:lnTo>
              <a:lnTo>
                <a:pt x="172442" y="389896"/>
              </a:lnTo>
              <a:lnTo>
                <a:pt x="166624" y="386092"/>
              </a:lnTo>
              <a:lnTo>
                <a:pt x="0" y="509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143</xdr:row>
      <xdr:rowOff>99250</xdr:rowOff>
    </xdr:from>
    <xdr:ext cx="768352" cy="182550"/>
    <xdr:sp macro="_xll.MC_OnBranchLabelClick" textlink="">
      <xdr:nvSpPr>
        <xdr:cNvPr id="318" name="MC_BN_C_farmout_T_farmout_junior">
          <a:extLst>
            <a:ext uri="{FF2B5EF4-FFF2-40B4-BE49-F238E27FC236}">
              <a16:creationId xmlns:a16="http://schemas.microsoft.com/office/drawing/2014/main" id="{37E422C1-3E1F-83FC-1996-4C7F43B87301}"/>
            </a:ext>
          </a:extLst>
        </xdr:cNvPr>
        <xdr:cNvSpPr txBox="1"/>
      </xdr:nvSpPr>
      <xdr:spPr>
        <a:xfrm>
          <a:off x="5344160" y="27226450"/>
          <a:ext cx="76835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Junior Operator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141</xdr:row>
      <xdr:rowOff>189145</xdr:rowOff>
    </xdr:from>
    <xdr:to>
      <xdr:col>4</xdr:col>
      <xdr:colOff>47626</xdr:colOff>
      <xdr:row>146</xdr:row>
      <xdr:rowOff>6351</xdr:rowOff>
    </xdr:to>
    <xdr:sp macro="" textlink="">
      <xdr:nvSpPr>
        <xdr:cNvPr id="319" name="MC_BR_C_farmout_T_farmout_none">
          <a:extLst>
            <a:ext uri="{FF2B5EF4-FFF2-40B4-BE49-F238E27FC236}">
              <a16:creationId xmlns:a16="http://schemas.microsoft.com/office/drawing/2014/main" id="{4192C8AD-811D-D1CF-641C-7816231503EC}"/>
            </a:ext>
          </a:extLst>
        </xdr:cNvPr>
        <xdr:cNvSpPr/>
      </xdr:nvSpPr>
      <xdr:spPr>
        <a:xfrm>
          <a:off x="5142123" y="26935345"/>
          <a:ext cx="2435016" cy="769706"/>
        </a:xfrm>
        <a:custGeom>
          <a:avLst/>
          <a:gdLst/>
          <a:ahLst/>
          <a:cxnLst/>
          <a:rect l="0" t="0" r="0" b="0"/>
          <a:pathLst>
            <a:path w="2435016" h="769706">
              <a:moveTo>
                <a:pt x="12407" y="0"/>
              </a:moveTo>
              <a:lnTo>
                <a:pt x="179030" y="762000"/>
              </a:lnTo>
              <a:lnTo>
                <a:pt x="172827" y="757005"/>
              </a:lnTo>
              <a:lnTo>
                <a:pt x="2435015" y="757005"/>
              </a:lnTo>
              <a:lnTo>
                <a:pt x="2435015" y="769705"/>
              </a:lnTo>
              <a:lnTo>
                <a:pt x="172827" y="769705"/>
              </a:lnTo>
              <a:lnTo>
                <a:pt x="166624" y="764710"/>
              </a:lnTo>
              <a:lnTo>
                <a:pt x="0" y="2710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145</xdr:row>
      <xdr:rowOff>99250</xdr:rowOff>
    </xdr:from>
    <xdr:ext cx="557332" cy="182550"/>
    <xdr:sp macro="_xll.MC_OnBranchLabelClick" textlink="">
      <xdr:nvSpPr>
        <xdr:cNvPr id="320" name="MC_BN_C_farmout_T_farmout_none">
          <a:extLst>
            <a:ext uri="{FF2B5EF4-FFF2-40B4-BE49-F238E27FC236}">
              <a16:creationId xmlns:a16="http://schemas.microsoft.com/office/drawing/2014/main" id="{E63BC153-142B-2D38-B2FF-46A7E125855D}"/>
            </a:ext>
          </a:extLst>
        </xdr:cNvPr>
        <xdr:cNvSpPr txBox="1"/>
      </xdr:nvSpPr>
      <xdr:spPr>
        <a:xfrm>
          <a:off x="5344160" y="27607450"/>
          <a:ext cx="55733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 Interest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133</xdr:row>
      <xdr:rowOff>184150</xdr:rowOff>
    </xdr:from>
    <xdr:to>
      <xdr:col>5</xdr:col>
      <xdr:colOff>47626</xdr:colOff>
      <xdr:row>136</xdr:row>
      <xdr:rowOff>2545</xdr:rowOff>
    </xdr:to>
    <xdr:sp macro="" textlink="">
      <xdr:nvSpPr>
        <xdr:cNvPr id="321" name="MC_BR_C_farmout_result_T_farmout_discovery">
          <a:extLst>
            <a:ext uri="{FF2B5EF4-FFF2-40B4-BE49-F238E27FC236}">
              <a16:creationId xmlns:a16="http://schemas.microsoft.com/office/drawing/2014/main" id="{0CF074ED-6A19-53D0-38EC-68F9071724A6}"/>
            </a:ext>
          </a:extLst>
        </xdr:cNvPr>
        <xdr:cNvSpPr/>
      </xdr:nvSpPr>
      <xdr:spPr>
        <a:xfrm>
          <a:off x="7614245" y="25406350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520355" y="0"/>
              </a:lnTo>
              <a:lnTo>
                <a:pt x="252035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133</xdr:row>
      <xdr:rowOff>99250</xdr:rowOff>
    </xdr:from>
    <xdr:ext cx="1053237" cy="182550"/>
    <xdr:sp macro="_xll.MC_OnBranchLabelClick" textlink="">
      <xdr:nvSpPr>
        <xdr:cNvPr id="322" name="MC_BN_C_farmout_result_T_farmout_discovery">
          <a:extLst>
            <a:ext uri="{FF2B5EF4-FFF2-40B4-BE49-F238E27FC236}">
              <a16:creationId xmlns:a16="http://schemas.microsoft.com/office/drawing/2014/main" id="{2EB53522-FE99-B934-CF28-89D747FBB6C0}"/>
            </a:ext>
          </a:extLst>
        </xdr:cNvPr>
        <xdr:cNvSpPr txBox="1"/>
      </xdr:nvSpPr>
      <xdr:spPr>
        <a:xfrm>
          <a:off x="7815897" y="25321450"/>
          <a:ext cx="105323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Discovery (Your 25%)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135</xdr:row>
      <xdr:rowOff>187956</xdr:rowOff>
    </xdr:from>
    <xdr:to>
      <xdr:col>5</xdr:col>
      <xdr:colOff>47626</xdr:colOff>
      <xdr:row>138</xdr:row>
      <xdr:rowOff>6351</xdr:rowOff>
    </xdr:to>
    <xdr:sp macro="" textlink="">
      <xdr:nvSpPr>
        <xdr:cNvPr id="323" name="MC_BR_C_farmout_result_T_farmout_marginal_r">
          <a:extLst>
            <a:ext uri="{FF2B5EF4-FFF2-40B4-BE49-F238E27FC236}">
              <a16:creationId xmlns:a16="http://schemas.microsoft.com/office/drawing/2014/main" id="{C2FD55F5-DAE3-D2CD-A9D9-A3A2AFD56B3E}"/>
            </a:ext>
          </a:extLst>
        </xdr:cNvPr>
        <xdr:cNvSpPr/>
      </xdr:nvSpPr>
      <xdr:spPr>
        <a:xfrm>
          <a:off x="7614245" y="2579115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7" y="0"/>
              </a:moveTo>
              <a:lnTo>
                <a:pt x="178261" y="380998"/>
              </a:lnTo>
              <a:lnTo>
                <a:pt x="172443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3" y="389894"/>
              </a:lnTo>
              <a:lnTo>
                <a:pt x="166624" y="386090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137</xdr:row>
      <xdr:rowOff>99250</xdr:rowOff>
    </xdr:from>
    <xdr:ext cx="996363" cy="182550"/>
    <xdr:sp macro="_xll.MC_OnBranchLabelClick" textlink="">
      <xdr:nvSpPr>
        <xdr:cNvPr id="324" name="MC_BN_C_farmout_result_T_farmout_marginal_r">
          <a:extLst>
            <a:ext uri="{FF2B5EF4-FFF2-40B4-BE49-F238E27FC236}">
              <a16:creationId xmlns:a16="http://schemas.microsoft.com/office/drawing/2014/main" id="{0F877BB5-7AED-8423-7857-17E5F447AA1C}"/>
            </a:ext>
          </a:extLst>
        </xdr:cNvPr>
        <xdr:cNvSpPr txBox="1"/>
      </xdr:nvSpPr>
      <xdr:spPr>
        <a:xfrm>
          <a:off x="7815897" y="26083450"/>
          <a:ext cx="99636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Marginal (Your 25%)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135</xdr:row>
      <xdr:rowOff>189143</xdr:rowOff>
    </xdr:from>
    <xdr:to>
      <xdr:col>5</xdr:col>
      <xdr:colOff>47626</xdr:colOff>
      <xdr:row>140</xdr:row>
      <xdr:rowOff>6351</xdr:rowOff>
    </xdr:to>
    <xdr:sp macro="" textlink="">
      <xdr:nvSpPr>
        <xdr:cNvPr id="325" name="MC_BR_C_farmout_result_T_farmout_dry">
          <a:extLst>
            <a:ext uri="{FF2B5EF4-FFF2-40B4-BE49-F238E27FC236}">
              <a16:creationId xmlns:a16="http://schemas.microsoft.com/office/drawing/2014/main" id="{8F7F9F2F-6564-C2FF-6E8B-016A19E8874E}"/>
            </a:ext>
          </a:extLst>
        </xdr:cNvPr>
        <xdr:cNvSpPr/>
      </xdr:nvSpPr>
      <xdr:spPr>
        <a:xfrm>
          <a:off x="7613860" y="2579234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1" y="762002"/>
              </a:lnTo>
              <a:lnTo>
                <a:pt x="172828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8" y="769707"/>
              </a:lnTo>
              <a:lnTo>
                <a:pt x="166624" y="764712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139</xdr:row>
      <xdr:rowOff>99250</xdr:rowOff>
    </xdr:from>
    <xdr:ext cx="454420" cy="182550"/>
    <xdr:sp macro="_xll.MC_OnBranchLabelClick" textlink="">
      <xdr:nvSpPr>
        <xdr:cNvPr id="326" name="MC_BN_C_farmout_result_T_farmout_dry">
          <a:extLst>
            <a:ext uri="{FF2B5EF4-FFF2-40B4-BE49-F238E27FC236}">
              <a16:creationId xmlns:a16="http://schemas.microsoft.com/office/drawing/2014/main" id="{125BDD70-33AE-8FEE-900C-C100B10295F1}"/>
            </a:ext>
          </a:extLst>
        </xdr:cNvPr>
        <xdr:cNvSpPr txBox="1"/>
      </xdr:nvSpPr>
      <xdr:spPr>
        <a:xfrm>
          <a:off x="7815897" y="26464450"/>
          <a:ext cx="45442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Dry Hole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7</xdr:col>
      <xdr:colOff>4763</xdr:colOff>
      <xdr:row>25</xdr:row>
      <xdr:rowOff>109537</xdr:rowOff>
    </xdr:from>
    <xdr:to>
      <xdr:col>7</xdr:col>
      <xdr:colOff>176213</xdr:colOff>
      <xdr:row>26</xdr:row>
      <xdr:rowOff>80962</xdr:rowOff>
    </xdr:to>
    <xdr:sp macro="_xll.MC_OnNodeClick" textlink="">
      <xdr:nvSpPr>
        <xdr:cNvPr id="327" name="MC_T_major_hh">
          <a:extLst>
            <a:ext uri="{FF2B5EF4-FFF2-40B4-BE49-F238E27FC236}">
              <a16:creationId xmlns:a16="http://schemas.microsoft.com/office/drawing/2014/main" id="{D1ADEDEF-F177-4C64-48B0-005BC4E4DA24}"/>
            </a:ext>
          </a:extLst>
        </xdr:cNvPr>
        <xdr:cNvSpPr/>
      </xdr:nvSpPr>
      <xdr:spPr>
        <a:xfrm rot="16200000">
          <a:off x="15468600" y="4752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9525</xdr:colOff>
      <xdr:row>27</xdr:row>
      <xdr:rowOff>109538</xdr:rowOff>
    </xdr:from>
    <xdr:to>
      <xdr:col>6</xdr:col>
      <xdr:colOff>180975</xdr:colOff>
      <xdr:row>28</xdr:row>
      <xdr:rowOff>80963</xdr:rowOff>
    </xdr:to>
    <xdr:sp macro="_xll.MC_OnNodeClick" textlink="">
      <xdr:nvSpPr>
        <xdr:cNvPr id="328" name="MC_C_price_major_high">
          <a:extLst>
            <a:ext uri="{FF2B5EF4-FFF2-40B4-BE49-F238E27FC236}">
              <a16:creationId xmlns:a16="http://schemas.microsoft.com/office/drawing/2014/main" id="{FFEC7C5A-AEDF-8F93-7646-50B54189B77D}"/>
            </a:ext>
          </a:extLst>
        </xdr:cNvPr>
        <xdr:cNvSpPr/>
      </xdr:nvSpPr>
      <xdr:spPr>
        <a:xfrm>
          <a:off x="12996863" y="513873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29</xdr:row>
      <xdr:rowOff>109537</xdr:rowOff>
    </xdr:from>
    <xdr:to>
      <xdr:col>7</xdr:col>
      <xdr:colOff>176213</xdr:colOff>
      <xdr:row>30</xdr:row>
      <xdr:rowOff>80962</xdr:rowOff>
    </xdr:to>
    <xdr:sp macro="_xll.MC_OnNodeClick" textlink="">
      <xdr:nvSpPr>
        <xdr:cNvPr id="329" name="MC_T_major_hm">
          <a:extLst>
            <a:ext uri="{FF2B5EF4-FFF2-40B4-BE49-F238E27FC236}">
              <a16:creationId xmlns:a16="http://schemas.microsoft.com/office/drawing/2014/main" id="{4ABE3632-D85E-8941-D5D8-13B4B022C7B9}"/>
            </a:ext>
          </a:extLst>
        </xdr:cNvPr>
        <xdr:cNvSpPr/>
      </xdr:nvSpPr>
      <xdr:spPr>
        <a:xfrm rot="16200000">
          <a:off x="15468600" y="5514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31</xdr:row>
      <xdr:rowOff>109537</xdr:rowOff>
    </xdr:from>
    <xdr:to>
      <xdr:col>7</xdr:col>
      <xdr:colOff>176213</xdr:colOff>
      <xdr:row>32</xdr:row>
      <xdr:rowOff>80962</xdr:rowOff>
    </xdr:to>
    <xdr:sp macro="_xll.MC_OnNodeClick" textlink="">
      <xdr:nvSpPr>
        <xdr:cNvPr id="330" name="MC_T_major_hl">
          <a:extLst>
            <a:ext uri="{FF2B5EF4-FFF2-40B4-BE49-F238E27FC236}">
              <a16:creationId xmlns:a16="http://schemas.microsoft.com/office/drawing/2014/main" id="{D135EF27-17AD-33BB-60F3-ED7EA52E3280}"/>
            </a:ext>
          </a:extLst>
        </xdr:cNvPr>
        <xdr:cNvSpPr/>
      </xdr:nvSpPr>
      <xdr:spPr>
        <a:xfrm rot="16200000">
          <a:off x="15468600" y="5895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33</xdr:row>
      <xdr:rowOff>109538</xdr:rowOff>
    </xdr:from>
    <xdr:to>
      <xdr:col>5</xdr:col>
      <xdr:colOff>180975</xdr:colOff>
      <xdr:row>34</xdr:row>
      <xdr:rowOff>80963</xdr:rowOff>
    </xdr:to>
    <xdr:sp macro="_xll.MC_OnNodeClick" textlink="">
      <xdr:nvSpPr>
        <xdr:cNvPr id="331" name="MC_C_dev_major">
          <a:extLst>
            <a:ext uri="{FF2B5EF4-FFF2-40B4-BE49-F238E27FC236}">
              <a16:creationId xmlns:a16="http://schemas.microsoft.com/office/drawing/2014/main" id="{0E15CFEF-3289-0EA0-59C7-433E0322A71E}"/>
            </a:ext>
          </a:extLst>
        </xdr:cNvPr>
        <xdr:cNvSpPr/>
      </xdr:nvSpPr>
      <xdr:spPr>
        <a:xfrm>
          <a:off x="10096500" y="628173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35</xdr:row>
      <xdr:rowOff>109537</xdr:rowOff>
    </xdr:from>
    <xdr:to>
      <xdr:col>7</xdr:col>
      <xdr:colOff>176213</xdr:colOff>
      <xdr:row>36</xdr:row>
      <xdr:rowOff>80962</xdr:rowOff>
    </xdr:to>
    <xdr:sp macro="_xll.MC_OnNodeClick" textlink="">
      <xdr:nvSpPr>
        <xdr:cNvPr id="332" name="MC_T_major_mh">
          <a:extLst>
            <a:ext uri="{FF2B5EF4-FFF2-40B4-BE49-F238E27FC236}">
              <a16:creationId xmlns:a16="http://schemas.microsoft.com/office/drawing/2014/main" id="{0AF93D91-88BA-1B59-4B24-18C21034D775}"/>
            </a:ext>
          </a:extLst>
        </xdr:cNvPr>
        <xdr:cNvSpPr/>
      </xdr:nvSpPr>
      <xdr:spPr>
        <a:xfrm rot="16200000">
          <a:off x="15468600" y="6657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9525</xdr:colOff>
      <xdr:row>37</xdr:row>
      <xdr:rowOff>109538</xdr:rowOff>
    </xdr:from>
    <xdr:to>
      <xdr:col>6</xdr:col>
      <xdr:colOff>180975</xdr:colOff>
      <xdr:row>38</xdr:row>
      <xdr:rowOff>80963</xdr:rowOff>
    </xdr:to>
    <xdr:sp macro="_xll.MC_OnNodeClick" textlink="">
      <xdr:nvSpPr>
        <xdr:cNvPr id="333" name="MC_C_price_major_med">
          <a:extLst>
            <a:ext uri="{FF2B5EF4-FFF2-40B4-BE49-F238E27FC236}">
              <a16:creationId xmlns:a16="http://schemas.microsoft.com/office/drawing/2014/main" id="{A4A03A66-82CD-2DD7-357C-0E1A8C46B4E6}"/>
            </a:ext>
          </a:extLst>
        </xdr:cNvPr>
        <xdr:cNvSpPr/>
      </xdr:nvSpPr>
      <xdr:spPr>
        <a:xfrm>
          <a:off x="12996863" y="704373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39</xdr:row>
      <xdr:rowOff>109537</xdr:rowOff>
    </xdr:from>
    <xdr:to>
      <xdr:col>7</xdr:col>
      <xdr:colOff>176213</xdr:colOff>
      <xdr:row>40</xdr:row>
      <xdr:rowOff>80962</xdr:rowOff>
    </xdr:to>
    <xdr:sp macro="_xll.MC_OnNodeClick" textlink="">
      <xdr:nvSpPr>
        <xdr:cNvPr id="334" name="MC_T_major_mm">
          <a:extLst>
            <a:ext uri="{FF2B5EF4-FFF2-40B4-BE49-F238E27FC236}">
              <a16:creationId xmlns:a16="http://schemas.microsoft.com/office/drawing/2014/main" id="{376C0B91-9FBA-C716-C763-E4DB602E449B}"/>
            </a:ext>
          </a:extLst>
        </xdr:cNvPr>
        <xdr:cNvSpPr/>
      </xdr:nvSpPr>
      <xdr:spPr>
        <a:xfrm rot="16200000">
          <a:off x="15468600" y="7419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41</xdr:row>
      <xdr:rowOff>109537</xdr:rowOff>
    </xdr:from>
    <xdr:to>
      <xdr:col>7</xdr:col>
      <xdr:colOff>176213</xdr:colOff>
      <xdr:row>42</xdr:row>
      <xdr:rowOff>80962</xdr:rowOff>
    </xdr:to>
    <xdr:sp macro="_xll.MC_OnNodeClick" textlink="">
      <xdr:nvSpPr>
        <xdr:cNvPr id="335" name="MC_T_major_ml">
          <a:extLst>
            <a:ext uri="{FF2B5EF4-FFF2-40B4-BE49-F238E27FC236}">
              <a16:creationId xmlns:a16="http://schemas.microsoft.com/office/drawing/2014/main" id="{9CA2C986-95AE-9DD0-0F77-99B08F0CFF47}"/>
            </a:ext>
          </a:extLst>
        </xdr:cNvPr>
        <xdr:cNvSpPr/>
      </xdr:nvSpPr>
      <xdr:spPr>
        <a:xfrm rot="16200000">
          <a:off x="15468600" y="7800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43</xdr:row>
      <xdr:rowOff>109537</xdr:rowOff>
    </xdr:from>
    <xdr:to>
      <xdr:col>7</xdr:col>
      <xdr:colOff>176213</xdr:colOff>
      <xdr:row>44</xdr:row>
      <xdr:rowOff>80962</xdr:rowOff>
    </xdr:to>
    <xdr:sp macro="_xll.MC_OnNodeClick" textlink="">
      <xdr:nvSpPr>
        <xdr:cNvPr id="336" name="MC_T_major_lh">
          <a:extLst>
            <a:ext uri="{FF2B5EF4-FFF2-40B4-BE49-F238E27FC236}">
              <a16:creationId xmlns:a16="http://schemas.microsoft.com/office/drawing/2014/main" id="{A712B4DC-DD3E-9E09-C173-F861F5B666C4}"/>
            </a:ext>
          </a:extLst>
        </xdr:cNvPr>
        <xdr:cNvSpPr/>
      </xdr:nvSpPr>
      <xdr:spPr>
        <a:xfrm rot="16200000">
          <a:off x="15468600" y="8181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9525</xdr:colOff>
      <xdr:row>45</xdr:row>
      <xdr:rowOff>109538</xdr:rowOff>
    </xdr:from>
    <xdr:to>
      <xdr:col>6</xdr:col>
      <xdr:colOff>180975</xdr:colOff>
      <xdr:row>46</xdr:row>
      <xdr:rowOff>80963</xdr:rowOff>
    </xdr:to>
    <xdr:sp macro="_xll.MC_OnNodeClick" textlink="">
      <xdr:nvSpPr>
        <xdr:cNvPr id="337" name="MC_C_price_major_low">
          <a:extLst>
            <a:ext uri="{FF2B5EF4-FFF2-40B4-BE49-F238E27FC236}">
              <a16:creationId xmlns:a16="http://schemas.microsoft.com/office/drawing/2014/main" id="{5CF562D2-4389-8CD0-9892-66503B9DAAD6}"/>
            </a:ext>
          </a:extLst>
        </xdr:cNvPr>
        <xdr:cNvSpPr/>
      </xdr:nvSpPr>
      <xdr:spPr>
        <a:xfrm>
          <a:off x="12996863" y="856773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47</xdr:row>
      <xdr:rowOff>109537</xdr:rowOff>
    </xdr:from>
    <xdr:to>
      <xdr:col>7</xdr:col>
      <xdr:colOff>176213</xdr:colOff>
      <xdr:row>48</xdr:row>
      <xdr:rowOff>80962</xdr:rowOff>
    </xdr:to>
    <xdr:sp macro="_xll.MC_OnNodeClick" textlink="">
      <xdr:nvSpPr>
        <xdr:cNvPr id="338" name="MC_T_major_lm">
          <a:extLst>
            <a:ext uri="{FF2B5EF4-FFF2-40B4-BE49-F238E27FC236}">
              <a16:creationId xmlns:a16="http://schemas.microsoft.com/office/drawing/2014/main" id="{6C2DACA6-58E5-E568-B24B-1BC6C389D84F}"/>
            </a:ext>
          </a:extLst>
        </xdr:cNvPr>
        <xdr:cNvSpPr/>
      </xdr:nvSpPr>
      <xdr:spPr>
        <a:xfrm rot="16200000">
          <a:off x="15468600" y="8943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49</xdr:row>
      <xdr:rowOff>109537</xdr:rowOff>
    </xdr:from>
    <xdr:to>
      <xdr:col>7</xdr:col>
      <xdr:colOff>176213</xdr:colOff>
      <xdr:row>50</xdr:row>
      <xdr:rowOff>80962</xdr:rowOff>
    </xdr:to>
    <xdr:sp macro="_xll.MC_OnNodeClick" textlink="">
      <xdr:nvSpPr>
        <xdr:cNvPr id="339" name="MC_T_major_ll">
          <a:extLst>
            <a:ext uri="{FF2B5EF4-FFF2-40B4-BE49-F238E27FC236}">
              <a16:creationId xmlns:a16="http://schemas.microsoft.com/office/drawing/2014/main" id="{B734712A-3092-A746-9137-128F61EF36FF}"/>
            </a:ext>
          </a:extLst>
        </xdr:cNvPr>
        <xdr:cNvSpPr/>
      </xdr:nvSpPr>
      <xdr:spPr>
        <a:xfrm rot="16200000">
          <a:off x="15468600" y="9324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51</xdr:row>
      <xdr:rowOff>109538</xdr:rowOff>
    </xdr:from>
    <xdr:to>
      <xdr:col>4</xdr:col>
      <xdr:colOff>180975</xdr:colOff>
      <xdr:row>52</xdr:row>
      <xdr:rowOff>80963</xdr:rowOff>
    </xdr:to>
    <xdr:sp macro="_xll.MC_OnNodeClick" textlink="">
      <xdr:nvSpPr>
        <xdr:cNvPr id="340" name="MC_D_appraise_major">
          <a:extLst>
            <a:ext uri="{FF2B5EF4-FFF2-40B4-BE49-F238E27FC236}">
              <a16:creationId xmlns:a16="http://schemas.microsoft.com/office/drawing/2014/main" id="{A34F5811-783F-FCCA-3FB8-A09EB953145B}"/>
            </a:ext>
          </a:extLst>
        </xdr:cNvPr>
        <xdr:cNvSpPr/>
      </xdr:nvSpPr>
      <xdr:spPr>
        <a:xfrm>
          <a:off x="7539038" y="971073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53</xdr:row>
      <xdr:rowOff>109537</xdr:rowOff>
    </xdr:from>
    <xdr:to>
      <xdr:col>6</xdr:col>
      <xdr:colOff>176213</xdr:colOff>
      <xdr:row>54</xdr:row>
      <xdr:rowOff>80962</xdr:rowOff>
    </xdr:to>
    <xdr:sp macro="_xll.MC_OnNodeClick" textlink="">
      <xdr:nvSpPr>
        <xdr:cNvPr id="341" name="MC_T_appr_confirmed">
          <a:extLst>
            <a:ext uri="{FF2B5EF4-FFF2-40B4-BE49-F238E27FC236}">
              <a16:creationId xmlns:a16="http://schemas.microsoft.com/office/drawing/2014/main" id="{368313A9-E3A0-B532-9E77-FE0758FAAE16}"/>
            </a:ext>
          </a:extLst>
        </xdr:cNvPr>
        <xdr:cNvSpPr/>
      </xdr:nvSpPr>
      <xdr:spPr>
        <a:xfrm rot="16200000">
          <a:off x="12996863" y="10086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55</xdr:row>
      <xdr:rowOff>109538</xdr:rowOff>
    </xdr:from>
    <xdr:to>
      <xdr:col>5</xdr:col>
      <xdr:colOff>180975</xdr:colOff>
      <xdr:row>56</xdr:row>
      <xdr:rowOff>80963</xdr:rowOff>
    </xdr:to>
    <xdr:sp macro="_xll.MC_OnNodeClick" textlink="">
      <xdr:nvSpPr>
        <xdr:cNvPr id="342" name="MC_C_appraisal_major">
          <a:extLst>
            <a:ext uri="{FF2B5EF4-FFF2-40B4-BE49-F238E27FC236}">
              <a16:creationId xmlns:a16="http://schemas.microsoft.com/office/drawing/2014/main" id="{78DAC709-3290-EF26-ABCB-74FA22903D49}"/>
            </a:ext>
          </a:extLst>
        </xdr:cNvPr>
        <xdr:cNvSpPr/>
      </xdr:nvSpPr>
      <xdr:spPr>
        <a:xfrm>
          <a:off x="10096500" y="1047273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57</xdr:row>
      <xdr:rowOff>109537</xdr:rowOff>
    </xdr:from>
    <xdr:to>
      <xdr:col>6</xdr:col>
      <xdr:colOff>176213</xdr:colOff>
      <xdr:row>58</xdr:row>
      <xdr:rowOff>80962</xdr:rowOff>
    </xdr:to>
    <xdr:sp macro="_xll.MC_OnNodeClick" textlink="">
      <xdr:nvSpPr>
        <xdr:cNvPr id="343" name="MC_T_appr_smaller">
          <a:extLst>
            <a:ext uri="{FF2B5EF4-FFF2-40B4-BE49-F238E27FC236}">
              <a16:creationId xmlns:a16="http://schemas.microsoft.com/office/drawing/2014/main" id="{EBE431EE-2B29-C82A-1961-D533414FD260}"/>
            </a:ext>
          </a:extLst>
        </xdr:cNvPr>
        <xdr:cNvSpPr/>
      </xdr:nvSpPr>
      <xdr:spPr>
        <a:xfrm rot="16200000">
          <a:off x="12996863" y="10848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59</xdr:row>
      <xdr:rowOff>109537</xdr:rowOff>
    </xdr:from>
    <xdr:to>
      <xdr:col>6</xdr:col>
      <xdr:colOff>176213</xdr:colOff>
      <xdr:row>60</xdr:row>
      <xdr:rowOff>80962</xdr:rowOff>
    </xdr:to>
    <xdr:sp macro="_xll.MC_OnNodeClick" textlink="">
      <xdr:nvSpPr>
        <xdr:cNvPr id="344" name="MC_T_appr_uneconomic">
          <a:extLst>
            <a:ext uri="{FF2B5EF4-FFF2-40B4-BE49-F238E27FC236}">
              <a16:creationId xmlns:a16="http://schemas.microsoft.com/office/drawing/2014/main" id="{FB78A961-FE98-81E3-4E80-320681FCB4D5}"/>
            </a:ext>
          </a:extLst>
        </xdr:cNvPr>
        <xdr:cNvSpPr/>
      </xdr:nvSpPr>
      <xdr:spPr>
        <a:xfrm rot="16200000">
          <a:off x="12996863" y="11229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61</xdr:row>
      <xdr:rowOff>109537</xdr:rowOff>
    </xdr:from>
    <xdr:to>
      <xdr:col>5</xdr:col>
      <xdr:colOff>176213</xdr:colOff>
      <xdr:row>62</xdr:row>
      <xdr:rowOff>80962</xdr:rowOff>
    </xdr:to>
    <xdr:sp macro="_xll.MC_OnNodeClick" textlink="">
      <xdr:nvSpPr>
        <xdr:cNvPr id="345" name="MC_T_sell_major">
          <a:extLst>
            <a:ext uri="{FF2B5EF4-FFF2-40B4-BE49-F238E27FC236}">
              <a16:creationId xmlns:a16="http://schemas.microsoft.com/office/drawing/2014/main" id="{717A46D2-644A-88A4-B5C2-714DE56A11E5}"/>
            </a:ext>
          </a:extLst>
        </xdr:cNvPr>
        <xdr:cNvSpPr/>
      </xdr:nvSpPr>
      <xdr:spPr>
        <a:xfrm rot="16200000">
          <a:off x="10096500" y="11610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63</xdr:row>
      <xdr:rowOff>109538</xdr:rowOff>
    </xdr:from>
    <xdr:to>
      <xdr:col>3</xdr:col>
      <xdr:colOff>180975</xdr:colOff>
      <xdr:row>64</xdr:row>
      <xdr:rowOff>80963</xdr:rowOff>
    </xdr:to>
    <xdr:sp macro="_xll.MC_OnNodeClick" textlink="">
      <xdr:nvSpPr>
        <xdr:cNvPr id="346" name="MC_C_seismic">
          <a:extLst>
            <a:ext uri="{FF2B5EF4-FFF2-40B4-BE49-F238E27FC236}">
              <a16:creationId xmlns:a16="http://schemas.microsoft.com/office/drawing/2014/main" id="{04CA604D-EC27-5C21-A2B8-A6A2EBF7077B}"/>
            </a:ext>
          </a:extLst>
        </xdr:cNvPr>
        <xdr:cNvSpPr/>
      </xdr:nvSpPr>
      <xdr:spPr>
        <a:xfrm>
          <a:off x="5067300" y="1199673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65</xdr:row>
      <xdr:rowOff>109537</xdr:rowOff>
    </xdr:from>
    <xdr:to>
      <xdr:col>6</xdr:col>
      <xdr:colOff>176213</xdr:colOff>
      <xdr:row>66</xdr:row>
      <xdr:rowOff>80962</xdr:rowOff>
    </xdr:to>
    <xdr:sp macro="_xll.MC_OnNodeClick" textlink="">
      <xdr:nvSpPr>
        <xdr:cNvPr id="347" name="MC_T_sig_high">
          <a:extLst>
            <a:ext uri="{FF2B5EF4-FFF2-40B4-BE49-F238E27FC236}">
              <a16:creationId xmlns:a16="http://schemas.microsoft.com/office/drawing/2014/main" id="{B490B7BE-4703-0255-726E-A07B2555C472}"/>
            </a:ext>
          </a:extLst>
        </xdr:cNvPr>
        <xdr:cNvSpPr/>
      </xdr:nvSpPr>
      <xdr:spPr>
        <a:xfrm rot="16200000">
          <a:off x="12996863" y="12372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67</xdr:row>
      <xdr:rowOff>109538</xdr:rowOff>
    </xdr:from>
    <xdr:to>
      <xdr:col>5</xdr:col>
      <xdr:colOff>180975</xdr:colOff>
      <xdr:row>68</xdr:row>
      <xdr:rowOff>80963</xdr:rowOff>
    </xdr:to>
    <xdr:sp macro="_xll.MC_OnNodeClick" textlink="">
      <xdr:nvSpPr>
        <xdr:cNvPr id="348" name="MC_C_price_sig">
          <a:extLst>
            <a:ext uri="{FF2B5EF4-FFF2-40B4-BE49-F238E27FC236}">
              <a16:creationId xmlns:a16="http://schemas.microsoft.com/office/drawing/2014/main" id="{8DC487A9-3CCB-7A27-D344-6A0FCD77A3A8}"/>
            </a:ext>
          </a:extLst>
        </xdr:cNvPr>
        <xdr:cNvSpPr/>
      </xdr:nvSpPr>
      <xdr:spPr>
        <a:xfrm>
          <a:off x="10096500" y="1275873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69</xdr:row>
      <xdr:rowOff>109537</xdr:rowOff>
    </xdr:from>
    <xdr:to>
      <xdr:col>6</xdr:col>
      <xdr:colOff>176213</xdr:colOff>
      <xdr:row>70</xdr:row>
      <xdr:rowOff>80962</xdr:rowOff>
    </xdr:to>
    <xdr:sp macro="_xll.MC_OnNodeClick" textlink="">
      <xdr:nvSpPr>
        <xdr:cNvPr id="349" name="MC_T_sig_mid">
          <a:extLst>
            <a:ext uri="{FF2B5EF4-FFF2-40B4-BE49-F238E27FC236}">
              <a16:creationId xmlns:a16="http://schemas.microsoft.com/office/drawing/2014/main" id="{97EE16C9-AA89-7393-2957-802E92B5569B}"/>
            </a:ext>
          </a:extLst>
        </xdr:cNvPr>
        <xdr:cNvSpPr/>
      </xdr:nvSpPr>
      <xdr:spPr>
        <a:xfrm rot="16200000">
          <a:off x="12996863" y="13134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71</xdr:row>
      <xdr:rowOff>109537</xdr:rowOff>
    </xdr:from>
    <xdr:to>
      <xdr:col>6</xdr:col>
      <xdr:colOff>176213</xdr:colOff>
      <xdr:row>72</xdr:row>
      <xdr:rowOff>80962</xdr:rowOff>
    </xdr:to>
    <xdr:sp macro="_xll.MC_OnNodeClick" textlink="">
      <xdr:nvSpPr>
        <xdr:cNvPr id="350" name="MC_T_sig_low">
          <a:extLst>
            <a:ext uri="{FF2B5EF4-FFF2-40B4-BE49-F238E27FC236}">
              <a16:creationId xmlns:a16="http://schemas.microsoft.com/office/drawing/2014/main" id="{EF6E8995-6557-F2FE-AFDE-33708E6B6D6C}"/>
            </a:ext>
          </a:extLst>
        </xdr:cNvPr>
        <xdr:cNvSpPr/>
      </xdr:nvSpPr>
      <xdr:spPr>
        <a:xfrm rot="16200000">
          <a:off x="12996863" y="13515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73</xdr:row>
      <xdr:rowOff>109538</xdr:rowOff>
    </xdr:from>
    <xdr:to>
      <xdr:col>4</xdr:col>
      <xdr:colOff>180975</xdr:colOff>
      <xdr:row>74</xdr:row>
      <xdr:rowOff>80963</xdr:rowOff>
    </xdr:to>
    <xdr:sp macro="_xll.MC_OnNodeClick" textlink="">
      <xdr:nvSpPr>
        <xdr:cNvPr id="351" name="MC_D_appraise_sig">
          <a:extLst>
            <a:ext uri="{FF2B5EF4-FFF2-40B4-BE49-F238E27FC236}">
              <a16:creationId xmlns:a16="http://schemas.microsoft.com/office/drawing/2014/main" id="{6CF92A59-4F96-B1E3-99AC-DA160D547452}"/>
            </a:ext>
          </a:extLst>
        </xdr:cNvPr>
        <xdr:cNvSpPr/>
      </xdr:nvSpPr>
      <xdr:spPr>
        <a:xfrm>
          <a:off x="7539038" y="1390173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75</xdr:row>
      <xdr:rowOff>109537</xdr:rowOff>
    </xdr:from>
    <xdr:to>
      <xdr:col>6</xdr:col>
      <xdr:colOff>176213</xdr:colOff>
      <xdr:row>76</xdr:row>
      <xdr:rowOff>80962</xdr:rowOff>
    </xdr:to>
    <xdr:sp macro="_xll.MC_OnNodeClick" textlink="">
      <xdr:nvSpPr>
        <xdr:cNvPr id="352" name="MC_T_appr_sig_up">
          <a:extLst>
            <a:ext uri="{FF2B5EF4-FFF2-40B4-BE49-F238E27FC236}">
              <a16:creationId xmlns:a16="http://schemas.microsoft.com/office/drawing/2014/main" id="{75C7D381-9484-1C61-926F-627C34F58204}"/>
            </a:ext>
          </a:extLst>
        </xdr:cNvPr>
        <xdr:cNvSpPr/>
      </xdr:nvSpPr>
      <xdr:spPr>
        <a:xfrm rot="16200000">
          <a:off x="12996863" y="14277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77</xdr:row>
      <xdr:rowOff>109538</xdr:rowOff>
    </xdr:from>
    <xdr:to>
      <xdr:col>5</xdr:col>
      <xdr:colOff>180975</xdr:colOff>
      <xdr:row>78</xdr:row>
      <xdr:rowOff>80963</xdr:rowOff>
    </xdr:to>
    <xdr:sp macro="_xll.MC_OnNodeClick" textlink="">
      <xdr:nvSpPr>
        <xdr:cNvPr id="353" name="MC_C_appr_sig">
          <a:extLst>
            <a:ext uri="{FF2B5EF4-FFF2-40B4-BE49-F238E27FC236}">
              <a16:creationId xmlns:a16="http://schemas.microsoft.com/office/drawing/2014/main" id="{0B5DA7B6-89D3-9AB0-AFF2-A3682C24BE44}"/>
            </a:ext>
          </a:extLst>
        </xdr:cNvPr>
        <xdr:cNvSpPr/>
      </xdr:nvSpPr>
      <xdr:spPr>
        <a:xfrm>
          <a:off x="10096500" y="1466373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79</xdr:row>
      <xdr:rowOff>109537</xdr:rowOff>
    </xdr:from>
    <xdr:to>
      <xdr:col>6</xdr:col>
      <xdr:colOff>176213</xdr:colOff>
      <xdr:row>80</xdr:row>
      <xdr:rowOff>80962</xdr:rowOff>
    </xdr:to>
    <xdr:sp macro="_xll.MC_OnNodeClick" textlink="">
      <xdr:nvSpPr>
        <xdr:cNvPr id="354" name="MC_T_appr_sig_conf">
          <a:extLst>
            <a:ext uri="{FF2B5EF4-FFF2-40B4-BE49-F238E27FC236}">
              <a16:creationId xmlns:a16="http://schemas.microsoft.com/office/drawing/2014/main" id="{7441EBC0-02C4-229A-20EF-03C9AD06A5BB}"/>
            </a:ext>
          </a:extLst>
        </xdr:cNvPr>
        <xdr:cNvSpPr/>
      </xdr:nvSpPr>
      <xdr:spPr>
        <a:xfrm rot="16200000">
          <a:off x="12996863" y="15039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81</xdr:row>
      <xdr:rowOff>109537</xdr:rowOff>
    </xdr:from>
    <xdr:to>
      <xdr:col>6</xdr:col>
      <xdr:colOff>176213</xdr:colOff>
      <xdr:row>82</xdr:row>
      <xdr:rowOff>80962</xdr:rowOff>
    </xdr:to>
    <xdr:sp macro="_xll.MC_OnNodeClick" textlink="">
      <xdr:nvSpPr>
        <xdr:cNvPr id="355" name="MC_T_appr_sig_down">
          <a:extLst>
            <a:ext uri="{FF2B5EF4-FFF2-40B4-BE49-F238E27FC236}">
              <a16:creationId xmlns:a16="http://schemas.microsoft.com/office/drawing/2014/main" id="{303FF641-9136-551B-773D-98AF87557A43}"/>
            </a:ext>
          </a:extLst>
        </xdr:cNvPr>
        <xdr:cNvSpPr/>
      </xdr:nvSpPr>
      <xdr:spPr>
        <a:xfrm rot="16200000">
          <a:off x="12996863" y="15420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83</xdr:row>
      <xdr:rowOff>109537</xdr:rowOff>
    </xdr:from>
    <xdr:to>
      <xdr:col>5</xdr:col>
      <xdr:colOff>176213</xdr:colOff>
      <xdr:row>84</xdr:row>
      <xdr:rowOff>80962</xdr:rowOff>
    </xdr:to>
    <xdr:sp macro="_xll.MC_OnNodeClick" textlink="">
      <xdr:nvSpPr>
        <xdr:cNvPr id="356" name="MC_T_sell_sig">
          <a:extLst>
            <a:ext uri="{FF2B5EF4-FFF2-40B4-BE49-F238E27FC236}">
              <a16:creationId xmlns:a16="http://schemas.microsoft.com/office/drawing/2014/main" id="{56B13C53-3070-CBCE-A18B-6872F29E5DFD}"/>
            </a:ext>
          </a:extLst>
        </xdr:cNvPr>
        <xdr:cNvSpPr/>
      </xdr:nvSpPr>
      <xdr:spPr>
        <a:xfrm rot="16200000">
          <a:off x="10096500" y="15801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85</xdr:row>
      <xdr:rowOff>109537</xdr:rowOff>
    </xdr:from>
    <xdr:to>
      <xdr:col>6</xdr:col>
      <xdr:colOff>176213</xdr:colOff>
      <xdr:row>86</xdr:row>
      <xdr:rowOff>80962</xdr:rowOff>
    </xdr:to>
    <xdr:sp macro="_xll.MC_OnNodeClick" textlink="">
      <xdr:nvSpPr>
        <xdr:cNvPr id="357" name="MC_T_tieback_ok">
          <a:extLst>
            <a:ext uri="{FF2B5EF4-FFF2-40B4-BE49-F238E27FC236}">
              <a16:creationId xmlns:a16="http://schemas.microsoft.com/office/drawing/2014/main" id="{EA4E2B23-79BE-D138-2F9E-4FFC42075DC9}"/>
            </a:ext>
          </a:extLst>
        </xdr:cNvPr>
        <xdr:cNvSpPr/>
      </xdr:nvSpPr>
      <xdr:spPr>
        <a:xfrm rot="16200000">
          <a:off x="12996863" y="16182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87</xdr:row>
      <xdr:rowOff>109538</xdr:rowOff>
    </xdr:from>
    <xdr:to>
      <xdr:col>5</xdr:col>
      <xdr:colOff>180975</xdr:colOff>
      <xdr:row>88</xdr:row>
      <xdr:rowOff>80963</xdr:rowOff>
    </xdr:to>
    <xdr:sp macro="_xll.MC_OnNodeClick" textlink="">
      <xdr:nvSpPr>
        <xdr:cNvPr id="358" name="MC_C_tieback">
          <a:extLst>
            <a:ext uri="{FF2B5EF4-FFF2-40B4-BE49-F238E27FC236}">
              <a16:creationId xmlns:a16="http://schemas.microsoft.com/office/drawing/2014/main" id="{F57CBF3A-BD7D-9E9F-7231-187101880FC4}"/>
            </a:ext>
          </a:extLst>
        </xdr:cNvPr>
        <xdr:cNvSpPr/>
      </xdr:nvSpPr>
      <xdr:spPr>
        <a:xfrm>
          <a:off x="10096500" y="1656873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89</xdr:row>
      <xdr:rowOff>109537</xdr:rowOff>
    </xdr:from>
    <xdr:to>
      <xdr:col>6</xdr:col>
      <xdr:colOff>176213</xdr:colOff>
      <xdr:row>90</xdr:row>
      <xdr:rowOff>80962</xdr:rowOff>
    </xdr:to>
    <xdr:sp macro="_xll.MC_OnNodeClick" textlink="">
      <xdr:nvSpPr>
        <xdr:cNvPr id="359" name="MC_T_tieback_even">
          <a:extLst>
            <a:ext uri="{FF2B5EF4-FFF2-40B4-BE49-F238E27FC236}">
              <a16:creationId xmlns:a16="http://schemas.microsoft.com/office/drawing/2014/main" id="{4BC92E54-9BF6-A4BF-0C05-8A8DBBD41E63}"/>
            </a:ext>
          </a:extLst>
        </xdr:cNvPr>
        <xdr:cNvSpPr/>
      </xdr:nvSpPr>
      <xdr:spPr>
        <a:xfrm rot="16200000">
          <a:off x="12996863" y="16944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91</xdr:row>
      <xdr:rowOff>109537</xdr:rowOff>
    </xdr:from>
    <xdr:to>
      <xdr:col>6</xdr:col>
      <xdr:colOff>176213</xdr:colOff>
      <xdr:row>92</xdr:row>
      <xdr:rowOff>80962</xdr:rowOff>
    </xdr:to>
    <xdr:sp macro="_xll.MC_OnNodeClick" textlink="">
      <xdr:nvSpPr>
        <xdr:cNvPr id="360" name="MC_T_tieback_bad">
          <a:extLst>
            <a:ext uri="{FF2B5EF4-FFF2-40B4-BE49-F238E27FC236}">
              <a16:creationId xmlns:a16="http://schemas.microsoft.com/office/drawing/2014/main" id="{67CB292A-653A-80F9-D379-0869B0D38909}"/>
            </a:ext>
          </a:extLst>
        </xdr:cNvPr>
        <xdr:cNvSpPr/>
      </xdr:nvSpPr>
      <xdr:spPr>
        <a:xfrm rot="16200000">
          <a:off x="12996863" y="17325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93</xdr:row>
      <xdr:rowOff>109538</xdr:rowOff>
    </xdr:from>
    <xdr:to>
      <xdr:col>4</xdr:col>
      <xdr:colOff>180975</xdr:colOff>
      <xdr:row>94</xdr:row>
      <xdr:rowOff>80963</xdr:rowOff>
    </xdr:to>
    <xdr:sp macro="_xll.MC_OnNodeClick" textlink="">
      <xdr:nvSpPr>
        <xdr:cNvPr id="361" name="MC_D_marginal">
          <a:extLst>
            <a:ext uri="{FF2B5EF4-FFF2-40B4-BE49-F238E27FC236}">
              <a16:creationId xmlns:a16="http://schemas.microsoft.com/office/drawing/2014/main" id="{2B4A8EA3-418C-1F51-C1F9-E5ADAEBD23A4}"/>
            </a:ext>
          </a:extLst>
        </xdr:cNvPr>
        <xdr:cNvSpPr/>
      </xdr:nvSpPr>
      <xdr:spPr>
        <a:xfrm>
          <a:off x="7539038" y="1771173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95</xdr:row>
      <xdr:rowOff>109537</xdr:rowOff>
    </xdr:from>
    <xdr:to>
      <xdr:col>5</xdr:col>
      <xdr:colOff>176213</xdr:colOff>
      <xdr:row>96</xdr:row>
      <xdr:rowOff>80962</xdr:rowOff>
    </xdr:to>
    <xdr:sp macro="_xll.MC_OnNodeClick" textlink="">
      <xdr:nvSpPr>
        <xdr:cNvPr id="362" name="MC_T_sell_marginal">
          <a:extLst>
            <a:ext uri="{FF2B5EF4-FFF2-40B4-BE49-F238E27FC236}">
              <a16:creationId xmlns:a16="http://schemas.microsoft.com/office/drawing/2014/main" id="{34FB4D1F-B17C-B673-D998-DFC25EB5CA14}"/>
            </a:ext>
          </a:extLst>
        </xdr:cNvPr>
        <xdr:cNvSpPr/>
      </xdr:nvSpPr>
      <xdr:spPr>
        <a:xfrm rot="16200000">
          <a:off x="10096500" y="18087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97</xdr:row>
      <xdr:rowOff>109537</xdr:rowOff>
    </xdr:from>
    <xdr:to>
      <xdr:col>5</xdr:col>
      <xdr:colOff>176213</xdr:colOff>
      <xdr:row>98</xdr:row>
      <xdr:rowOff>80962</xdr:rowOff>
    </xdr:to>
    <xdr:sp macro="_xll.MC_OnNodeClick" textlink="">
      <xdr:nvSpPr>
        <xdr:cNvPr id="363" name="MC_T_panda">
          <a:extLst>
            <a:ext uri="{FF2B5EF4-FFF2-40B4-BE49-F238E27FC236}">
              <a16:creationId xmlns:a16="http://schemas.microsoft.com/office/drawing/2014/main" id="{60DC096C-0CD0-7CF4-E82C-590F8796F258}"/>
            </a:ext>
          </a:extLst>
        </xdr:cNvPr>
        <xdr:cNvSpPr/>
      </xdr:nvSpPr>
      <xdr:spPr>
        <a:xfrm rot="16200000">
          <a:off x="10096500" y="18468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99</xdr:row>
      <xdr:rowOff>109537</xdr:rowOff>
    </xdr:from>
    <xdr:to>
      <xdr:col>4</xdr:col>
      <xdr:colOff>176213</xdr:colOff>
      <xdr:row>100</xdr:row>
      <xdr:rowOff>80962</xdr:rowOff>
    </xdr:to>
    <xdr:sp macro="_xll.MC_OnNodeClick" textlink="">
      <xdr:nvSpPr>
        <xdr:cNvPr id="364" name="MC_T_shows">
          <a:extLst>
            <a:ext uri="{FF2B5EF4-FFF2-40B4-BE49-F238E27FC236}">
              <a16:creationId xmlns:a16="http://schemas.microsoft.com/office/drawing/2014/main" id="{15602C04-5651-54C2-BD82-FF413A0CA1FE}"/>
            </a:ext>
          </a:extLst>
        </xdr:cNvPr>
        <xdr:cNvSpPr/>
      </xdr:nvSpPr>
      <xdr:spPr>
        <a:xfrm rot="16200000">
          <a:off x="7539038" y="18849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101</xdr:row>
      <xdr:rowOff>109537</xdr:rowOff>
    </xdr:from>
    <xdr:to>
      <xdr:col>4</xdr:col>
      <xdr:colOff>176213</xdr:colOff>
      <xdr:row>102</xdr:row>
      <xdr:rowOff>80962</xdr:rowOff>
    </xdr:to>
    <xdr:sp macro="_xll.MC_OnNodeClick" textlink="">
      <xdr:nvSpPr>
        <xdr:cNvPr id="365" name="MC_T_dry">
          <a:extLst>
            <a:ext uri="{FF2B5EF4-FFF2-40B4-BE49-F238E27FC236}">
              <a16:creationId xmlns:a16="http://schemas.microsoft.com/office/drawing/2014/main" id="{016148CF-065F-99A7-B675-0AFCA5B715F6}"/>
            </a:ext>
          </a:extLst>
        </xdr:cNvPr>
        <xdr:cNvSpPr/>
      </xdr:nvSpPr>
      <xdr:spPr>
        <a:xfrm rot="16200000">
          <a:off x="7539038" y="19230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103</xdr:row>
      <xdr:rowOff>109538</xdr:rowOff>
    </xdr:from>
    <xdr:to>
      <xdr:col>2</xdr:col>
      <xdr:colOff>180975</xdr:colOff>
      <xdr:row>104</xdr:row>
      <xdr:rowOff>80963</xdr:rowOff>
    </xdr:to>
    <xdr:sp macro="_xll.MC_OnNodeClick" textlink="">
      <xdr:nvSpPr>
        <xdr:cNvPr id="366" name="MC_D_root">
          <a:extLst>
            <a:ext uri="{FF2B5EF4-FFF2-40B4-BE49-F238E27FC236}">
              <a16:creationId xmlns:a16="http://schemas.microsoft.com/office/drawing/2014/main" id="{D923EAAA-124B-9666-F823-EA2F807C5913}"/>
            </a:ext>
          </a:extLst>
        </xdr:cNvPr>
        <xdr:cNvSpPr/>
      </xdr:nvSpPr>
      <xdr:spPr>
        <a:xfrm>
          <a:off x="2667000" y="1961673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105</xdr:row>
      <xdr:rowOff>109537</xdr:rowOff>
    </xdr:from>
    <xdr:to>
      <xdr:col>6</xdr:col>
      <xdr:colOff>176213</xdr:colOff>
      <xdr:row>106</xdr:row>
      <xdr:rowOff>80962</xdr:rowOff>
    </xdr:to>
    <xdr:sp macro="_xll.MC_OnNodeClick" textlink="">
      <xdr:nvSpPr>
        <xdr:cNvPr id="367" name="MC_T_3d_discovery">
          <a:extLst>
            <a:ext uri="{FF2B5EF4-FFF2-40B4-BE49-F238E27FC236}">
              <a16:creationId xmlns:a16="http://schemas.microsoft.com/office/drawing/2014/main" id="{02B6FEF4-0ACD-F2F9-C176-541FDC95D633}"/>
            </a:ext>
          </a:extLst>
        </xdr:cNvPr>
        <xdr:cNvSpPr/>
      </xdr:nvSpPr>
      <xdr:spPr>
        <a:xfrm rot="16200000">
          <a:off x="12996863" y="1999297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107</xdr:row>
      <xdr:rowOff>109538</xdr:rowOff>
    </xdr:from>
    <xdr:to>
      <xdr:col>5</xdr:col>
      <xdr:colOff>180975</xdr:colOff>
      <xdr:row>108</xdr:row>
      <xdr:rowOff>80963</xdr:rowOff>
    </xdr:to>
    <xdr:sp macro="_xll.MC_OnNodeClick" textlink="">
      <xdr:nvSpPr>
        <xdr:cNvPr id="368" name="MC_C_drill_strong">
          <a:extLst>
            <a:ext uri="{FF2B5EF4-FFF2-40B4-BE49-F238E27FC236}">
              <a16:creationId xmlns:a16="http://schemas.microsoft.com/office/drawing/2014/main" id="{704EE3B7-F86A-F317-BA85-237EC3A43995}"/>
            </a:ext>
          </a:extLst>
        </xdr:cNvPr>
        <xdr:cNvSpPr/>
      </xdr:nvSpPr>
      <xdr:spPr>
        <a:xfrm>
          <a:off x="10096500" y="2037873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109</xdr:row>
      <xdr:rowOff>109537</xdr:rowOff>
    </xdr:from>
    <xdr:to>
      <xdr:col>6</xdr:col>
      <xdr:colOff>176213</xdr:colOff>
      <xdr:row>110</xdr:row>
      <xdr:rowOff>80962</xdr:rowOff>
    </xdr:to>
    <xdr:sp macro="_xll.MC_OnNodeClick" textlink="">
      <xdr:nvSpPr>
        <xdr:cNvPr id="369" name="MC_T_3d_marginal">
          <a:extLst>
            <a:ext uri="{FF2B5EF4-FFF2-40B4-BE49-F238E27FC236}">
              <a16:creationId xmlns:a16="http://schemas.microsoft.com/office/drawing/2014/main" id="{86FB0386-D354-2514-E922-C912F3FFD7C4}"/>
            </a:ext>
          </a:extLst>
        </xdr:cNvPr>
        <xdr:cNvSpPr/>
      </xdr:nvSpPr>
      <xdr:spPr>
        <a:xfrm rot="16200000">
          <a:off x="12996863" y="2075497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111</xdr:row>
      <xdr:rowOff>109537</xdr:rowOff>
    </xdr:from>
    <xdr:to>
      <xdr:col>6</xdr:col>
      <xdr:colOff>176213</xdr:colOff>
      <xdr:row>112</xdr:row>
      <xdr:rowOff>80962</xdr:rowOff>
    </xdr:to>
    <xdr:sp macro="_xll.MC_OnNodeClick" textlink="">
      <xdr:nvSpPr>
        <xdr:cNvPr id="370" name="MC_T_3d_dry">
          <a:extLst>
            <a:ext uri="{FF2B5EF4-FFF2-40B4-BE49-F238E27FC236}">
              <a16:creationId xmlns:a16="http://schemas.microsoft.com/office/drawing/2014/main" id="{AD0125A8-B906-C05E-E3DC-CD3BE1B36396}"/>
            </a:ext>
          </a:extLst>
        </xdr:cNvPr>
        <xdr:cNvSpPr/>
      </xdr:nvSpPr>
      <xdr:spPr>
        <a:xfrm rot="16200000">
          <a:off x="12996863" y="2113597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113</xdr:row>
      <xdr:rowOff>109538</xdr:rowOff>
    </xdr:from>
    <xdr:to>
      <xdr:col>4</xdr:col>
      <xdr:colOff>180975</xdr:colOff>
      <xdr:row>114</xdr:row>
      <xdr:rowOff>80963</xdr:rowOff>
    </xdr:to>
    <xdr:sp macro="_xll.MC_OnNodeClick" textlink="">
      <xdr:nvSpPr>
        <xdr:cNvPr id="371" name="MC_D_drill_strong">
          <a:extLst>
            <a:ext uri="{FF2B5EF4-FFF2-40B4-BE49-F238E27FC236}">
              <a16:creationId xmlns:a16="http://schemas.microsoft.com/office/drawing/2014/main" id="{CF09C636-0C56-EFEE-576E-F21A033E39F2}"/>
            </a:ext>
          </a:extLst>
        </xdr:cNvPr>
        <xdr:cNvSpPr/>
      </xdr:nvSpPr>
      <xdr:spPr>
        <a:xfrm>
          <a:off x="7539038" y="2152173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115</xdr:row>
      <xdr:rowOff>109537</xdr:rowOff>
    </xdr:from>
    <xdr:to>
      <xdr:col>5</xdr:col>
      <xdr:colOff>176213</xdr:colOff>
      <xdr:row>116</xdr:row>
      <xdr:rowOff>80962</xdr:rowOff>
    </xdr:to>
    <xdr:sp macro="_xll.MC_OnNodeClick" textlink="">
      <xdr:nvSpPr>
        <xdr:cNvPr id="372" name="MC_T_farmout_strong">
          <a:extLst>
            <a:ext uri="{FF2B5EF4-FFF2-40B4-BE49-F238E27FC236}">
              <a16:creationId xmlns:a16="http://schemas.microsoft.com/office/drawing/2014/main" id="{56E19266-4CBC-EFEA-8256-6F70DA988A7D}"/>
            </a:ext>
          </a:extLst>
        </xdr:cNvPr>
        <xdr:cNvSpPr/>
      </xdr:nvSpPr>
      <xdr:spPr>
        <a:xfrm rot="16200000">
          <a:off x="10096500" y="21897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117</xdr:row>
      <xdr:rowOff>109538</xdr:rowOff>
    </xdr:from>
    <xdr:to>
      <xdr:col>3</xdr:col>
      <xdr:colOff>180975</xdr:colOff>
      <xdr:row>118</xdr:row>
      <xdr:rowOff>80963</xdr:rowOff>
    </xdr:to>
    <xdr:sp macro="_xll.MC_OnNodeClick" textlink="">
      <xdr:nvSpPr>
        <xdr:cNvPr id="373" name="MC_C_3d_results">
          <a:extLst>
            <a:ext uri="{FF2B5EF4-FFF2-40B4-BE49-F238E27FC236}">
              <a16:creationId xmlns:a16="http://schemas.microsoft.com/office/drawing/2014/main" id="{6A3C3A9A-08DC-72DC-4AD5-F5ED674413CB}"/>
            </a:ext>
          </a:extLst>
        </xdr:cNvPr>
        <xdr:cNvSpPr/>
      </xdr:nvSpPr>
      <xdr:spPr>
        <a:xfrm>
          <a:off x="5067300" y="2228373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119</xdr:row>
      <xdr:rowOff>109537</xdr:rowOff>
    </xdr:from>
    <xdr:to>
      <xdr:col>6</xdr:col>
      <xdr:colOff>176213</xdr:colOff>
      <xdr:row>120</xdr:row>
      <xdr:rowOff>80962</xdr:rowOff>
    </xdr:to>
    <xdr:sp macro="_xll.MC_OnNodeClick" textlink="">
      <xdr:nvSpPr>
        <xdr:cNvPr id="374" name="MC_T_mod_discovery">
          <a:extLst>
            <a:ext uri="{FF2B5EF4-FFF2-40B4-BE49-F238E27FC236}">
              <a16:creationId xmlns:a16="http://schemas.microsoft.com/office/drawing/2014/main" id="{53E995D3-1D02-C5AB-77E5-9D20BBB02F03}"/>
            </a:ext>
          </a:extLst>
        </xdr:cNvPr>
        <xdr:cNvSpPr/>
      </xdr:nvSpPr>
      <xdr:spPr>
        <a:xfrm rot="16200000">
          <a:off x="12996863" y="2265997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121</xdr:row>
      <xdr:rowOff>109538</xdr:rowOff>
    </xdr:from>
    <xdr:to>
      <xdr:col>5</xdr:col>
      <xdr:colOff>180975</xdr:colOff>
      <xdr:row>122</xdr:row>
      <xdr:rowOff>80963</xdr:rowOff>
    </xdr:to>
    <xdr:sp macro="_xll.MC_OnNodeClick" textlink="">
      <xdr:nvSpPr>
        <xdr:cNvPr id="375" name="MC_C_drill_moderate">
          <a:extLst>
            <a:ext uri="{FF2B5EF4-FFF2-40B4-BE49-F238E27FC236}">
              <a16:creationId xmlns:a16="http://schemas.microsoft.com/office/drawing/2014/main" id="{B018E0B7-4EF7-0A59-82B6-7815218D5803}"/>
            </a:ext>
          </a:extLst>
        </xdr:cNvPr>
        <xdr:cNvSpPr/>
      </xdr:nvSpPr>
      <xdr:spPr>
        <a:xfrm>
          <a:off x="10096500" y="2304573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123</xdr:row>
      <xdr:rowOff>109537</xdr:rowOff>
    </xdr:from>
    <xdr:to>
      <xdr:col>6</xdr:col>
      <xdr:colOff>176213</xdr:colOff>
      <xdr:row>124</xdr:row>
      <xdr:rowOff>80962</xdr:rowOff>
    </xdr:to>
    <xdr:sp macro="_xll.MC_OnNodeClick" textlink="">
      <xdr:nvSpPr>
        <xdr:cNvPr id="376" name="MC_T_mod_shows">
          <a:extLst>
            <a:ext uri="{FF2B5EF4-FFF2-40B4-BE49-F238E27FC236}">
              <a16:creationId xmlns:a16="http://schemas.microsoft.com/office/drawing/2014/main" id="{9740D072-D953-C5BC-40BF-5E9D1D432847}"/>
            </a:ext>
          </a:extLst>
        </xdr:cNvPr>
        <xdr:cNvSpPr/>
      </xdr:nvSpPr>
      <xdr:spPr>
        <a:xfrm rot="16200000">
          <a:off x="12996863" y="2342197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125</xdr:row>
      <xdr:rowOff>109537</xdr:rowOff>
    </xdr:from>
    <xdr:to>
      <xdr:col>6</xdr:col>
      <xdr:colOff>176213</xdr:colOff>
      <xdr:row>126</xdr:row>
      <xdr:rowOff>80962</xdr:rowOff>
    </xdr:to>
    <xdr:sp macro="_xll.MC_OnNodeClick" textlink="">
      <xdr:nvSpPr>
        <xdr:cNvPr id="377" name="MC_T_mod_dry">
          <a:extLst>
            <a:ext uri="{FF2B5EF4-FFF2-40B4-BE49-F238E27FC236}">
              <a16:creationId xmlns:a16="http://schemas.microsoft.com/office/drawing/2014/main" id="{C56FF373-CED8-2077-6C11-81AB1CE6F785}"/>
            </a:ext>
          </a:extLst>
        </xdr:cNvPr>
        <xdr:cNvSpPr/>
      </xdr:nvSpPr>
      <xdr:spPr>
        <a:xfrm rot="16200000">
          <a:off x="12996863" y="2380297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127</xdr:row>
      <xdr:rowOff>109538</xdr:rowOff>
    </xdr:from>
    <xdr:to>
      <xdr:col>4</xdr:col>
      <xdr:colOff>180975</xdr:colOff>
      <xdr:row>128</xdr:row>
      <xdr:rowOff>80963</xdr:rowOff>
    </xdr:to>
    <xdr:sp macro="_xll.MC_OnNodeClick" textlink="">
      <xdr:nvSpPr>
        <xdr:cNvPr id="378" name="MC_D_drill_moderate">
          <a:extLst>
            <a:ext uri="{FF2B5EF4-FFF2-40B4-BE49-F238E27FC236}">
              <a16:creationId xmlns:a16="http://schemas.microsoft.com/office/drawing/2014/main" id="{0E7B5C09-881B-0000-F7E3-7F0011ABAFE4}"/>
            </a:ext>
          </a:extLst>
        </xdr:cNvPr>
        <xdr:cNvSpPr/>
      </xdr:nvSpPr>
      <xdr:spPr>
        <a:xfrm>
          <a:off x="7539038" y="2418873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129</xdr:row>
      <xdr:rowOff>109537</xdr:rowOff>
    </xdr:from>
    <xdr:to>
      <xdr:col>5</xdr:col>
      <xdr:colOff>176213</xdr:colOff>
      <xdr:row>130</xdr:row>
      <xdr:rowOff>80962</xdr:rowOff>
    </xdr:to>
    <xdr:sp macro="_xll.MC_OnNodeClick" textlink="">
      <xdr:nvSpPr>
        <xdr:cNvPr id="379" name="MC_T_no_drill_mod">
          <a:extLst>
            <a:ext uri="{FF2B5EF4-FFF2-40B4-BE49-F238E27FC236}">
              <a16:creationId xmlns:a16="http://schemas.microsoft.com/office/drawing/2014/main" id="{633DFBD7-3AA2-DD87-B5A0-C5CF5784B20E}"/>
            </a:ext>
          </a:extLst>
        </xdr:cNvPr>
        <xdr:cNvSpPr/>
      </xdr:nvSpPr>
      <xdr:spPr>
        <a:xfrm rot="16200000">
          <a:off x="10096500" y="24564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131</xdr:row>
      <xdr:rowOff>109537</xdr:rowOff>
    </xdr:from>
    <xdr:to>
      <xdr:col>4</xdr:col>
      <xdr:colOff>176213</xdr:colOff>
      <xdr:row>132</xdr:row>
      <xdr:rowOff>80962</xdr:rowOff>
    </xdr:to>
    <xdr:sp macro="_xll.MC_OnNodeClick" textlink="">
      <xdr:nvSpPr>
        <xdr:cNvPr id="380" name="MC_T_seismic_weak">
          <a:extLst>
            <a:ext uri="{FF2B5EF4-FFF2-40B4-BE49-F238E27FC236}">
              <a16:creationId xmlns:a16="http://schemas.microsoft.com/office/drawing/2014/main" id="{6960989A-28CE-AA65-AE23-FAB74A921934}"/>
            </a:ext>
          </a:extLst>
        </xdr:cNvPr>
        <xdr:cNvSpPr/>
      </xdr:nvSpPr>
      <xdr:spPr>
        <a:xfrm rot="16200000">
          <a:off x="7539038" y="2494597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133</xdr:row>
      <xdr:rowOff>109537</xdr:rowOff>
    </xdr:from>
    <xdr:to>
      <xdr:col>5</xdr:col>
      <xdr:colOff>176213</xdr:colOff>
      <xdr:row>134</xdr:row>
      <xdr:rowOff>80962</xdr:rowOff>
    </xdr:to>
    <xdr:sp macro="_xll.MC_OnNodeClick" textlink="">
      <xdr:nvSpPr>
        <xdr:cNvPr id="381" name="MC_T_farmout_discovery">
          <a:extLst>
            <a:ext uri="{FF2B5EF4-FFF2-40B4-BE49-F238E27FC236}">
              <a16:creationId xmlns:a16="http://schemas.microsoft.com/office/drawing/2014/main" id="{D18FF4F5-E487-D218-4DB2-F4185FD3874E}"/>
            </a:ext>
          </a:extLst>
        </xdr:cNvPr>
        <xdr:cNvSpPr/>
      </xdr:nvSpPr>
      <xdr:spPr>
        <a:xfrm rot="16200000">
          <a:off x="10096500" y="25326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135</xdr:row>
      <xdr:rowOff>109538</xdr:rowOff>
    </xdr:from>
    <xdr:to>
      <xdr:col>4</xdr:col>
      <xdr:colOff>180975</xdr:colOff>
      <xdr:row>136</xdr:row>
      <xdr:rowOff>80963</xdr:rowOff>
    </xdr:to>
    <xdr:sp macro="_xll.MC_OnNodeClick" textlink="">
      <xdr:nvSpPr>
        <xdr:cNvPr id="382" name="MC_C_farmout_result">
          <a:extLst>
            <a:ext uri="{FF2B5EF4-FFF2-40B4-BE49-F238E27FC236}">
              <a16:creationId xmlns:a16="http://schemas.microsoft.com/office/drawing/2014/main" id="{1153AAFB-217A-24B6-04D1-F23D5E0A73ED}"/>
            </a:ext>
          </a:extLst>
        </xdr:cNvPr>
        <xdr:cNvSpPr/>
      </xdr:nvSpPr>
      <xdr:spPr>
        <a:xfrm>
          <a:off x="7539038" y="2571273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137</xdr:row>
      <xdr:rowOff>109537</xdr:rowOff>
    </xdr:from>
    <xdr:to>
      <xdr:col>5</xdr:col>
      <xdr:colOff>176213</xdr:colOff>
      <xdr:row>138</xdr:row>
      <xdr:rowOff>80962</xdr:rowOff>
    </xdr:to>
    <xdr:sp macro="_xll.MC_OnNodeClick" textlink="">
      <xdr:nvSpPr>
        <xdr:cNvPr id="383" name="MC_T_farmout_marginal_r">
          <a:extLst>
            <a:ext uri="{FF2B5EF4-FFF2-40B4-BE49-F238E27FC236}">
              <a16:creationId xmlns:a16="http://schemas.microsoft.com/office/drawing/2014/main" id="{9BA2BBF2-ECD2-8340-104A-1998F9EC0F78}"/>
            </a:ext>
          </a:extLst>
        </xdr:cNvPr>
        <xdr:cNvSpPr/>
      </xdr:nvSpPr>
      <xdr:spPr>
        <a:xfrm rot="16200000">
          <a:off x="10096500" y="26088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139</xdr:row>
      <xdr:rowOff>109537</xdr:rowOff>
    </xdr:from>
    <xdr:to>
      <xdr:col>5</xdr:col>
      <xdr:colOff>176213</xdr:colOff>
      <xdr:row>140</xdr:row>
      <xdr:rowOff>80962</xdr:rowOff>
    </xdr:to>
    <xdr:sp macro="_xll.MC_OnNodeClick" textlink="">
      <xdr:nvSpPr>
        <xdr:cNvPr id="384" name="MC_T_farmout_dry">
          <a:extLst>
            <a:ext uri="{FF2B5EF4-FFF2-40B4-BE49-F238E27FC236}">
              <a16:creationId xmlns:a16="http://schemas.microsoft.com/office/drawing/2014/main" id="{404F2917-72AA-A065-A7C2-0C5F3B1099B7}"/>
            </a:ext>
          </a:extLst>
        </xdr:cNvPr>
        <xdr:cNvSpPr/>
      </xdr:nvSpPr>
      <xdr:spPr>
        <a:xfrm rot="16200000">
          <a:off x="10096500" y="26469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141</xdr:row>
      <xdr:rowOff>109538</xdr:rowOff>
    </xdr:from>
    <xdr:to>
      <xdr:col>3</xdr:col>
      <xdr:colOff>180975</xdr:colOff>
      <xdr:row>142</xdr:row>
      <xdr:rowOff>80963</xdr:rowOff>
    </xdr:to>
    <xdr:sp macro="_xll.MC_OnNodeClick" textlink="">
      <xdr:nvSpPr>
        <xdr:cNvPr id="385" name="MC_C_farmout">
          <a:extLst>
            <a:ext uri="{FF2B5EF4-FFF2-40B4-BE49-F238E27FC236}">
              <a16:creationId xmlns:a16="http://schemas.microsoft.com/office/drawing/2014/main" id="{CAAC1A50-63F6-A0D4-6A32-5802B494B0A4}"/>
            </a:ext>
          </a:extLst>
        </xdr:cNvPr>
        <xdr:cNvSpPr/>
      </xdr:nvSpPr>
      <xdr:spPr>
        <a:xfrm>
          <a:off x="5067300" y="2685573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143</xdr:row>
      <xdr:rowOff>109537</xdr:rowOff>
    </xdr:from>
    <xdr:to>
      <xdr:col>4</xdr:col>
      <xdr:colOff>176213</xdr:colOff>
      <xdr:row>144</xdr:row>
      <xdr:rowOff>80962</xdr:rowOff>
    </xdr:to>
    <xdr:sp macro="_xll.MC_OnNodeClick" textlink="">
      <xdr:nvSpPr>
        <xdr:cNvPr id="386" name="MC_T_farmout_junior">
          <a:extLst>
            <a:ext uri="{FF2B5EF4-FFF2-40B4-BE49-F238E27FC236}">
              <a16:creationId xmlns:a16="http://schemas.microsoft.com/office/drawing/2014/main" id="{A6D358B7-B95B-B057-E6C1-E0F1C5E7B151}"/>
            </a:ext>
          </a:extLst>
        </xdr:cNvPr>
        <xdr:cNvSpPr/>
      </xdr:nvSpPr>
      <xdr:spPr>
        <a:xfrm rot="16200000">
          <a:off x="7539038" y="27231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145</xdr:row>
      <xdr:rowOff>109537</xdr:rowOff>
    </xdr:from>
    <xdr:to>
      <xdr:col>4</xdr:col>
      <xdr:colOff>176213</xdr:colOff>
      <xdr:row>146</xdr:row>
      <xdr:rowOff>80962</xdr:rowOff>
    </xdr:to>
    <xdr:sp macro="_xll.MC_OnNodeClick" textlink="">
      <xdr:nvSpPr>
        <xdr:cNvPr id="387" name="MC_T_farmout_none">
          <a:extLst>
            <a:ext uri="{FF2B5EF4-FFF2-40B4-BE49-F238E27FC236}">
              <a16:creationId xmlns:a16="http://schemas.microsoft.com/office/drawing/2014/main" id="{2FC06D60-88D4-FEC3-B5DD-8A2C5ED81E65}"/>
            </a:ext>
          </a:extLst>
        </xdr:cNvPr>
        <xdr:cNvSpPr/>
      </xdr:nvSpPr>
      <xdr:spPr>
        <a:xfrm rot="16200000">
          <a:off x="7539038" y="27612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147</xdr:row>
      <xdr:rowOff>109537</xdr:rowOff>
    </xdr:from>
    <xdr:to>
      <xdr:col>3</xdr:col>
      <xdr:colOff>176213</xdr:colOff>
      <xdr:row>148</xdr:row>
      <xdr:rowOff>80962</xdr:rowOff>
    </xdr:to>
    <xdr:sp macro="_xll.MC_OnNodeClick" textlink="">
      <xdr:nvSpPr>
        <xdr:cNvPr id="388" name="MC_T_relinquish">
          <a:extLst>
            <a:ext uri="{FF2B5EF4-FFF2-40B4-BE49-F238E27FC236}">
              <a16:creationId xmlns:a16="http://schemas.microsoft.com/office/drawing/2014/main" id="{4630B4C7-0B76-EA2B-4554-AC029C61FA4F}"/>
            </a:ext>
          </a:extLst>
        </xdr:cNvPr>
        <xdr:cNvSpPr/>
      </xdr:nvSpPr>
      <xdr:spPr>
        <a:xfrm rot="16200000">
          <a:off x="5067300" y="2799397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B59E9-6A02-40B9-83EF-6D7F95C396EA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7CF85-6568-47E8-A0C1-D5014D3417D2}">
  <dimension ref="A1:EQ1"/>
  <sheetViews>
    <sheetView workbookViewId="0"/>
  </sheetViews>
  <sheetFormatPr defaultRowHeight="14.25" x14ac:dyDescent="0.45"/>
  <sheetData>
    <row r="1" spans="1:147" x14ac:dyDescent="0.45">
      <c r="A1">
        <f>MC_Tree_1!MC_BP_C_3d_results_D_drill_strong</f>
        <v>0.3</v>
      </c>
      <c r="B1">
        <f>MC_Tree_1!MC_BV_C_3d_results_D_drill_strong</f>
        <v>0</v>
      </c>
      <c r="C1">
        <f>MC_Tree_1!MC_BP_C_3d_results_D_drill_moderate</f>
        <v>0.4</v>
      </c>
      <c r="D1">
        <f>MC_Tree_1!MC_BV_C_3d_results_D_drill_moderate</f>
        <v>0</v>
      </c>
      <c r="E1">
        <f>MC_Tree_1!MC_BP_C_3d_results_T_seismic_weak</f>
        <v>0.3</v>
      </c>
      <c r="F1">
        <f>MC_Tree_1!MC_BV_C_3d_results_T_seismic_weak</f>
        <v>3000000</v>
      </c>
      <c r="G1">
        <f>MC_Tree_1!MC_BP_C_appr_sig_T_appr_sig_up</f>
        <v>0.4</v>
      </c>
      <c r="H1">
        <f>MC_Tree_1!MC_BV_C_appr_sig_T_appr_sig_up</f>
        <v>400000000</v>
      </c>
      <c r="I1">
        <f>MC_Tree_1!MC_BP_C_appr_sig_T_appr_sig_conf</f>
        <v>0.4</v>
      </c>
      <c r="J1">
        <f>MC_Tree_1!MC_BV_C_appr_sig_T_appr_sig_conf</f>
        <v>250000000</v>
      </c>
      <c r="K1">
        <f>MC_Tree_1!MC_BP_C_appr_sig_T_appr_sig_down</f>
        <v>0.2</v>
      </c>
      <c r="L1">
        <f>MC_Tree_1!MC_BV_C_appr_sig_T_appr_sig_down</f>
        <v>50000000</v>
      </c>
      <c r="M1">
        <f>MC_Tree_1!MC_BP_C_appraisal_major_T_appr_confirmed</f>
        <v>0.5</v>
      </c>
      <c r="N1">
        <f>MC_Tree_1!MC_BV_C_appraisal_major_T_appr_confirmed</f>
        <v>700000000</v>
      </c>
      <c r="O1">
        <f>MC_Tree_1!MC_BP_C_appraisal_major_T_appr_smaller</f>
        <v>0.35</v>
      </c>
      <c r="P1">
        <f>MC_Tree_1!MC_BV_C_appraisal_major_T_appr_smaller</f>
        <v>300000000</v>
      </c>
      <c r="Q1">
        <f>MC_Tree_1!MC_BP_C_appraisal_major_T_appr_uneconomic</f>
        <v>0.15</v>
      </c>
      <c r="R1">
        <f>MC_Tree_1!MC_BV_C_appraisal_major_T_appr_uneconomic</f>
        <v>20000000</v>
      </c>
      <c r="S1">
        <f>MC_Tree_1!MC_BP_C_dev_major_C_price_major_high</f>
        <v>0.25</v>
      </c>
      <c r="T1">
        <f>MC_Tree_1!MC_BV_C_dev_major_C_price_major_high</f>
        <v>0</v>
      </c>
      <c r="U1">
        <f>MC_Tree_1!MC_BP_C_dev_major_C_price_major_med</f>
        <v>0.4</v>
      </c>
      <c r="V1">
        <f>MC_Tree_1!MC_BV_C_dev_major_C_price_major_med</f>
        <v>-80000000</v>
      </c>
      <c r="W1">
        <f>MC_Tree_1!MC_BP_C_dev_major_C_price_major_low</f>
        <v>0.35</v>
      </c>
      <c r="X1">
        <f>MC_Tree_1!MC_BV_C_dev_major_C_price_major_low</f>
        <v>-150000000</v>
      </c>
      <c r="Y1">
        <f>MC_Tree_1!MC_BP_C_drill_moderate_T_mod_discovery</f>
        <v>0.2</v>
      </c>
      <c r="Z1">
        <f>MC_Tree_1!MC_BV_C_drill_moderate_T_mod_discovery</f>
        <v>300000000</v>
      </c>
      <c r="AA1">
        <f>MC_Tree_1!MC_BP_C_drill_moderate_T_mod_shows</f>
        <v>0.3</v>
      </c>
      <c r="AB1">
        <f>MC_Tree_1!MC_BV_C_drill_moderate_T_mod_shows</f>
        <v>10000000</v>
      </c>
      <c r="AC1">
        <f>MC_Tree_1!MC_BP_C_drill_moderate_T_mod_dry</f>
        <v>0.5</v>
      </c>
      <c r="AD1">
        <f>MC_Tree_1!MC_BV_C_drill_moderate_T_mod_dry</f>
        <v>0</v>
      </c>
      <c r="AE1">
        <f>MC_Tree_1!MC_BP_C_drill_strong_T_3d_discovery</f>
        <v>0.4</v>
      </c>
      <c r="AF1">
        <f>MC_Tree_1!MC_BV_C_drill_strong_T_3d_discovery</f>
        <v>400000000</v>
      </c>
      <c r="AG1">
        <f>MC_Tree_1!MC_BP_C_drill_strong_T_3d_marginal</f>
        <v>0.3</v>
      </c>
      <c r="AH1">
        <f>MC_Tree_1!MC_BV_C_drill_strong_T_3d_marginal</f>
        <v>60000000</v>
      </c>
      <c r="AI1">
        <f>MC_Tree_1!MC_BP_C_drill_strong_T_3d_dry</f>
        <v>0.3</v>
      </c>
      <c r="AJ1">
        <f>MC_Tree_1!MC_BV_C_drill_strong_T_3d_dry</f>
        <v>0</v>
      </c>
      <c r="AK1">
        <f>MC_Tree_1!MC_BP_C_farmout_C_farmout_result</f>
        <v>0.35</v>
      </c>
      <c r="AL1">
        <f>MC_Tree_1!MC_BV_C_farmout_C_farmout_result</f>
        <v>0</v>
      </c>
      <c r="AM1">
        <f>MC_Tree_1!MC_BP_C_farmout_T_farmout_junior</f>
        <v>0.35</v>
      </c>
      <c r="AN1">
        <f>MC_Tree_1!MC_BV_C_farmout_T_farmout_junior</f>
        <v>8000000</v>
      </c>
      <c r="AO1">
        <f>MC_Tree_1!MC_BP_C_farmout_T_farmout_none</f>
        <v>0.3</v>
      </c>
      <c r="AP1">
        <f>MC_Tree_1!MC_BV_C_farmout_T_farmout_none</f>
        <v>0</v>
      </c>
      <c r="AQ1">
        <f>MC_Tree_1!MC_BP_C_farmout_result_T_farmout_discovery</f>
        <v>0.25</v>
      </c>
      <c r="AR1">
        <f>MC_Tree_1!MC_BV_C_farmout_result_T_farmout_discovery</f>
        <v>120000000</v>
      </c>
      <c r="AS1">
        <f>MC_Tree_1!MC_BP_C_farmout_result_T_farmout_marginal_r</f>
        <v>0.25</v>
      </c>
      <c r="AT1">
        <f>MC_Tree_1!MC_BV_C_farmout_result_T_farmout_marginal_r</f>
        <v>15000000</v>
      </c>
      <c r="AU1">
        <f>MC_Tree_1!MC_BP_C_farmout_result_T_farmout_dry</f>
        <v>0.5</v>
      </c>
      <c r="AV1">
        <f>MC_Tree_1!MC_BV_C_farmout_result_T_farmout_dry</f>
        <v>0</v>
      </c>
      <c r="AW1">
        <f>MC_Tree_1!MC_BP_C_price_major_high_T_major_hh</f>
        <v>0.25</v>
      </c>
      <c r="AX1">
        <f>MC_Tree_1!MC_BV_C_price_major_high_T_major_hh</f>
        <v>1500000000</v>
      </c>
      <c r="AY1">
        <f>MC_Tree_1!MC_BP_C_price_major_high_T_major_hm</f>
        <v>0.5</v>
      </c>
      <c r="AZ1">
        <f>MC_Tree_1!MC_BV_C_price_major_high_T_major_hm</f>
        <v>900000000</v>
      </c>
      <c r="BA1">
        <f>MC_Tree_1!MC_BP_C_price_major_high_T_major_hl</f>
        <v>0.25</v>
      </c>
      <c r="BB1">
        <f>MC_Tree_1!MC_BV_C_price_major_high_T_major_hl</f>
        <v>400000000</v>
      </c>
      <c r="BC1">
        <f>MC_Tree_1!MC_BP_C_price_major_low_T_major_lh</f>
        <v>0.25</v>
      </c>
      <c r="BD1">
        <f>MC_Tree_1!MC_BV_C_price_major_low_T_major_lh</f>
        <v>800000000</v>
      </c>
      <c r="BE1">
        <f>MC_Tree_1!MC_BP_C_price_major_low_T_major_lm</f>
        <v>0.5</v>
      </c>
      <c r="BF1">
        <f>MC_Tree_1!MC_BV_C_price_major_low_T_major_lm</f>
        <v>400000000</v>
      </c>
      <c r="BG1">
        <f>MC_Tree_1!MC_BP_C_price_major_low_T_major_ll</f>
        <v>0.25</v>
      </c>
      <c r="BH1">
        <f>MC_Tree_1!MC_BV_C_price_major_low_T_major_ll</f>
        <v>100000000</v>
      </c>
      <c r="BI1">
        <f>MC_Tree_1!MC_BP_C_price_major_med_T_major_mh</f>
        <v>0.25</v>
      </c>
      <c r="BJ1">
        <f>MC_Tree_1!MC_BV_C_price_major_med_T_major_mh</f>
        <v>1100000000</v>
      </c>
      <c r="BK1">
        <f>MC_Tree_1!MC_BP_C_price_major_med_T_major_mm</f>
        <v>0.5</v>
      </c>
      <c r="BL1">
        <f>MC_Tree_1!MC_BV_C_price_major_med_T_major_mm</f>
        <v>650000000</v>
      </c>
      <c r="BM1">
        <f>MC_Tree_1!MC_BP_C_price_major_med_T_major_ml</f>
        <v>0.25</v>
      </c>
      <c r="BN1">
        <f>MC_Tree_1!MC_BV_C_price_major_med_T_major_ml</f>
        <v>250000000</v>
      </c>
      <c r="BO1">
        <f>MC_Tree_1!MC_BP_C_price_sig_T_sig_high</f>
        <v>0.25</v>
      </c>
      <c r="BP1">
        <f>MC_Tree_1!MC_BV_C_price_sig_T_sig_high</f>
        <v>600000000</v>
      </c>
      <c r="BQ1">
        <f>MC_Tree_1!MC_BP_C_price_sig_T_sig_mid</f>
        <v>0.5</v>
      </c>
      <c r="BR1">
        <f>MC_Tree_1!MC_BV_C_price_sig_T_sig_mid</f>
        <v>350000000</v>
      </c>
      <c r="BS1">
        <f>MC_Tree_1!MC_BP_C_price_sig_T_sig_low</f>
        <v>0.25</v>
      </c>
      <c r="BT1">
        <f>MC_Tree_1!MC_BV_C_price_sig_T_sig_low</f>
        <v>120000000</v>
      </c>
      <c r="BU1">
        <f>MC_Tree_1!MC_BP_C_seismic_D_appraise_major</f>
        <v>0.1</v>
      </c>
      <c r="BV1">
        <f>MC_Tree_1!MC_BV_C_seismic_D_appraise_major</f>
        <v>0</v>
      </c>
      <c r="BW1">
        <f>MC_Tree_1!MC_BP_C_seismic_D_appraise_sig</f>
        <v>0.15</v>
      </c>
      <c r="BX1">
        <f>MC_Tree_1!MC_BV_C_seismic_D_appraise_sig</f>
        <v>0</v>
      </c>
      <c r="BY1">
        <f>MC_Tree_1!MC_BP_C_seismic_D_marginal</f>
        <v>0.2</v>
      </c>
      <c r="BZ1">
        <f>MC_Tree_1!MC_BV_C_seismic_D_marginal</f>
        <v>0</v>
      </c>
      <c r="CA1">
        <f>MC_Tree_1!MC_BP_C_seismic_T_shows</f>
        <v>0.25</v>
      </c>
      <c r="CB1">
        <f>MC_Tree_1!MC_BV_C_seismic_T_shows</f>
        <v>0</v>
      </c>
      <c r="CC1">
        <f>MC_Tree_1!MC_BP_C_seismic_T_dry</f>
        <v>0.3</v>
      </c>
      <c r="CD1">
        <f>MC_Tree_1!MC_BV_C_seismic_T_dry</f>
        <v>0</v>
      </c>
      <c r="CE1">
        <f>MC_Tree_1!MC_BP_C_tieback_T_tieback_ok</f>
        <v>0.45</v>
      </c>
      <c r="CF1">
        <f>MC_Tree_1!MC_BV_C_tieback_T_tieback_ok</f>
        <v>150000000</v>
      </c>
      <c r="CG1">
        <f>MC_Tree_1!MC_BP_C_tieback_T_tieback_even</f>
        <v>0.3</v>
      </c>
      <c r="CH1">
        <f>MC_Tree_1!MC_BV_C_tieback_T_tieback_even</f>
        <v>80000000</v>
      </c>
      <c r="CI1">
        <f>MC_Tree_1!MC_BP_C_tieback_T_tieback_bad</f>
        <v>0.25</v>
      </c>
      <c r="CJ1">
        <f>MC_Tree_1!MC_BV_C_tieback_T_tieback_bad</f>
        <v>20000000</v>
      </c>
      <c r="CK1">
        <f>MC_Tree_1!MC_BV_D_appraise_major_C_dev_major</f>
        <v>-350000000</v>
      </c>
      <c r="CL1">
        <f>MC_Tree_1!MC_BV_D_appraise_major_C_appraisal_major</f>
        <v>-60000000</v>
      </c>
      <c r="CM1">
        <f>MC_Tree_1!MC_BV_D_appraise_major_T_sell_major</f>
        <v>250000000</v>
      </c>
      <c r="CN1">
        <f>MC_Tree_1!MC_BV_D_appraise_sig_C_price_sig</f>
        <v>-200000000</v>
      </c>
      <c r="CO1">
        <f>MC_Tree_1!MC_BV_D_appraise_sig_C_appr_sig</f>
        <v>-40000000</v>
      </c>
      <c r="CP1">
        <f>MC_Tree_1!MC_BV_D_appraise_sig_T_sell_sig</f>
        <v>100000000</v>
      </c>
      <c r="CQ1">
        <f>MC_Tree_1!MC_BV_D_drill_moderate_C_drill_moderate</f>
        <v>-45000000</v>
      </c>
      <c r="CR1">
        <f>MC_Tree_1!MC_BV_D_drill_moderate_T_no_drill_mod</f>
        <v>5000000</v>
      </c>
      <c r="CS1">
        <f>MC_Tree_1!MC_BV_D_drill_strong_C_drill_strong</f>
        <v>-45000000</v>
      </c>
      <c r="CT1">
        <f>MC_Tree_1!MC_BV_D_drill_strong_T_farmout_strong</f>
        <v>30000000</v>
      </c>
      <c r="CU1">
        <f>MC_Tree_1!MC_BV_D_marginal_C_tieback</f>
        <v>-80000000</v>
      </c>
      <c r="CV1">
        <f>MC_Tree_1!MC_BV_D_marginal_T_sell_marginal</f>
        <v>25000000</v>
      </c>
      <c r="CW1">
        <f>MC_Tree_1!MC_BV_D_marginal_T_panda</f>
        <v>-5000000</v>
      </c>
      <c r="CX1">
        <f>MC_Tree_1!MC_BV_D_root_C_seismic</f>
        <v>-45000000</v>
      </c>
      <c r="CY1">
        <f>MC_Tree_1!MC_BV_D_root_C_3d_results</f>
        <v>-8000000</v>
      </c>
      <c r="CZ1">
        <f>MC_Tree_1!MC_BV_D_root_C_farmout</f>
        <v>-2000000</v>
      </c>
      <c r="DA1">
        <f>MC_Tree_1!MC_BV_D_root_T_relinquish</f>
        <v>0</v>
      </c>
      <c r="DB1">
        <v>0</v>
      </c>
      <c r="DC1">
        <v>0</v>
      </c>
      <c r="DD1">
        <v>0</v>
      </c>
      <c r="DE1">
        <v>0</v>
      </c>
      <c r="DF1">
        <v>0</v>
      </c>
      <c r="DG1">
        <v>0</v>
      </c>
      <c r="DH1">
        <v>0</v>
      </c>
      <c r="DI1">
        <v>0</v>
      </c>
      <c r="DJ1">
        <v>0</v>
      </c>
      <c r="DK1">
        <v>0</v>
      </c>
      <c r="DL1">
        <v>0</v>
      </c>
      <c r="DM1">
        <v>0</v>
      </c>
      <c r="DN1">
        <v>0</v>
      </c>
      <c r="DO1">
        <v>0</v>
      </c>
      <c r="DP1">
        <v>0</v>
      </c>
      <c r="DQ1">
        <v>0</v>
      </c>
      <c r="DR1">
        <v>0</v>
      </c>
      <c r="DS1">
        <v>0</v>
      </c>
      <c r="DT1">
        <v>0</v>
      </c>
      <c r="DU1">
        <v>0</v>
      </c>
      <c r="DV1">
        <v>0</v>
      </c>
      <c r="DW1">
        <v>0</v>
      </c>
      <c r="DX1">
        <v>0</v>
      </c>
      <c r="DY1">
        <v>0</v>
      </c>
      <c r="DZ1">
        <v>0</v>
      </c>
      <c r="EA1">
        <v>0</v>
      </c>
      <c r="EB1">
        <v>0</v>
      </c>
      <c r="EC1">
        <v>0</v>
      </c>
      <c r="ED1">
        <v>0</v>
      </c>
      <c r="EE1">
        <v>0</v>
      </c>
      <c r="EF1">
        <v>0</v>
      </c>
      <c r="EG1">
        <v>0</v>
      </c>
      <c r="EH1">
        <v>0</v>
      </c>
      <c r="EI1">
        <v>0</v>
      </c>
      <c r="EJ1">
        <v>0</v>
      </c>
      <c r="EK1">
        <v>0</v>
      </c>
      <c r="EL1">
        <v>0</v>
      </c>
      <c r="EM1">
        <v>0</v>
      </c>
      <c r="EN1">
        <v>0</v>
      </c>
      <c r="EO1">
        <v>0</v>
      </c>
      <c r="EP1">
        <v>0</v>
      </c>
      <c r="EQ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27FB0-D5C5-43A8-AB0D-6C36810F1B5C}">
  <dimension ref="B2:D53"/>
  <sheetViews>
    <sheetView tabSelected="1" workbookViewId="0"/>
  </sheetViews>
  <sheetFormatPr defaultRowHeight="14.25" x14ac:dyDescent="0.45"/>
  <cols>
    <col min="1" max="1" width="3.59765625" customWidth="1"/>
    <col min="2" max="2" width="55.59765625" customWidth="1"/>
    <col min="3" max="3" width="16.59765625" customWidth="1"/>
    <col min="4" max="4" width="45.59765625" customWidth="1"/>
  </cols>
  <sheetData>
    <row r="2" spans="2:2" ht="21" x14ac:dyDescent="0.65">
      <c r="B2" s="14" t="s">
        <v>57</v>
      </c>
    </row>
    <row r="3" spans="2:2" x14ac:dyDescent="0.45">
      <c r="B3" s="10" t="s">
        <v>58</v>
      </c>
    </row>
    <row r="5" spans="2:2" ht="15.75" x14ac:dyDescent="0.5">
      <c r="B5" s="15" t="s">
        <v>59</v>
      </c>
    </row>
    <row r="7" spans="2:2" x14ac:dyDescent="0.45">
      <c r="B7" t="s">
        <v>60</v>
      </c>
    </row>
    <row r="8" spans="2:2" x14ac:dyDescent="0.45">
      <c r="B8" t="s">
        <v>61</v>
      </c>
    </row>
    <row r="9" spans="2:2" x14ac:dyDescent="0.45">
      <c r="B9" t="s">
        <v>62</v>
      </c>
    </row>
    <row r="11" spans="2:2" x14ac:dyDescent="0.45">
      <c r="B11" s="8" t="s">
        <v>63</v>
      </c>
    </row>
    <row r="12" spans="2:2" x14ac:dyDescent="0.45">
      <c r="B12" t="s">
        <v>64</v>
      </c>
    </row>
    <row r="13" spans="2:2" x14ac:dyDescent="0.45">
      <c r="B13" t="s">
        <v>65</v>
      </c>
    </row>
    <row r="14" spans="2:2" x14ac:dyDescent="0.45">
      <c r="B14" t="s">
        <v>66</v>
      </c>
    </row>
    <row r="16" spans="2:2" x14ac:dyDescent="0.45">
      <c r="B16" s="8" t="s">
        <v>67</v>
      </c>
    </row>
    <row r="17" spans="2:2" x14ac:dyDescent="0.45">
      <c r="B17" t="s">
        <v>68</v>
      </c>
    </row>
    <row r="18" spans="2:2" x14ac:dyDescent="0.45">
      <c r="B18" t="s">
        <v>69</v>
      </c>
    </row>
    <row r="19" spans="2:2" x14ac:dyDescent="0.45">
      <c r="B19" t="s">
        <v>70</v>
      </c>
    </row>
    <row r="21" spans="2:2" x14ac:dyDescent="0.45">
      <c r="B21" s="8" t="s">
        <v>71</v>
      </c>
    </row>
    <row r="22" spans="2:2" x14ac:dyDescent="0.45">
      <c r="B22" t="s">
        <v>72</v>
      </c>
    </row>
    <row r="23" spans="2:2" x14ac:dyDescent="0.45">
      <c r="B23" t="s">
        <v>73</v>
      </c>
    </row>
    <row r="25" spans="2:2" x14ac:dyDescent="0.45">
      <c r="B25" s="8" t="s">
        <v>74</v>
      </c>
    </row>
    <row r="26" spans="2:2" x14ac:dyDescent="0.45">
      <c r="B26" t="s">
        <v>75</v>
      </c>
    </row>
    <row r="28" spans="2:2" ht="15.75" x14ac:dyDescent="0.5">
      <c r="B28" s="15" t="s">
        <v>76</v>
      </c>
    </row>
    <row r="30" spans="2:2" x14ac:dyDescent="0.45">
      <c r="B30" t="s">
        <v>77</v>
      </c>
    </row>
    <row r="31" spans="2:2" x14ac:dyDescent="0.45">
      <c r="B31" t="s">
        <v>78</v>
      </c>
    </row>
    <row r="34" spans="2:4" ht="15.75" x14ac:dyDescent="0.5">
      <c r="B34" s="15" t="s">
        <v>79</v>
      </c>
    </row>
    <row r="36" spans="2:4" x14ac:dyDescent="0.45">
      <c r="B36" s="11" t="s">
        <v>23</v>
      </c>
      <c r="C36" s="11" t="s">
        <v>24</v>
      </c>
      <c r="D36" s="11" t="s">
        <v>26</v>
      </c>
    </row>
    <row r="37" spans="2:4" x14ac:dyDescent="0.45">
      <c r="B37" s="12" t="s">
        <v>80</v>
      </c>
      <c r="C37" s="16">
        <v>45000000</v>
      </c>
      <c r="D37" s="12" t="s">
        <v>81</v>
      </c>
    </row>
    <row r="38" spans="2:4" x14ac:dyDescent="0.45">
      <c r="B38" s="12" t="s">
        <v>82</v>
      </c>
      <c r="C38" s="16">
        <v>8000000</v>
      </c>
      <c r="D38" s="12" t="s">
        <v>83</v>
      </c>
    </row>
    <row r="39" spans="2:4" x14ac:dyDescent="0.45">
      <c r="B39" s="12" t="s">
        <v>34</v>
      </c>
      <c r="C39" s="16">
        <v>350000000</v>
      </c>
      <c r="D39" s="12" t="s">
        <v>84</v>
      </c>
    </row>
    <row r="40" spans="2:4" x14ac:dyDescent="0.45">
      <c r="B40" s="12" t="s">
        <v>85</v>
      </c>
      <c r="C40" s="16">
        <v>60000000</v>
      </c>
      <c r="D40" s="12" t="s">
        <v>86</v>
      </c>
    </row>
    <row r="41" spans="2:4" x14ac:dyDescent="0.45">
      <c r="B41" s="12" t="s">
        <v>87</v>
      </c>
      <c r="C41" s="17">
        <v>0.1</v>
      </c>
      <c r="D41" s="12" t="s">
        <v>88</v>
      </c>
    </row>
    <row r="42" spans="2:4" x14ac:dyDescent="0.45">
      <c r="B42" s="12" t="s">
        <v>89</v>
      </c>
      <c r="C42" s="17">
        <v>0.15</v>
      </c>
      <c r="D42" s="12" t="s">
        <v>90</v>
      </c>
    </row>
    <row r="43" spans="2:4" x14ac:dyDescent="0.45">
      <c r="B43" s="12" t="s">
        <v>91</v>
      </c>
      <c r="C43" s="17">
        <v>0.3</v>
      </c>
      <c r="D43" s="12" t="s">
        <v>92</v>
      </c>
    </row>
    <row r="44" spans="2:4" x14ac:dyDescent="0.45">
      <c r="B44" s="12" t="s">
        <v>93</v>
      </c>
      <c r="C44" s="12" t="s">
        <v>94</v>
      </c>
      <c r="D44" s="12" t="s">
        <v>95</v>
      </c>
    </row>
    <row r="45" spans="2:4" x14ac:dyDescent="0.45">
      <c r="B45" s="12" t="s">
        <v>96</v>
      </c>
      <c r="C45" s="12" t="s">
        <v>97</v>
      </c>
      <c r="D45" s="12" t="s">
        <v>98</v>
      </c>
    </row>
    <row r="46" spans="2:4" x14ac:dyDescent="0.45">
      <c r="B46" s="12" t="s">
        <v>99</v>
      </c>
      <c r="C46" s="12" t="s">
        <v>100</v>
      </c>
      <c r="D46" s="12" t="s">
        <v>101</v>
      </c>
    </row>
    <row r="49" spans="2:2" ht="15.75" x14ac:dyDescent="0.5">
      <c r="B49" s="15" t="s">
        <v>102</v>
      </c>
    </row>
    <row r="51" spans="2:2" x14ac:dyDescent="0.45">
      <c r="B51" t="s">
        <v>103</v>
      </c>
    </row>
    <row r="52" spans="2:2" x14ac:dyDescent="0.45">
      <c r="B52" t="s">
        <v>104</v>
      </c>
    </row>
    <row r="53" spans="2:2" x14ac:dyDescent="0.45">
      <c r="B53" t="s">
        <v>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B665A-3AF8-4A70-AF92-656406A7B38A}">
  <dimension ref="B2:H152"/>
  <sheetViews>
    <sheetView showGridLines="0" workbookViewId="0"/>
  </sheetViews>
  <sheetFormatPr defaultRowHeight="14.25" x14ac:dyDescent="0.45"/>
  <cols>
    <col min="1" max="1" width="8.59765625" customWidth="1"/>
    <col min="2" max="2" width="28.59765625" customWidth="1"/>
    <col min="3" max="3" width="33.59765625" customWidth="1"/>
    <col min="4" max="4" width="34.59765625" customWidth="1"/>
    <col min="5" max="5" width="35.796875" customWidth="1"/>
    <col min="6" max="6" width="40.59765625" customWidth="1"/>
    <col min="7" max="7" width="34.59765625" customWidth="1"/>
    <col min="8" max="8" width="35.796875" customWidth="1"/>
  </cols>
  <sheetData>
    <row r="2" spans="2:5" ht="15" customHeight="1" x14ac:dyDescent="0.55000000000000004">
      <c r="B2" s="9" t="s">
        <v>21</v>
      </c>
    </row>
    <row r="3" spans="2:5" ht="15" customHeight="1" x14ac:dyDescent="0.45">
      <c r="B3" s="10" t="s">
        <v>22</v>
      </c>
    </row>
    <row r="4" spans="2:5" ht="15" customHeight="1" x14ac:dyDescent="0.45"/>
    <row r="5" spans="2:5" ht="15" customHeight="1" x14ac:dyDescent="0.45">
      <c r="B5" s="11" t="s">
        <v>23</v>
      </c>
      <c r="C5" s="11" t="s">
        <v>24</v>
      </c>
      <c r="D5" s="11" t="s">
        <v>25</v>
      </c>
      <c r="E5" s="11" t="s">
        <v>26</v>
      </c>
    </row>
    <row r="6" spans="2:5" ht="15" customHeight="1" x14ac:dyDescent="0.45">
      <c r="B6" s="12" t="s">
        <v>27</v>
      </c>
      <c r="C6" s="13">
        <v>45000000</v>
      </c>
      <c r="D6" s="12" t="s">
        <v>28</v>
      </c>
      <c r="E6" s="12" t="s">
        <v>29</v>
      </c>
    </row>
    <row r="7" spans="2:5" ht="15" customHeight="1" x14ac:dyDescent="0.45">
      <c r="B7" s="12" t="s">
        <v>30</v>
      </c>
      <c r="C7" s="13">
        <v>8000000</v>
      </c>
      <c r="D7" s="12" t="s">
        <v>28</v>
      </c>
      <c r="E7" s="12" t="s">
        <v>31</v>
      </c>
    </row>
    <row r="8" spans="2:5" ht="15" customHeight="1" x14ac:dyDescent="0.45">
      <c r="B8" s="12" t="s">
        <v>32</v>
      </c>
      <c r="C8" s="13">
        <v>2000000</v>
      </c>
      <c r="D8" s="12" t="s">
        <v>28</v>
      </c>
      <c r="E8" s="12" t="s">
        <v>33</v>
      </c>
    </row>
    <row r="9" spans="2:5" ht="15" customHeight="1" x14ac:dyDescent="0.45">
      <c r="B9" s="12" t="s">
        <v>34</v>
      </c>
      <c r="C9" s="13">
        <v>350000000</v>
      </c>
      <c r="D9" s="12" t="s">
        <v>28</v>
      </c>
      <c r="E9" s="12" t="s">
        <v>35</v>
      </c>
    </row>
    <row r="10" spans="2:5" ht="15" customHeight="1" x14ac:dyDescent="0.45">
      <c r="B10" s="12" t="s">
        <v>36</v>
      </c>
      <c r="C10" s="13">
        <v>60000000</v>
      </c>
      <c r="D10" s="12" t="s">
        <v>28</v>
      </c>
      <c r="E10" s="12" t="s">
        <v>37</v>
      </c>
    </row>
    <row r="11" spans="2:5" ht="15" customHeight="1" x14ac:dyDescent="0.45">
      <c r="B11" s="12" t="s">
        <v>38</v>
      </c>
      <c r="C11" s="13">
        <v>250000000</v>
      </c>
      <c r="D11" s="12" t="s">
        <v>28</v>
      </c>
      <c r="E11" s="12" t="s">
        <v>39</v>
      </c>
    </row>
    <row r="12" spans="2:5" ht="15" customHeight="1" x14ac:dyDescent="0.45">
      <c r="B12" s="12" t="s">
        <v>40</v>
      </c>
      <c r="C12" s="13">
        <v>200000000</v>
      </c>
      <c r="D12" s="12" t="s">
        <v>28</v>
      </c>
      <c r="E12" s="12" t="s">
        <v>41</v>
      </c>
    </row>
    <row r="13" spans="2:5" ht="15" customHeight="1" x14ac:dyDescent="0.45">
      <c r="B13" s="12" t="s">
        <v>42</v>
      </c>
      <c r="C13" s="13">
        <v>40000000</v>
      </c>
      <c r="D13" s="12" t="s">
        <v>28</v>
      </c>
      <c r="E13" s="12" t="s">
        <v>43</v>
      </c>
    </row>
    <row r="14" spans="2:5" ht="15" customHeight="1" x14ac:dyDescent="0.45">
      <c r="B14" s="12" t="s">
        <v>38</v>
      </c>
      <c r="C14" s="13">
        <v>100000000</v>
      </c>
      <c r="D14" s="12" t="s">
        <v>28</v>
      </c>
      <c r="E14" s="12" t="s">
        <v>44</v>
      </c>
    </row>
    <row r="15" spans="2:5" x14ac:dyDescent="0.45">
      <c r="B15" s="12" t="s">
        <v>45</v>
      </c>
      <c r="C15" s="13">
        <v>80000000</v>
      </c>
      <c r="D15" s="12" t="s">
        <v>28</v>
      </c>
      <c r="E15" s="12" t="s">
        <v>46</v>
      </c>
    </row>
    <row r="16" spans="2:5" x14ac:dyDescent="0.45">
      <c r="B16" s="12" t="s">
        <v>47</v>
      </c>
      <c r="C16" s="13">
        <v>25000000</v>
      </c>
      <c r="D16" s="12" t="s">
        <v>28</v>
      </c>
      <c r="E16" s="12" t="s">
        <v>48</v>
      </c>
    </row>
    <row r="17" spans="2:8" x14ac:dyDescent="0.45">
      <c r="B17" s="12" t="s">
        <v>49</v>
      </c>
      <c r="C17" s="13">
        <v>5000000</v>
      </c>
      <c r="D17" s="12" t="s">
        <v>28</v>
      </c>
      <c r="E17" s="12" t="s">
        <v>49</v>
      </c>
    </row>
    <row r="18" spans="2:8" x14ac:dyDescent="0.45">
      <c r="B18" s="12" t="s">
        <v>50</v>
      </c>
      <c r="C18" s="13">
        <v>45000000</v>
      </c>
      <c r="D18" s="12" t="s">
        <v>28</v>
      </c>
      <c r="E18" s="12" t="s">
        <v>51</v>
      </c>
    </row>
    <row r="19" spans="2:8" x14ac:dyDescent="0.45">
      <c r="B19" s="12" t="s">
        <v>52</v>
      </c>
      <c r="C19" s="13">
        <v>30000000</v>
      </c>
      <c r="D19" s="12" t="s">
        <v>28</v>
      </c>
      <c r="E19" s="12" t="s">
        <v>53</v>
      </c>
    </row>
    <row r="20" spans="2:8" x14ac:dyDescent="0.45">
      <c r="B20" s="12" t="s">
        <v>50</v>
      </c>
      <c r="C20" s="13">
        <v>45000000</v>
      </c>
      <c r="D20" s="12" t="s">
        <v>28</v>
      </c>
      <c r="E20" s="12" t="s">
        <v>54</v>
      </c>
    </row>
    <row r="21" spans="2:8" x14ac:dyDescent="0.45">
      <c r="B21" s="12" t="s">
        <v>55</v>
      </c>
      <c r="C21" s="13">
        <v>5000000</v>
      </c>
      <c r="D21" s="12" t="s">
        <v>28</v>
      </c>
      <c r="E21" s="12" t="s">
        <v>56</v>
      </c>
    </row>
    <row r="26" spans="2:8" ht="15" customHeight="1" x14ac:dyDescent="0.45">
      <c r="G26" s="5">
        <v>0.25</v>
      </c>
      <c r="H26" s="1">
        <f>_xll.MC_NodeProbability(_MC_Calc_1,"T_major_hh")</f>
        <v>6.2500000000000003E-3</v>
      </c>
    </row>
    <row r="27" spans="2:8" ht="15" customHeight="1" x14ac:dyDescent="0.45">
      <c r="G27" s="7">
        <v>1500000000</v>
      </c>
      <c r="H27" s="6">
        <f>_xll.MC_NodeValue(_MC_Calc_1,"T_major_hh")</f>
        <v>1105000000</v>
      </c>
    </row>
    <row r="28" spans="2:8" ht="15" customHeight="1" x14ac:dyDescent="0.45">
      <c r="F28" s="5">
        <v>0.25</v>
      </c>
      <c r="G28" s="2" t="s">
        <v>1</v>
      </c>
    </row>
    <row r="29" spans="2:8" ht="15" customHeight="1" x14ac:dyDescent="0.45">
      <c r="F29" s="7">
        <v>0</v>
      </c>
      <c r="G29" s="6">
        <f>_xll.MC_NodeValue(_MC_Calc_1,"C_price_major_high")</f>
        <v>530000000</v>
      </c>
    </row>
    <row r="30" spans="2:8" ht="15" customHeight="1" x14ac:dyDescent="0.45">
      <c r="G30" s="5">
        <v>0.5</v>
      </c>
      <c r="H30" s="1">
        <f>_xll.MC_NodeProbability(_MC_Calc_1,"T_major_hm")</f>
        <v>1.2500000000000001E-2</v>
      </c>
    </row>
    <row r="31" spans="2:8" ht="15" customHeight="1" x14ac:dyDescent="0.45">
      <c r="G31" s="7">
        <v>900000000</v>
      </c>
      <c r="H31" s="6">
        <f>_xll.MC_NodeValue(_MC_Calc_1,"T_major_hm")</f>
        <v>505000000</v>
      </c>
    </row>
    <row r="32" spans="2:8" ht="15" customHeight="1" x14ac:dyDescent="0.45">
      <c r="G32" s="5">
        <v>0.25</v>
      </c>
      <c r="H32" s="1">
        <f>_xll.MC_NodeProbability(_MC_Calc_1,"T_major_hl")</f>
        <v>6.2500000000000003E-3</v>
      </c>
    </row>
    <row r="33" spans="5:8" ht="15" customHeight="1" x14ac:dyDescent="0.45">
      <c r="G33" s="7">
        <v>400000000</v>
      </c>
      <c r="H33" s="6">
        <f>_xll.MC_NodeValue(_MC_Calc_1,"T_major_hl")</f>
        <v>5000000</v>
      </c>
    </row>
    <row r="34" spans="5:8" ht="15" customHeight="1" x14ac:dyDescent="0.45">
      <c r="E34" s="4" t="str">
        <f>_xll.MC_NodeDecision(_MC_Calc_1,"C_dev_major")</f>
        <v/>
      </c>
      <c r="F34" s="2" t="s">
        <v>2</v>
      </c>
    </row>
    <row r="35" spans="5:8" ht="15" customHeight="1" x14ac:dyDescent="0.45">
      <c r="E35" s="7">
        <f>-FasttrackDevelopmentCost</f>
        <v>-350000000</v>
      </c>
      <c r="F35" s="6">
        <f>_xll.MC_NodeValue(_MC_Calc_1,"C_dev_major")</f>
        <v>165500000</v>
      </c>
    </row>
    <row r="36" spans="5:8" ht="15" customHeight="1" x14ac:dyDescent="0.45">
      <c r="G36" s="5">
        <v>0.25</v>
      </c>
      <c r="H36" s="1">
        <f>_xll.MC_NodeProbability(_MC_Calc_1,"T_major_mh")</f>
        <v>1.0000000000000002E-2</v>
      </c>
    </row>
    <row r="37" spans="5:8" ht="15" customHeight="1" x14ac:dyDescent="0.45">
      <c r="G37" s="7">
        <v>1100000000</v>
      </c>
      <c r="H37" s="6">
        <f>_xll.MC_NodeValue(_MC_Calc_1,"T_major_mh")</f>
        <v>625000000</v>
      </c>
    </row>
    <row r="38" spans="5:8" ht="15" customHeight="1" x14ac:dyDescent="0.45">
      <c r="F38" s="5">
        <v>0.4</v>
      </c>
      <c r="G38" s="2" t="s">
        <v>3</v>
      </c>
    </row>
    <row r="39" spans="5:8" ht="15" customHeight="1" x14ac:dyDescent="0.45">
      <c r="F39" s="7">
        <v>-80000000</v>
      </c>
      <c r="G39" s="6">
        <f>_xll.MC_NodeValue(_MC_Calc_1,"C_price_major_med")</f>
        <v>187500000</v>
      </c>
    </row>
    <row r="40" spans="5:8" ht="15" customHeight="1" x14ac:dyDescent="0.45">
      <c r="G40" s="5">
        <v>0.5</v>
      </c>
      <c r="H40" s="1">
        <f>_xll.MC_NodeProbability(_MC_Calc_1,"T_major_mm")</f>
        <v>2.0000000000000004E-2</v>
      </c>
    </row>
    <row r="41" spans="5:8" ht="15" customHeight="1" x14ac:dyDescent="0.45">
      <c r="G41" s="7">
        <v>650000000</v>
      </c>
      <c r="H41" s="6">
        <f>_xll.MC_NodeValue(_MC_Calc_1,"T_major_mm")</f>
        <v>175000000</v>
      </c>
    </row>
    <row r="42" spans="5:8" ht="15" customHeight="1" x14ac:dyDescent="0.45">
      <c r="G42" s="5">
        <v>0.25</v>
      </c>
      <c r="H42" s="1">
        <f>_xll.MC_NodeProbability(_MC_Calc_1,"T_major_ml")</f>
        <v>1.0000000000000002E-2</v>
      </c>
    </row>
    <row r="43" spans="5:8" ht="15" customHeight="1" x14ac:dyDescent="0.45">
      <c r="G43" s="7">
        <v>250000000</v>
      </c>
      <c r="H43" s="6">
        <f>_xll.MC_NodeValue(_MC_Calc_1,"T_major_ml")</f>
        <v>-225000000</v>
      </c>
    </row>
    <row r="44" spans="5:8" ht="15" customHeight="1" x14ac:dyDescent="0.45">
      <c r="G44" s="5">
        <v>0.25</v>
      </c>
      <c r="H44" s="1">
        <f>_xll.MC_NodeProbability(_MC_Calc_1,"T_major_lh")</f>
        <v>8.7499999999999991E-3</v>
      </c>
    </row>
    <row r="45" spans="5:8" ht="15" customHeight="1" x14ac:dyDescent="0.45">
      <c r="G45" s="7">
        <v>800000000</v>
      </c>
      <c r="H45" s="6">
        <f>_xll.MC_NodeValue(_MC_Calc_1,"T_major_lh")</f>
        <v>255000000</v>
      </c>
    </row>
    <row r="46" spans="5:8" ht="15" customHeight="1" x14ac:dyDescent="0.45">
      <c r="F46" s="5">
        <v>0.35</v>
      </c>
      <c r="G46" s="2" t="s">
        <v>4</v>
      </c>
    </row>
    <row r="47" spans="5:8" ht="15" customHeight="1" x14ac:dyDescent="0.45">
      <c r="F47" s="7">
        <v>-150000000</v>
      </c>
      <c r="G47" s="6">
        <f>_xll.MC_NodeValue(_MC_Calc_1,"C_price_major_low")</f>
        <v>-120000000</v>
      </c>
    </row>
    <row r="48" spans="5:8" ht="15" customHeight="1" x14ac:dyDescent="0.45">
      <c r="G48" s="5">
        <v>0.5</v>
      </c>
      <c r="H48" s="1">
        <f>_xll.MC_NodeProbability(_MC_Calc_1,"T_major_lm")</f>
        <v>1.7499999999999998E-2</v>
      </c>
    </row>
    <row r="49" spans="3:8" ht="15" customHeight="1" x14ac:dyDescent="0.45">
      <c r="G49" s="7">
        <v>400000000</v>
      </c>
      <c r="H49" s="6">
        <f>_xll.MC_NodeValue(_MC_Calc_1,"T_major_lm")</f>
        <v>-145000000</v>
      </c>
    </row>
    <row r="50" spans="3:8" ht="15" customHeight="1" x14ac:dyDescent="0.45">
      <c r="G50" s="5">
        <v>0.25</v>
      </c>
      <c r="H50" s="1">
        <f>_xll.MC_NodeProbability(_MC_Calc_1,"T_major_ll")</f>
        <v>8.7499999999999991E-3</v>
      </c>
    </row>
    <row r="51" spans="3:8" ht="15" customHeight="1" x14ac:dyDescent="0.45">
      <c r="G51" s="7">
        <v>100000000</v>
      </c>
      <c r="H51" s="6">
        <f>_xll.MC_NodeValue(_MC_Calc_1,"T_major_ll")</f>
        <v>-445000000</v>
      </c>
    </row>
    <row r="52" spans="3:8" ht="15" customHeight="1" x14ac:dyDescent="0.45">
      <c r="D52" s="5">
        <v>0.1</v>
      </c>
      <c r="E52" s="3" t="s">
        <v>5</v>
      </c>
    </row>
    <row r="53" spans="3:8" ht="15" customHeight="1" x14ac:dyDescent="0.45">
      <c r="D53" s="7">
        <v>0</v>
      </c>
      <c r="E53" s="6">
        <f>_xll.MC_NodeValue(_MC_Calc_1,"D_appraise_major")</f>
        <v>353000000</v>
      </c>
    </row>
    <row r="54" spans="3:8" ht="15" customHeight="1" x14ac:dyDescent="0.45">
      <c r="F54" s="5">
        <v>0.5</v>
      </c>
      <c r="G54" s="1">
        <f>_xll.MC_NodeProbability(_MC_Calc_1,"T_appr_confirmed")</f>
        <v>0.05</v>
      </c>
    </row>
    <row r="55" spans="3:8" ht="15" customHeight="1" x14ac:dyDescent="0.45">
      <c r="F55" s="7">
        <v>700000000</v>
      </c>
      <c r="G55" s="6">
        <f>_xll.MC_NodeValue(_MC_Calc_1,"T_appr_confirmed")</f>
        <v>595000000</v>
      </c>
    </row>
    <row r="56" spans="3:8" ht="15" customHeight="1" x14ac:dyDescent="0.45">
      <c r="E56" s="4" t="str">
        <f>_xll.MC_NodeDecision(_MC_Calc_1,"C_appraisal_major")</f>
        <v>optimal</v>
      </c>
      <c r="F56" s="2" t="s">
        <v>6</v>
      </c>
    </row>
    <row r="57" spans="3:8" ht="15" customHeight="1" x14ac:dyDescent="0.45">
      <c r="E57" s="7">
        <f>-AppraisalWellsFirstCost</f>
        <v>-60000000</v>
      </c>
      <c r="F57" s="6">
        <f>_xll.MC_NodeValue(_MC_Calc_1,"C_appraisal_major")</f>
        <v>353000000</v>
      </c>
    </row>
    <row r="58" spans="3:8" ht="15" customHeight="1" x14ac:dyDescent="0.45">
      <c r="F58" s="5">
        <v>0.35</v>
      </c>
      <c r="G58" s="1">
        <f>_xll.MC_NodeProbability(_MC_Calc_1,"T_appr_smaller")</f>
        <v>3.4999999999999996E-2</v>
      </c>
    </row>
    <row r="59" spans="3:8" ht="15" customHeight="1" x14ac:dyDescent="0.45">
      <c r="F59" s="7">
        <v>300000000</v>
      </c>
      <c r="G59" s="6">
        <f>_xll.MC_NodeValue(_MC_Calc_1,"T_appr_smaller")</f>
        <v>195000000</v>
      </c>
    </row>
    <row r="60" spans="3:8" ht="15" customHeight="1" x14ac:dyDescent="0.45">
      <c r="F60" s="5">
        <v>0.15</v>
      </c>
      <c r="G60" s="1">
        <f>_xll.MC_NodeProbability(_MC_Calc_1,"T_appr_uneconomic")</f>
        <v>1.4999999999999999E-2</v>
      </c>
    </row>
    <row r="61" spans="3:8" ht="15" customHeight="1" x14ac:dyDescent="0.45">
      <c r="F61" s="7">
        <v>20000000</v>
      </c>
      <c r="G61" s="6">
        <f>_xll.MC_NodeValue(_MC_Calc_1,"T_appr_uneconomic")</f>
        <v>-85000000</v>
      </c>
    </row>
    <row r="62" spans="3:8" ht="15" customHeight="1" x14ac:dyDescent="0.45">
      <c r="E62" s="4" t="str">
        <f>_xll.MC_NodeDecision(_MC_Calc_1,"T_sell_major")</f>
        <v/>
      </c>
      <c r="F62" s="1">
        <f>_xll.MC_NodeProbability(_MC_Calc_1,"T_sell_major")</f>
        <v>0.1</v>
      </c>
    </row>
    <row r="63" spans="3:8" ht="15" customHeight="1" x14ac:dyDescent="0.45">
      <c r="E63" s="7">
        <f>SellDiscoveryValue</f>
        <v>250000000</v>
      </c>
      <c r="F63" s="6">
        <f>_xll.MC_NodeValue(_MC_Calc_1,"T_sell_major")</f>
        <v>205000000</v>
      </c>
    </row>
    <row r="64" spans="3:8" ht="15" customHeight="1" x14ac:dyDescent="0.45">
      <c r="C64" s="4" t="str">
        <f>_xll.MC_NodeDecision(_MC_Calc_1,"C_seismic")</f>
        <v/>
      </c>
      <c r="D64" s="2" t="s">
        <v>7</v>
      </c>
    </row>
    <row r="65" spans="3:7" ht="15" customHeight="1" x14ac:dyDescent="0.45">
      <c r="C65" s="7">
        <f>-DrillExplorationWellCost</f>
        <v>-45000000</v>
      </c>
      <c r="D65" s="6">
        <f>_xll.MC_NodeValue(_MC_Calc_1,"C_seismic")</f>
        <v>34300000</v>
      </c>
    </row>
    <row r="66" spans="3:7" ht="15" customHeight="1" x14ac:dyDescent="0.45">
      <c r="F66" s="5">
        <v>0.25</v>
      </c>
      <c r="G66" s="1">
        <f>_xll.MC_NodeProbability(_MC_Calc_1,"T_sig_high")</f>
        <v>3.7499999999999999E-2</v>
      </c>
    </row>
    <row r="67" spans="3:7" ht="15" customHeight="1" x14ac:dyDescent="0.45">
      <c r="F67" s="7">
        <v>600000000</v>
      </c>
      <c r="G67" s="6">
        <f>_xll.MC_NodeValue(_MC_Calc_1,"T_sig_high")</f>
        <v>355000000</v>
      </c>
    </row>
    <row r="68" spans="3:7" ht="15" customHeight="1" x14ac:dyDescent="0.45">
      <c r="E68" s="4" t="str">
        <f>_xll.MC_NodeDecision(_MC_Calc_1,"C_price_sig")</f>
        <v/>
      </c>
      <c r="F68" s="2" t="s">
        <v>8</v>
      </c>
    </row>
    <row r="69" spans="3:7" ht="15" customHeight="1" x14ac:dyDescent="0.45">
      <c r="E69" s="7">
        <f>-DevelopFpsoCost</f>
        <v>-200000000</v>
      </c>
      <c r="F69" s="6">
        <f>_xll.MC_NodeValue(_MC_Calc_1,"C_price_sig")</f>
        <v>110000000</v>
      </c>
    </row>
    <row r="70" spans="3:7" ht="15" customHeight="1" x14ac:dyDescent="0.45">
      <c r="F70" s="5">
        <v>0.5</v>
      </c>
      <c r="G70" s="1">
        <f>_xll.MC_NodeProbability(_MC_Calc_1,"T_sig_mid")</f>
        <v>7.4999999999999997E-2</v>
      </c>
    </row>
    <row r="71" spans="3:7" ht="15" customHeight="1" x14ac:dyDescent="0.45">
      <c r="F71" s="7">
        <v>350000000</v>
      </c>
      <c r="G71" s="6">
        <f>_xll.MC_NodeValue(_MC_Calc_1,"T_sig_mid")</f>
        <v>105000000</v>
      </c>
    </row>
    <row r="72" spans="3:7" ht="15" customHeight="1" x14ac:dyDescent="0.45">
      <c r="F72" s="5">
        <v>0.25</v>
      </c>
      <c r="G72" s="1">
        <f>_xll.MC_NodeProbability(_MC_Calc_1,"T_sig_low")</f>
        <v>3.7499999999999999E-2</v>
      </c>
    </row>
    <row r="73" spans="3:7" ht="15" customHeight="1" x14ac:dyDescent="0.45">
      <c r="F73" s="7">
        <v>120000000</v>
      </c>
      <c r="G73" s="6">
        <f>_xll.MC_NodeValue(_MC_Calc_1,"T_sig_low")</f>
        <v>-125000000</v>
      </c>
    </row>
    <row r="74" spans="3:7" ht="15" customHeight="1" x14ac:dyDescent="0.45">
      <c r="D74" s="5">
        <v>0.15</v>
      </c>
      <c r="E74" s="3" t="s">
        <v>9</v>
      </c>
    </row>
    <row r="75" spans="3:7" ht="15" customHeight="1" x14ac:dyDescent="0.45">
      <c r="D75" s="7">
        <v>0</v>
      </c>
      <c r="E75" s="6">
        <f>_xll.MC_NodeValue(_MC_Calc_1,"D_appraise_sig")</f>
        <v>185000000</v>
      </c>
    </row>
    <row r="76" spans="3:7" ht="15" customHeight="1" x14ac:dyDescent="0.45">
      <c r="F76" s="5">
        <v>0.4</v>
      </c>
      <c r="G76" s="1">
        <f>_xll.MC_NodeProbability(_MC_Calc_1,"T_appr_sig_up")</f>
        <v>0.06</v>
      </c>
    </row>
    <row r="77" spans="3:7" ht="15" customHeight="1" x14ac:dyDescent="0.45">
      <c r="F77" s="7">
        <v>400000000</v>
      </c>
      <c r="G77" s="6">
        <f>_xll.MC_NodeValue(_MC_Calc_1,"T_appr_sig_up")</f>
        <v>315000000</v>
      </c>
    </row>
    <row r="78" spans="3:7" ht="15" customHeight="1" x14ac:dyDescent="0.45">
      <c r="E78" s="4" t="str">
        <f>_xll.MC_NodeDecision(_MC_Calc_1,"C_appr_sig")</f>
        <v>optimal</v>
      </c>
      <c r="F78" s="2" t="s">
        <v>10</v>
      </c>
    </row>
    <row r="79" spans="3:7" ht="15" customHeight="1" x14ac:dyDescent="0.45">
      <c r="E79" s="7">
        <f>-AppraisalWellCost</f>
        <v>-40000000</v>
      </c>
      <c r="F79" s="6">
        <f>_xll.MC_NodeValue(_MC_Calc_1,"C_appr_sig")</f>
        <v>185000000</v>
      </c>
    </row>
    <row r="80" spans="3:7" ht="15" customHeight="1" x14ac:dyDescent="0.45">
      <c r="F80" s="5">
        <v>0.4</v>
      </c>
      <c r="G80" s="1">
        <f>_xll.MC_NodeProbability(_MC_Calc_1,"T_appr_sig_conf")</f>
        <v>0.06</v>
      </c>
    </row>
    <row r="81" spans="4:7" ht="15" customHeight="1" x14ac:dyDescent="0.45">
      <c r="F81" s="7">
        <v>250000000</v>
      </c>
      <c r="G81" s="6">
        <f>_xll.MC_NodeValue(_MC_Calc_1,"T_appr_sig_conf")</f>
        <v>165000000</v>
      </c>
    </row>
    <row r="82" spans="4:7" ht="15" customHeight="1" x14ac:dyDescent="0.45">
      <c r="F82" s="5">
        <v>0.2</v>
      </c>
      <c r="G82" s="1">
        <f>_xll.MC_NodeProbability(_MC_Calc_1,"T_appr_sig_down")</f>
        <v>0.03</v>
      </c>
    </row>
    <row r="83" spans="4:7" ht="15" customHeight="1" x14ac:dyDescent="0.45">
      <c r="F83" s="7">
        <v>50000000</v>
      </c>
      <c r="G83" s="6">
        <f>_xll.MC_NodeValue(_MC_Calc_1,"T_appr_sig_down")</f>
        <v>-35000000</v>
      </c>
    </row>
    <row r="84" spans="4:7" ht="15" customHeight="1" x14ac:dyDescent="0.45">
      <c r="E84" s="4" t="str">
        <f>_xll.MC_NodeDecision(_MC_Calc_1,"T_sell_sig")</f>
        <v/>
      </c>
      <c r="F84" s="1">
        <f>_xll.MC_NodeProbability(_MC_Calc_1,"T_sell_sig")</f>
        <v>0.15</v>
      </c>
    </row>
    <row r="85" spans="4:7" ht="15" customHeight="1" x14ac:dyDescent="0.45">
      <c r="E85" s="7">
        <f>SellDiscoveryValue2</f>
        <v>100000000</v>
      </c>
      <c r="F85" s="6">
        <f>_xll.MC_NodeValue(_MC_Calc_1,"T_sell_sig")</f>
        <v>55000000</v>
      </c>
    </row>
    <row r="86" spans="4:7" ht="15" customHeight="1" x14ac:dyDescent="0.45">
      <c r="F86" s="5">
        <v>0.45</v>
      </c>
      <c r="G86" s="1">
        <f>_xll.MC_NodeProbability(_MC_Calc_1,"T_tieback_ok")</f>
        <v>9.0000000000000011E-2</v>
      </c>
    </row>
    <row r="87" spans="4:7" ht="15" customHeight="1" x14ac:dyDescent="0.45">
      <c r="F87" s="7">
        <v>150000000</v>
      </c>
      <c r="G87" s="6">
        <f>_xll.MC_NodeValue(_MC_Calc_1,"T_tieback_ok")</f>
        <v>25000000</v>
      </c>
    </row>
    <row r="88" spans="4:7" ht="15" customHeight="1" x14ac:dyDescent="0.45">
      <c r="E88" s="4" t="str">
        <f>_xll.MC_NodeDecision(_MC_Calc_1,"C_tieback")</f>
        <v/>
      </c>
      <c r="F88" s="2" t="s">
        <v>11</v>
      </c>
    </row>
    <row r="89" spans="4:7" ht="15" customHeight="1" x14ac:dyDescent="0.45">
      <c r="E89" s="7">
        <f>-TiebackToNearbyPlatformCost</f>
        <v>-80000000</v>
      </c>
      <c r="F89" s="6">
        <f>_xll.MC_NodeValue(_MC_Calc_1,"C_tieback")</f>
        <v>-28500000</v>
      </c>
    </row>
    <row r="90" spans="4:7" ht="15" customHeight="1" x14ac:dyDescent="0.45">
      <c r="F90" s="5">
        <v>0.3</v>
      </c>
      <c r="G90" s="1">
        <f>_xll.MC_NodeProbability(_MC_Calc_1,"T_tieback_even")</f>
        <v>0.06</v>
      </c>
    </row>
    <row r="91" spans="4:7" ht="15" customHeight="1" x14ac:dyDescent="0.45">
      <c r="F91" s="7">
        <v>80000000</v>
      </c>
      <c r="G91" s="6">
        <f>_xll.MC_NodeValue(_MC_Calc_1,"T_tieback_even")</f>
        <v>-45000000</v>
      </c>
    </row>
    <row r="92" spans="4:7" ht="15" customHeight="1" x14ac:dyDescent="0.45">
      <c r="F92" s="5">
        <v>0.25</v>
      </c>
      <c r="G92" s="1">
        <f>_xll.MC_NodeProbability(_MC_Calc_1,"T_tieback_bad")</f>
        <v>0.05</v>
      </c>
    </row>
    <row r="93" spans="4:7" ht="15" customHeight="1" x14ac:dyDescent="0.45">
      <c r="F93" s="7">
        <v>20000000</v>
      </c>
      <c r="G93" s="6">
        <f>_xll.MC_NodeValue(_MC_Calc_1,"T_tieback_bad")</f>
        <v>-105000000</v>
      </c>
    </row>
    <row r="94" spans="4:7" ht="15" customHeight="1" x14ac:dyDescent="0.45">
      <c r="D94" s="5">
        <v>0.2</v>
      </c>
      <c r="E94" s="3" t="s">
        <v>12</v>
      </c>
    </row>
    <row r="95" spans="4:7" ht="15" customHeight="1" x14ac:dyDescent="0.45">
      <c r="D95" s="7">
        <v>0</v>
      </c>
      <c r="E95" s="6">
        <f>_xll.MC_NodeValue(_MC_Calc_1,"D_marginal")</f>
        <v>-20000000</v>
      </c>
    </row>
    <row r="96" spans="4:7" ht="15" customHeight="1" x14ac:dyDescent="0.45">
      <c r="E96" s="4" t="str">
        <f>_xll.MC_NodeDecision(_MC_Calc_1,"T_sell_marginal")</f>
        <v>optimal</v>
      </c>
      <c r="F96" s="1">
        <f>_xll.MC_NodeProbability(_MC_Calc_1,"T_sell_marginal")</f>
        <v>0.2</v>
      </c>
    </row>
    <row r="97" spans="3:7" ht="15" customHeight="1" x14ac:dyDescent="0.45">
      <c r="E97" s="7">
        <f>SellToNearbyOperatorValue</f>
        <v>25000000</v>
      </c>
      <c r="F97" s="6">
        <f>_xll.MC_NodeValue(_MC_Calc_1,"T_sell_marginal")</f>
        <v>-20000000</v>
      </c>
    </row>
    <row r="98" spans="3:7" ht="15" customHeight="1" x14ac:dyDescent="0.45">
      <c r="E98" s="4" t="str">
        <f>_xll.MC_NodeDecision(_MC_Calc_1,"T_panda")</f>
        <v/>
      </c>
      <c r="F98" s="1">
        <f>_xll.MC_NodeProbability(_MC_Calc_1,"T_panda")</f>
        <v>0.2</v>
      </c>
    </row>
    <row r="99" spans="3:7" ht="15" customHeight="1" x14ac:dyDescent="0.45">
      <c r="E99" s="7">
        <f>-PlugAbandonCost</f>
        <v>-5000000</v>
      </c>
      <c r="F99" s="6">
        <f>_xll.MC_NodeValue(_MC_Calc_1,"T_panda")</f>
        <v>-50000000</v>
      </c>
    </row>
    <row r="100" spans="3:7" ht="15" customHeight="1" x14ac:dyDescent="0.45">
      <c r="D100" s="5">
        <v>0.25</v>
      </c>
      <c r="E100" s="1">
        <f>_xll.MC_NodeProbability(_MC_Calc_1,"T_shows")</f>
        <v>0.25</v>
      </c>
    </row>
    <row r="101" spans="3:7" ht="15" customHeight="1" x14ac:dyDescent="0.45">
      <c r="D101" s="7">
        <v>0</v>
      </c>
      <c r="E101" s="6">
        <f>_xll.MC_NodeValue(_MC_Calc_1,"T_shows")</f>
        <v>-45000000</v>
      </c>
    </row>
    <row r="102" spans="3:7" ht="15" customHeight="1" x14ac:dyDescent="0.45">
      <c r="D102" s="5">
        <v>0.3</v>
      </c>
      <c r="E102" s="1">
        <f>_xll.MC_NodeProbability(_MC_Calc_1,"T_dry")</f>
        <v>0.3</v>
      </c>
    </row>
    <row r="103" spans="3:7" ht="15" customHeight="1" x14ac:dyDescent="0.45">
      <c r="D103" s="7">
        <v>0</v>
      </c>
      <c r="E103" s="6">
        <f>_xll.MC_NodeValue(_MC_Calc_1,"T_dry")</f>
        <v>-45000000</v>
      </c>
    </row>
    <row r="104" spans="3:7" ht="15" customHeight="1" x14ac:dyDescent="0.45">
      <c r="C104" s="3" t="s">
        <v>13</v>
      </c>
    </row>
    <row r="105" spans="3:7" ht="15" customHeight="1" x14ac:dyDescent="0.45">
      <c r="C105" s="6">
        <f>_xll.MC_NodeValue(_MC_Calc_1,"D_root")</f>
        <v>40000000</v>
      </c>
    </row>
    <row r="106" spans="3:7" ht="15" customHeight="1" x14ac:dyDescent="0.45">
      <c r="F106" s="5">
        <v>0.4</v>
      </c>
      <c r="G106" s="1">
        <f>_xll.MC_NodeProbability(_MC_Calc_1,"T_3d_discovery")</f>
        <v>0.12</v>
      </c>
    </row>
    <row r="107" spans="3:7" ht="15" customHeight="1" x14ac:dyDescent="0.45">
      <c r="F107" s="7">
        <v>400000000</v>
      </c>
      <c r="G107" s="6">
        <f>_xll.MC_NodeValue(_MC_Calc_1,"T_3d_discovery")</f>
        <v>347000000</v>
      </c>
    </row>
    <row r="108" spans="3:7" ht="15" customHeight="1" x14ac:dyDescent="0.45">
      <c r="E108" s="4" t="str">
        <f>_xll.MC_NodeDecision(_MC_Calc_1,"C_drill_strong")</f>
        <v>optimal</v>
      </c>
      <c r="F108" s="2" t="s">
        <v>14</v>
      </c>
    </row>
    <row r="109" spans="3:7" ht="15" customHeight="1" x14ac:dyDescent="0.45">
      <c r="E109" s="7">
        <f>-DrillWellCost</f>
        <v>-45000000</v>
      </c>
      <c r="F109" s="6">
        <f>_xll.MC_NodeValue(_MC_Calc_1,"C_drill_strong")</f>
        <v>125000000</v>
      </c>
    </row>
    <row r="110" spans="3:7" ht="15" customHeight="1" x14ac:dyDescent="0.45">
      <c r="F110" s="5">
        <v>0.3</v>
      </c>
      <c r="G110" s="1">
        <f>_xll.MC_NodeProbability(_MC_Calc_1,"T_3d_marginal")</f>
        <v>0.09</v>
      </c>
    </row>
    <row r="111" spans="3:7" ht="15" customHeight="1" x14ac:dyDescent="0.45">
      <c r="F111" s="7">
        <v>60000000</v>
      </c>
      <c r="G111" s="6">
        <f>_xll.MC_NodeValue(_MC_Calc_1,"T_3d_marginal")</f>
        <v>7000000</v>
      </c>
    </row>
    <row r="112" spans="3:7" ht="15" customHeight="1" x14ac:dyDescent="0.45">
      <c r="F112" s="5">
        <v>0.3</v>
      </c>
      <c r="G112" s="1">
        <f>_xll.MC_NodeProbability(_MC_Calc_1,"T_3d_dry")</f>
        <v>0.09</v>
      </c>
    </row>
    <row r="113" spans="3:7" ht="15" customHeight="1" x14ac:dyDescent="0.45">
      <c r="F113" s="7">
        <v>0</v>
      </c>
      <c r="G113" s="6">
        <f>_xll.MC_NodeValue(_MC_Calc_1,"T_3d_dry")</f>
        <v>-53000000</v>
      </c>
    </row>
    <row r="114" spans="3:7" ht="15" customHeight="1" x14ac:dyDescent="0.45">
      <c r="D114" s="5">
        <v>0.3</v>
      </c>
      <c r="E114" s="3" t="s">
        <v>15</v>
      </c>
    </row>
    <row r="115" spans="3:7" ht="15" customHeight="1" x14ac:dyDescent="0.45">
      <c r="D115" s="7">
        <v>0</v>
      </c>
      <c r="E115" s="6">
        <f>_xll.MC_NodeValue(_MC_Calc_1,"D_drill_strong")</f>
        <v>125000000</v>
      </c>
    </row>
    <row r="116" spans="3:7" ht="15" customHeight="1" x14ac:dyDescent="0.45">
      <c r="E116" s="4" t="str">
        <f>_xll.MC_NodeDecision(_MC_Calc_1,"T_farmout_strong")</f>
        <v/>
      </c>
      <c r="F116" s="1">
        <f>_xll.MC_NodeProbability(_MC_Calc_1,"T_farmout_strong")</f>
        <v>0.3</v>
      </c>
    </row>
    <row r="117" spans="3:7" ht="15" customHeight="1" x14ac:dyDescent="0.45">
      <c r="E117" s="7">
        <f>FarmOutWithDataValue</f>
        <v>30000000</v>
      </c>
      <c r="F117" s="6">
        <f>_xll.MC_NodeValue(_MC_Calc_1,"T_farmout_strong")</f>
        <v>22000000</v>
      </c>
    </row>
    <row r="118" spans="3:7" ht="15" customHeight="1" x14ac:dyDescent="0.45">
      <c r="C118" s="4" t="str">
        <f>_xll.MC_NodeDecision(_MC_Calc_1,"C_3d_results")</f>
        <v>optimal</v>
      </c>
      <c r="D118" s="2" t="s">
        <v>16</v>
      </c>
    </row>
    <row r="119" spans="3:7" ht="15" customHeight="1" x14ac:dyDescent="0.45">
      <c r="C119" s="7">
        <f>-Acquire3dSeismicFirstCost</f>
        <v>-8000000</v>
      </c>
      <c r="D119" s="6">
        <f>_xll.MC_NodeValue(_MC_Calc_1,"C_3d_results")</f>
        <v>40000000</v>
      </c>
    </row>
    <row r="120" spans="3:7" ht="15" customHeight="1" x14ac:dyDescent="0.45">
      <c r="F120" s="5">
        <v>0.2</v>
      </c>
      <c r="G120" s="1">
        <f>_xll.MC_NodeProbability(_MC_Calc_1,"T_mod_discovery")</f>
        <v>8.0000000000000016E-2</v>
      </c>
    </row>
    <row r="121" spans="3:7" ht="15" customHeight="1" x14ac:dyDescent="0.45">
      <c r="F121" s="7">
        <v>300000000</v>
      </c>
      <c r="G121" s="6">
        <f>_xll.MC_NodeValue(_MC_Calc_1,"T_mod_discovery")</f>
        <v>247000000</v>
      </c>
    </row>
    <row r="122" spans="3:7" ht="15" customHeight="1" x14ac:dyDescent="0.45">
      <c r="E122" s="4" t="str">
        <f>_xll.MC_NodeDecision(_MC_Calc_1,"C_drill_moderate")</f>
        <v>optimal</v>
      </c>
      <c r="F122" s="2" t="s">
        <v>17</v>
      </c>
    </row>
    <row r="123" spans="3:7" ht="15" customHeight="1" x14ac:dyDescent="0.45">
      <c r="E123" s="7">
        <f>-DrillWellCost2</f>
        <v>-45000000</v>
      </c>
      <c r="F123" s="6">
        <f>_xll.MC_NodeValue(_MC_Calc_1,"C_drill_moderate")</f>
        <v>10000000</v>
      </c>
    </row>
    <row r="124" spans="3:7" ht="15" customHeight="1" x14ac:dyDescent="0.45">
      <c r="F124" s="5">
        <v>0.3</v>
      </c>
      <c r="G124" s="1">
        <f>_xll.MC_NodeProbability(_MC_Calc_1,"T_mod_shows")</f>
        <v>0.12</v>
      </c>
    </row>
    <row r="125" spans="3:7" ht="15" customHeight="1" x14ac:dyDescent="0.45">
      <c r="F125" s="7">
        <v>10000000</v>
      </c>
      <c r="G125" s="6">
        <f>_xll.MC_NodeValue(_MC_Calc_1,"T_mod_shows")</f>
        <v>-43000000</v>
      </c>
    </row>
    <row r="126" spans="3:7" ht="15" customHeight="1" x14ac:dyDescent="0.45">
      <c r="F126" s="5">
        <v>0.5</v>
      </c>
      <c r="G126" s="1">
        <f>_xll.MC_NodeProbability(_MC_Calc_1,"T_mod_dry")</f>
        <v>0.2</v>
      </c>
    </row>
    <row r="127" spans="3:7" ht="15" customHeight="1" x14ac:dyDescent="0.45">
      <c r="F127" s="7">
        <v>0</v>
      </c>
      <c r="G127" s="6">
        <f>_xll.MC_NodeValue(_MC_Calc_1,"T_mod_dry")</f>
        <v>-53000000</v>
      </c>
    </row>
    <row r="128" spans="3:7" ht="15" customHeight="1" x14ac:dyDescent="0.45">
      <c r="D128" s="5">
        <v>0.4</v>
      </c>
      <c r="E128" s="3" t="s">
        <v>18</v>
      </c>
    </row>
    <row r="129" spans="3:6" ht="15" customHeight="1" x14ac:dyDescent="0.45">
      <c r="D129" s="7">
        <v>0</v>
      </c>
      <c r="E129" s="6">
        <f>_xll.MC_NodeValue(_MC_Calc_1,"D_drill_moderate")</f>
        <v>10000000</v>
      </c>
    </row>
    <row r="130" spans="3:6" ht="15" customHeight="1" x14ac:dyDescent="0.45">
      <c r="E130" s="4" t="str">
        <f>_xll.MC_NodeDecision(_MC_Calc_1,"T_no_drill_mod")</f>
        <v/>
      </c>
      <c r="F130" s="1">
        <f>_xll.MC_NodeProbability(_MC_Calc_1,"T_no_drill_mod")</f>
        <v>0.4</v>
      </c>
    </row>
    <row r="131" spans="3:6" ht="15" customHeight="1" x14ac:dyDescent="0.45">
      <c r="E131" s="7">
        <f>DontDrillValue</f>
        <v>5000000</v>
      </c>
      <c r="F131" s="6">
        <f>_xll.MC_NodeValue(_MC_Calc_1,"T_no_drill_mod")</f>
        <v>-3000000</v>
      </c>
    </row>
    <row r="132" spans="3:6" ht="15" customHeight="1" x14ac:dyDescent="0.45">
      <c r="D132" s="5">
        <v>0.3</v>
      </c>
      <c r="E132" s="1">
        <f>_xll.MC_NodeProbability(_MC_Calc_1,"T_seismic_weak")</f>
        <v>0.3</v>
      </c>
    </row>
    <row r="133" spans="3:6" ht="15" customHeight="1" x14ac:dyDescent="0.45">
      <c r="D133" s="7">
        <v>3000000</v>
      </c>
      <c r="E133" s="6">
        <f>_xll.MC_NodeValue(_MC_Calc_1,"T_seismic_weak")</f>
        <v>-5000000</v>
      </c>
    </row>
    <row r="134" spans="3:6" ht="15" customHeight="1" x14ac:dyDescent="0.45">
      <c r="E134" s="5">
        <v>0.25</v>
      </c>
      <c r="F134" s="1">
        <f>_xll.MC_NodeProbability(_MC_Calc_1,"T_farmout_discovery")</f>
        <v>8.7499999999999994E-2</v>
      </c>
    </row>
    <row r="135" spans="3:6" ht="15" customHeight="1" x14ac:dyDescent="0.45">
      <c r="E135" s="7">
        <v>120000000</v>
      </c>
      <c r="F135" s="6">
        <f>_xll.MC_NodeValue(_MC_Calc_1,"T_farmout_discovery")</f>
        <v>118000000</v>
      </c>
    </row>
    <row r="136" spans="3:6" ht="15" customHeight="1" x14ac:dyDescent="0.45">
      <c r="D136" s="5">
        <v>0.35</v>
      </c>
      <c r="E136" s="2" t="s">
        <v>19</v>
      </c>
    </row>
    <row r="137" spans="3:6" ht="15" customHeight="1" x14ac:dyDescent="0.45">
      <c r="D137" s="7">
        <v>0</v>
      </c>
      <c r="E137" s="6">
        <f>_xll.MC_NodeValue(_MC_Calc_1,"C_farmout_result")</f>
        <v>31750000</v>
      </c>
    </row>
    <row r="138" spans="3:6" ht="15" customHeight="1" x14ac:dyDescent="0.45">
      <c r="E138" s="5">
        <v>0.25</v>
      </c>
      <c r="F138" s="1">
        <f>_xll.MC_NodeProbability(_MC_Calc_1,"T_farmout_marginal_r")</f>
        <v>8.7499999999999994E-2</v>
      </c>
    </row>
    <row r="139" spans="3:6" ht="15" customHeight="1" x14ac:dyDescent="0.45">
      <c r="E139" s="7">
        <v>15000000</v>
      </c>
      <c r="F139" s="6">
        <f>_xll.MC_NodeValue(_MC_Calc_1,"T_farmout_marginal_r")</f>
        <v>13000000</v>
      </c>
    </row>
    <row r="140" spans="3:6" ht="15" customHeight="1" x14ac:dyDescent="0.45">
      <c r="E140" s="5">
        <v>0.5</v>
      </c>
      <c r="F140" s="1">
        <f>_xll.MC_NodeProbability(_MC_Calc_1,"T_farmout_dry")</f>
        <v>0.17499999999999999</v>
      </c>
    </row>
    <row r="141" spans="3:6" ht="15" customHeight="1" x14ac:dyDescent="0.45">
      <c r="E141" s="7">
        <v>0</v>
      </c>
      <c r="F141" s="6">
        <f>_xll.MC_NodeValue(_MC_Calc_1,"T_farmout_dry")</f>
        <v>-2000000</v>
      </c>
    </row>
    <row r="142" spans="3:6" ht="15" customHeight="1" x14ac:dyDescent="0.45">
      <c r="C142" s="4" t="str">
        <f>_xll.MC_NodeDecision(_MC_Calc_1,"C_farmout")</f>
        <v/>
      </c>
      <c r="D142" s="2" t="s">
        <v>20</v>
      </c>
    </row>
    <row r="143" spans="3:6" ht="15" customHeight="1" x14ac:dyDescent="0.45">
      <c r="C143" s="7">
        <f>-FarmOutKeep25Cost</f>
        <v>-2000000</v>
      </c>
      <c r="D143" s="6">
        <f>_xll.MC_NodeValue(_MC_Calc_1,"C_farmout")</f>
        <v>12612500</v>
      </c>
    </row>
    <row r="144" spans="3:6" ht="15" customHeight="1" x14ac:dyDescent="0.45">
      <c r="D144" s="5">
        <v>0.35</v>
      </c>
      <c r="E144" s="1">
        <f>_xll.MC_NodeProbability(_MC_Calc_1,"T_farmout_junior")</f>
        <v>0.35</v>
      </c>
    </row>
    <row r="145" spans="3:5" ht="15" customHeight="1" x14ac:dyDescent="0.45">
      <c r="D145" s="7">
        <v>8000000</v>
      </c>
      <c r="E145" s="6">
        <f>_xll.MC_NodeValue(_MC_Calc_1,"T_farmout_junior")</f>
        <v>6000000</v>
      </c>
    </row>
    <row r="146" spans="3:5" ht="15" customHeight="1" x14ac:dyDescent="0.45">
      <c r="D146" s="5">
        <v>0.3</v>
      </c>
      <c r="E146" s="1">
        <f>_xll.MC_NodeProbability(_MC_Calc_1,"T_farmout_none")</f>
        <v>0.3</v>
      </c>
    </row>
    <row r="147" spans="3:5" ht="15" customHeight="1" x14ac:dyDescent="0.45">
      <c r="D147" s="7">
        <v>0</v>
      </c>
      <c r="E147" s="6">
        <f>_xll.MC_NodeValue(_MC_Calc_1,"T_farmout_none")</f>
        <v>-2000000</v>
      </c>
    </row>
    <row r="148" spans="3:5" ht="15" customHeight="1" x14ac:dyDescent="0.45">
      <c r="C148" s="4" t="str">
        <f>_xll.MC_NodeDecision(_MC_Calc_1,"T_relinquish")</f>
        <v/>
      </c>
      <c r="D148" s="1">
        <f>_xll.MC_NodeProbability(_MC_Calc_1,"T_relinquish")</f>
        <v>1</v>
      </c>
    </row>
    <row r="149" spans="3:5" ht="15" customHeight="1" x14ac:dyDescent="0.45">
      <c r="C149" s="7">
        <v>0</v>
      </c>
      <c r="D149" s="6">
        <f>_xll.MC_NodeValue(_MC_Calc_1,"T_relinquish")</f>
        <v>0</v>
      </c>
    </row>
    <row r="150" spans="3:5" ht="15" customHeight="1" x14ac:dyDescent="0.45"/>
    <row r="151" spans="3:5" ht="15" customHeight="1" x14ac:dyDescent="0.45"/>
    <row r="152" spans="3:5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263</vt:i4>
      </vt:variant>
    </vt:vector>
  </HeadingPairs>
  <TitlesOfParts>
    <vt:vector size="265" baseType="lpstr">
      <vt:lpstr>Problem</vt:lpstr>
      <vt:lpstr>MC_Tree_1</vt:lpstr>
      <vt:lpstr>_MC_Calc_1</vt:lpstr>
      <vt:lpstr>Acquire3dSeismicFirstCost</vt:lpstr>
      <vt:lpstr>AppraisalWellCost</vt:lpstr>
      <vt:lpstr>AppraisalWellsFirstCost</vt:lpstr>
      <vt:lpstr>DevelopFpsoCost</vt:lpstr>
      <vt:lpstr>DontDrillValue</vt:lpstr>
      <vt:lpstr>DrillExplorationWellCost</vt:lpstr>
      <vt:lpstr>DrillWellCost</vt:lpstr>
      <vt:lpstr>DrillWellCost2</vt:lpstr>
      <vt:lpstr>FarmOutKeep25Cost</vt:lpstr>
      <vt:lpstr>FarmOutWithDataValue</vt:lpstr>
      <vt:lpstr>FasttrackDevelopmentCost</vt:lpstr>
      <vt:lpstr>MC_Tree_1!MC_BD_D_appraise_major_C_appraisal_major</vt:lpstr>
      <vt:lpstr>MC_Tree_1!MC_BD_D_appraise_major_C_dev_major</vt:lpstr>
      <vt:lpstr>MC_Tree_1!MC_BD_D_appraise_major_T_sell_major</vt:lpstr>
      <vt:lpstr>MC_Tree_1!MC_BD_D_appraise_sig_C_appr_sig</vt:lpstr>
      <vt:lpstr>MC_Tree_1!MC_BD_D_appraise_sig_C_price_sig</vt:lpstr>
      <vt:lpstr>MC_Tree_1!MC_BD_D_appraise_sig_T_sell_sig</vt:lpstr>
      <vt:lpstr>MC_Tree_1!MC_BD_D_drill_moderate_C_drill_moderate</vt:lpstr>
      <vt:lpstr>MC_Tree_1!MC_BD_D_drill_moderate_T_no_drill_mod</vt:lpstr>
      <vt:lpstr>MC_Tree_1!MC_BD_D_drill_strong_C_drill_strong</vt:lpstr>
      <vt:lpstr>MC_Tree_1!MC_BD_D_drill_strong_T_farmout_strong</vt:lpstr>
      <vt:lpstr>MC_Tree_1!MC_BD_D_marginal_C_tieback</vt:lpstr>
      <vt:lpstr>MC_Tree_1!MC_BD_D_marginal_T_panda</vt:lpstr>
      <vt:lpstr>MC_Tree_1!MC_BD_D_marginal_T_sell_marginal</vt:lpstr>
      <vt:lpstr>MC_Tree_1!MC_BD_D_root_C_3d_results</vt:lpstr>
      <vt:lpstr>MC_Tree_1!MC_BD_D_root_C_farmout</vt:lpstr>
      <vt:lpstr>MC_Tree_1!MC_BD_D_root_C_seismic</vt:lpstr>
      <vt:lpstr>MC_Tree_1!MC_BD_D_root_T_relinquish</vt:lpstr>
      <vt:lpstr>MC_Tree_1!MC_BP_C_3d_results_D_drill_moderate</vt:lpstr>
      <vt:lpstr>MC_Tree_1!MC_BP_C_3d_results_D_drill_strong</vt:lpstr>
      <vt:lpstr>MC_Tree_1!MC_BP_C_3d_results_T_seismic_weak</vt:lpstr>
      <vt:lpstr>MC_Tree_1!MC_BP_C_appr_sig_T_appr_sig_conf</vt:lpstr>
      <vt:lpstr>MC_Tree_1!MC_BP_C_appr_sig_T_appr_sig_down</vt:lpstr>
      <vt:lpstr>MC_Tree_1!MC_BP_C_appr_sig_T_appr_sig_up</vt:lpstr>
      <vt:lpstr>MC_Tree_1!MC_BP_C_appraisal_major_T_appr_confirmed</vt:lpstr>
      <vt:lpstr>MC_Tree_1!MC_BP_C_appraisal_major_T_appr_smaller</vt:lpstr>
      <vt:lpstr>MC_Tree_1!MC_BP_C_appraisal_major_T_appr_uneconomic</vt:lpstr>
      <vt:lpstr>MC_Tree_1!MC_BP_C_dev_major_C_price_major_high</vt:lpstr>
      <vt:lpstr>MC_Tree_1!MC_BP_C_dev_major_C_price_major_low</vt:lpstr>
      <vt:lpstr>MC_Tree_1!MC_BP_C_dev_major_C_price_major_med</vt:lpstr>
      <vt:lpstr>MC_Tree_1!MC_BP_C_drill_moderate_T_mod_discovery</vt:lpstr>
      <vt:lpstr>MC_Tree_1!MC_BP_C_drill_moderate_T_mod_dry</vt:lpstr>
      <vt:lpstr>MC_Tree_1!MC_BP_C_drill_moderate_T_mod_shows</vt:lpstr>
      <vt:lpstr>MC_Tree_1!MC_BP_C_drill_strong_T_3d_discovery</vt:lpstr>
      <vt:lpstr>MC_Tree_1!MC_BP_C_drill_strong_T_3d_dry</vt:lpstr>
      <vt:lpstr>MC_Tree_1!MC_BP_C_drill_strong_T_3d_marginal</vt:lpstr>
      <vt:lpstr>MC_Tree_1!MC_BP_C_farmout_C_farmout_result</vt:lpstr>
      <vt:lpstr>MC_Tree_1!MC_BP_C_farmout_result_T_farmout_discovery</vt:lpstr>
      <vt:lpstr>MC_Tree_1!MC_BP_C_farmout_result_T_farmout_dry</vt:lpstr>
      <vt:lpstr>MC_Tree_1!MC_BP_C_farmout_result_T_farmout_marginal_r</vt:lpstr>
      <vt:lpstr>MC_Tree_1!MC_BP_C_farmout_T_farmout_junior</vt:lpstr>
      <vt:lpstr>MC_Tree_1!MC_BP_C_farmout_T_farmout_none</vt:lpstr>
      <vt:lpstr>MC_Tree_1!MC_BP_C_price_major_high_T_major_hh</vt:lpstr>
      <vt:lpstr>MC_Tree_1!MC_BP_C_price_major_high_T_major_hl</vt:lpstr>
      <vt:lpstr>MC_Tree_1!MC_BP_C_price_major_high_T_major_hm</vt:lpstr>
      <vt:lpstr>MC_Tree_1!MC_BP_C_price_major_low_T_major_lh</vt:lpstr>
      <vt:lpstr>MC_Tree_1!MC_BP_C_price_major_low_T_major_ll</vt:lpstr>
      <vt:lpstr>MC_Tree_1!MC_BP_C_price_major_low_T_major_lm</vt:lpstr>
      <vt:lpstr>MC_Tree_1!MC_BP_C_price_major_med_T_major_mh</vt:lpstr>
      <vt:lpstr>MC_Tree_1!MC_BP_C_price_major_med_T_major_ml</vt:lpstr>
      <vt:lpstr>MC_Tree_1!MC_BP_C_price_major_med_T_major_mm</vt:lpstr>
      <vt:lpstr>MC_Tree_1!MC_BP_C_price_sig_T_sig_high</vt:lpstr>
      <vt:lpstr>MC_Tree_1!MC_BP_C_price_sig_T_sig_low</vt:lpstr>
      <vt:lpstr>MC_Tree_1!MC_BP_C_price_sig_T_sig_mid</vt:lpstr>
      <vt:lpstr>MC_Tree_1!MC_BP_C_seismic_D_appraise_major</vt:lpstr>
      <vt:lpstr>MC_Tree_1!MC_BP_C_seismic_D_appraise_sig</vt:lpstr>
      <vt:lpstr>MC_Tree_1!MC_BP_C_seismic_D_marginal</vt:lpstr>
      <vt:lpstr>MC_Tree_1!MC_BP_C_seismic_T_dry</vt:lpstr>
      <vt:lpstr>MC_Tree_1!MC_BP_C_seismic_T_shows</vt:lpstr>
      <vt:lpstr>MC_Tree_1!MC_BP_C_tieback_T_tieback_bad</vt:lpstr>
      <vt:lpstr>MC_Tree_1!MC_BP_C_tieback_T_tieback_even</vt:lpstr>
      <vt:lpstr>MC_Tree_1!MC_BP_C_tieback_T_tieback_ok</vt:lpstr>
      <vt:lpstr>MC_Tree_1!MC_BV_C_3d_results_D_drill_moderate</vt:lpstr>
      <vt:lpstr>MC_Tree_1!MC_BV_C_3d_results_D_drill_strong</vt:lpstr>
      <vt:lpstr>MC_Tree_1!MC_BV_C_3d_results_T_seismic_weak</vt:lpstr>
      <vt:lpstr>MC_Tree_1!MC_BV_C_appr_sig_T_appr_sig_conf</vt:lpstr>
      <vt:lpstr>MC_Tree_1!MC_BV_C_appr_sig_T_appr_sig_down</vt:lpstr>
      <vt:lpstr>MC_Tree_1!MC_BV_C_appr_sig_T_appr_sig_up</vt:lpstr>
      <vt:lpstr>MC_Tree_1!MC_BV_C_appraisal_major_T_appr_confirmed</vt:lpstr>
      <vt:lpstr>MC_Tree_1!MC_BV_C_appraisal_major_T_appr_smaller</vt:lpstr>
      <vt:lpstr>MC_Tree_1!MC_BV_C_appraisal_major_T_appr_uneconomic</vt:lpstr>
      <vt:lpstr>MC_Tree_1!MC_BV_C_dev_major_C_price_major_high</vt:lpstr>
      <vt:lpstr>MC_Tree_1!MC_BV_C_dev_major_C_price_major_low</vt:lpstr>
      <vt:lpstr>MC_Tree_1!MC_BV_C_dev_major_C_price_major_med</vt:lpstr>
      <vt:lpstr>MC_Tree_1!MC_BV_C_drill_moderate_T_mod_discovery</vt:lpstr>
      <vt:lpstr>MC_Tree_1!MC_BV_C_drill_moderate_T_mod_dry</vt:lpstr>
      <vt:lpstr>MC_Tree_1!MC_BV_C_drill_moderate_T_mod_shows</vt:lpstr>
      <vt:lpstr>MC_Tree_1!MC_BV_C_drill_strong_T_3d_discovery</vt:lpstr>
      <vt:lpstr>MC_Tree_1!MC_BV_C_drill_strong_T_3d_dry</vt:lpstr>
      <vt:lpstr>MC_Tree_1!MC_BV_C_drill_strong_T_3d_marginal</vt:lpstr>
      <vt:lpstr>MC_Tree_1!MC_BV_C_farmout_C_farmout_result</vt:lpstr>
      <vt:lpstr>MC_Tree_1!MC_BV_C_farmout_result_T_farmout_discovery</vt:lpstr>
      <vt:lpstr>MC_Tree_1!MC_BV_C_farmout_result_T_farmout_dry</vt:lpstr>
      <vt:lpstr>MC_Tree_1!MC_BV_C_farmout_result_T_farmout_marginal_r</vt:lpstr>
      <vt:lpstr>MC_Tree_1!MC_BV_C_farmout_T_farmout_junior</vt:lpstr>
      <vt:lpstr>MC_Tree_1!MC_BV_C_farmout_T_farmout_none</vt:lpstr>
      <vt:lpstr>MC_Tree_1!MC_BV_C_price_major_high_T_major_hh</vt:lpstr>
      <vt:lpstr>MC_Tree_1!MC_BV_C_price_major_high_T_major_hl</vt:lpstr>
      <vt:lpstr>MC_Tree_1!MC_BV_C_price_major_high_T_major_hm</vt:lpstr>
      <vt:lpstr>MC_Tree_1!MC_BV_C_price_major_low_T_major_lh</vt:lpstr>
      <vt:lpstr>MC_Tree_1!MC_BV_C_price_major_low_T_major_ll</vt:lpstr>
      <vt:lpstr>MC_Tree_1!MC_BV_C_price_major_low_T_major_lm</vt:lpstr>
      <vt:lpstr>MC_Tree_1!MC_BV_C_price_major_med_T_major_mh</vt:lpstr>
      <vt:lpstr>MC_Tree_1!MC_BV_C_price_major_med_T_major_ml</vt:lpstr>
      <vt:lpstr>MC_Tree_1!MC_BV_C_price_major_med_T_major_mm</vt:lpstr>
      <vt:lpstr>MC_Tree_1!MC_BV_C_price_sig_T_sig_high</vt:lpstr>
      <vt:lpstr>MC_Tree_1!MC_BV_C_price_sig_T_sig_low</vt:lpstr>
      <vt:lpstr>MC_Tree_1!MC_BV_C_price_sig_T_sig_mid</vt:lpstr>
      <vt:lpstr>MC_Tree_1!MC_BV_C_seismic_D_appraise_major</vt:lpstr>
      <vt:lpstr>MC_Tree_1!MC_BV_C_seismic_D_appraise_sig</vt:lpstr>
      <vt:lpstr>MC_Tree_1!MC_BV_C_seismic_D_marginal</vt:lpstr>
      <vt:lpstr>MC_Tree_1!MC_BV_C_seismic_T_dry</vt:lpstr>
      <vt:lpstr>MC_Tree_1!MC_BV_C_seismic_T_shows</vt:lpstr>
      <vt:lpstr>MC_Tree_1!MC_BV_C_tieback_T_tieback_bad</vt:lpstr>
      <vt:lpstr>MC_Tree_1!MC_BV_C_tieback_T_tieback_even</vt:lpstr>
      <vt:lpstr>MC_Tree_1!MC_BV_C_tieback_T_tieback_ok</vt:lpstr>
      <vt:lpstr>MC_Tree_1!MC_BV_D_appraise_major_C_appraisal_major</vt:lpstr>
      <vt:lpstr>MC_Tree_1!MC_BV_D_appraise_major_C_dev_major</vt:lpstr>
      <vt:lpstr>MC_Tree_1!MC_BV_D_appraise_major_T_sell_major</vt:lpstr>
      <vt:lpstr>MC_Tree_1!MC_BV_D_appraise_sig_C_appr_sig</vt:lpstr>
      <vt:lpstr>MC_Tree_1!MC_BV_D_appraise_sig_C_price_sig</vt:lpstr>
      <vt:lpstr>MC_Tree_1!MC_BV_D_appraise_sig_T_sell_sig</vt:lpstr>
      <vt:lpstr>MC_Tree_1!MC_BV_D_drill_moderate_C_drill_moderate</vt:lpstr>
      <vt:lpstr>MC_Tree_1!MC_BV_D_drill_moderate_T_no_drill_mod</vt:lpstr>
      <vt:lpstr>MC_Tree_1!MC_BV_D_drill_strong_C_drill_strong</vt:lpstr>
      <vt:lpstr>MC_Tree_1!MC_BV_D_drill_strong_T_farmout_strong</vt:lpstr>
      <vt:lpstr>MC_Tree_1!MC_BV_D_marginal_C_tieback</vt:lpstr>
      <vt:lpstr>MC_Tree_1!MC_BV_D_marginal_T_panda</vt:lpstr>
      <vt:lpstr>MC_Tree_1!MC_BV_D_marginal_T_sell_marginal</vt:lpstr>
      <vt:lpstr>MC_Tree_1!MC_BV_D_root_C_3d_results</vt:lpstr>
      <vt:lpstr>MC_Tree_1!MC_BV_D_root_C_farmout</vt:lpstr>
      <vt:lpstr>MC_Tree_1!MC_BV_D_root_C_seismic</vt:lpstr>
      <vt:lpstr>MC_Tree_1!MC_BV_D_root_T_relinquish</vt:lpstr>
      <vt:lpstr>MC_Tree_1!MC_N_C_3d_results</vt:lpstr>
      <vt:lpstr>MC_Tree_1!MC_N_C_appr_sig</vt:lpstr>
      <vt:lpstr>MC_Tree_1!MC_N_C_appraisal_major</vt:lpstr>
      <vt:lpstr>MC_Tree_1!MC_N_C_dev_major</vt:lpstr>
      <vt:lpstr>MC_Tree_1!MC_N_C_drill_moderate</vt:lpstr>
      <vt:lpstr>MC_Tree_1!MC_N_C_drill_strong</vt:lpstr>
      <vt:lpstr>MC_Tree_1!MC_N_C_farmout</vt:lpstr>
      <vt:lpstr>MC_Tree_1!MC_N_C_farmout_result</vt:lpstr>
      <vt:lpstr>MC_Tree_1!MC_N_C_price_major_high</vt:lpstr>
      <vt:lpstr>MC_Tree_1!MC_N_C_price_major_low</vt:lpstr>
      <vt:lpstr>MC_Tree_1!MC_N_C_price_major_med</vt:lpstr>
      <vt:lpstr>MC_Tree_1!MC_N_C_price_sig</vt:lpstr>
      <vt:lpstr>MC_Tree_1!MC_N_C_seismic</vt:lpstr>
      <vt:lpstr>MC_Tree_1!MC_N_C_tieback</vt:lpstr>
      <vt:lpstr>MC_Tree_1!MC_N_D_appraise_major</vt:lpstr>
      <vt:lpstr>MC_Tree_1!MC_N_D_appraise_sig</vt:lpstr>
      <vt:lpstr>MC_Tree_1!MC_N_D_drill_moderate</vt:lpstr>
      <vt:lpstr>MC_Tree_1!MC_N_D_drill_strong</vt:lpstr>
      <vt:lpstr>MC_Tree_1!MC_N_D_marginal</vt:lpstr>
      <vt:lpstr>MC_Tree_1!MC_N_D_root</vt:lpstr>
      <vt:lpstr>MC_Tree_1!MC_NP_T_3d_discovery</vt:lpstr>
      <vt:lpstr>MC_Tree_1!MC_NP_T_3d_dry</vt:lpstr>
      <vt:lpstr>MC_Tree_1!MC_NP_T_3d_marginal</vt:lpstr>
      <vt:lpstr>MC_Tree_1!MC_NP_T_appr_confirmed</vt:lpstr>
      <vt:lpstr>MC_Tree_1!MC_NP_T_appr_sig_conf</vt:lpstr>
      <vt:lpstr>MC_Tree_1!MC_NP_T_appr_sig_down</vt:lpstr>
      <vt:lpstr>MC_Tree_1!MC_NP_T_appr_sig_up</vt:lpstr>
      <vt:lpstr>MC_Tree_1!MC_NP_T_appr_smaller</vt:lpstr>
      <vt:lpstr>MC_Tree_1!MC_NP_T_appr_uneconomic</vt:lpstr>
      <vt:lpstr>MC_Tree_1!MC_NP_T_dry</vt:lpstr>
      <vt:lpstr>MC_Tree_1!MC_NP_T_farmout_discovery</vt:lpstr>
      <vt:lpstr>MC_Tree_1!MC_NP_T_farmout_dry</vt:lpstr>
      <vt:lpstr>MC_Tree_1!MC_NP_T_farmout_junior</vt:lpstr>
      <vt:lpstr>MC_Tree_1!MC_NP_T_farmout_marginal_r</vt:lpstr>
      <vt:lpstr>MC_Tree_1!MC_NP_T_farmout_none</vt:lpstr>
      <vt:lpstr>MC_Tree_1!MC_NP_T_farmout_strong</vt:lpstr>
      <vt:lpstr>MC_Tree_1!MC_NP_T_major_hh</vt:lpstr>
      <vt:lpstr>MC_Tree_1!MC_NP_T_major_hl</vt:lpstr>
      <vt:lpstr>MC_Tree_1!MC_NP_T_major_hm</vt:lpstr>
      <vt:lpstr>MC_Tree_1!MC_NP_T_major_lh</vt:lpstr>
      <vt:lpstr>MC_Tree_1!MC_NP_T_major_ll</vt:lpstr>
      <vt:lpstr>MC_Tree_1!MC_NP_T_major_lm</vt:lpstr>
      <vt:lpstr>MC_Tree_1!MC_NP_T_major_mh</vt:lpstr>
      <vt:lpstr>MC_Tree_1!MC_NP_T_major_ml</vt:lpstr>
      <vt:lpstr>MC_Tree_1!MC_NP_T_major_mm</vt:lpstr>
      <vt:lpstr>MC_Tree_1!MC_NP_T_mod_discovery</vt:lpstr>
      <vt:lpstr>MC_Tree_1!MC_NP_T_mod_dry</vt:lpstr>
      <vt:lpstr>MC_Tree_1!MC_NP_T_mod_shows</vt:lpstr>
      <vt:lpstr>MC_Tree_1!MC_NP_T_no_drill_mod</vt:lpstr>
      <vt:lpstr>MC_Tree_1!MC_NP_T_panda</vt:lpstr>
      <vt:lpstr>MC_Tree_1!MC_NP_T_relinquish</vt:lpstr>
      <vt:lpstr>MC_Tree_1!MC_NP_T_seismic_weak</vt:lpstr>
      <vt:lpstr>MC_Tree_1!MC_NP_T_sell_major</vt:lpstr>
      <vt:lpstr>MC_Tree_1!MC_NP_T_sell_marginal</vt:lpstr>
      <vt:lpstr>MC_Tree_1!MC_NP_T_sell_sig</vt:lpstr>
      <vt:lpstr>MC_Tree_1!MC_NP_T_shows</vt:lpstr>
      <vt:lpstr>MC_Tree_1!MC_NP_T_sig_high</vt:lpstr>
      <vt:lpstr>MC_Tree_1!MC_NP_T_sig_low</vt:lpstr>
      <vt:lpstr>MC_Tree_1!MC_NP_T_sig_mid</vt:lpstr>
      <vt:lpstr>MC_Tree_1!MC_NP_T_tieback_bad</vt:lpstr>
      <vt:lpstr>MC_Tree_1!MC_NP_T_tieback_even</vt:lpstr>
      <vt:lpstr>MC_Tree_1!MC_NP_T_tieback_ok</vt:lpstr>
      <vt:lpstr>MC_Tree_1!MC_V_C_3d_results</vt:lpstr>
      <vt:lpstr>MC_Tree_1!MC_V_C_appr_sig</vt:lpstr>
      <vt:lpstr>MC_Tree_1!MC_V_C_appraisal_major</vt:lpstr>
      <vt:lpstr>MC_Tree_1!MC_V_C_dev_major</vt:lpstr>
      <vt:lpstr>MC_Tree_1!MC_V_C_drill_moderate</vt:lpstr>
      <vt:lpstr>MC_Tree_1!MC_V_C_drill_strong</vt:lpstr>
      <vt:lpstr>MC_Tree_1!MC_V_C_farmout</vt:lpstr>
      <vt:lpstr>MC_Tree_1!MC_V_C_farmout_result</vt:lpstr>
      <vt:lpstr>MC_Tree_1!MC_V_C_price_major_high</vt:lpstr>
      <vt:lpstr>MC_Tree_1!MC_V_C_price_major_low</vt:lpstr>
      <vt:lpstr>MC_Tree_1!MC_V_C_price_major_med</vt:lpstr>
      <vt:lpstr>MC_Tree_1!MC_V_C_price_sig</vt:lpstr>
      <vt:lpstr>MC_Tree_1!MC_V_C_seismic</vt:lpstr>
      <vt:lpstr>MC_Tree_1!MC_V_C_tieback</vt:lpstr>
      <vt:lpstr>MC_Tree_1!MC_V_D_appraise_major</vt:lpstr>
      <vt:lpstr>MC_Tree_1!MC_V_D_appraise_sig</vt:lpstr>
      <vt:lpstr>MC_Tree_1!MC_V_D_drill_moderate</vt:lpstr>
      <vt:lpstr>MC_Tree_1!MC_V_D_drill_strong</vt:lpstr>
      <vt:lpstr>MC_Tree_1!MC_V_D_marginal</vt:lpstr>
      <vt:lpstr>MC_Tree_1!MC_V_D_root</vt:lpstr>
      <vt:lpstr>MC_Tree_1!MC_V_T_3d_discovery</vt:lpstr>
      <vt:lpstr>MC_Tree_1!MC_V_T_3d_dry</vt:lpstr>
      <vt:lpstr>MC_Tree_1!MC_V_T_3d_marginal</vt:lpstr>
      <vt:lpstr>MC_Tree_1!MC_V_T_appr_confirmed</vt:lpstr>
      <vt:lpstr>MC_Tree_1!MC_V_T_appr_sig_conf</vt:lpstr>
      <vt:lpstr>MC_Tree_1!MC_V_T_appr_sig_down</vt:lpstr>
      <vt:lpstr>MC_Tree_1!MC_V_T_appr_sig_up</vt:lpstr>
      <vt:lpstr>MC_Tree_1!MC_V_T_appr_smaller</vt:lpstr>
      <vt:lpstr>MC_Tree_1!MC_V_T_appr_uneconomic</vt:lpstr>
      <vt:lpstr>MC_Tree_1!MC_V_T_dry</vt:lpstr>
      <vt:lpstr>MC_Tree_1!MC_V_T_farmout_discovery</vt:lpstr>
      <vt:lpstr>MC_Tree_1!MC_V_T_farmout_dry</vt:lpstr>
      <vt:lpstr>MC_Tree_1!MC_V_T_farmout_junior</vt:lpstr>
      <vt:lpstr>MC_Tree_1!MC_V_T_farmout_marginal_r</vt:lpstr>
      <vt:lpstr>MC_Tree_1!MC_V_T_farmout_none</vt:lpstr>
      <vt:lpstr>MC_Tree_1!MC_V_T_farmout_strong</vt:lpstr>
      <vt:lpstr>MC_Tree_1!MC_V_T_major_hh</vt:lpstr>
      <vt:lpstr>MC_Tree_1!MC_V_T_major_hl</vt:lpstr>
      <vt:lpstr>MC_Tree_1!MC_V_T_major_hm</vt:lpstr>
      <vt:lpstr>MC_Tree_1!MC_V_T_major_lh</vt:lpstr>
      <vt:lpstr>MC_Tree_1!MC_V_T_major_ll</vt:lpstr>
      <vt:lpstr>MC_Tree_1!MC_V_T_major_lm</vt:lpstr>
      <vt:lpstr>MC_Tree_1!MC_V_T_major_mh</vt:lpstr>
      <vt:lpstr>MC_Tree_1!MC_V_T_major_ml</vt:lpstr>
      <vt:lpstr>MC_Tree_1!MC_V_T_major_mm</vt:lpstr>
      <vt:lpstr>MC_Tree_1!MC_V_T_mod_discovery</vt:lpstr>
      <vt:lpstr>MC_Tree_1!MC_V_T_mod_dry</vt:lpstr>
      <vt:lpstr>MC_Tree_1!MC_V_T_mod_shows</vt:lpstr>
      <vt:lpstr>MC_Tree_1!MC_V_T_no_drill_mod</vt:lpstr>
      <vt:lpstr>MC_Tree_1!MC_V_T_panda</vt:lpstr>
      <vt:lpstr>MC_Tree_1!MC_V_T_relinquish</vt:lpstr>
      <vt:lpstr>MC_Tree_1!MC_V_T_seismic_weak</vt:lpstr>
      <vt:lpstr>MC_Tree_1!MC_V_T_sell_major</vt:lpstr>
      <vt:lpstr>MC_Tree_1!MC_V_T_sell_marginal</vt:lpstr>
      <vt:lpstr>MC_Tree_1!MC_V_T_sell_sig</vt:lpstr>
      <vt:lpstr>MC_Tree_1!MC_V_T_shows</vt:lpstr>
      <vt:lpstr>MC_Tree_1!MC_V_T_sig_high</vt:lpstr>
      <vt:lpstr>MC_Tree_1!MC_V_T_sig_low</vt:lpstr>
      <vt:lpstr>MC_Tree_1!MC_V_T_sig_mid</vt:lpstr>
      <vt:lpstr>MC_Tree_1!MC_V_T_tieback_bad</vt:lpstr>
      <vt:lpstr>MC_Tree_1!MC_V_T_tieback_even</vt:lpstr>
      <vt:lpstr>MC_Tree_1!MC_V_T_tieback_ok</vt:lpstr>
      <vt:lpstr>PlugAbandonCost</vt:lpstr>
      <vt:lpstr>SellDiscoveryValue</vt:lpstr>
      <vt:lpstr>SellDiscoveryValue2</vt:lpstr>
      <vt:lpstr>SellToNearbyOperatorValue</vt:lpstr>
      <vt:lpstr>TiebackToNearbyPlatformCost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2026-03-27T14:33:25Z</dcterms:created>
  <dcterms:modified xsi:type="dcterms:W3CDTF">2026-03-27T14:33:44Z</dcterms:modified>
</cp:coreProperties>
</file>