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opt\models\Oil and gas\"/>
    </mc:Choice>
  </mc:AlternateContent>
  <xr:revisionPtr revIDLastSave="0" documentId="8_{3905014D-E240-406D-8429-67F29333A241}"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Decisions" sheetId="3" r:id="rId3"/>
    <sheet name="Hedges" sheetId="4" r:id="rId4"/>
    <sheet name="Results" sheetId="5" r:id="rId5"/>
    <sheet name="ModelRiskOptimizer" sheetId="6" state="veryHidden" r:id="rId6"/>
    <sheet name="ModelRiskDSN" sheetId="8" state="hidden" r:id="rId7"/>
    <sheet name="ModelRiskSYS1" sheetId="9" state="hidden" r:id="rId8"/>
    <sheet name="ModelRiskCharts" sheetId="10" state="hidden" r:id="rId9"/>
  </sheets>
  <definedNames>
    <definedName name="BudgetPrice">Inputs!$D$36</definedName>
    <definedName name="BudgetRevenue">Hedges!$D$18</definedName>
    <definedName name="BudgetUptime">Inputs!$D$37</definedName>
    <definedName name="Checks">Hedges!$D$58:$D$61</definedName>
    <definedName name="FirstYear">Inputs!$D$25</definedName>
    <definedName name="HedgeCap">Inputs!$D$35</definedName>
    <definedName name="Hedged_Plan">Hedges!$D$26</definedName>
    <definedName name="Hedged_Start">Hedges!$D$25</definedName>
    <definedName name="InputMeans">Inputs!$I$12:$I$12</definedName>
    <definedName name="M0_c0_cell" hidden="1">Hedges!$D$54</definedName>
    <definedName name="M0_c0_rhsA" hidden="1">Inputs!$D$38</definedName>
    <definedName name="M0_c1_cell" hidden="1">Hedges!$D$28</definedName>
    <definedName name="M0_c1_fml" hidden="1">Hedges!$D$28</definedName>
    <definedName name="M0_o0_cell" hidden="1">Hedges!$D$50</definedName>
    <definedName name="M0_v0_cell" hidden="1">Decisions!$D$11</definedName>
    <definedName name="M0_v0_max" hidden="1">Decisions!$G$11</definedName>
    <definedName name="M0_v0_min" hidden="1">Decisions!$F$11</definedName>
    <definedName name="M0_v1_cell" hidden="1">Decisions!$D$12</definedName>
    <definedName name="M0_v1_max" hidden="1">Decisions!$G$12</definedName>
    <definedName name="M0_v1_min" hidden="1">Decisions!$F$12</definedName>
    <definedName name="M0_v2_cell" hidden="1">Decisions!$D$13</definedName>
    <definedName name="M0_v2_max" hidden="1">Decisions!$G$13</definedName>
    <definedName name="M0_v2_min" hidden="1">Decisions!$F$13</definedName>
    <definedName name="MissTarget">Inputs!$D$38</definedName>
    <definedName name="MonthsHedged">Hedges!$D$13</definedName>
    <definedName name="Mu_m">Hedges!$D$17</definedName>
    <definedName name="OptRun_Best">Decisions!$D$31</definedName>
    <definedName name="OptRun_Date">Decisions!$D$24</definedName>
    <definedName name="OptRun_Engine">Decisions!$D$25</definedName>
    <definedName name="OptRun_Feasible">Decisions!$D$30</definedName>
    <definedName name="OptRun_Samples">Decisions!$D$27</definedName>
    <definedName name="OptRun_Seconds">Decisions!$D$28</definedName>
    <definedName name="OptRun_Stop">Decisions!$D$29</definedName>
    <definedName name="OptRun_Trials">Decisions!$D$26</definedName>
    <definedName name="Out_Hedge_Plan">Hedges!$D$52</definedName>
    <definedName name="Out_Hedge_Start">Hedges!$D$51</definedName>
    <definedName name="Out_Miss_Plan">Hedges!$D$54</definedName>
    <definedName name="Out_Miss_Start">Hedges!$D$53</definedName>
    <definedName name="Out_Rev_None">Hedges!$D$48</definedName>
    <definedName name="Out_Rev_Plan">Hedges!$D$50</definedName>
    <definedName name="Out_Rev_Start">Hedges!$D$49</definedName>
    <definedName name="Outage">Hedges!$D$14</definedName>
    <definedName name="OutageMonths">Inputs!$D$14</definedName>
    <definedName name="OutageStart">Hedges!$D$15</definedName>
    <definedName name="PlanVolume">Inputs!$D$11</definedName>
    <definedName name="PriceNow">Inputs!$D$19</definedName>
    <definedName name="_xlnm.Print_Area" localSheetId="4">Results!$A$1:$R$48</definedName>
    <definedName name="_xlnm.Print_Titles" localSheetId="2">Decisions!$1:$4</definedName>
    <definedName name="_xlnm.Print_Titles" localSheetId="3">Hedges!$6:$7,Hedges!$A:$D</definedName>
    <definedName name="_xlnm.Print_Titles" localSheetId="1">Inputs!$1:$4</definedName>
    <definedName name="_xlnm.Print_Titles" localSheetId="4">Results!$1:$4</definedName>
    <definedName name="Prob_Outage">Inputs!$D$13</definedName>
    <definedName name="PutPrem_57">Inputs!$D$27</definedName>
    <definedName name="PutPrem_62">Inputs!$D$28</definedName>
    <definedName name="PutPrem_67">Inputs!$D$29</definedName>
    <definedName name="PutPrem_72">Inputs!$D$30</definedName>
    <definedName name="PutPrem_Plan">Hedges!$D$24</definedName>
    <definedName name="PutPrem_Start">Hedges!$D$23</definedName>
    <definedName name="PutShare">Decisions!$D$12</definedName>
    <definedName name="PutShare_Hi">Decisions!$G$12</definedName>
    <definedName name="PutShare_Lo">Decisions!$F$12</definedName>
    <definedName name="PutShare_Start">Decisions!$E$12</definedName>
    <definedName name="PutStrike">Decisions!$D$13</definedName>
    <definedName name="PutStrike_Hi">Decisions!$G$13</definedName>
    <definedName name="PutStrike_Lo">Decisions!$F$13</definedName>
    <definedName name="PutStrike_Start">Decisions!$E$13</definedName>
    <definedName name="Sigma_m">Hedges!$D$16</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rtMonth">Hedges!$D$12</definedName>
    <definedName name="SwapPrice">Inputs!$D$26</definedName>
    <definedName name="SwapShare">Decisions!$D$11</definedName>
    <definedName name="SwapShare_Hi">Decisions!$G$11</definedName>
    <definedName name="SwapShare_Lo">Decisions!$F$11</definedName>
    <definedName name="SwapShare_Start">Decisions!$E$11</definedName>
    <definedName name="Uptime_Hi">Inputs!$H$12</definedName>
    <definedName name="Uptime_Lo">Inputs!$F$12</definedName>
    <definedName name="Uptime_Mean">Inputs!$I$12</definedName>
    <definedName name="Uptime_ML">Inputs!$G$12</definedName>
    <definedName name="Volatility">Inputs!$D$20</definedName>
    <definedName name="WithinCap_Plan">Hedges!$D$28</definedName>
    <definedName name="WithinCap_Start">Hedges!$D$27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3" i="5" l="1"/>
  <c r="C102" i="5"/>
  <c r="C101" i="5"/>
  <c r="C100" i="5"/>
  <c r="C99" i="5"/>
  <c r="C98" i="5"/>
  <c r="C97"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62" i="5"/>
  <c r="C61" i="5"/>
  <c r="C60" i="5"/>
  <c r="C59" i="5"/>
  <c r="C58" i="5"/>
  <c r="C57" i="5"/>
  <c r="C56" i="5"/>
  <c r="C55" i="5"/>
  <c r="C54" i="5"/>
  <c r="E25" i="5"/>
  <c r="D25" i="5"/>
  <c r="E24" i="5"/>
  <c r="D24" i="5"/>
  <c r="E14" i="5"/>
  <c r="D14" i="5"/>
  <c r="E13" i="5"/>
  <c r="D13" i="5"/>
  <c r="E12" i="5"/>
  <c r="D12" i="5"/>
  <c r="D61" i="4"/>
  <c r="D60" i="4"/>
  <c r="D26" i="4"/>
  <c r="D25" i="4"/>
  <c r="D27" i="4" s="1"/>
  <c r="D24" i="4"/>
  <c r="D23" i="4"/>
  <c r="D58" i="4" s="1"/>
  <c r="D16" i="4"/>
  <c r="D17" i="4" s="1"/>
  <c r="F32" i="4" s="1" a="1"/>
  <c r="D12" i="4"/>
  <c r="AC7" i="4" s="1"/>
  <c r="G6" i="4"/>
  <c r="H6" i="4" s="1"/>
  <c r="I6" i="4" s="1"/>
  <c r="G19" i="3"/>
  <c r="D37" i="2"/>
  <c r="F13" i="5"/>
  <c r="F12" i="5"/>
  <c r="E22" i="5"/>
  <c r="D28" i="4"/>
  <c r="G20" i="3" s="1"/>
  <c r="G33" i="4" a="1"/>
  <c r="P33" i="4" a="1"/>
  <c r="AB33" i="4" a="1"/>
  <c r="I33" i="4" a="1"/>
  <c r="Z33" i="4" a="1"/>
  <c r="H33" i="4" a="1"/>
  <c r="T33" i="4" a="1"/>
  <c r="V33" i="4" a="1"/>
  <c r="AC33" i="4" a="1"/>
  <c r="L33" i="4" a="1"/>
  <c r="X33" i="4" a="1"/>
  <c r="AA33" i="4" a="1"/>
  <c r="R33" i="4" a="1"/>
  <c r="Y33" i="4" a="1"/>
  <c r="D14" i="4" a="1"/>
  <c r="K33" i="4" a="1"/>
  <c r="W33" i="4" a="1"/>
  <c r="N33" i="4" a="1"/>
  <c r="U33" i="4" a="1"/>
  <c r="J33" i="4" a="1"/>
  <c r="S33" i="4" a="1"/>
  <c r="Q33" i="4" a="1"/>
  <c r="O33" i="4" a="1"/>
  <c r="F33" i="4" a="1"/>
  <c r="M33" i="4" a="1"/>
  <c r="I12" i="2" a="1"/>
  <c r="D59" i="4" l="1"/>
  <c r="B7" i="5" s="1"/>
  <c r="F14" i="5"/>
  <c r="D22" i="5"/>
  <c r="F22" i="5" s="1"/>
  <c r="M33" i="4"/>
  <c r="F33" i="4"/>
  <c r="O33" i="4"/>
  <c r="Q33" i="4"/>
  <c r="S33" i="4"/>
  <c r="J33" i="4"/>
  <c r="U33" i="4"/>
  <c r="N33" i="4"/>
  <c r="W33" i="4"/>
  <c r="K33" i="4"/>
  <c r="D14" i="4"/>
  <c r="Y33" i="4"/>
  <c r="R33" i="4"/>
  <c r="AA33" i="4"/>
  <c r="X33" i="4"/>
  <c r="L33" i="4"/>
  <c r="AC33" i="4"/>
  <c r="V33" i="4"/>
  <c r="T33" i="4"/>
  <c r="H33" i="4"/>
  <c r="Z33" i="4"/>
  <c r="I33" i="4"/>
  <c r="AB33" i="4"/>
  <c r="P33" i="4"/>
  <c r="G33" i="4"/>
  <c r="J6" i="4"/>
  <c r="K6" i="4" s="1"/>
  <c r="L6" i="4" s="1"/>
  <c r="M6" i="4" s="1"/>
  <c r="N6" i="4" s="1"/>
  <c r="O6" i="4" s="1"/>
  <c r="P6" i="4" s="1"/>
  <c r="Q6" i="4" s="1"/>
  <c r="R6" i="4" s="1"/>
  <c r="S6" i="4" s="1"/>
  <c r="T6" i="4" s="1"/>
  <c r="U6" i="4" s="1"/>
  <c r="V6" i="4" s="1"/>
  <c r="W6" i="4" s="1"/>
  <c r="X6" i="4" s="1"/>
  <c r="Y6" i="4" s="1"/>
  <c r="Z6" i="4" s="1"/>
  <c r="AA6" i="4" s="1"/>
  <c r="AB6" i="4" s="1"/>
  <c r="AC6" i="4" s="1"/>
  <c r="U32" i="4"/>
  <c r="Y32" i="4"/>
  <c r="X32" i="4"/>
  <c r="M32" i="4"/>
  <c r="Z32" i="4"/>
  <c r="AC32" i="4"/>
  <c r="I32" i="4"/>
  <c r="N32" i="4"/>
  <c r="P32" i="4"/>
  <c r="F32" i="4"/>
  <c r="Q32" i="4"/>
  <c r="H32" i="4"/>
  <c r="AB32" i="4"/>
  <c r="S32" i="4"/>
  <c r="G32" i="4"/>
  <c r="W32" i="4"/>
  <c r="T32" i="4"/>
  <c r="J32" i="4"/>
  <c r="O32" i="4"/>
  <c r="L32" i="4"/>
  <c r="K32" i="4"/>
  <c r="V32" i="4"/>
  <c r="R32" i="4"/>
  <c r="AA32" i="4"/>
  <c r="AB7" i="4"/>
  <c r="O7" i="4"/>
  <c r="X7" i="4"/>
  <c r="M7" i="4"/>
  <c r="W7" i="4"/>
  <c r="AA7" i="4"/>
  <c r="I7" i="4"/>
  <c r="S7" i="4"/>
  <c r="Y7" i="4"/>
  <c r="K7" i="4"/>
  <c r="N7" i="4"/>
  <c r="V7" i="4"/>
  <c r="Z7" i="4"/>
  <c r="L7" i="4"/>
  <c r="H7" i="4"/>
  <c r="U7" i="4"/>
  <c r="R7" i="4"/>
  <c r="T7" i="4"/>
  <c r="Q7" i="4"/>
  <c r="P7" i="4"/>
  <c r="J7" i="4"/>
  <c r="G7" i="4"/>
  <c r="F7" i="4"/>
  <c r="I12" i="2"/>
  <c r="L41" i="4" l="1"/>
  <c r="L40" i="4"/>
  <c r="L42" i="4"/>
  <c r="L43" i="4"/>
  <c r="K42" i="4"/>
  <c r="K41" i="4"/>
  <c r="K43" i="4"/>
  <c r="K40" i="4"/>
  <c r="AB40" i="4"/>
  <c r="AB42" i="4"/>
  <c r="AB43" i="4"/>
  <c r="AB41" i="4"/>
  <c r="Z42" i="4"/>
  <c r="Z40" i="4"/>
  <c r="Z41" i="4"/>
  <c r="Z43" i="4"/>
  <c r="H40" i="4"/>
  <c r="H42" i="4"/>
  <c r="H41" i="4"/>
  <c r="H43" i="4"/>
  <c r="M40" i="4"/>
  <c r="M41" i="4"/>
  <c r="M42" i="4"/>
  <c r="M43" i="4"/>
  <c r="O40" i="4"/>
  <c r="O43" i="4"/>
  <c r="O42" i="4"/>
  <c r="O41" i="4"/>
  <c r="Q43" i="4"/>
  <c r="Q41" i="4"/>
  <c r="Q40" i="4"/>
  <c r="Q42" i="4"/>
  <c r="X41" i="4"/>
  <c r="X43" i="4"/>
  <c r="X42" i="4"/>
  <c r="X40" i="4"/>
  <c r="J41" i="4"/>
  <c r="J40" i="4"/>
  <c r="J43" i="4"/>
  <c r="J42" i="4"/>
  <c r="F42" i="4"/>
  <c r="F40" i="4"/>
  <c r="F41" i="4"/>
  <c r="F43" i="4"/>
  <c r="Y42" i="4"/>
  <c r="Y43" i="4"/>
  <c r="Y41" i="4"/>
  <c r="Y40" i="4"/>
  <c r="T43" i="4"/>
  <c r="T41" i="4"/>
  <c r="T40" i="4"/>
  <c r="T42" i="4"/>
  <c r="P42" i="4"/>
  <c r="P41" i="4"/>
  <c r="P40" i="4"/>
  <c r="P43" i="4"/>
  <c r="U43" i="4"/>
  <c r="U41" i="4"/>
  <c r="U40" i="4"/>
  <c r="U42" i="4"/>
  <c r="AA42" i="4"/>
  <c r="AA41" i="4"/>
  <c r="AA43" i="4"/>
  <c r="AA40" i="4"/>
  <c r="W42" i="4"/>
  <c r="W41" i="4"/>
  <c r="W43" i="4"/>
  <c r="W40" i="4"/>
  <c r="N42" i="4"/>
  <c r="N40" i="4"/>
  <c r="N43" i="4"/>
  <c r="N41" i="4"/>
  <c r="R42" i="4"/>
  <c r="R40" i="4"/>
  <c r="R43" i="4"/>
  <c r="R41" i="4"/>
  <c r="G43" i="4"/>
  <c r="G42" i="4"/>
  <c r="G41" i="4"/>
  <c r="G40" i="4"/>
  <c r="I43" i="4"/>
  <c r="I41" i="4"/>
  <c r="I40" i="4"/>
  <c r="I42" i="4"/>
  <c r="D13" i="4"/>
  <c r="V41" i="4"/>
  <c r="V43" i="4"/>
  <c r="V42" i="4"/>
  <c r="V40" i="4"/>
  <c r="S42" i="4"/>
  <c r="S41" i="4"/>
  <c r="S40" i="4"/>
  <c r="S43" i="4"/>
  <c r="AC42" i="4"/>
  <c r="AC40" i="4"/>
  <c r="AC43" i="4"/>
  <c r="AC41" i="4"/>
  <c r="E23" i="5" l="1"/>
  <c r="F23" i="5" s="1"/>
  <c r="D23" i="5"/>
  <c r="D18" i="4"/>
  <c r="D43" i="4"/>
  <c r="D41" i="4"/>
  <c r="D40" i="4"/>
  <c r="D51" i="4" s="1" a="1"/>
  <c r="D51" i="4" s="1"/>
  <c r="D42" i="4"/>
  <c r="D52" i="4" s="1" a="1"/>
  <c r="D52" i="4" s="1"/>
  <c r="C132" i="5" a="1"/>
  <c r="H90" i="5" a="1"/>
  <c r="C168" i="5" a="1"/>
  <c r="H83" i="5" a="1"/>
  <c r="C201" i="5" a="1"/>
  <c r="C128" i="5" a="1"/>
  <c r="H77" i="5" a="1"/>
  <c r="C161" i="5" a="1"/>
  <c r="H85" i="5" a="1"/>
  <c r="H58" i="5" a="1"/>
  <c r="C125" i="5" a="1"/>
  <c r="H92" i="5" a="1"/>
  <c r="C166" i="5" a="1"/>
  <c r="C127" i="5" a="1"/>
  <c r="C191" i="5" a="1"/>
  <c r="C160" i="5" a="1"/>
  <c r="H69" i="5" a="1"/>
  <c r="C193" i="5" a="1"/>
  <c r="C124" i="5" a="1"/>
  <c r="H82" i="5" a="1"/>
  <c r="C157" i="5" a="1"/>
  <c r="C118" i="5" a="1"/>
  <c r="C182" i="5" a="1"/>
  <c r="C143" i="5" a="1"/>
  <c r="C165" i="5" a="1"/>
  <c r="C122" i="5" a="1"/>
  <c r="C186" i="5" a="1"/>
  <c r="C147" i="5" a="1"/>
  <c r="C176" i="5" a="1"/>
  <c r="H91" i="5" a="1"/>
  <c r="E21" i="5" a="1"/>
  <c r="C140" i="5" a="1"/>
  <c r="H98" i="5" a="1"/>
  <c r="C173" i="5" a="1"/>
  <c r="C126" i="5" a="1"/>
  <c r="C190" i="5" a="1"/>
  <c r="C151" i="5" a="1"/>
  <c r="C192" i="5" a="1"/>
  <c r="H101" i="5" a="1"/>
  <c r="H68" i="5" a="1"/>
  <c r="C156" i="5" a="1"/>
  <c r="H65" i="5" a="1"/>
  <c r="C189" i="5" a="1"/>
  <c r="C134" i="5" a="1"/>
  <c r="C198" i="5" a="1"/>
  <c r="C159" i="5" a="1"/>
  <c r="H64" i="5" a="1"/>
  <c r="C150" i="5" a="1"/>
  <c r="C111" i="5" a="1"/>
  <c r="C175" i="5" a="1"/>
  <c r="C129" i="5" a="1"/>
  <c r="H100" i="5" a="1"/>
  <c r="H81" i="5" a="1"/>
  <c r="H54" i="5" a="1"/>
  <c r="C137" i="5" a="1"/>
  <c r="H59" i="5" a="1"/>
  <c r="C196" i="5" a="1"/>
  <c r="H102" i="5" a="1"/>
  <c r="H72" i="5" a="1"/>
  <c r="C154" i="5" a="1"/>
  <c r="C115" i="5" a="1"/>
  <c r="C179" i="5" a="1"/>
  <c r="H71" i="5" a="1"/>
  <c r="H97" i="5" a="1"/>
  <c r="H96" i="5" a="1"/>
  <c r="C188" i="5" a="1"/>
  <c r="C112" i="5" a="1"/>
  <c r="H62" i="5" a="1"/>
  <c r="C145" i="5" a="1"/>
  <c r="H67" i="5" a="1"/>
  <c r="C204" i="5" a="1"/>
  <c r="C109" i="5" a="1"/>
  <c r="H78" i="5" a="1"/>
  <c r="C158" i="5" a="1"/>
  <c r="C119" i="5" a="1"/>
  <c r="C183" i="5" a="1"/>
  <c r="C120" i="5" a="1"/>
  <c r="C184" i="5" a="1"/>
  <c r="H70" i="5" a="1"/>
  <c r="H99" i="5" a="1"/>
  <c r="C153" i="5" a="1"/>
  <c r="H60" i="5" a="1"/>
  <c r="H75" i="5" a="1"/>
  <c r="C148" i="5" a="1"/>
  <c r="H55" i="5" a="1"/>
  <c r="H57" i="5" a="1"/>
  <c r="C117" i="5" a="1"/>
  <c r="C181" i="5" a="1"/>
  <c r="H84" i="5" a="1"/>
  <c r="C130" i="5" a="1"/>
  <c r="C162" i="5" a="1"/>
  <c r="C194" i="5" a="1"/>
  <c r="C123" i="5" a="1"/>
  <c r="C155" i="5" a="1"/>
  <c r="C187" i="5" a="1"/>
  <c r="C136" i="5" a="1"/>
  <c r="C200" i="5" a="1"/>
  <c r="H86" i="5" a="1"/>
  <c r="H103" i="5" a="1"/>
  <c r="C169" i="5" a="1"/>
  <c r="H76" i="5" a="1"/>
  <c r="H93" i="5" a="1"/>
  <c r="C164" i="5" a="1"/>
  <c r="H66" i="5" a="1"/>
  <c r="H73" i="5" a="1"/>
  <c r="C133" i="5" a="1"/>
  <c r="C197" i="5" a="1"/>
  <c r="C106" i="5" a="1"/>
  <c r="C138" i="5" a="1"/>
  <c r="C170" i="5" a="1"/>
  <c r="C202" i="5" a="1"/>
  <c r="C131" i="5" a="1"/>
  <c r="C163" i="5" a="1"/>
  <c r="C195" i="5" a="1"/>
  <c r="C144" i="5" a="1"/>
  <c r="H63" i="5" a="1"/>
  <c r="H94" i="5" a="1"/>
  <c r="C113" i="5" a="1"/>
  <c r="C177" i="5" a="1"/>
  <c r="H80" i="5" a="1"/>
  <c r="C108" i="5" a="1"/>
  <c r="C172" i="5" a="1"/>
  <c r="H74" i="5" a="1"/>
  <c r="H87" i="5" a="1"/>
  <c r="C141" i="5" a="1"/>
  <c r="C205" i="5" a="1"/>
  <c r="C110" i="5" a="1"/>
  <c r="C142" i="5" a="1"/>
  <c r="C174" i="5" a="1"/>
  <c r="C206" i="5" a="1"/>
  <c r="C135" i="5" a="1"/>
  <c r="C167" i="5" a="1"/>
  <c r="C199" i="5" a="1"/>
  <c r="C152" i="5" a="1"/>
  <c r="H89" i="5" a="1"/>
  <c r="H61" i="5" a="1"/>
  <c r="C121" i="5" a="1"/>
  <c r="C185" i="5" a="1"/>
  <c r="H88" i="5" a="1"/>
  <c r="C116" i="5" a="1"/>
  <c r="C180" i="5" a="1"/>
  <c r="H79" i="5" a="1"/>
  <c r="H95" i="5" a="1"/>
  <c r="C149" i="5" a="1"/>
  <c r="H56" i="5" a="1"/>
  <c r="C114" i="5" a="1"/>
  <c r="C146" i="5" a="1"/>
  <c r="C178" i="5" a="1"/>
  <c r="C107" i="5" a="1"/>
  <c r="C139" i="5" a="1"/>
  <c r="C171" i="5" a="1"/>
  <c r="C203" i="5" a="1"/>
  <c r="D21" i="5" a="1"/>
  <c r="D15" i="4" a="1"/>
  <c r="G83" i="5" l="1"/>
  <c r="G100" i="5"/>
  <c r="G68" i="5"/>
  <c r="G89" i="5"/>
  <c r="G65" i="5"/>
  <c r="G94" i="5"/>
  <c r="G75" i="5"/>
  <c r="G92" i="5"/>
  <c r="G60" i="5"/>
  <c r="G82" i="5"/>
  <c r="G77" i="5"/>
  <c r="G99" i="5"/>
  <c r="G67" i="5"/>
  <c r="D35" i="5"/>
  <c r="G62" i="5"/>
  <c r="G95" i="5"/>
  <c r="G63" i="5"/>
  <c r="G80" i="5"/>
  <c r="G101" i="5"/>
  <c r="G58" i="5"/>
  <c r="G61" i="5"/>
  <c r="G54" i="5"/>
  <c r="G79" i="5"/>
  <c r="G96" i="5"/>
  <c r="G64" i="5"/>
  <c r="G85" i="5"/>
  <c r="G102" i="5"/>
  <c r="G66" i="5"/>
  <c r="G81" i="5"/>
  <c r="G86" i="5"/>
  <c r="G103" i="5"/>
  <c r="G71" i="5"/>
  <c r="G88" i="5"/>
  <c r="G56" i="5"/>
  <c r="G74" i="5"/>
  <c r="G78" i="5"/>
  <c r="G84" i="5"/>
  <c r="G73" i="5"/>
  <c r="G70" i="5"/>
  <c r="G93" i="5"/>
  <c r="G55" i="5"/>
  <c r="G91" i="5"/>
  <c r="G59" i="5"/>
  <c r="G76" i="5"/>
  <c r="G97" i="5"/>
  <c r="G69" i="5"/>
  <c r="G98" i="5"/>
  <c r="G87" i="5"/>
  <c r="G72" i="5"/>
  <c r="G90" i="5"/>
  <c r="G57" i="5"/>
  <c r="D21" i="5"/>
  <c r="C203" i="5"/>
  <c r="C171" i="5"/>
  <c r="C139" i="5"/>
  <c r="C107" i="5"/>
  <c r="C178" i="5"/>
  <c r="C146" i="5"/>
  <c r="C114" i="5"/>
  <c r="H56" i="5"/>
  <c r="C149" i="5"/>
  <c r="H95" i="5"/>
  <c r="H79" i="5"/>
  <c r="C180" i="5"/>
  <c r="C116" i="5"/>
  <c r="H88" i="5"/>
  <c r="C185" i="5"/>
  <c r="C121" i="5"/>
  <c r="H61" i="5"/>
  <c r="H89" i="5"/>
  <c r="C152" i="5"/>
  <c r="C199" i="5"/>
  <c r="C167" i="5"/>
  <c r="C135" i="5"/>
  <c r="C206" i="5"/>
  <c r="C174" i="5"/>
  <c r="C142" i="5"/>
  <c r="C110" i="5"/>
  <c r="C205" i="5"/>
  <c r="C141" i="5"/>
  <c r="H87" i="5"/>
  <c r="H74" i="5"/>
  <c r="C172" i="5"/>
  <c r="C108" i="5"/>
  <c r="H80" i="5"/>
  <c r="C177" i="5"/>
  <c r="C113" i="5"/>
  <c r="H94" i="5"/>
  <c r="H63" i="5"/>
  <c r="C144" i="5"/>
  <c r="C195" i="5"/>
  <c r="C163" i="5"/>
  <c r="C131" i="5"/>
  <c r="C202" i="5"/>
  <c r="C170" i="5"/>
  <c r="C138" i="5"/>
  <c r="C106" i="5"/>
  <c r="C197" i="5"/>
  <c r="C133" i="5"/>
  <c r="H73" i="5"/>
  <c r="H66" i="5"/>
  <c r="C164" i="5"/>
  <c r="H93" i="5"/>
  <c r="H76" i="5"/>
  <c r="C169" i="5"/>
  <c r="H103" i="5"/>
  <c r="H86" i="5"/>
  <c r="C200" i="5"/>
  <c r="C136" i="5"/>
  <c r="C187" i="5"/>
  <c r="C155" i="5"/>
  <c r="C123" i="5"/>
  <c r="C194" i="5"/>
  <c r="C162" i="5"/>
  <c r="C130" i="5"/>
  <c r="H84" i="5"/>
  <c r="C181" i="5"/>
  <c r="C117" i="5"/>
  <c r="H57" i="5"/>
  <c r="H55" i="5"/>
  <c r="C148" i="5"/>
  <c r="H75" i="5"/>
  <c r="H60" i="5"/>
  <c r="C153" i="5"/>
  <c r="H99" i="5"/>
  <c r="H70" i="5"/>
  <c r="C184" i="5"/>
  <c r="C120" i="5"/>
  <c r="C183" i="5"/>
  <c r="C119" i="5"/>
  <c r="C158" i="5"/>
  <c r="H78" i="5"/>
  <c r="C109" i="5"/>
  <c r="C204" i="5"/>
  <c r="H67" i="5"/>
  <c r="C145" i="5"/>
  <c r="H62" i="5"/>
  <c r="C112" i="5"/>
  <c r="C188" i="5"/>
  <c r="H96" i="5"/>
  <c r="H97" i="5"/>
  <c r="H71" i="5"/>
  <c r="C179" i="5"/>
  <c r="C115" i="5"/>
  <c r="C154" i="5"/>
  <c r="H72" i="5"/>
  <c r="H102" i="5"/>
  <c r="C196" i="5"/>
  <c r="H59" i="5"/>
  <c r="C137" i="5"/>
  <c r="H54" i="5"/>
  <c r="H81" i="5"/>
  <c r="H100" i="5"/>
  <c r="C129" i="5"/>
  <c r="C175" i="5"/>
  <c r="C111" i="5"/>
  <c r="C150" i="5"/>
  <c r="H64" i="5"/>
  <c r="C159" i="5"/>
  <c r="C198" i="5"/>
  <c r="C134" i="5"/>
  <c r="C189" i="5"/>
  <c r="H65" i="5"/>
  <c r="C156" i="5"/>
  <c r="H68" i="5"/>
  <c r="H101" i="5"/>
  <c r="C192" i="5"/>
  <c r="C151" i="5"/>
  <c r="C190" i="5"/>
  <c r="C126" i="5"/>
  <c r="C173" i="5"/>
  <c r="H98" i="5"/>
  <c r="C140" i="5"/>
  <c r="E21" i="5"/>
  <c r="H91" i="5"/>
  <c r="C176" i="5"/>
  <c r="C147" i="5"/>
  <c r="C186" i="5"/>
  <c r="C122" i="5"/>
  <c r="C165" i="5"/>
  <c r="C143" i="5"/>
  <c r="C182" i="5"/>
  <c r="C118" i="5"/>
  <c r="C157" i="5"/>
  <c r="H82" i="5"/>
  <c r="C124" i="5"/>
  <c r="C193" i="5"/>
  <c r="H69" i="5"/>
  <c r="C160" i="5"/>
  <c r="C191" i="5"/>
  <c r="C127" i="5"/>
  <c r="C166" i="5"/>
  <c r="H92" i="5"/>
  <c r="C125" i="5"/>
  <c r="H58" i="5"/>
  <c r="H85" i="5"/>
  <c r="C161" i="5"/>
  <c r="H77" i="5"/>
  <c r="C128" i="5"/>
  <c r="C201" i="5"/>
  <c r="H83" i="5"/>
  <c r="C168" i="5"/>
  <c r="H90" i="5"/>
  <c r="C132" i="5"/>
  <c r="D15" i="4"/>
  <c r="F21" i="5" l="1"/>
  <c r="G21" i="5" s="1"/>
  <c r="C233" i="5"/>
  <c r="D233" i="5" s="1"/>
  <c r="G233" i="5" s="1" a="1"/>
  <c r="G233" i="5" s="1"/>
  <c r="C228" i="5"/>
  <c r="C227" i="5"/>
  <c r="C216" i="5"/>
  <c r="C212" i="5"/>
  <c r="C230" i="5"/>
  <c r="C218" i="5"/>
  <c r="C217" i="5"/>
  <c r="C231" i="5"/>
  <c r="C213" i="5"/>
  <c r="C223" i="5"/>
  <c r="C211" i="5"/>
  <c r="C221" i="5"/>
  <c r="C225" i="5"/>
  <c r="C222" i="5"/>
  <c r="C224" i="5"/>
  <c r="C210" i="5"/>
  <c r="C215" i="5"/>
  <c r="C226" i="5"/>
  <c r="C209" i="5"/>
  <c r="C214" i="5"/>
  <c r="C232" i="5"/>
  <c r="C219" i="5"/>
  <c r="C229" i="5"/>
  <c r="C220" i="5"/>
  <c r="O34" i="4"/>
  <c r="O35" i="4" s="1"/>
  <c r="O36" i="4" s="1"/>
  <c r="Z34" i="4"/>
  <c r="Z35" i="4" s="1"/>
  <c r="Z36" i="4" s="1"/>
  <c r="T34" i="4"/>
  <c r="T35" i="4" s="1"/>
  <c r="T36" i="4" s="1"/>
  <c r="G34" i="4"/>
  <c r="G35" i="4" s="1"/>
  <c r="G36" i="4" s="1"/>
  <c r="W34" i="4"/>
  <c r="W35" i="4" s="1"/>
  <c r="W36" i="4" s="1"/>
  <c r="K34" i="4"/>
  <c r="K35" i="4" s="1"/>
  <c r="K36" i="4" s="1"/>
  <c r="Q34" i="4"/>
  <c r="Q35" i="4" s="1"/>
  <c r="Q36" i="4" s="1"/>
  <c r="X34" i="4"/>
  <c r="X35" i="4" s="1"/>
  <c r="X36" i="4" s="1"/>
  <c r="S34" i="4"/>
  <c r="S35" i="4" s="1"/>
  <c r="S36" i="4" s="1"/>
  <c r="H34" i="4"/>
  <c r="H35" i="4" s="1"/>
  <c r="H36" i="4" s="1"/>
  <c r="R34" i="4"/>
  <c r="R35" i="4" s="1"/>
  <c r="R36" i="4" s="1"/>
  <c r="L34" i="4"/>
  <c r="L35" i="4" s="1"/>
  <c r="L36" i="4" s="1"/>
  <c r="AC34" i="4"/>
  <c r="AC35" i="4" s="1"/>
  <c r="AC36" i="4" s="1"/>
  <c r="Y34" i="4"/>
  <c r="Y35" i="4" s="1"/>
  <c r="Y36" i="4" s="1"/>
  <c r="U34" i="4"/>
  <c r="U35" i="4" s="1"/>
  <c r="U36" i="4" s="1"/>
  <c r="M34" i="4"/>
  <c r="M35" i="4" s="1"/>
  <c r="M36" i="4" s="1"/>
  <c r="J34" i="4"/>
  <c r="J35" i="4" s="1"/>
  <c r="J36" i="4" s="1"/>
  <c r="P34" i="4"/>
  <c r="P35" i="4" s="1"/>
  <c r="P36" i="4" s="1"/>
  <c r="N34" i="4"/>
  <c r="N35" i="4" s="1"/>
  <c r="N36" i="4" s="1"/>
  <c r="AA34" i="4"/>
  <c r="AA35" i="4" s="1"/>
  <c r="AA36" i="4" s="1"/>
  <c r="F34" i="4"/>
  <c r="F35" i="4" s="1"/>
  <c r="I34" i="4"/>
  <c r="I35" i="4" s="1"/>
  <c r="I36" i="4" s="1"/>
  <c r="V34" i="4"/>
  <c r="V35" i="4" s="1"/>
  <c r="V36" i="4" s="1"/>
  <c r="AB34" i="4"/>
  <c r="AB35" i="4" s="1"/>
  <c r="AB36" i="4" s="1"/>
  <c r="E229" i="5" l="1"/>
  <c r="D229" i="5"/>
  <c r="G229" i="5" s="1" a="1"/>
  <c r="G229" i="5" s="1"/>
  <c r="E224" i="5"/>
  <c r="D224" i="5"/>
  <c r="G224" i="5" s="1" a="1"/>
  <c r="G224" i="5" s="1"/>
  <c r="E217" i="5"/>
  <c r="D217" i="5"/>
  <c r="G217" i="5" s="1" a="1"/>
  <c r="G217" i="5" s="1"/>
  <c r="E219" i="5"/>
  <c r="D219" i="5"/>
  <c r="G219" i="5" s="1" a="1"/>
  <c r="G219" i="5" s="1"/>
  <c r="E222" i="5"/>
  <c r="D222" i="5"/>
  <c r="G222" i="5" s="1" a="1"/>
  <c r="G222" i="5" s="1"/>
  <c r="D218" i="5"/>
  <c r="G218" i="5" s="1" a="1"/>
  <c r="G218" i="5" s="1"/>
  <c r="E218" i="5"/>
  <c r="D232" i="5"/>
  <c r="G232" i="5" s="1" a="1"/>
  <c r="G232" i="5" s="1"/>
  <c r="E232" i="5"/>
  <c r="D225" i="5"/>
  <c r="G225" i="5" s="1" a="1"/>
  <c r="G225" i="5" s="1"/>
  <c r="E225" i="5"/>
  <c r="E230" i="5"/>
  <c r="D230" i="5"/>
  <c r="G230" i="5" s="1" a="1"/>
  <c r="G230" i="5" s="1"/>
  <c r="F229" i="5" s="1"/>
  <c r="D214" i="5"/>
  <c r="G214" i="5" s="1" a="1"/>
  <c r="G214" i="5" s="1"/>
  <c r="E214" i="5"/>
  <c r="E221" i="5"/>
  <c r="D221" i="5"/>
  <c r="G221" i="5" s="1" a="1"/>
  <c r="G221" i="5" s="1"/>
  <c r="E212" i="5"/>
  <c r="D212" i="5"/>
  <c r="G212" i="5" s="1" a="1"/>
  <c r="G212" i="5" s="1"/>
  <c r="E209" i="5"/>
  <c r="D209" i="5"/>
  <c r="G209" i="5" s="1" a="1"/>
  <c r="G209" i="5" s="1"/>
  <c r="E211" i="5"/>
  <c r="D211" i="5"/>
  <c r="G211" i="5" s="1" a="1"/>
  <c r="G211" i="5" s="1"/>
  <c r="D216" i="5"/>
  <c r="G216" i="5" s="1" a="1"/>
  <c r="G216" i="5" s="1"/>
  <c r="E216" i="5"/>
  <c r="D227" i="5"/>
  <c r="G227" i="5" s="1" a="1"/>
  <c r="G227" i="5" s="1"/>
  <c r="E227" i="5"/>
  <c r="E228" i="5"/>
  <c r="D228" i="5"/>
  <c r="G228" i="5" s="1" a="1"/>
  <c r="G228" i="5" s="1"/>
  <c r="E226" i="5"/>
  <c r="D226" i="5"/>
  <c r="G226" i="5" s="1" a="1"/>
  <c r="G226" i="5" s="1"/>
  <c r="E223" i="5"/>
  <c r="D223" i="5"/>
  <c r="G223" i="5" s="1" a="1"/>
  <c r="G223" i="5" s="1"/>
  <c r="F222" i="5" s="1"/>
  <c r="D215" i="5"/>
  <c r="G215" i="5" s="1" a="1"/>
  <c r="G215" i="5" s="1"/>
  <c r="F214" i="5" s="1"/>
  <c r="E215" i="5"/>
  <c r="E213" i="5"/>
  <c r="D213" i="5"/>
  <c r="G213" i="5" s="1" a="1"/>
  <c r="G213" i="5" s="1"/>
  <c r="D220" i="5"/>
  <c r="G220" i="5" s="1" a="1"/>
  <c r="G220" i="5" s="1"/>
  <c r="E220" i="5"/>
  <c r="E210" i="5"/>
  <c r="D210" i="5"/>
  <c r="G210" i="5" s="1" a="1"/>
  <c r="G210" i="5" s="1"/>
  <c r="F209" i="5" s="1"/>
  <c r="E231" i="5"/>
  <c r="D231" i="5"/>
  <c r="G231" i="5" s="1" a="1"/>
  <c r="G231" i="5" s="1"/>
  <c r="F230" i="5" s="1"/>
  <c r="D35" i="4"/>
  <c r="F36" i="4"/>
  <c r="D36" i="4" s="1"/>
  <c r="F216" i="5" l="1"/>
  <c r="F213" i="5"/>
  <c r="F211" i="5"/>
  <c r="F217" i="5"/>
  <c r="F218" i="5"/>
  <c r="F226" i="5"/>
  <c r="F224" i="5"/>
  <c r="F220" i="5"/>
  <c r="F215" i="5"/>
  <c r="F231" i="5"/>
  <c r="F223" i="5"/>
  <c r="F225" i="5"/>
  <c r="F212" i="5"/>
  <c r="F228" i="5"/>
  <c r="F210" i="5"/>
  <c r="F219" i="5"/>
  <c r="F227" i="5"/>
  <c r="F221" i="5"/>
  <c r="F232" i="5"/>
  <c r="D48" i="4" a="1"/>
  <c r="D48" i="4" s="1"/>
  <c r="D49" i="4" a="1"/>
  <c r="D49" i="4" s="1"/>
  <c r="D50" i="4" a="1"/>
  <c r="D50" i="4" s="1"/>
  <c r="D102" i="5" a="1"/>
  <c r="D101" i="5" a="1"/>
  <c r="D86" i="5" a="1"/>
  <c r="D85" i="5" a="1"/>
  <c r="D57" i="5" a="1"/>
  <c r="D58" i="5" a="1"/>
  <c r="D103" i="5" a="1"/>
  <c r="D90" i="5" a="1"/>
  <c r="D60" i="5" a="1"/>
  <c r="D56" i="5" a="1"/>
  <c r="D31" i="5" a="1"/>
  <c r="D65" i="5" a="1"/>
  <c r="D100" i="5" a="1"/>
  <c r="D84" i="5" a="1"/>
  <c r="D70" i="5" a="1"/>
  <c r="D66" i="5" a="1"/>
  <c r="D98" i="5" a="1"/>
  <c r="D82" i="5" a="1"/>
  <c r="D54" i="5" a="1"/>
  <c r="D32" i="5" a="1"/>
  <c r="D94" i="5" a="1"/>
  <c r="D93" i="5" a="1"/>
  <c r="D59" i="5" a="1"/>
  <c r="D33" i="5" a="1"/>
  <c r="D67" i="5" a="1"/>
  <c r="D55" i="5" a="1"/>
  <c r="D92" i="5" a="1"/>
  <c r="D76" i="5" a="1"/>
  <c r="D72" i="5" a="1"/>
  <c r="D99" i="5" a="1"/>
  <c r="D91" i="5" a="1"/>
  <c r="D83" i="5" a="1"/>
  <c r="D68" i="5" a="1"/>
  <c r="D62" i="5" a="1"/>
  <c r="D64" i="5" a="1"/>
  <c r="D74" i="5" a="1"/>
  <c r="D97" i="5" a="1"/>
  <c r="D89" i="5" a="1"/>
  <c r="D81" i="5" a="1"/>
  <c r="D77" i="5" a="1"/>
  <c r="D78" i="5" a="1"/>
  <c r="D34" i="5" a="1"/>
  <c r="D96" i="5" a="1"/>
  <c r="D88" i="5" a="1"/>
  <c r="D80" i="5" a="1"/>
  <c r="D69" i="5" a="1"/>
  <c r="D71" i="5" a="1"/>
  <c r="D79" i="5" a="1"/>
  <c r="D95" i="5" a="1"/>
  <c r="D87" i="5" a="1"/>
  <c r="D75" i="5" a="1"/>
  <c r="D61" i="5" a="1"/>
  <c r="D63" i="5" a="1"/>
  <c r="D73" i="5" a="1"/>
  <c r="E87" i="5" a="1"/>
  <c r="E75" i="5" a="1"/>
  <c r="E70" i="5" a="1"/>
  <c r="E69" i="5" a="1"/>
  <c r="E78" i="5" a="1"/>
  <c r="E58" i="5" a="1"/>
  <c r="E77" i="5" a="1"/>
  <c r="E95" i="5" a="1"/>
  <c r="E85" i="5" a="1"/>
  <c r="E62" i="5" a="1"/>
  <c r="E73" i="5" a="1"/>
  <c r="E67" i="5" a="1"/>
  <c r="E97" i="5" a="1"/>
  <c r="E57" i="5" a="1"/>
  <c r="E76" i="5" a="1"/>
  <c r="E99" i="5" a="1"/>
  <c r="E55" i="5" a="1"/>
  <c r="E79" i="5" a="1"/>
  <c r="D18" i="5" a="1"/>
  <c r="E100" i="5" a="1"/>
  <c r="E63" i="5" a="1"/>
  <c r="E82" i="5" a="1"/>
  <c r="E80" i="5" a="1"/>
  <c r="E91" i="5" a="1"/>
  <c r="E92" i="5" a="1"/>
  <c r="E74" i="5" a="1"/>
  <c r="E83" i="5" a="1"/>
  <c r="E54" i="5" a="1"/>
  <c r="E84" i="5" a="1"/>
  <c r="E65" i="5" a="1"/>
  <c r="E66" i="5" a="1"/>
  <c r="E59" i="5" a="1"/>
  <c r="E103" i="5" a="1"/>
  <c r="E61" i="5" a="1"/>
  <c r="E89" i="5" a="1"/>
  <c r="E72" i="5" a="1"/>
  <c r="D17" i="5" a="1"/>
  <c r="D19" i="5" a="1"/>
  <c r="E68" i="5" a="1"/>
  <c r="E102" i="5" a="1"/>
  <c r="E94" i="5" a="1"/>
  <c r="E81" i="5" a="1"/>
  <c r="E64" i="5" a="1"/>
  <c r="E98" i="5" a="1"/>
  <c r="E60" i="5" a="1"/>
  <c r="E96" i="5" a="1"/>
  <c r="E101" i="5" a="1"/>
  <c r="E86" i="5" a="1"/>
  <c r="E71" i="5" a="1"/>
  <c r="E56" i="5" a="1"/>
  <c r="E90" i="5" a="1"/>
  <c r="E93" i="5" a="1"/>
  <c r="E88" i="5" a="1"/>
  <c r="F94" i="5" a="1"/>
  <c r="F87" i="5" a="1"/>
  <c r="F69" i="5" a="1"/>
  <c r="F86" i="5" a="1"/>
  <c r="F73" i="5" a="1"/>
  <c r="F81" i="5" a="1"/>
  <c r="F79" i="5" a="1"/>
  <c r="F71" i="5" a="1"/>
  <c r="F74" i="5" a="1"/>
  <c r="F63" i="5" a="1"/>
  <c r="F58" i="5" a="1"/>
  <c r="E17" i="5" a="1"/>
  <c r="F88" i="5" a="1"/>
  <c r="F66" i="5" a="1"/>
  <c r="F55" i="5" a="1"/>
  <c r="F102" i="5" a="1"/>
  <c r="F76" i="5" a="1"/>
  <c r="F89" i="5" a="1"/>
  <c r="F56" i="5" a="1"/>
  <c r="F98" i="5" a="1"/>
  <c r="F96" i="5" a="1"/>
  <c r="E18" i="5" a="1"/>
  <c r="F70" i="5" a="1"/>
  <c r="F72" i="5" a="1"/>
  <c r="F57" i="5" a="1"/>
  <c r="F59" i="5" a="1"/>
  <c r="F103" i="5" a="1"/>
  <c r="F77" i="5" a="1"/>
  <c r="F78" i="5" a="1"/>
  <c r="F65" i="5" a="1"/>
  <c r="F85" i="5" a="1"/>
  <c r="F61" i="5" a="1"/>
  <c r="F97" i="5" a="1"/>
  <c r="F64" i="5" a="1"/>
  <c r="E19" i="5" a="1"/>
  <c r="B6" i="5" a="1"/>
  <c r="F99" i="5" a="1"/>
  <c r="F93" i="5" a="1"/>
  <c r="F80" i="5" a="1"/>
  <c r="F101" i="5" a="1"/>
  <c r="F62" i="5" a="1"/>
  <c r="F92" i="5" a="1"/>
  <c r="F100" i="5" a="1"/>
  <c r="F90" i="5" a="1"/>
  <c r="F75" i="5" a="1"/>
  <c r="F68" i="5" a="1"/>
  <c r="F91" i="5" a="1"/>
  <c r="F54" i="5" a="1"/>
  <c r="F84" i="5" a="1"/>
  <c r="F95" i="5" a="1"/>
  <c r="F82" i="5" a="1"/>
  <c r="F67" i="5" a="1"/>
  <c r="F60" i="5" a="1"/>
  <c r="F83" i="5" a="1"/>
  <c r="F83" i="5" l="1"/>
  <c r="F60" i="5"/>
  <c r="F67" i="5"/>
  <c r="F82" i="5"/>
  <c r="F95" i="5"/>
  <c r="F84" i="5"/>
  <c r="F54" i="5"/>
  <c r="F91" i="5"/>
  <c r="F68" i="5"/>
  <c r="F75" i="5"/>
  <c r="F90" i="5"/>
  <c r="F100" i="5"/>
  <c r="F92" i="5"/>
  <c r="F62" i="5"/>
  <c r="F101" i="5"/>
  <c r="F80" i="5"/>
  <c r="F93" i="5"/>
  <c r="F99" i="5"/>
  <c r="B6" i="5"/>
  <c r="E19" i="5"/>
  <c r="F64" i="5"/>
  <c r="F97" i="5"/>
  <c r="F61" i="5"/>
  <c r="F85" i="5"/>
  <c r="F65" i="5"/>
  <c r="F78" i="5"/>
  <c r="F77" i="5"/>
  <c r="F103" i="5"/>
  <c r="F59" i="5"/>
  <c r="F57" i="5"/>
  <c r="F72" i="5"/>
  <c r="F70" i="5"/>
  <c r="E18" i="5"/>
  <c r="F96" i="5"/>
  <c r="F98" i="5"/>
  <c r="F56" i="5"/>
  <c r="F89" i="5"/>
  <c r="F76" i="5"/>
  <c r="F102" i="5"/>
  <c r="F55" i="5"/>
  <c r="F66" i="5"/>
  <c r="F88" i="5"/>
  <c r="E17" i="5"/>
  <c r="F58" i="5"/>
  <c r="F63" i="5"/>
  <c r="F74" i="5"/>
  <c r="F71" i="5"/>
  <c r="F79" i="5"/>
  <c r="F81" i="5"/>
  <c r="F73" i="5"/>
  <c r="F86" i="5"/>
  <c r="F69" i="5"/>
  <c r="F87" i="5"/>
  <c r="F94" i="5"/>
  <c r="E88" i="5"/>
  <c r="E93" i="5"/>
  <c r="E90" i="5"/>
  <c r="E56" i="5"/>
  <c r="E71" i="5"/>
  <c r="E86" i="5"/>
  <c r="E101" i="5"/>
  <c r="E96" i="5"/>
  <c r="E60" i="5"/>
  <c r="E98" i="5"/>
  <c r="E64" i="5"/>
  <c r="E81" i="5"/>
  <c r="E94" i="5"/>
  <c r="E102" i="5"/>
  <c r="E68" i="5"/>
  <c r="D19" i="5"/>
  <c r="D17" i="5"/>
  <c r="E72" i="5"/>
  <c r="E89" i="5"/>
  <c r="E61" i="5"/>
  <c r="E103" i="5"/>
  <c r="E59" i="5"/>
  <c r="E66" i="5"/>
  <c r="E65" i="5"/>
  <c r="E84" i="5"/>
  <c r="E54" i="5"/>
  <c r="E83" i="5"/>
  <c r="E74" i="5"/>
  <c r="E92" i="5"/>
  <c r="E91" i="5"/>
  <c r="E80" i="5"/>
  <c r="E82" i="5"/>
  <c r="E63" i="5"/>
  <c r="E100" i="5"/>
  <c r="D18" i="5"/>
  <c r="E79" i="5"/>
  <c r="E55" i="5"/>
  <c r="E99" i="5"/>
  <c r="E76" i="5"/>
  <c r="E57" i="5"/>
  <c r="E97" i="5"/>
  <c r="E67" i="5"/>
  <c r="E73" i="5"/>
  <c r="E62" i="5"/>
  <c r="E85" i="5"/>
  <c r="E95" i="5"/>
  <c r="E77" i="5"/>
  <c r="E58" i="5"/>
  <c r="E78" i="5"/>
  <c r="E69" i="5"/>
  <c r="E70" i="5"/>
  <c r="E75" i="5"/>
  <c r="E87" i="5"/>
  <c r="D73" i="5"/>
  <c r="D63" i="5"/>
  <c r="D61" i="5"/>
  <c r="D75" i="5"/>
  <c r="D87" i="5"/>
  <c r="D95" i="5"/>
  <c r="D79" i="5"/>
  <c r="D71" i="5"/>
  <c r="D69" i="5"/>
  <c r="D80" i="5"/>
  <c r="D88" i="5"/>
  <c r="D96" i="5"/>
  <c r="D34" i="5"/>
  <c r="D78" i="5"/>
  <c r="D77" i="5"/>
  <c r="D81" i="5"/>
  <c r="D89" i="5"/>
  <c r="D97" i="5"/>
  <c r="D74" i="5"/>
  <c r="D64" i="5"/>
  <c r="D62" i="5"/>
  <c r="D68" i="5"/>
  <c r="D83" i="5"/>
  <c r="D91" i="5"/>
  <c r="D99" i="5"/>
  <c r="D72" i="5"/>
  <c r="D76" i="5"/>
  <c r="D92" i="5"/>
  <c r="D55" i="5"/>
  <c r="D67" i="5"/>
  <c r="D33" i="5"/>
  <c r="D59" i="5"/>
  <c r="D93" i="5"/>
  <c r="D94" i="5"/>
  <c r="D32" i="5"/>
  <c r="D54" i="5"/>
  <c r="D82" i="5"/>
  <c r="D98" i="5"/>
  <c r="D66" i="5"/>
  <c r="D70" i="5"/>
  <c r="D84" i="5"/>
  <c r="D100" i="5"/>
  <c r="D65" i="5"/>
  <c r="D31" i="5"/>
  <c r="D56" i="5"/>
  <c r="D60" i="5"/>
  <c r="D90" i="5"/>
  <c r="D103" i="5"/>
  <c r="D58" i="5"/>
  <c r="D57" i="5"/>
  <c r="D85" i="5"/>
  <c r="D86" i="5"/>
  <c r="D101" i="5"/>
  <c r="D102" i="5"/>
  <c r="D54" i="4" a="1"/>
  <c r="D54" i="4" s="1"/>
  <c r="D53" i="4" a="1"/>
  <c r="D53" i="4" s="1"/>
  <c r="E20" i="5" a="1"/>
  <c r="D20" i="5" a="1"/>
  <c r="D20" i="5" l="1"/>
  <c r="E20" i="5"/>
  <c r="F17" i="5"/>
  <c r="G17" i="5" s="1"/>
  <c r="F19" i="5"/>
  <c r="G19" i="5" s="1"/>
  <c r="F18" i="5"/>
  <c r="G18" i="5" s="1"/>
  <c r="F20" i="5" l="1"/>
  <c r="G20"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<sst xmlns="http://schemas.openxmlformats.org/spreadsheetml/2006/main" count="454" uniqueCount="333">
  <si>
    <t>Hedging Programme Chosen by the Optimizer</t>
  </si>
  <si>
    <t>ModelRisk example  ·  Oil and gas  ·  OG-12</t>
  </si>
  <si>
    <t>How much to swap, how much to protect with puts, and at which strike, to meet the budget at the least cost?</t>
  </si>
  <si>
    <t>Next:  Inputs  ▸</t>
  </si>
  <si>
    <t>Model card</t>
  </si>
  <si>
    <t>Industry</t>
  </si>
  <si>
    <t>Oil and gas</t>
  </si>
  <si>
    <t>Difficulty</t>
  </si>
  <si>
    <t>★★★★☆   Monthly price paths and production with outages; the swap share, the put share and the put strike chosen together by the ModelRisk Optimizer, for the most revenue with a limit on the chance of missing the budget.</t>
  </si>
  <si>
    <t>Business question</t>
  </si>
  <si>
    <t>A producer will sell about 150 thousand barrels of oil a month for two years. Its board accepts at most a 1-in-10 chance that revenue falls below the budget, and hedges at most 70% of the planned volume. Which shares of swaps and bought puts, and which put strike, meet that limit while giving up the least revenue to the banks?</t>
  </si>
  <si>
    <t>Who it is for</t>
  </si>
  <si>
    <t>Treasurers, commercial and risk managers, CFOs and boards deciding on a hedging programme.</t>
  </si>
  <si>
    <t>Main outputs</t>
  </si>
  <si>
    <t>The Optimizer's swap share, put share and put strike against a starting plan (OG-09's swap on 60% of planned volume) · for both plans and with no hedge: the mean, 5th and 95th percentiles of two years' revenue and the chance of missing the budget · the expected cost of the hedges · the distributions of revenue and of the hedges' payoff.</t>
  </si>
  <si>
    <t>ModelRisk techniques</t>
  </si>
  <si>
    <t>The ModelRisk Optimizer: two decisions in steps of 5% and one chosen from a list, the mean revenue maximised, a probability constraint (the chance of missing the budget) and a formula constraint (the hedging cap) · monthly geometric Brownian motion prices (VoseTimeGBM) · monthly uptime (PERT) and an outage · option payoffs inside the simulation · both plans on the same simulated paths.</t>
  </si>
  <si>
    <t>File</t>
  </si>
  <si>
    <t>OG-12 Hedging programme chosen by the Optimizer  ·  Version 1.0  ·  October 2026  ·  built with ModelRisk 10</t>
  </si>
  <si>
    <t>The business question</t>
  </si>
  <si>
    <t>OG-09 compared hedges on 60% of a producer's oil sales. Hedging has a price: the bank's swap price is US$1 below the forward, and its puts cost a little more than fair value. The board wants the cheapest programme that keeps the chance of missing the budget to 1 in 10, within a 70% hedging cap. Here the ModelRisk Optimizer chooses the swap share, put share and put strike together.</t>
  </si>
  <si>
    <t>How the model works</t>
  </si>
  <si>
    <t>Four sheets after this one, read from left to right. Each one feeds the next.</t>
  </si>
  <si>
    <t>1  Inputs</t>
  </si>
  <si>
    <t>Planned volume, the monthly uptime range and the chance and length of an outage; today's forward price and its volatility; the bank's swap price and its premiums for puts at four strikes; the hedging cap; the budget price and the largest chance of missing the budget that the board accepts.</t>
  </si>
  <si>
    <t>2  Decisions</t>
  </si>
  <si>
    <t>The three cells the Optimizer changes — the share of planned volume swapped, the share protected by bought puts, and the put strike — with their bounds, the starting plan they are compared with, the goal (the most revenue after hedging, on average) and the limits (the budget, and the hedging cap).</t>
  </si>
  <si>
    <t>3  Hedges</t>
  </si>
  <si>
    <t>A geometric Brownian motion with no expected drift gives 24 monthly prices; volume is the plan times the month's uptime, or nothing during an outage. Each plan's swap pays the swap price minus the market price, and its puts pay when the price is below the strike, less the premium. Revenue and a below-budget flag for each plan are outputs.</t>
  </si>
  <si>
    <t>4  Results</t>
  </si>
  <si>
    <t>Both plans, and no hedge, on the same simulated prices and volumes: the mean and the 5th and 95th percentiles of two years' revenue, the chance of missing the budget, the expected cost of the hedges, and the distributions of revenue and of the hedges' payoff.</t>
  </si>
  <si>
    <t>How to use it</t>
  </si>
  <si>
    <t>Step 1</t>
  </si>
  <si>
    <t>Enter your production plan, price and volatility, the bank's quotes, your budget and the chance of missing it that you accept on the Inputs sheet.</t>
  </si>
  <si>
    <t>Step 2</t>
  </si>
  <si>
    <t>On the ModelRisk ribbon, open the Optimizer: the task is saved in this workbook. Press Start. When it finishes, apply the best solution: the swap share, put share and put strike on the Decisions sheet change.</t>
  </si>
  <si>
    <t>Step 3</t>
  </si>
  <si>
    <t>Run a simulation from the ModelRisk ribbon (10,000 samples with a fixed seed are set) to compare the new plan with the starting plan on the Results sheet.</t>
  </si>
  <si>
    <t>Step 4</t>
  </si>
  <si>
    <t>To watch the search from the beginning, copy the starting plan onto the plan in use first.</t>
  </si>
  <si>
    <t>Workbook map</t>
  </si>
  <si>
    <t>Inputs</t>
  </si>
  <si>
    <t>Production, price, the bank's quotes, the hedging cap, the budget and its limit.</t>
  </si>
  <si>
    <t>Decisions</t>
  </si>
  <si>
    <t>The plan in use, the starting plan, the bounds, the goal and limits, and the Optimizer's last run.</t>
  </si>
  <si>
    <t>Hedges</t>
  </si>
  <si>
    <t>Each plan's premium and cap; 24 months of prices, volumes, revenue and hedge payoffs; outputs and checks.</t>
  </si>
  <si>
    <t>Results</t>
  </si>
  <si>
    <t>The plan in use against the starting plan and no hedge; the revenue and payoff distributions.</t>
  </si>
  <si>
    <t>Colour key</t>
  </si>
  <si>
    <t>Input</t>
  </si>
  <si>
    <t>An assumption you may change. Only these cells are inputs.</t>
  </si>
  <si>
    <t>Uncertain variable</t>
  </si>
  <si>
    <t>A ModelRisk distribution: a new random value is drawn at every recalculation (F9) and every simulation sample.</t>
  </si>
  <si>
    <t>Decision</t>
  </si>
  <si>
    <t>A cell the ModelRisk Optimizer changes: it tries values within the bounds and keeps the best plan found.</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</si>
  <si>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</si>
  <si>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</si>
  <si>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</si>
  <si>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</si>
  <si>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</si>
  <si>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</si>
  <si>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</si>
  <si>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</si>
  <si>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prices in US$ per barrel.</t>
  </si>
  <si>
    <t>Volumes</t>
  </si>
  <si>
    <t>kbbl = thousand barrels per month.</t>
  </si>
  <si>
    <t>Shares</t>
  </si>
  <si>
    <t>The swap share and the put share are shares of the planned (not the actual) volume, in every month.</t>
  </si>
  <si>
    <t>Expected cost</t>
  </si>
  <si>
    <t>Of the hedges: minus their mean payoff, premiums included. What the bank's margins cost on average over the two years.</t>
  </si>
  <si>
    <t>Below budget</t>
  </si>
  <si>
    <t>Revenue over the 24 months less than the budget revenue: budget price × planned volume × the most likely uptime.</t>
  </si>
  <si>
    <t>Key assumptions and limitations</t>
  </si>
  <si>
    <t>Price</t>
  </si>
  <si>
    <t>Geometric Brownian motion with constant volatility and a flat forward curve: the expected price in every month equals today's forward price. No jumps or mean reversion over two years.</t>
  </si>
  <si>
    <t>Monthly settlement against the month's average price; no credit risk, margin calls or basis risk. Premiums are paid with the hedge, undiscounted. The bank's quotes hold whatever volume is hedged.</t>
  </si>
  <si>
    <t>Production</t>
  </si>
  <si>
    <t>Uptime varies month by month; an outage stops production for three months. Prices and volumes are independent.</t>
  </si>
  <si>
    <t>Optimizer</t>
  </si>
  <si>
    <t>Each plan the Optimizer tries is judged on the same 10,000 simulated price and volume paths (common random numbers, seed 1) as the simulation on the Results sheet, so plans are compared fairly and the limit the Optimizer met holds on the Results sheet too.</t>
  </si>
  <si>
    <t>Data</t>
  </si>
  <si>
    <t>Volumes, prices and quotes are invented for this example.</t>
  </si>
  <si>
    <t>ModelRisk functions used</t>
  </si>
  <si>
    <t>ModelRisk Optimizer</t>
  </si>
  <si>
    <t>Chooses the swap share, the put share and the put strike: the most mean revenue after hedging, the chance of missing the budget at most the limit, the two shares within the hedging cap.</t>
  </si>
  <si>
    <t>VoseTimeGBM</t>
  </si>
  <si>
    <t>24 monthly prices from a geometric Brownian motion, as one array formula.</t>
  </si>
  <si>
    <t>VosePERT, VoseBernoulli, VoseStepUniform</t>
  </si>
  <si>
    <t>Monthly uptime, whether an outage happens, and the month it starts.</t>
  </si>
  <si>
    <t>VoseSimMean, VoseSimPercentile</t>
  </si>
  <si>
    <t>The mean and percentiles of revenue, and the cost of the hedges, for both plans and with no hedge.</t>
  </si>
  <si>
    <t>VoseSimProbability</t>
  </si>
  <si>
    <t>The chance of missing the budget, for both plans and with no hedge.</t>
  </si>
  <si>
    <t>Further reading</t>
  </si>
  <si>
    <t>Hedging</t>
  </si>
  <si>
    <t>Hull, J. C. (2022). Options, Futures, and Other Derivatives, 11th edition. Pearson — chapters on hedging strategies.</t>
  </si>
  <si>
    <t>Companion model</t>
  </si>
  <si>
    <t>OG-09 Hedging production with swaps and collars: the same producer, with a swap, a costless collar and bought puts on 60% of planned volume compared side by side.</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</si>
  <si>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</si>
  <si>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</si>
  <si>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</si>
  <si>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Decisions  ▸</t>
  </si>
  <si>
    <t>How to read this sheet:  yellow cells are inputs.  Low / Most likely / High are the minimum, most likely and maximum for PERT.  Mean is the distribution's average (VoseMean); it shows ✗ if a range is out of order.</t>
  </si>
  <si>
    <t>1   Production</t>
  </si>
  <si>
    <t>What the company expects to sell, and what can go wrong.</t>
  </si>
  <si>
    <t>Assumption</t>
  </si>
  <si>
    <t>Unit</t>
  </si>
  <si>
    <t>Value in model</t>
  </si>
  <si>
    <t>Uncertainty</t>
  </si>
  <si>
    <t>Low</t>
  </si>
  <si>
    <t>Most likely</t>
  </si>
  <si>
    <t>High</t>
  </si>
  <si>
    <t>Mean</t>
  </si>
  <si>
    <t>Basis / source (illustrative)</t>
  </si>
  <si>
    <t>Planned production</t>
  </si>
  <si>
    <t>kbbl per month</t>
  </si>
  <si>
    <t>Fixed</t>
  </si>
  <si>
    <t>About 4,900 barrels a day.</t>
  </si>
  <si>
    <t>Uptime in a month</t>
  </si>
  <si>
    <t>of plan</t>
  </si>
  <si>
    <t>–</t>
  </si>
  <si>
    <t>PERT  · drawn elsewhere</t>
  </si>
  <si>
    <t>Short shutdowns and weather. The value shown is the mean; a new uptime is drawn for every month on the Hedges sheet.</t>
  </si>
  <si>
    <t>Chance of a major outage in the two years</t>
  </si>
  <si>
    <t>probability</t>
  </si>
  <si>
    <t>Compressor failure or pipeline damage: one such event in the last 20 field-years.</t>
  </si>
  <si>
    <t>Length of an outage</t>
  </si>
  <si>
    <t>months</t>
  </si>
  <si>
    <t>No production at all while it lasts.</t>
  </si>
  <si>
    <t>2   Oil price</t>
  </si>
  <si>
    <t>A geometric Brownian motion whose expected value in every month equals today's forward price.</t>
  </si>
  <si>
    <t>Forward price  (flat curve)</t>
  </si>
  <si>
    <t>US$/bbl</t>
  </si>
  <si>
    <t>Today's quote for the next 24 months.</t>
  </si>
  <si>
    <t>Annual price volatility</t>
  </si>
  <si>
    <t>Implied volatility of 12-month options.</t>
  </si>
  <si>
    <t>3   The bank's quotes</t>
  </si>
  <si>
    <t>Each hedge covers a share of the planned volume in every month. The Optimizer chooses the shares and one of the four put strikes.</t>
  </si>
  <si>
    <t>First year hedged</t>
  </si>
  <si>
    <t>year</t>
  </si>
  <si>
    <t>The 24 months hedged start in January of this year.</t>
  </si>
  <si>
    <t>Swap price</t>
  </si>
  <si>
    <t>The company receives this and pays the market price. US$1 below the forward: the bank's margin.</t>
  </si>
  <si>
    <t>Put premium, strike US$57</t>
  </si>
  <si>
    <t>About 40 cents above its fair value.</t>
  </si>
  <si>
    <t>Put premium, strike US$62</t>
  </si>
  <si>
    <t>OG-09's quote: about 40 cents above its fair value.</t>
  </si>
  <si>
    <t>Put premium, strike US$67</t>
  </si>
  <si>
    <t>Put premium, strike US$72</t>
  </si>
  <si>
    <t>At the money: about 50 cents above its fair value.</t>
  </si>
  <si>
    <t>4   Budget and policy</t>
  </si>
  <si>
    <t>The limits the Optimizer must respect.</t>
  </si>
  <si>
    <t>Hedging cap</t>
  </si>
  <si>
    <t>of planned volume</t>
  </si>
  <si>
    <t>Board policy: at most 70% of planned volume hedged, because production itself is uncertain.</t>
  </si>
  <si>
    <t>Budget oil price</t>
  </si>
  <si>
    <t>Conservative price agreed with the lenders.</t>
  </si>
  <si>
    <t>Budget uptime</t>
  </si>
  <si>
    <t>Calculated</t>
  </si>
  <si>
    <t>The most likely uptime above.</t>
  </si>
  <si>
    <t>Largest chance of missing the budget</t>
  </si>
  <si>
    <t>Board policy: revenue below the budget in at most 1 two-year period in 10.</t>
  </si>
  <si>
    <t>DECISIONS   ·   The cells the ModelRisk Optimizer changes, the plan they are compared with, and what the Optimizer is asked to do.</t>
  </si>
  <si>
    <t>◂  Inputs</t>
  </si>
  <si>
    <t>Next:  Hedges  ▸</t>
  </si>
  <si>
    <t>How to read this sheet:  the blue cells are the plan in use — the cells the Optimizer changes. The yellow Starting plan is the plan it is compared with on the Results sheet; Lowest and Highest bound the search.  To watch the Optimizer search from the starting plan, copy the Starting plan column onto Plan in use (Paste Values), then ModelRisk ▸ Optimizer ▸ Start.</t>
  </si>
  <si>
    <t>1   The hedging programme</t>
  </si>
  <si>
    <t>The Optimizer changes the blue cells. The starting plan is OG-09's: a swap on 60% of planned volume, and no puts.</t>
  </si>
  <si>
    <t>Plan in use</t>
  </si>
  <si>
    <t>Starting plan</t>
  </si>
  <si>
    <t>Lowest</t>
  </si>
  <si>
    <t>Highest</t>
  </si>
  <si>
    <t>Kind</t>
  </si>
  <si>
    <t>Notes</t>
  </si>
  <si>
    <t>Share of planned volume swapped</t>
  </si>
  <si>
    <t>Steps of 5%</t>
  </si>
  <si>
    <t>Receives the swap price and pays the market price.</t>
  </si>
  <si>
    <t>Share protected by bought puts</t>
  </si>
  <si>
    <t>Pays when the price is below the strike; the premium is paid anyway.</t>
  </si>
  <si>
    <t>Put strike</t>
  </si>
  <si>
    <t>From a list</t>
  </si>
  <si>
    <t>One of the four strikes quoted on the Inputs sheet.</t>
  </si>
  <si>
    <t>2   Goal and limits</t>
  </si>
  <si>
    <t>What the Optimizer is asked to do. It judges every plan it tries by these statistics of a simulation of that plan.</t>
  </si>
  <si>
    <t>Statistic</t>
  </si>
  <si>
    <t>Limit</t>
  </si>
  <si>
    <t>Output cell</t>
  </si>
  <si>
    <t>Maximise:  Revenue after hedging, plan in use</t>
  </si>
  <si>
    <t>the mean</t>
  </si>
  <si>
    <t>Hedges!D50</t>
  </si>
  <si>
    <t>Keep:  Chance below budget  at most</t>
  </si>
  <si>
    <t>the chance of revenue below the budget  ·  the input Largest chance</t>
  </si>
  <si>
    <t>Hedges!D54</t>
  </si>
  <si>
    <t>Keep:  Within the hedging cap</t>
  </si>
  <si>
    <t>true in every plan tried:  swaps + puts at most the cap</t>
  </si>
  <si>
    <t>Hedges!D28</t>
  </si>
  <si>
    <t>3   The Optimizer's run</t>
  </si>
  <si>
    <t>Recorded when this workbook was built: the run that chose the plan in use. A run of your own shows its results in the Optimizer window instead.</t>
  </si>
  <si>
    <t>Run on</t>
  </si>
  <si>
    <t>Method the Optimizer chose</t>
  </si>
  <si>
    <t>Plans tried  (one simulation each)</t>
  </si>
  <si>
    <t>Samples in each trial</t>
  </si>
  <si>
    <t>Run time, seconds</t>
  </si>
  <si>
    <t>Why it stopped</t>
  </si>
  <si>
    <t>Every limit met by the best plan</t>
  </si>
  <si>
    <t>Goal at the best plan, during the run</t>
  </si>
  <si>
    <t>HEDGES   ·   24 months: price path, volumes, physical revenue and the payoff of both plans' hedges (US$m).</t>
  </si>
  <si>
    <t>◂  Decisions</t>
  </si>
  <si>
    <t>Next:  Results  ▸</t>
  </si>
  <si>
    <t>Month</t>
  </si>
  <si>
    <t>Total</t>
  </si>
  <si>
    <t>Open</t>
  </si>
  <si>
    <t>Month starting</t>
  </si>
  <si>
    <t>1   This iteration's single values</t>
  </si>
  <si>
    <t>Drawn once per iteration.</t>
  </si>
  <si>
    <t>Quantity</t>
  </si>
  <si>
    <t>Value</t>
  </si>
  <si>
    <t>How it is calculated</t>
  </si>
  <si>
    <t>First month hedged</t>
  </si>
  <si>
    <t>date</t>
  </si>
  <si>
    <t>January of the first year hedged (Inputs)</t>
  </si>
  <si>
    <t>Months hedged</t>
  </si>
  <si>
    <t>Counted from the month columns below</t>
  </si>
  <si>
    <t>Major outage in the two years?  (1 = yes)</t>
  </si>
  <si>
    <t>1 / 0</t>
  </si>
  <si>
    <t>Bernoulli with the chance on the Inputs sheet</t>
  </si>
  <si>
    <t>Outage starts in month</t>
  </si>
  <si>
    <t>month</t>
  </si>
  <si>
    <t>Equally likely to be any month in which a whole outage fits</t>
  </si>
  <si>
    <t>Monthly volatility</t>
  </si>
  <si>
    <t>Annual volatility ÷ √12</t>
  </si>
  <si>
    <t>Monthly drift of the log price</t>
  </si>
  <si>
    <t>−σ²/2: keeps the expected price equal to the forward</t>
  </si>
  <si>
    <t>Budget revenue</t>
  </si>
  <si>
    <t>US$m</t>
  </si>
  <si>
    <t>Budget price × planned volume × budget uptime × months</t>
  </si>
  <si>
    <t>2   The two plans</t>
  </si>
  <si>
    <t>The decisions are on the Decisions sheet. Each plan's put premium is the bank's quote for its strike.</t>
  </si>
  <si>
    <t>Put premium, starting plan</t>
  </si>
  <si>
    <t>The quote for the plan's put strike (Inputs)</t>
  </si>
  <si>
    <t>Put premium, plan in use</t>
  </si>
  <si>
    <t>Share of planned volume hedged, starting plan</t>
  </si>
  <si>
    <t>Swap share + put share</t>
  </si>
  <si>
    <t>Share of planned volume hedged, plan in use</t>
  </si>
  <si>
    <t>Within the hedging cap?  starting plan</t>
  </si>
  <si>
    <t>TRUE/FALSE</t>
  </si>
  <si>
    <t>TRUE when the share hedged is at most the hedging cap (Inputs)</t>
  </si>
  <si>
    <t>Within the hedging cap?  plan in use</t>
  </si>
  <si>
    <t>3   Price, volume and physical revenue</t>
  </si>
  <si>
    <t>Price: VoseTimeGBM over the 24 months. Volume: plan × uptime, zero during an outage.</t>
  </si>
  <si>
    <t>Oil price</t>
  </si>
  <si>
    <t>Uptime</t>
  </si>
  <si>
    <t>In an outage  (1 = yes)</t>
  </si>
  <si>
    <t>kbbl</t>
  </si>
  <si>
    <t>Physical revenue</t>
  </si>
  <si>
    <t>4   Hedge payoffs of the two plans</t>
  </si>
  <si>
    <t>Paid on each plan's share of the planned volume, whatever is produced. Positive = received.</t>
  </si>
  <si>
    <t>Starting plan: swap</t>
  </si>
  <si>
    <t>Starting plan: puts, after the premium</t>
  </si>
  <si>
    <t>Plan in use: swap</t>
  </si>
  <si>
    <t>Plan in use: puts, after the premium</t>
  </si>
  <si>
    <t>5   Value in this iteration</t>
  </si>
  <si>
    <t>Key outputs, recorded by ModelRisk at every sample (VoseOutput). Their statistics appear on the Results sheet.</t>
  </si>
  <si>
    <t>Output</t>
  </si>
  <si>
    <t>Meaning</t>
  </si>
  <si>
    <t>Revenue over 24 months: no hedge</t>
  </si>
  <si>
    <t>Physical revenue: every barrel sold at the market price.</t>
  </si>
  <si>
    <t>Revenue over 24 months: starting plan</t>
  </si>
  <si>
    <t>Physical revenue plus the plan's hedge payoffs.</t>
  </si>
  <si>
    <t>Revenue over 24 months: plan in use</t>
  </si>
  <si>
    <t>Hedge payoff: starting plan</t>
  </si>
  <si>
    <t>Swap plus puts. Its mean over the simulation, negated, is the expected cost.</t>
  </si>
  <si>
    <t>Hedge payoff: plan in use</t>
  </si>
  <si>
    <t>Below budget?  starting plan  (1 = yes)</t>
  </si>
  <si>
    <t>1 when revenue is less than the budget revenue: its mean is the chance.</t>
  </si>
  <si>
    <t>Below budget?  plan in use  (1 = yes)</t>
  </si>
  <si>
    <t>6   Model checks</t>
  </si>
  <si>
    <t>Should all read OK. A CHECK means an input has been set outside the range the model is built for.</t>
  </si>
  <si>
    <t>Both plans use a put strike the bank quotes  (Inputs)</t>
  </si>
  <si>
    <t>Both plans keep within the hedging cap</t>
  </si>
  <si>
    <t>The plan in use is within the bounds on the Decisions sheet</t>
  </si>
  <si>
    <t>The swap price is at most the forward price  (a bank's bid)</t>
  </si>
  <si>
    <t>RESULTS   ·   Filled in automatically from the last simulation. Run a simulation after changing any input.</t>
  </si>
  <si>
    <t>◂  Hedges</t>
  </si>
  <si>
    <t>1   The plan in use against the starting plan</t>
  </si>
  <si>
    <t>Revenue over 24 months — cumulative probability</t>
  </si>
  <si>
    <t>The two hedging programmes, and how each performs on the same simulated prices and volumes.</t>
  </si>
  <si>
    <t>Change</t>
  </si>
  <si>
    <t>Measure</t>
  </si>
  <si>
    <t>Revenue over 24 months, mean</t>
  </si>
  <si>
    <t>Revenue, 5th percentile</t>
  </si>
  <si>
    <t>Revenue, 95th percentile</t>
  </si>
  <si>
    <t>Chance of revenue below budget</t>
  </si>
  <si>
    <t>chance</t>
  </si>
  <si>
    <t>Expected cost of the hedges</t>
  </si>
  <si>
    <t>Share of planned volume hedged</t>
  </si>
  <si>
    <t>Premium paid for the puts</t>
  </si>
  <si>
    <t>Expected cost = minus the mean payoff of the swap and the puts, premiums included.</t>
  </si>
  <si>
    <t>2   With no hedge</t>
  </si>
  <si>
    <t>Payoff of the plan in use's hedges — distribution</t>
  </si>
  <si>
    <t>Every barrel sold at the market price, on the same simulated prices and volumes.</t>
  </si>
  <si>
    <t>Budget revenue  (Inputs sheet)</t>
  </si>
  <si>
    <t>3   How to read these results</t>
  </si>
  <si>
    <t>•  The starting plan — OG-09's swap on 60% of planned volume — misses the budget in only about 1 two-year period in 20, half the chance the board accepts. But the bank's swap price is US$1 below the forward, so every barrel swapped costs about US$1 on average.</t>
  </si>
  <si>
    <t>•  The Optimizer swaps much less, about a fifth of planned volume, and buys puts at the forward price on about half, using the whole 70% cap. The puts cost less than the swap on average and keep the upside; the swap still lifts enough bad outcomes to keep the chance of missing the budget just under 1 in 10.</t>
  </si>
  <si>
    <t>•  The plan in use costs about a fifth less on average and its 95th percentile is about US$34m higher. In return its 5th percentile is a little lower, and its median too: the premium is paid in every scenario.</t>
  </si>
  <si>
    <t>•  With no hedge the mean revenue is highest, but the budget is missed in about 3 periods in 10, three times the limit.</t>
  </si>
  <si>
    <t>•  Try a 5% limit on the Inputs sheet and run the Optimizer again: it needs more swaps and fewer puts, at a higher expected cost.</t>
  </si>
  <si>
    <t>Chart data</t>
  </si>
  <si>
    <t>Statistics of the last simulation behind the charts and the ranking above. Grouped: click + in the left margin to show them.</t>
  </si>
  <si>
    <t>Cumulative probability</t>
  </si>
  <si>
    <t>Exceedance</t>
  </si>
  <si>
    <t>Out_Rev_None</t>
  </si>
  <si>
    <t>Out_Rev_Start</t>
  </si>
  <si>
    <t>Out_Rev_Plan</t>
  </si>
  <si>
    <t>line at BudgetRevenue</t>
  </si>
  <si>
    <t>Out_Hedge_Plan</t>
  </si>
  <si>
    <t>Percentiles: Out_Hedge_Plan</t>
  </si>
  <si>
    <t>Histogram: Out_Hedge_Plan</t>
  </si>
  <si>
    <t>Edge</t>
  </si>
  <si>
    <t>Index</t>
  </si>
  <si>
    <t>Mid-point</t>
  </si>
  <si>
    <t>Probability</t>
  </si>
  <si>
    <t>Below edge</t>
  </si>
  <si>
    <t>MROPTREPO/2.0</t>
  </si>
  <si>
    <t>{"format_version":"1.0","model":"Hedging programme: swap share, put share and put strike","settings":{"engineKind":0,"optimizationType":0,"useTurboSimulation":true,"gaPopulation":0,"gaProbCrossover":0.8,"gaProbMutation":0.1,"gaSelection":0,"gaTournamentSize":3,"gaElitism":2,"cmaSigma":0.3,"cmaPopulation":0,"cmaUseIPOP":true,"cmaPolishDampStart":0.7,"cmaPolishDampGrowth":0.15,"nelderMeadTol":1e-06,"nelderMeadInitStep":0.05,"bfgsGradH":1e-06,"bfgsStepConvergence":true,"brentTol":1e-13,"projGradConvergenceTol":0.0001,"projGradConvergenceWindow":5,"useCRN":true,"crnSeed":1,"useRandomSeed":false,"useFixedTwister":false,"finalFullMcConfirm":false,"gaProjectLinearConstraints":false,"pathfinderRobust":false,"pathfinderSurrogate":true,"pathfinderGradient":true,"pathfinderCheapExplore":false,"pathfinderFeasGate":true,"pathfinderLeanDescent":true,"pathfinderSoftConstraint":false,"adaptScheme":2,"repMin":200,"repMax":5000,"repFinalTopN":5,"varianceTrancheEpsPct":0.02,"varianceTrancheThreshold":0.8,"varianceTrancheMinK":5,"preFlightEnabled":true,"deterministicSamples":1,"samplingType":3,"userSamples":10000,"conDefType":0,"conDefPenaltyKind":0,"conDefWeight":1.0,"conDefEvalTime":0,"conDefPrecision":0.0,"macroAtOptStart":"","macroBeforeTrial":"","macroAfterTrial":"","macroAtOptEnd":"","useMacroAtOptStart":false,"useMacroBeforeTrial":false,"useMacroAfterTrial":false,"useMacroAtOptEnd":false},"stop":{"maxIterations":300,"maxTimeSeconds":900.0,"parameterTolerance":1.0,"toleranceUnit":1,"stagnationTrials":100,"stagnationDeviation":1e-06,"stagnationUnit":0,"stopOnError":false,"stopFormulaEnabled":false,"stopFormulaRef":""},"adj":{"variables":[{"cell":{"sheet":"Decisions","row":10,"col":3},"type":2,"min":0.0,"max":0.7,"groupIndex":-1,"label":"Share of planned volume swapped","discreteSet":[],"step":0.05,"minCell":{"sheet":"Decisions","row":10,"col":5},"maxCell":{"sheet":"Decisions","row":10,"col":6}},{"cell":{"sheet":"Decisions","row":11,"col":3},"type":2,"min":0.0,"max":0.7,"groupIndex":-1,"label":"Share protected by bought puts","discreteSet":[],"step":0.05,"minCell":{"sheet":"Decisions","row":11,"col":5},"maxCell":{"sheet":"Decisions","row":11,"col":6}},{"cell":{"sheet":"Decisions","row":12,"col":3},"type":2,"min":57.0,"max":72.0,"groupIndex":-1,"label":"Put strike","discreteSet":[57.0,62.0,67.0,72.0],"minCell":{"sheet":"Decisions","row":12,"col":5},"maxCell":{"sheet":"Decisions","row":12,"col":6}}],"groups":[]},"objectives":[{"name":"Revenue after hedging, plan in use","cell":{"sheet":"Hedges","row":49,"col":3},"stat":{"kind":0,"param1":0.0,"param2":0.0},"mode":0,"targetValue":0.0}],"constraints":[{"name":"Chance below budget","cell":{"sheet":"Hedges","row":53,"col":3},"type":0,"softWeight":1.0,"penaltyKind":0,"sixSigma":0,"precision":0.0,"stat":{"kind":23,"param1":0.5,"param2":0.0},"op":0,"rhsA":0.1,"rhsB":0.0,"formulaCellRef":"","evalTime":2,"rhsACell":{"sheet":"Inputs","row":37,"col":3}},{"name":"Within the hedging cap","cell":{"sheet":"Hedges","row":27,"col":3},"type":0,"softWeight":1.0,"penaltyKind":0,"sixSigma":0,"precision":0.0,"stat":{"kind":0,"param1":0.0,"param2":0.0},"op":7,"rhsA":0.0,"rhsB":0.0,"formulaCellRef":"Hedges!$D$28","evalTime":2}],"frontier":{"sweptIndex":-1,"lo":0.0,"hi":0.0,"nPoints":5}}</t>
  </si>
  <si>
    <t>Base scenario</t>
  </si>
  <si>
    <t>time limit reached</t>
  </si>
  <si>
    <t>Yes</t>
  </si>
  <si>
    <t>Vertex Detector</t>
  </si>
  <si>
    <t>2026-10-13</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</si>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</sst>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_);\(#,##0\);&quot;–&quot;_)"/>
    <numFmt numFmtId="165" formatCode="#,##0.00_);\(#,##0.00\);&quot;–&quot;_)"/>
    <numFmt numFmtId="166" formatCode="#,##0.0"/>
    <numFmt numFmtId="167" formatCode="mmm\ yy"/>
    <numFmt numFmtId="168" formatCode="mmm\ yyyy"/>
    <numFmt numFmtId="169" formatCode="0.000%"/>
    <numFmt numFmtId="170" formatCode="#,##0.0_);\(#,##0.0\);&quot;–&quot;_)"/>
    <numFmt numFmtId="171" formatCode="0%;\-0%;0%;&quot;–&quot;"/>
    <numFmt numFmtId="172" formatCode="#,##0_);\(#,##0\);&quot;–&quot;_);&quot;–&quot;"/>
    <numFmt numFmtId="173" formatCode="#,##0.0_);\(#,##0.0\);&quot;–&quot;_);&quot;–&quot;"/>
    <numFmt numFmtId="174" formatCode="0.0%;\-0.0%;0.0%;&quot;–&quot;"/>
    <numFmt numFmtId="175" formatCode="#,##0.00_);\(#,##0.00\);&quot;–&quot;_);&quot;–&quot;"/>
    <numFmt numFmtId="176" formatCode="0.0%"/>
  </numFmts>
  <fonts count="26" x14ac:knownFonts="1">
    <font>
      <sz val="11"/>
      <color theme="1"/>
      <name val="Calibri"/>
      <family val="2"/>
      <scheme val="minor"/>
    </font>
    <font>
      <sz val="10"/>
      <color rgb="FF0E4F92"/>
      <name val="Calibri"/>
      <family val="2"/>
      <charset val="204"/>
    </font>
    <font>
      <sz val="10"/>
      <color rgb="FF9A3412"/>
      <name val="Calibri"/>
      <family val="2"/>
      <charset val="204"/>
    </font>
    <font>
      <sz val="10"/>
      <color rgb="FF0F2A47"/>
      <name val="Calibri"/>
      <family val="2"/>
      <charset val="204"/>
    </font>
    <font>
      <b/>
      <sz val="10"/>
      <color rgb="FF14532D"/>
      <name val="Calibri"/>
      <family val="2"/>
      <charset val="204"/>
    </font>
    <font>
      <b/>
      <sz val="10"/>
      <color rgb="FF0E4F92"/>
      <name val="Calibri"/>
      <family val="2"/>
      <charset val="204"/>
    </font>
    <font>
      <b/>
      <sz val="16"/>
      <color rgb="FFFFFFFF"/>
      <name val="Calibri"/>
      <family val="2"/>
      <charset val="204"/>
    </font>
    <font>
      <sz val="10"/>
      <color rgb="FFD6E2F0"/>
      <name val="Calibri"/>
      <family val="2"/>
      <charset val="204"/>
    </font>
    <font>
      <sz val="9"/>
      <color rgb="FFD6E2F0"/>
      <name val="Calibri"/>
      <family val="2"/>
      <charset val="204"/>
    </font>
    <font>
      <u/>
      <sz val="9"/>
      <color rgb="FF0E4F92"/>
      <name val="Calibri"/>
      <family val="2"/>
      <charset val="204"/>
    </font>
    <font>
      <b/>
      <sz val="20"/>
      <color rgb="FFFFFFFF"/>
      <name val="Calibri"/>
      <family val="2"/>
      <charset val="204"/>
    </font>
    <font>
      <b/>
      <sz val="12"/>
      <color rgb="FF0E4F92"/>
      <name val="Calibri"/>
      <family val="2"/>
      <charset val="204"/>
    </font>
    <font>
      <b/>
      <sz val="10"/>
      <color rgb="FF3F5876"/>
      <name val="Calibri"/>
      <family val="2"/>
      <charset val="204"/>
    </font>
    <font>
      <b/>
      <sz val="10"/>
      <color rgb="FF0F2A47"/>
      <name val="Calibri"/>
      <family val="2"/>
      <charset val="204"/>
    </font>
    <font>
      <i/>
      <sz val="9"/>
      <color rgb="FF3F5876"/>
      <name val="Calibri"/>
      <family val="2"/>
      <charset val="204"/>
    </font>
    <font>
      <u/>
      <sz val="10"/>
      <color rgb="FF0E4F92"/>
      <name val="Calibri"/>
      <family val="2"/>
      <charset val="204"/>
    </font>
    <font>
      <i/>
      <sz val="9"/>
      <color rgb="FF8AA0BA"/>
      <name val="Calibri"/>
      <family val="2"/>
      <charset val="204"/>
    </font>
    <font>
      <b/>
      <sz val="9"/>
      <color rgb="FF3F5876"/>
      <name val="Calibri"/>
      <family val="2"/>
      <charset val="204"/>
    </font>
    <font>
      <sz val="9"/>
      <color rgb="FF3F5876"/>
      <name val="Calibri"/>
      <family val="2"/>
      <charset val="204"/>
    </font>
    <font>
      <sz val="9"/>
      <color rgb="FF8AA0BA"/>
      <name val="Calibri"/>
      <family val="2"/>
      <charset val="204"/>
    </font>
    <font>
      <b/>
      <sz val="9"/>
      <color rgb="FF0F2A47"/>
      <name val="Calibri"/>
      <family val="2"/>
      <charset val="204"/>
    </font>
    <font>
      <b/>
      <sz val="9"/>
      <color rgb="FF8AA0BA"/>
      <name val="Calibri"/>
      <family val="2"/>
      <charset val="204"/>
    </font>
    <font>
      <b/>
      <sz val="10"/>
      <color rgb="FF15803D"/>
      <name val="Calibri"/>
      <family val="2"/>
      <charset val="204"/>
    </font>
    <font>
      <b/>
      <sz val="9"/>
      <color rgb="FF15803D"/>
      <name val="Calibri"/>
      <family val="2"/>
      <charset val="204"/>
    </font>
    <font>
      <sz val="10"/>
      <color rgb="FF3F5876"/>
      <name val="Calibri"/>
      <family val="2"/>
      <charset val="204"/>
    </font>
    <font>
      <b/>
      <sz val="11"/>
      <color rgb="FF0E4F92"/>
      <name val="Calibri"/>
      <family val="2"/>
      <charset val="204"/>
    </font>
  </fonts>
  <fills count="9">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DBEAFE"/>
        <bgColor rgb="FFDBEAFE"/>
      </patternFill>
    </fill>
    <fill>
      <patternFill patternType="solid">
        <fgColor rgb="FF0E4F92"/>
        <bgColor rgb="FF0E4F92"/>
      </patternFill>
    </fill>
    <fill>
      <patternFill patternType="solid">
        <fgColor rgb="FFEEF1F5"/>
        <bgColor rgb="FFEEF1F5"/>
      </patternFill>
    </fill>
  </fills>
  <borders count="13">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style="thin">
        <color rgb="FF0E4F92"/>
      </left>
      <right style="thin">
        <color rgb="FF0E4F92"/>
      </right>
      <top style="thin">
        <color rgb="FF0E4F92"/>
      </top>
      <bottom style="thin">
        <color rgb="FF0E4F92"/>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0E4F92"/>
      </left>
      <right style="thin">
        <color rgb="FF0E4F92"/>
      </right>
      <top style="thin">
        <color rgb="FF0E4F92"/>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7">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xf numFmtId="0" fontId="5" fillId="6" borderId="4">
      <alignment horizontal="right" vertical="center"/>
    </xf>
  </cellStyleXfs>
  <cellXfs count="101">
    <xf numFmtId="0" fontId="0" fillId="0" borderId="0" xfId="0"/>
    <xf numFmtId="0" fontId="0" fillId="7" borderId="0" xfId="0" applyFill="1"/>
    <xf numFmtId="0" fontId="10" fillId="7" borderId="0" xfId="0" applyFont="1" applyFill="1" applyAlignment="1">
      <alignment vertical="center"/>
    </xf>
    <xf numFmtId="0" fontId="8" fillId="7" borderId="0" xfId="0" applyFont="1" applyFill="1" applyAlignment="1">
      <alignment horizontal="right" vertical="center"/>
    </xf>
    <xf numFmtId="0" fontId="7" fillId="7" borderId="0" xfId="0" applyFont="1" applyFill="1" applyAlignment="1">
      <alignment vertical="center"/>
    </xf>
    <xf numFmtId="0" fontId="0" fillId="8" borderId="5" xfId="0" applyFill="1" applyBorder="1"/>
    <xf numFmtId="0" fontId="9" fillId="8" borderId="5" xfId="0" applyFont="1" applyFill="1" applyBorder="1" applyAlignment="1">
      <alignment horizontal="right" vertical="center"/>
    </xf>
    <xf numFmtId="0" fontId="11" fillId="0" borderId="6" xfId="0" applyFont="1" applyBorder="1"/>
    <xf numFmtId="0" fontId="0" fillId="0" borderId="6" xfId="0" applyBorder="1"/>
    <xf numFmtId="0" fontId="12" fillId="0" borderId="7" xfId="0" applyFont="1" applyBorder="1" applyAlignment="1">
      <alignment horizontal="left" vertical="top" indent="1"/>
    </xf>
    <xf numFmtId="0" fontId="3" fillId="0" borderId="7" xfId="0" applyFont="1" applyBorder="1" applyAlignment="1">
      <alignment horizontal="left" vertical="top" wrapText="1" indent="1"/>
    </xf>
    <xf numFmtId="0" fontId="13" fillId="0" borderId="7" xfId="0" applyFont="1" applyBorder="1" applyAlignment="1">
      <alignment horizontal="left" vertical="top" wrapText="1" indent="1"/>
    </xf>
    <xf numFmtId="0" fontId="3" fillId="0" borderId="0" xfId="0" applyFont="1" applyAlignment="1">
      <alignment horizontal="left" vertical="top" wrapText="1" indent="1"/>
    </xf>
    <xf numFmtId="0" fontId="14" fillId="0" borderId="0" xfId="0" applyFont="1" applyAlignment="1">
      <alignment vertical="center"/>
    </xf>
    <xf numFmtId="0" fontId="15" fillId="0" borderId="7"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5" fillId="6" borderId="4" xfId="6"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5" fillId="0" borderId="7" xfId="0" applyFont="1" applyBorder="1" applyAlignment="1">
      <alignment horizontal="left" vertical="top" wrapText="1" indent="1"/>
    </xf>
    <xf numFmtId="0" fontId="6" fillId="7" borderId="0" xfId="0" applyFont="1" applyFill="1" applyAlignment="1">
      <alignment vertical="center"/>
    </xf>
    <xf numFmtId="0" fontId="9" fillId="8" borderId="5" xfId="0" applyFont="1" applyFill="1" applyBorder="1" applyAlignment="1">
      <alignment vertical="center"/>
    </xf>
    <xf numFmtId="0" fontId="17" fillId="8" borderId="5" xfId="0" applyFont="1" applyFill="1" applyBorder="1" applyAlignment="1">
      <alignment horizontal="left" vertical="center" wrapText="1" indent="1"/>
    </xf>
    <xf numFmtId="0" fontId="17" fillId="8" borderId="5" xfId="0" applyFont="1" applyFill="1" applyBorder="1" applyAlignment="1">
      <alignment horizontal="right" vertical="center" wrapText="1"/>
    </xf>
    <xf numFmtId="0" fontId="3" fillId="0" borderId="7" xfId="0" applyFont="1" applyBorder="1" applyAlignment="1">
      <alignment horizontal="left" vertical="center" indent="1"/>
    </xf>
    <xf numFmtId="0" fontId="18" fillId="0" borderId="7" xfId="0" applyFont="1" applyBorder="1" applyAlignment="1">
      <alignment horizontal="left" vertical="center" indent="1"/>
    </xf>
    <xf numFmtId="164" fontId="1" fillId="2" borderId="8" xfId="1" applyNumberFormat="1" applyBorder="1">
      <alignment horizontal="right" vertical="center"/>
    </xf>
    <xf numFmtId="0" fontId="0" fillId="0" borderId="7" xfId="0" applyBorder="1"/>
    <xf numFmtId="0" fontId="18" fillId="0" borderId="7" xfId="0" applyFont="1" applyBorder="1" applyAlignment="1">
      <alignment horizontal="left" vertical="center" wrapText="1" indent="1"/>
    </xf>
    <xf numFmtId="0" fontId="19" fillId="0" borderId="7" xfId="0" applyFont="1" applyBorder="1" applyAlignment="1">
      <alignment horizontal="center" vertical="center"/>
    </xf>
    <xf numFmtId="9" fontId="1" fillId="2" borderId="8" xfId="1" applyNumberFormat="1" applyBorder="1">
      <alignment horizontal="right" vertical="center"/>
    </xf>
    <xf numFmtId="9" fontId="3" fillId="0" borderId="9" xfId="3" applyNumberFormat="1" applyBorder="1">
      <alignment horizontal="right" vertical="center"/>
    </xf>
    <xf numFmtId="1" fontId="1" fillId="2" borderId="8" xfId="1" applyNumberFormat="1" applyBorder="1">
      <alignment horizontal="right" vertical="center"/>
    </xf>
    <xf numFmtId="165" fontId="1" fillId="2" borderId="8" xfId="1" applyNumberFormat="1" applyBorder="1">
      <alignment horizontal="right" vertical="center"/>
    </xf>
    <xf numFmtId="0" fontId="17" fillId="8" borderId="5" xfId="0" applyFont="1" applyFill="1" applyBorder="1" applyAlignment="1">
      <alignment horizontal="left" vertical="center" indent="1"/>
    </xf>
    <xf numFmtId="0" fontId="17" fillId="8" borderId="5" xfId="0" applyFont="1" applyFill="1" applyBorder="1" applyAlignment="1">
      <alignment horizontal="right" vertical="center"/>
    </xf>
    <xf numFmtId="9" fontId="5" fillId="6" borderId="10" xfId="6" applyNumberFormat="1" applyBorder="1">
      <alignment horizontal="right" vertical="center"/>
    </xf>
    <xf numFmtId="164" fontId="5" fillId="6" borderId="10" xfId="6" applyNumberFormat="1" applyBorder="1">
      <alignment horizontal="right" vertical="center"/>
    </xf>
    <xf numFmtId="0" fontId="13" fillId="0" borderId="7" xfId="0" applyFont="1" applyBorder="1" applyAlignment="1">
      <alignment horizontal="left" vertical="center" indent="1"/>
    </xf>
    <xf numFmtId="0" fontId="13" fillId="0" borderId="7" xfId="0" applyFont="1" applyBorder="1" applyAlignment="1">
      <alignment horizontal="right" vertical="center"/>
    </xf>
    <xf numFmtId="0" fontId="3" fillId="0" borderId="9" xfId="3" applyBorder="1">
      <alignment horizontal="right" vertical="center"/>
    </xf>
    <xf numFmtId="3" fontId="3" fillId="0" borderId="9" xfId="3" applyNumberFormat="1" applyBorder="1">
      <alignment horizontal="right" vertical="center"/>
    </xf>
    <xf numFmtId="166" fontId="3" fillId="0" borderId="9" xfId="3" applyNumberFormat="1" applyBorder="1">
      <alignment horizontal="right" vertical="center"/>
    </xf>
    <xf numFmtId="4" fontId="3" fillId="0" borderId="9" xfId="3" applyNumberFormat="1" applyBorder="1">
      <alignment horizontal="right" vertical="center"/>
    </xf>
    <xf numFmtId="0" fontId="17" fillId="8" borderId="0" xfId="0" applyFont="1" applyFill="1" applyAlignment="1">
      <alignment horizontal="left" vertical="center" indent="1"/>
    </xf>
    <xf numFmtId="0" fontId="0" fillId="8" borderId="0" xfId="0" applyFill="1"/>
    <xf numFmtId="0" fontId="17" fillId="8" borderId="0" xfId="0" applyFont="1" applyFill="1" applyAlignment="1">
      <alignment horizontal="right" vertical="center"/>
    </xf>
    <xf numFmtId="0" fontId="21" fillId="8" borderId="0" xfId="0" applyFont="1" applyFill="1" applyAlignment="1">
      <alignment horizontal="right" vertical="center"/>
    </xf>
    <xf numFmtId="1" fontId="20" fillId="8" borderId="0" xfId="0" applyNumberFormat="1" applyFont="1" applyFill="1" applyAlignment="1">
      <alignment horizontal="right" vertical="center"/>
    </xf>
    <xf numFmtId="167" fontId="18" fillId="8" borderId="5" xfId="0" applyNumberFormat="1" applyFont="1" applyFill="1" applyBorder="1" applyAlignment="1">
      <alignment horizontal="right" vertical="center"/>
    </xf>
    <xf numFmtId="168" fontId="3" fillId="0" borderId="9" xfId="3" applyNumberFormat="1" applyBorder="1">
      <alignment horizontal="right" vertical="center"/>
    </xf>
    <xf numFmtId="1" fontId="3" fillId="0" borderId="9" xfId="3" applyNumberFormat="1" applyBorder="1">
      <alignment horizontal="right" vertical="center"/>
    </xf>
    <xf numFmtId="1" fontId="2" fillId="3" borderId="8" xfId="2" applyNumberFormat="1" applyBorder="1">
      <alignment horizontal="right" vertical="center"/>
    </xf>
    <xf numFmtId="10" fontId="3" fillId="0" borderId="9" xfId="3" applyNumberFormat="1" applyBorder="1">
      <alignment horizontal="right" vertical="center"/>
    </xf>
    <xf numFmtId="169" fontId="3" fillId="0" borderId="9" xfId="3" applyNumberFormat="1" applyBorder="1">
      <alignment horizontal="right" vertical="center"/>
    </xf>
    <xf numFmtId="170" fontId="3" fillId="0" borderId="9" xfId="3" applyNumberFormat="1" applyBorder="1">
      <alignment horizontal="right" vertical="center"/>
    </xf>
    <xf numFmtId="165" fontId="3" fillId="0" borderId="9" xfId="3" applyNumberFormat="1" applyBorder="1">
      <alignment horizontal="right" vertical="center"/>
    </xf>
    <xf numFmtId="165" fontId="2" fillId="3" borderId="8" xfId="2" applyNumberFormat="1" applyBorder="1">
      <alignment horizontal="right" vertical="center"/>
    </xf>
    <xf numFmtId="9" fontId="2" fillId="3" borderId="8" xfId="2" applyNumberFormat="1" applyBorder="1">
      <alignment horizontal="right" vertical="center"/>
    </xf>
    <xf numFmtId="170" fontId="13" fillId="0" borderId="9" xfId="3" applyNumberFormat="1" applyFont="1" applyBorder="1">
      <alignment horizontal="right" vertical="center"/>
    </xf>
    <xf numFmtId="165" fontId="13" fillId="0" borderId="9" xfId="3" applyNumberFormat="1" applyFont="1" applyBorder="1">
      <alignment horizontal="right" vertical="center"/>
    </xf>
    <xf numFmtId="170" fontId="4" fillId="4" borderId="11" xfId="4" applyNumberFormat="1" applyBorder="1">
      <alignment horizontal="right" vertical="center"/>
    </xf>
    <xf numFmtId="165" fontId="4" fillId="4" borderId="11" xfId="4" applyNumberFormat="1" applyBorder="1">
      <alignment horizontal="right" vertical="center"/>
    </xf>
    <xf numFmtId="1" fontId="4" fillId="4" borderId="11" xfId="4" applyNumberFormat="1" applyBorder="1">
      <alignment horizontal="right" vertical="center"/>
    </xf>
    <xf numFmtId="0" fontId="22" fillId="0" borderId="7" xfId="0" applyFont="1" applyBorder="1" applyAlignment="1">
      <alignment horizontal="center" vertical="center"/>
    </xf>
    <xf numFmtId="0" fontId="5" fillId="5" borderId="12" xfId="0" applyFont="1" applyFill="1" applyBorder="1" applyAlignment="1">
      <alignment horizontal="left" vertical="center" indent="1"/>
    </xf>
    <xf numFmtId="0" fontId="0" fillId="5" borderId="12" xfId="0" applyFill="1" applyBorder="1"/>
    <xf numFmtId="0" fontId="18" fillId="0" borderId="0" xfId="0" applyFont="1" applyAlignment="1">
      <alignment horizontal="left" vertical="center" indent="1"/>
    </xf>
    <xf numFmtId="0" fontId="25" fillId="0" borderId="6" xfId="0" applyFont="1" applyBorder="1"/>
    <xf numFmtId="9" fontId="5" fillId="0" borderId="9" xfId="3" applyNumberFormat="1" applyFont="1" applyBorder="1">
      <alignment horizontal="right" vertical="center"/>
    </xf>
    <xf numFmtId="171" fontId="3" fillId="0" borderId="9" xfId="3" applyNumberFormat="1" applyBorder="1">
      <alignment horizontal="right" vertical="center"/>
    </xf>
    <xf numFmtId="164" fontId="3" fillId="0" borderId="9" xfId="3" applyNumberFormat="1" applyBorder="1">
      <alignment horizontal="right" vertical="center"/>
    </xf>
    <xf numFmtId="164" fontId="5" fillId="0" borderId="9" xfId="3" applyNumberFormat="1" applyFont="1" applyBorder="1">
      <alignment horizontal="right" vertical="center"/>
    </xf>
    <xf numFmtId="172" fontId="3" fillId="0" borderId="9" xfId="3" applyNumberFormat="1" applyBorder="1">
      <alignment horizontal="right" vertical="center"/>
    </xf>
    <xf numFmtId="173" fontId="1" fillId="5" borderId="8" xfId="5" applyNumberFormat="1" applyBorder="1">
      <alignment horizontal="right" vertical="center"/>
    </xf>
    <xf numFmtId="173" fontId="3" fillId="0" borderId="9" xfId="3" applyNumberFormat="1" applyBorder="1">
      <alignment horizontal="right" vertical="center"/>
    </xf>
    <xf numFmtId="0" fontId="23" fillId="0" borderId="7" xfId="0" applyFont="1" applyBorder="1" applyAlignment="1">
      <alignment horizontal="right" vertical="center"/>
    </xf>
    <xf numFmtId="174" fontId="1" fillId="5" borderId="8" xfId="5" applyNumberFormat="1" applyBorder="1">
      <alignment horizontal="right" vertical="center"/>
    </xf>
    <xf numFmtId="174" fontId="3" fillId="0" borderId="9" xfId="3" applyNumberFormat="1" applyBorder="1">
      <alignment horizontal="right" vertical="center"/>
    </xf>
    <xf numFmtId="175" fontId="1" fillId="5" borderId="8" xfId="5" applyNumberFormat="1" applyBorder="1">
      <alignment horizontal="right" vertical="center"/>
    </xf>
    <xf numFmtId="175" fontId="3" fillId="0" borderId="9" xfId="3" applyNumberFormat="1" applyBorder="1">
      <alignment horizontal="right" vertical="center"/>
    </xf>
    <xf numFmtId="171" fontId="1" fillId="5" borderId="8" xfId="5" applyNumberFormat="1" applyBorder="1">
      <alignment horizontal="right" vertical="center"/>
    </xf>
    <xf numFmtId="176" fontId="3" fillId="0" borderId="9" xfId="3" applyNumberFormat="1" applyBorder="1">
      <alignment horizontal="right" vertical="center"/>
    </xf>
    <xf numFmtId="0" fontId="14" fillId="0" borderId="0" xfId="0" applyFont="1" applyAlignment="1">
      <alignment horizontal="left" vertical="center" indent="1"/>
    </xf>
    <xf numFmtId="0" fontId="24" fillId="0" borderId="7" xfId="0" applyFont="1" applyBorder="1" applyAlignment="1">
      <alignment horizontal="left" vertical="center" indent="1"/>
    </xf>
    <xf numFmtId="9" fontId="3" fillId="0" borderId="2" xfId="3" applyNumberFormat="1">
      <alignment horizontal="right" vertical="center"/>
    </xf>
    <xf numFmtId="4" fontId="3" fillId="0" borderId="2" xfId="3" applyNumberFormat="1">
      <alignment horizontal="right" vertical="center"/>
    </xf>
    <xf numFmtId="176" fontId="3" fillId="0" borderId="2" xfId="3" applyNumberFormat="1">
      <alignment horizontal="right" vertical="center"/>
    </xf>
    <xf numFmtId="0" fontId="19" fillId="0" borderId="0" xfId="0" applyFont="1"/>
    <xf numFmtId="1" fontId="3" fillId="0" borderId="2" xfId="3" applyNumberFormat="1">
      <alignment horizontal="right" vertical="center"/>
    </xf>
    <xf numFmtId="49" fontId="0" fillId="0" borderId="0" xfId="0" applyNumberFormat="1"/>
    <xf numFmtId="0" fontId="3" fillId="0" borderId="0" xfId="0" applyFont="1" applyAlignment="1">
      <alignment horizontal="left" vertical="top" wrapText="1" indent="1"/>
    </xf>
    <xf numFmtId="0" fontId="0" fillId="0" borderId="0" xfId="0"/>
    <xf numFmtId="0" fontId="16" fillId="0" borderId="0" xfId="0" applyFont="1"/>
    <xf numFmtId="0" fontId="14" fillId="0" borderId="0" xfId="0" applyFont="1" applyAlignment="1">
      <alignment horizontal="left" vertical="center" wrapText="1" indent="1"/>
    </xf>
    <xf numFmtId="0" fontId="18" fillId="0" borderId="7" xfId="0" applyFont="1" applyBorder="1" applyAlignment="1">
      <alignment horizontal="left" vertical="center" indent="1"/>
    </xf>
    <xf numFmtId="0" fontId="0" fillId="0" borderId="7" xfId="0" applyBorder="1"/>
    <xf numFmtId="0" fontId="3" fillId="0" borderId="9" xfId="3" quotePrefix="1" applyBorder="1">
      <alignment horizontal="right" vertical="center"/>
    </xf>
    <xf numFmtId="0" fontId="0" fillId="0" borderId="0" xfId="0" applyAlignment="1"/>
  </cellXfs>
  <cellStyles count="7">
    <cellStyle name="Normal" xfId="0" builtinId="0"/>
    <cellStyle name="Vose Calculation" xfId="3" xr:uid="{00000000-0005-0000-0000-000003000000}"/>
    <cellStyle name="Vose Decision" xfId="6" xr:uid="{00000000-0005-0000-0000-000006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6">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No hedge</c:v>
          </c:tx>
          <c:spPr>
            <a:ln w="25400">
              <a:solidFill>
                <a:srgbClr val="0E4F92"/>
              </a:solidFill>
              <a:prstDash val="solid"/>
            </a:ln>
          </c:spPr>
          <c:marker>
            <c:symbol val="none"/>
          </c:marker>
          <c:xVal>
            <c:numRef>
              <c:f>Results!$D$54:$D$103</c:f>
              <c:numCache>
                <c:formatCode>#,##0.00</c:formatCode>
                <c:ptCount val="50"/>
                <c:pt idx="0">
                  <c:v>135.76718418531129</c:v>
                </c:pt>
                <c:pt idx="1">
                  <c:v>150.44094874340982</c:v>
                </c:pt>
                <c:pt idx="2">
                  <c:v>159.17778838416689</c:v>
                </c:pt>
                <c:pt idx="3">
                  <c:v>165.99142879668463</c:v>
                </c:pt>
                <c:pt idx="4">
                  <c:v>171.5388708618035</c:v>
                </c:pt>
                <c:pt idx="5">
                  <c:v>176.44063977452851</c:v>
                </c:pt>
                <c:pt idx="6">
                  <c:v>180.51447985595189</c:v>
                </c:pt>
                <c:pt idx="7">
                  <c:v>184.57158726193475</c:v>
                </c:pt>
                <c:pt idx="8">
                  <c:v>187.97488682260536</c:v>
                </c:pt>
                <c:pt idx="9">
                  <c:v>191.10528440704715</c:v>
                </c:pt>
                <c:pt idx="10">
                  <c:v>194.38374208172738</c:v>
                </c:pt>
                <c:pt idx="11">
                  <c:v>197.61474840311101</c:v>
                </c:pt>
                <c:pt idx="12">
                  <c:v>200.87060564926475</c:v>
                </c:pt>
                <c:pt idx="13">
                  <c:v>204.11335808595348</c:v>
                </c:pt>
                <c:pt idx="14">
                  <c:v>206.91684242696843</c:v>
                </c:pt>
                <c:pt idx="15">
                  <c:v>209.98860399844583</c:v>
                </c:pt>
                <c:pt idx="16">
                  <c:v>213.00337728850383</c:v>
                </c:pt>
                <c:pt idx="17">
                  <c:v>215.90145093648005</c:v>
                </c:pt>
                <c:pt idx="18">
                  <c:v>218.90655479429878</c:v>
                </c:pt>
                <c:pt idx="19">
                  <c:v>221.91925461169447</c:v>
                </c:pt>
                <c:pt idx="20">
                  <c:v>225.03982621193748</c:v>
                </c:pt>
                <c:pt idx="21">
                  <c:v>227.93919141601813</c:v>
                </c:pt>
                <c:pt idx="22">
                  <c:v>231.0110080531833</c:v>
                </c:pt>
                <c:pt idx="23">
                  <c:v>234.09066869395934</c:v>
                </c:pt>
                <c:pt idx="24">
                  <c:v>237.24685169150612</c:v>
                </c:pt>
                <c:pt idx="25">
                  <c:v>240.41364452023717</c:v>
                </c:pt>
                <c:pt idx="26">
                  <c:v>243.18186385234219</c:v>
                </c:pt>
                <c:pt idx="27">
                  <c:v>246.20865272142143</c:v>
                </c:pt>
                <c:pt idx="28">
                  <c:v>249.49906483958125</c:v>
                </c:pt>
                <c:pt idx="29">
                  <c:v>252.24493075708813</c:v>
                </c:pt>
                <c:pt idx="30">
                  <c:v>255.19742946380541</c:v>
                </c:pt>
                <c:pt idx="31">
                  <c:v>258.60098942883707</c:v>
                </c:pt>
                <c:pt idx="32">
                  <c:v>262.34153136382957</c:v>
                </c:pt>
                <c:pt idx="33">
                  <c:v>265.79189048475666</c:v>
                </c:pt>
                <c:pt idx="34">
                  <c:v>269.53997255250397</c:v>
                </c:pt>
                <c:pt idx="35">
                  <c:v>273.07823642053575</c:v>
                </c:pt>
                <c:pt idx="36">
                  <c:v>277.02172801917646</c:v>
                </c:pt>
                <c:pt idx="37">
                  <c:v>281.00984029116654</c:v>
                </c:pt>
                <c:pt idx="38">
                  <c:v>285.95272692917672</c:v>
                </c:pt>
                <c:pt idx="39">
                  <c:v>290.85723620912466</c:v>
                </c:pt>
                <c:pt idx="40">
                  <c:v>296.7059607237191</c:v>
                </c:pt>
                <c:pt idx="41">
                  <c:v>302.67869166578413</c:v>
                </c:pt>
                <c:pt idx="42">
                  <c:v>308.52364360301817</c:v>
                </c:pt>
                <c:pt idx="43">
                  <c:v>315.55332080259359</c:v>
                </c:pt>
                <c:pt idx="44">
                  <c:v>323.84172052187301</c:v>
                </c:pt>
                <c:pt idx="45">
                  <c:v>333.17215072816475</c:v>
                </c:pt>
                <c:pt idx="46">
                  <c:v>345.48670616574702</c:v>
                </c:pt>
                <c:pt idx="47">
                  <c:v>361.7304469403565</c:v>
                </c:pt>
                <c:pt idx="48">
                  <c:v>387.26919764123124</c:v>
                </c:pt>
                <c:pt idx="49">
                  <c:v>433.39839434866172</c:v>
                </c:pt>
              </c:numCache>
            </c:numRef>
          </c:xVal>
          <c:yVal>
            <c:numRef>
              <c:f>Results!$B$54:$B$103</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8614-4ACB-9EA9-AF5A3CCF14B5}"/>
            </c:ext>
          </c:extLst>
        </c:ser>
        <c:ser>
          <c:idx val="1"/>
          <c:order val="1"/>
          <c:tx>
            <c:v>Starting plan</c:v>
          </c:tx>
          <c:spPr>
            <a:ln w="25400">
              <a:solidFill>
                <a:srgbClr val="B45309"/>
              </a:solidFill>
              <a:prstDash val="dash"/>
            </a:ln>
          </c:spPr>
          <c:marker>
            <c:symbol val="none"/>
          </c:marker>
          <c:xVal>
            <c:numRef>
              <c:f>Results!$E$54:$E$103</c:f>
              <c:numCache>
                <c:formatCode>#,##0.00</c:formatCode>
                <c:ptCount val="50"/>
                <c:pt idx="0">
                  <c:v>198.78352926979412</c:v>
                </c:pt>
                <c:pt idx="1">
                  <c:v>205.8797496618011</c:v>
                </c:pt>
                <c:pt idx="2">
                  <c:v>209.80551954274441</c:v>
                </c:pt>
                <c:pt idx="3">
                  <c:v>212.66646591516948</c:v>
                </c:pt>
                <c:pt idx="4">
                  <c:v>215.13232053993443</c:v>
                </c:pt>
                <c:pt idx="5">
                  <c:v>217.21547052143333</c:v>
                </c:pt>
                <c:pt idx="6">
                  <c:v>218.88724645758791</c:v>
                </c:pt>
                <c:pt idx="7">
                  <c:v>220.51226284439943</c:v>
                </c:pt>
                <c:pt idx="8">
                  <c:v>221.93853327611777</c:v>
                </c:pt>
                <c:pt idx="9">
                  <c:v>223.36456205058857</c:v>
                </c:pt>
                <c:pt idx="10">
                  <c:v>224.46875432163552</c:v>
                </c:pt>
                <c:pt idx="11">
                  <c:v>225.68493661680853</c:v>
                </c:pt>
                <c:pt idx="12">
                  <c:v>226.98887233429716</c:v>
                </c:pt>
                <c:pt idx="13">
                  <c:v>228.10884216700069</c:v>
                </c:pt>
                <c:pt idx="14">
                  <c:v>229.27761316142562</c:v>
                </c:pt>
                <c:pt idx="15">
                  <c:v>230.45284987049527</c:v>
                </c:pt>
                <c:pt idx="16">
                  <c:v>231.56398677011558</c:v>
                </c:pt>
                <c:pt idx="17">
                  <c:v>232.66141674072844</c:v>
                </c:pt>
                <c:pt idx="18">
                  <c:v>233.92680878425054</c:v>
                </c:pt>
                <c:pt idx="19">
                  <c:v>235.04452849775657</c:v>
                </c:pt>
                <c:pt idx="20">
                  <c:v>236.19444805515343</c:v>
                </c:pt>
                <c:pt idx="21">
                  <c:v>237.43337682366123</c:v>
                </c:pt>
                <c:pt idx="22">
                  <c:v>238.56320155164801</c:v>
                </c:pt>
                <c:pt idx="23">
                  <c:v>239.66341260988568</c:v>
                </c:pt>
                <c:pt idx="24">
                  <c:v>240.88569055915985</c:v>
                </c:pt>
                <c:pt idx="25">
                  <c:v>242.10923407161431</c:v>
                </c:pt>
                <c:pt idx="26">
                  <c:v>243.22196972694721</c:v>
                </c:pt>
                <c:pt idx="27">
                  <c:v>244.28987882443352</c:v>
                </c:pt>
                <c:pt idx="28">
                  <c:v>245.36403224128759</c:v>
                </c:pt>
                <c:pt idx="29">
                  <c:v>246.57508464682249</c:v>
                </c:pt>
                <c:pt idx="30">
                  <c:v>247.79538117101492</c:v>
                </c:pt>
                <c:pt idx="31">
                  <c:v>248.9035534919621</c:v>
                </c:pt>
                <c:pt idx="32">
                  <c:v>250.36666343458973</c:v>
                </c:pt>
                <c:pt idx="33">
                  <c:v>251.79449591321691</c:v>
                </c:pt>
                <c:pt idx="34">
                  <c:v>253.18030386094429</c:v>
                </c:pt>
                <c:pt idx="35">
                  <c:v>254.44181886469477</c:v>
                </c:pt>
                <c:pt idx="36">
                  <c:v>255.75326444322067</c:v>
                </c:pt>
                <c:pt idx="37">
                  <c:v>257.38892609969594</c:v>
                </c:pt>
                <c:pt idx="38">
                  <c:v>259.31498021037874</c:v>
                </c:pt>
                <c:pt idx="39">
                  <c:v>261.20529658977961</c:v>
                </c:pt>
                <c:pt idx="40">
                  <c:v>263.20257487523133</c:v>
                </c:pt>
                <c:pt idx="41">
                  <c:v>265.49988609574859</c:v>
                </c:pt>
                <c:pt idx="42">
                  <c:v>267.68913684535937</c:v>
                </c:pt>
                <c:pt idx="43">
                  <c:v>270.34358746663503</c:v>
                </c:pt>
                <c:pt idx="44">
                  <c:v>273.35598378576447</c:v>
                </c:pt>
                <c:pt idx="45">
                  <c:v>277.21079128869036</c:v>
                </c:pt>
                <c:pt idx="46">
                  <c:v>281.70171541784799</c:v>
                </c:pt>
                <c:pt idx="47">
                  <c:v>287.83555447154652</c:v>
                </c:pt>
                <c:pt idx="48">
                  <c:v>296.96625169057967</c:v>
                </c:pt>
                <c:pt idx="49">
                  <c:v>314.95286223190288</c:v>
                </c:pt>
              </c:numCache>
            </c:numRef>
          </c:xVal>
          <c:yVal>
            <c:numRef>
              <c:f>Results!$B$54:$B$103</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8614-4ACB-9EA9-AF5A3CCF14B5}"/>
            </c:ext>
          </c:extLst>
        </c:ser>
        <c:ser>
          <c:idx val="2"/>
          <c:order val="2"/>
          <c:tx>
            <c:v>Plan in use</c:v>
          </c:tx>
          <c:spPr>
            <a:ln w="25400">
              <a:solidFill>
                <a:srgbClr val="15803D"/>
              </a:solidFill>
              <a:prstDash val="solid"/>
            </a:ln>
          </c:spPr>
          <c:marker>
            <c:symbol val="none"/>
          </c:marker>
          <c:xVal>
            <c:numRef>
              <c:f>Results!$F$54:$F$103</c:f>
              <c:numCache>
                <c:formatCode>#,##0.00</c:formatCode>
                <c:ptCount val="50"/>
                <c:pt idx="0">
                  <c:v>192.97328675261178</c:v>
                </c:pt>
                <c:pt idx="1">
                  <c:v>201.27577529726364</c:v>
                </c:pt>
                <c:pt idx="2">
                  <c:v>204.93528173236655</c:v>
                </c:pt>
                <c:pt idx="3">
                  <c:v>207.25942673914636</c:v>
                </c:pt>
                <c:pt idx="4">
                  <c:v>209.33654098036843</c:v>
                </c:pt>
                <c:pt idx="5">
                  <c:v>210.90072201279</c:v>
                </c:pt>
                <c:pt idx="6">
                  <c:v>212.38470408723987</c:v>
                </c:pt>
                <c:pt idx="7">
                  <c:v>213.48292662791997</c:v>
                </c:pt>
                <c:pt idx="8">
                  <c:v>214.61127847451485</c:v>
                </c:pt>
                <c:pt idx="9">
                  <c:v>215.71361043983927</c:v>
                </c:pt>
                <c:pt idx="10">
                  <c:v>216.64005664482369</c:v>
                </c:pt>
                <c:pt idx="11">
                  <c:v>217.62476008565309</c:v>
                </c:pt>
                <c:pt idx="12">
                  <c:v>218.5407723773848</c:v>
                </c:pt>
                <c:pt idx="13">
                  <c:v>219.58520347079354</c:v>
                </c:pt>
                <c:pt idx="14">
                  <c:v>220.54957542843485</c:v>
                </c:pt>
                <c:pt idx="15">
                  <c:v>221.46670004340439</c:v>
                </c:pt>
                <c:pt idx="16">
                  <c:v>222.43919685412291</c:v>
                </c:pt>
                <c:pt idx="17">
                  <c:v>223.55691793870062</c:v>
                </c:pt>
                <c:pt idx="18">
                  <c:v>224.69274141114988</c:v>
                </c:pt>
                <c:pt idx="19">
                  <c:v>225.792279114612</c:v>
                </c:pt>
                <c:pt idx="20">
                  <c:v>226.98559810655115</c:v>
                </c:pt>
                <c:pt idx="21">
                  <c:v>228.33157707095407</c:v>
                </c:pt>
                <c:pt idx="22">
                  <c:v>229.77840623870679</c:v>
                </c:pt>
                <c:pt idx="23">
                  <c:v>231.17522245081966</c:v>
                </c:pt>
                <c:pt idx="24">
                  <c:v>232.52126178422844</c:v>
                </c:pt>
                <c:pt idx="25">
                  <c:v>234.11251539785118</c:v>
                </c:pt>
                <c:pt idx="26">
                  <c:v>235.59177820673511</c:v>
                </c:pt>
                <c:pt idx="27">
                  <c:v>237.19163459210992</c:v>
                </c:pt>
                <c:pt idx="28">
                  <c:v>238.78911061310157</c:v>
                </c:pt>
                <c:pt idx="29">
                  <c:v>240.55425112037884</c:v>
                </c:pt>
                <c:pt idx="30">
                  <c:v>242.47746694079714</c:v>
                </c:pt>
                <c:pt idx="31">
                  <c:v>244.4245297441465</c:v>
                </c:pt>
                <c:pt idx="32">
                  <c:v>246.45032008841022</c:v>
                </c:pt>
                <c:pt idx="33">
                  <c:v>248.74710452134693</c:v>
                </c:pt>
                <c:pt idx="34">
                  <c:v>251.03663566300872</c:v>
                </c:pt>
                <c:pt idx="35">
                  <c:v>253.6933997350213</c:v>
                </c:pt>
                <c:pt idx="36">
                  <c:v>256.39159780256199</c:v>
                </c:pt>
                <c:pt idx="37">
                  <c:v>259.41541160223261</c:v>
                </c:pt>
                <c:pt idx="38">
                  <c:v>262.87335498142863</c:v>
                </c:pt>
                <c:pt idx="39">
                  <c:v>266.83032685437291</c:v>
                </c:pt>
                <c:pt idx="40">
                  <c:v>270.48227891490552</c:v>
                </c:pt>
                <c:pt idx="41">
                  <c:v>275.46283710143683</c:v>
                </c:pt>
                <c:pt idx="42">
                  <c:v>279.89772264725087</c:v>
                </c:pt>
                <c:pt idx="43">
                  <c:v>285.60868320022854</c:v>
                </c:pt>
                <c:pt idx="44">
                  <c:v>291.53205850825867</c:v>
                </c:pt>
                <c:pt idx="45">
                  <c:v>298.82027851692504</c:v>
                </c:pt>
                <c:pt idx="46">
                  <c:v>308.64934706026594</c:v>
                </c:pt>
                <c:pt idx="47">
                  <c:v>321.46635121833043</c:v>
                </c:pt>
                <c:pt idx="48">
                  <c:v>341.53906592267049</c:v>
                </c:pt>
                <c:pt idx="49">
                  <c:v>377.86746095773333</c:v>
                </c:pt>
              </c:numCache>
            </c:numRef>
          </c:xVal>
          <c:yVal>
            <c:numRef>
              <c:f>Results!$B$54:$B$103</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8614-4ACB-9EA9-AF5A3CCF14B5}"/>
            </c:ext>
          </c:extLst>
        </c:ser>
        <c:ser>
          <c:idx val="3"/>
          <c:order val="3"/>
          <c:tx>
            <c:v>Budget revenue</c:v>
          </c:tx>
          <c:spPr>
            <a:ln w="19050">
              <a:solidFill>
                <a:srgbClr val="B91C1C"/>
              </a:solidFill>
              <a:prstDash val="sysDash"/>
            </a:ln>
          </c:spPr>
          <c:marker>
            <c:symbol val="none"/>
          </c:marker>
          <c:xVal>
            <c:numRef>
              <c:f>Results!$G$54:$G$103</c:f>
              <c:numCache>
                <c:formatCode>#,##0.00</c:formatCode>
                <c:ptCount val="50"/>
                <c:pt idx="0">
                  <c:v>209.52</c:v>
                </c:pt>
                <c:pt idx="1">
                  <c:v>209.52</c:v>
                </c:pt>
                <c:pt idx="2">
                  <c:v>209.52</c:v>
                </c:pt>
                <c:pt idx="3">
                  <c:v>209.52</c:v>
                </c:pt>
                <c:pt idx="4">
                  <c:v>209.52</c:v>
                </c:pt>
                <c:pt idx="5">
                  <c:v>209.52</c:v>
                </c:pt>
                <c:pt idx="6">
                  <c:v>209.52</c:v>
                </c:pt>
                <c:pt idx="7">
                  <c:v>209.52</c:v>
                </c:pt>
                <c:pt idx="8">
                  <c:v>209.52</c:v>
                </c:pt>
                <c:pt idx="9">
                  <c:v>209.52</c:v>
                </c:pt>
                <c:pt idx="10">
                  <c:v>209.52</c:v>
                </c:pt>
                <c:pt idx="11">
                  <c:v>209.52</c:v>
                </c:pt>
                <c:pt idx="12">
                  <c:v>209.52</c:v>
                </c:pt>
                <c:pt idx="13">
                  <c:v>209.52</c:v>
                </c:pt>
                <c:pt idx="14">
                  <c:v>209.52</c:v>
                </c:pt>
                <c:pt idx="15">
                  <c:v>209.52</c:v>
                </c:pt>
                <c:pt idx="16">
                  <c:v>209.52</c:v>
                </c:pt>
                <c:pt idx="17">
                  <c:v>209.52</c:v>
                </c:pt>
                <c:pt idx="18">
                  <c:v>209.52</c:v>
                </c:pt>
                <c:pt idx="19">
                  <c:v>209.52</c:v>
                </c:pt>
                <c:pt idx="20">
                  <c:v>209.52</c:v>
                </c:pt>
                <c:pt idx="21">
                  <c:v>209.52</c:v>
                </c:pt>
                <c:pt idx="22">
                  <c:v>209.52</c:v>
                </c:pt>
                <c:pt idx="23">
                  <c:v>209.52</c:v>
                </c:pt>
                <c:pt idx="24">
                  <c:v>209.52</c:v>
                </c:pt>
                <c:pt idx="25">
                  <c:v>209.52</c:v>
                </c:pt>
                <c:pt idx="26">
                  <c:v>209.52</c:v>
                </c:pt>
                <c:pt idx="27">
                  <c:v>209.52</c:v>
                </c:pt>
                <c:pt idx="28">
                  <c:v>209.52</c:v>
                </c:pt>
                <c:pt idx="29">
                  <c:v>209.52</c:v>
                </c:pt>
                <c:pt idx="30">
                  <c:v>209.52</c:v>
                </c:pt>
                <c:pt idx="31">
                  <c:v>209.52</c:v>
                </c:pt>
                <c:pt idx="32">
                  <c:v>209.52</c:v>
                </c:pt>
                <c:pt idx="33">
                  <c:v>209.52</c:v>
                </c:pt>
                <c:pt idx="34">
                  <c:v>209.52</c:v>
                </c:pt>
                <c:pt idx="35">
                  <c:v>209.52</c:v>
                </c:pt>
                <c:pt idx="36">
                  <c:v>209.52</c:v>
                </c:pt>
                <c:pt idx="37">
                  <c:v>209.52</c:v>
                </c:pt>
                <c:pt idx="38">
                  <c:v>209.52</c:v>
                </c:pt>
                <c:pt idx="39">
                  <c:v>209.52</c:v>
                </c:pt>
                <c:pt idx="40">
                  <c:v>209.52</c:v>
                </c:pt>
                <c:pt idx="41">
                  <c:v>209.52</c:v>
                </c:pt>
                <c:pt idx="42">
                  <c:v>209.52</c:v>
                </c:pt>
                <c:pt idx="43">
                  <c:v>209.52</c:v>
                </c:pt>
                <c:pt idx="44">
                  <c:v>209.52</c:v>
                </c:pt>
                <c:pt idx="45">
                  <c:v>209.52</c:v>
                </c:pt>
                <c:pt idx="46">
                  <c:v>209.52</c:v>
                </c:pt>
                <c:pt idx="47">
                  <c:v>209.52</c:v>
                </c:pt>
                <c:pt idx="48">
                  <c:v>209.52</c:v>
                </c:pt>
                <c:pt idx="49">
                  <c:v>209.52</c:v>
                </c:pt>
              </c:numCache>
            </c:numRef>
          </c:xVal>
          <c:yVal>
            <c:numRef>
              <c:f>Results!$B$54:$B$103</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3-8614-4ACB-9EA9-AF5A3CCF14B5}"/>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Hedge payoff, plan in use</c:v>
          </c:tx>
          <c:spPr>
            <a:solidFill>
              <a:srgbClr val="0E4F92"/>
            </a:solidFill>
            <a:ln>
              <a:noFill/>
              <a:prstDash val="solid"/>
            </a:ln>
          </c:spPr>
          <c:invertIfNegative val="1"/>
          <c:cat>
            <c:numRef>
              <c:f>Results!$E$209:$E$232</c:f>
              <c:numCache>
                <c:formatCode>#,##0.00</c:formatCode>
                <c:ptCount val="24"/>
                <c:pt idx="0">
                  <c:v>-59.974970926301047</c:v>
                </c:pt>
                <c:pt idx="1">
                  <c:v>-54.501167220879083</c:v>
                </c:pt>
                <c:pt idx="2">
                  <c:v>-49.027363515457125</c:v>
                </c:pt>
                <c:pt idx="3">
                  <c:v>-43.553559810035161</c:v>
                </c:pt>
                <c:pt idx="4">
                  <c:v>-38.079756104613203</c:v>
                </c:pt>
                <c:pt idx="5">
                  <c:v>-32.605952399191239</c:v>
                </c:pt>
                <c:pt idx="6">
                  <c:v>-27.132148693769281</c:v>
                </c:pt>
                <c:pt idx="7">
                  <c:v>-21.65834498834732</c:v>
                </c:pt>
                <c:pt idx="8">
                  <c:v>-16.184541282925355</c:v>
                </c:pt>
                <c:pt idx="9">
                  <c:v>-10.710737577503394</c:v>
                </c:pt>
                <c:pt idx="10">
                  <c:v>-5.2369338720814333</c:v>
                </c:pt>
                <c:pt idx="11">
                  <c:v>0.23686983334052769</c:v>
                </c:pt>
                <c:pt idx="12">
                  <c:v>5.7106735387624852</c:v>
                </c:pt>
                <c:pt idx="13">
                  <c:v>11.184477244184443</c:v>
                </c:pt>
                <c:pt idx="14">
                  <c:v>16.658280949606407</c:v>
                </c:pt>
                <c:pt idx="15">
                  <c:v>22.132084655028372</c:v>
                </c:pt>
                <c:pt idx="16">
                  <c:v>27.605888360450329</c:v>
                </c:pt>
                <c:pt idx="17">
                  <c:v>33.079692065872294</c:v>
                </c:pt>
                <c:pt idx="18">
                  <c:v>38.553495771294251</c:v>
                </c:pt>
                <c:pt idx="19">
                  <c:v>44.027299476716209</c:v>
                </c:pt>
                <c:pt idx="20">
                  <c:v>49.501103182138174</c:v>
                </c:pt>
                <c:pt idx="21">
                  <c:v>54.974906887560138</c:v>
                </c:pt>
                <c:pt idx="22">
                  <c:v>60.448710592982103</c:v>
                </c:pt>
                <c:pt idx="23">
                  <c:v>65.922514298404053</c:v>
                </c:pt>
              </c:numCache>
            </c:numRef>
          </c:cat>
          <c:val>
            <c:numRef>
              <c:f>Results!$F$209:$F$232</c:f>
              <c:numCache>
                <c:formatCode>0.0%</c:formatCode>
                <c:ptCount val="24"/>
                <c:pt idx="0">
                  <c:v>3.8598339060156176E-3</c:v>
                </c:pt>
                <c:pt idx="1">
                  <c:v>7.4124566019025534E-3</c:v>
                </c:pt>
                <c:pt idx="2">
                  <c:v>1.2800352699357535E-2</c:v>
                </c:pt>
                <c:pt idx="3">
                  <c:v>1.9870457494479646E-2</c:v>
                </c:pt>
                <c:pt idx="4">
                  <c:v>3.3676563442784052E-2</c:v>
                </c:pt>
                <c:pt idx="5">
                  <c:v>5.7109529561410841E-2</c:v>
                </c:pt>
                <c:pt idx="6">
                  <c:v>7.6188782631082724E-2</c:v>
                </c:pt>
                <c:pt idx="7">
                  <c:v>8.9290890708480508E-2</c:v>
                </c:pt>
                <c:pt idx="8">
                  <c:v>8.6087510950575485E-2</c:v>
                </c:pt>
                <c:pt idx="9">
                  <c:v>7.9763790170909898E-2</c:v>
                </c:pt>
                <c:pt idx="10">
                  <c:v>6.7492839056957299E-2</c:v>
                </c:pt>
                <c:pt idx="11">
                  <c:v>6.4082275949469691E-2</c:v>
                </c:pt>
                <c:pt idx="12">
                  <c:v>5.7685240225489043E-2</c:v>
                </c:pt>
                <c:pt idx="13">
                  <c:v>5.5139343066920032E-2</c:v>
                </c:pt>
                <c:pt idx="14">
                  <c:v>5.1830123289560159E-2</c:v>
                </c:pt>
                <c:pt idx="15">
                  <c:v>4.8592540636739012E-2</c:v>
                </c:pt>
                <c:pt idx="16">
                  <c:v>4.5859263760284819E-2</c:v>
                </c:pt>
                <c:pt idx="17">
                  <c:v>3.4922578655354752E-2</c:v>
                </c:pt>
                <c:pt idx="18">
                  <c:v>2.7176829695892524E-2</c:v>
                </c:pt>
                <c:pt idx="19">
                  <c:v>2.4695368725548006E-2</c:v>
                </c:pt>
                <c:pt idx="20">
                  <c:v>1.7983869821851739E-2</c:v>
                </c:pt>
                <c:pt idx="21">
                  <c:v>1.3797423752984539E-2</c:v>
                </c:pt>
                <c:pt idx="22">
                  <c:v>8.6440661492316329E-3</c:v>
                </c:pt>
                <c:pt idx="23">
                  <c:v>6.0380690467178866E-3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C32D-4C25-8C1E-5FF07C9FA82D}"/>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US$m</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28</xdr:row>
      <xdr:rowOff>0</xdr:rowOff>
    </xdr:from>
    <xdr:ext cx="6263999" cy="2376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8"/>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39.4"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44" customHeight="1" x14ac:dyDescent="0.45">
      <c r="B16" s="93" t="s">
        <v>20</v>
      </c>
      <c r="C16" s="94"/>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39.4" x14ac:dyDescent="0.45">
      <c r="B30" s="9" t="s">
        <v>27</v>
      </c>
      <c r="C30" s="10" t="s">
        <v>28</v>
      </c>
    </row>
    <row r="31" spans="2:3" ht="26.25" x14ac:dyDescent="0.45">
      <c r="B31" s="9" t="s">
        <v>29</v>
      </c>
      <c r="C31" s="10" t="s">
        <v>30</v>
      </c>
    </row>
    <row r="32" spans="2:3" ht="12" customHeight="1" x14ac:dyDescent="0.45"/>
    <row r="33" spans="2:3" ht="22.05" customHeight="1" x14ac:dyDescent="0.5">
      <c r="B33" s="7" t="s">
        <v>31</v>
      </c>
      <c r="C33" s="8"/>
    </row>
    <row r="34" spans="2:3" x14ac:dyDescent="0.45">
      <c r="B34" s="9" t="s">
        <v>32</v>
      </c>
      <c r="C34" s="10" t="s">
        <v>33</v>
      </c>
    </row>
    <row r="35" spans="2:3" ht="26.25" x14ac:dyDescent="0.45">
      <c r="B35" s="9" t="s">
        <v>34</v>
      </c>
      <c r="C35" s="10" t="s">
        <v>35</v>
      </c>
    </row>
    <row r="36" spans="2:3" ht="26.25" x14ac:dyDescent="0.45">
      <c r="B36" s="9" t="s">
        <v>36</v>
      </c>
      <c r="C36" s="10" t="s">
        <v>37</v>
      </c>
    </row>
    <row r="37" spans="2:3" x14ac:dyDescent="0.45">
      <c r="B37" s="9" t="s">
        <v>38</v>
      </c>
      <c r="C37" s="10" t="s">
        <v>39</v>
      </c>
    </row>
    <row r="38" spans="2:3" ht="12" customHeight="1" x14ac:dyDescent="0.45"/>
    <row r="39" spans="2:3" ht="22.05" customHeight="1" x14ac:dyDescent="0.5">
      <c r="B39" s="7" t="s">
        <v>40</v>
      </c>
      <c r="C39" s="8"/>
    </row>
    <row r="40" spans="2:3" x14ac:dyDescent="0.45">
      <c r="B40" s="14" t="s">
        <v>41</v>
      </c>
      <c r="C40" s="10" t="s">
        <v>42</v>
      </c>
    </row>
    <row r="41" spans="2:3" x14ac:dyDescent="0.45">
      <c r="B41" s="14" t="s">
        <v>43</v>
      </c>
      <c r="C41" s="10" t="s">
        <v>44</v>
      </c>
    </row>
    <row r="42" spans="2:3" x14ac:dyDescent="0.45">
      <c r="B42" s="14" t="s">
        <v>45</v>
      </c>
      <c r="C42" s="10" t="s">
        <v>46</v>
      </c>
    </row>
    <row r="43" spans="2:3" x14ac:dyDescent="0.45">
      <c r="B43" s="14" t="s">
        <v>47</v>
      </c>
      <c r="C43" s="10" t="s">
        <v>48</v>
      </c>
    </row>
    <row r="44" spans="2:3" ht="12" customHeight="1" x14ac:dyDescent="0.45"/>
    <row r="45" spans="2:3" ht="22.05" customHeight="1" x14ac:dyDescent="0.5">
      <c r="B45" s="7" t="s">
        <v>49</v>
      </c>
      <c r="C45" s="8"/>
    </row>
    <row r="46" spans="2:3" x14ac:dyDescent="0.45">
      <c r="B46" s="15" t="s">
        <v>50</v>
      </c>
      <c r="C46" s="12" t="s">
        <v>51</v>
      </c>
    </row>
    <row r="47" spans="2:3" x14ac:dyDescent="0.45">
      <c r="B47" s="16" t="s">
        <v>52</v>
      </c>
      <c r="C47" s="12" t="s">
        <v>53</v>
      </c>
    </row>
    <row r="48" spans="2:3" x14ac:dyDescent="0.45">
      <c r="B48" s="17" t="s">
        <v>54</v>
      </c>
      <c r="C48" s="12" t="s">
        <v>55</v>
      </c>
    </row>
    <row r="49" spans="2:3" x14ac:dyDescent="0.45">
      <c r="B49" s="18" t="s">
        <v>56</v>
      </c>
      <c r="C49" s="12" t="s">
        <v>57</v>
      </c>
    </row>
    <row r="50" spans="2:3" x14ac:dyDescent="0.45">
      <c r="B50" s="19" t="s">
        <v>58</v>
      </c>
      <c r="C50" s="12" t="s">
        <v>59</v>
      </c>
    </row>
    <row r="51" spans="2:3" x14ac:dyDescent="0.45">
      <c r="B51" s="20" t="s">
        <v>60</v>
      </c>
      <c r="C51" s="12" t="s">
        <v>61</v>
      </c>
    </row>
    <row r="52" spans="2:3" ht="12" customHeight="1" x14ac:dyDescent="0.45"/>
    <row r="53" spans="2:3" ht="22.05" customHeight="1" x14ac:dyDescent="0.5">
      <c r="B53" s="7" t="s">
        <v>62</v>
      </c>
      <c r="C53" s="8"/>
    </row>
    <row r="54" spans="2:3" x14ac:dyDescent="0.45">
      <c r="B54" s="9" t="s">
        <v>63</v>
      </c>
      <c r="C54" s="10" t="s">
        <v>64</v>
      </c>
    </row>
    <row r="55" spans="2:3" x14ac:dyDescent="0.45">
      <c r="B55" s="9" t="s">
        <v>65</v>
      </c>
      <c r="C55" s="10" t="s">
        <v>66</v>
      </c>
    </row>
    <row r="56" spans="2:3" x14ac:dyDescent="0.45">
      <c r="B56" s="9" t="s">
        <v>67</v>
      </c>
      <c r="C56" s="10" t="s">
        <v>68</v>
      </c>
    </row>
    <row r="57" spans="2:3" x14ac:dyDescent="0.45">
      <c r="B57" s="9" t="s">
        <v>69</v>
      </c>
      <c r="C57" s="10" t="s">
        <v>70</v>
      </c>
    </row>
    <row r="58" spans="2:3" x14ac:dyDescent="0.45">
      <c r="B58" s="9" t="s">
        <v>71</v>
      </c>
      <c r="C58" s="10" t="s">
        <v>72</v>
      </c>
    </row>
    <row r="59" spans="2:3" ht="12" customHeight="1" x14ac:dyDescent="0.45"/>
    <row r="60" spans="2:3" ht="22.05" customHeight="1" x14ac:dyDescent="0.5">
      <c r="B60" s="7" t="s">
        <v>73</v>
      </c>
      <c r="C60" s="8"/>
    </row>
    <row r="61" spans="2:3" ht="26.25" x14ac:dyDescent="0.45">
      <c r="B61" s="9" t="s">
        <v>74</v>
      </c>
      <c r="C61" s="10" t="s">
        <v>75</v>
      </c>
    </row>
    <row r="62" spans="2:3" ht="26.25" x14ac:dyDescent="0.45">
      <c r="B62" s="9" t="s">
        <v>45</v>
      </c>
      <c r="C62" s="10" t="s">
        <v>76</v>
      </c>
    </row>
    <row r="63" spans="2:3" x14ac:dyDescent="0.45">
      <c r="B63" s="9" t="s">
        <v>77</v>
      </c>
      <c r="C63" s="10" t="s">
        <v>78</v>
      </c>
    </row>
    <row r="64" spans="2:3" ht="26.25" x14ac:dyDescent="0.45">
      <c r="B64" s="9" t="s">
        <v>79</v>
      </c>
      <c r="C64" s="10" t="s">
        <v>80</v>
      </c>
    </row>
    <row r="65" spans="2:3" x14ac:dyDescent="0.45">
      <c r="B65" s="9" t="s">
        <v>81</v>
      </c>
      <c r="C65" s="10" t="s">
        <v>82</v>
      </c>
    </row>
    <row r="66" spans="2:3" ht="12" customHeight="1" x14ac:dyDescent="0.45"/>
    <row r="67" spans="2:3" ht="22.05" customHeight="1" x14ac:dyDescent="0.5">
      <c r="B67" s="7" t="s">
        <v>83</v>
      </c>
      <c r="C67" s="8"/>
    </row>
    <row r="68" spans="2:3" ht="26.25" x14ac:dyDescent="0.45">
      <c r="B68" s="21" t="s">
        <v>84</v>
      </c>
      <c r="C68" s="10" t="s">
        <v>85</v>
      </c>
    </row>
    <row r="69" spans="2:3" x14ac:dyDescent="0.45">
      <c r="B69" s="21" t="s">
        <v>86</v>
      </c>
      <c r="C69" s="10" t="s">
        <v>87</v>
      </c>
    </row>
    <row r="70" spans="2:3" ht="26.25" x14ac:dyDescent="0.45">
      <c r="B70" s="21" t="s">
        <v>88</v>
      </c>
      <c r="C70" s="10" t="s">
        <v>89</v>
      </c>
    </row>
    <row r="71" spans="2:3" ht="26.25" x14ac:dyDescent="0.45">
      <c r="B71" s="21" t="s">
        <v>90</v>
      </c>
      <c r="C71" s="10" t="s">
        <v>91</v>
      </c>
    </row>
    <row r="72" spans="2:3" x14ac:dyDescent="0.45">
      <c r="B72" s="21" t="s">
        <v>92</v>
      </c>
      <c r="C72" s="10" t="s">
        <v>93</v>
      </c>
    </row>
    <row r="73" spans="2:3" ht="12" customHeight="1" x14ac:dyDescent="0.45"/>
    <row r="74" spans="2:3" ht="22.05" customHeight="1" x14ac:dyDescent="0.5">
      <c r="B74" s="7" t="s">
        <v>94</v>
      </c>
      <c r="C74" s="8"/>
    </row>
    <row r="75" spans="2:3" x14ac:dyDescent="0.45">
      <c r="B75" s="9" t="s">
        <v>95</v>
      </c>
      <c r="C75" s="10" t="s">
        <v>96</v>
      </c>
    </row>
    <row r="76" spans="2:3" ht="26.25" x14ac:dyDescent="0.45">
      <c r="B76" s="9" t="s">
        <v>97</v>
      </c>
      <c r="C76" s="10" t="s">
        <v>98</v>
      </c>
    </row>
    <row r="77" spans="2:3" ht="16.05" customHeight="1" x14ac:dyDescent="0.45"/>
    <row r="78" spans="2:3" x14ac:dyDescent="0.45">
      <c r="B78" s="95" t="s">
        <v>99</v>
      </c>
      <c r="C78" s="94"/>
    </row>
  </sheetData>
  <mergeCells count="2">
    <mergeCell ref="B16:C16"/>
    <mergeCell ref="B78:C78"/>
  </mergeCells>
  <hyperlinks>
    <hyperlink ref="D4" location="'Inputs'!A1" display="Next:  Inputs  ▸" xr:uid="{00000000-0004-0000-0000-000000000000}"/>
    <hyperlink ref="B40" location="'Inputs'!A1" display="Inputs" xr:uid="{00000000-0004-0000-0000-000001000000}"/>
    <hyperlink ref="B41" location="'Decisions'!A1" display="Decisions" xr:uid="{00000000-0004-0000-0000-000002000000}"/>
    <hyperlink ref="B42" location="'Hedges'!A1" display="Hedges" xr:uid="{00000000-0004-0000-0000-000003000000}"/>
    <hyperlink ref="B43" location="'Results'!A1" display="Results" xr:uid="{00000000-0004-0000-0000-000004000000}"/>
  </hyperlinks>
  <printOptions horizontalCentered="1"/>
  <pageMargins left="0.4" right="0.4" top="0.5" bottom="0.6" header="0.25" footer="0.25"/>
  <pageSetup paperSize="9" fitToHeight="0" orientation="portrait"/>
  <headerFooter>
    <oddFooter>&amp;L&amp;K3F5876&amp;8&amp;F · &amp;A&amp;R&amp;K3F5876&amp;8Page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9"/>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2" t="s">
        <v>0</v>
      </c>
      <c r="C2" s="1"/>
      <c r="D2" s="1"/>
      <c r="E2" s="1"/>
      <c r="F2" s="1"/>
      <c r="G2" s="1"/>
      <c r="H2" s="1"/>
      <c r="I2" s="1"/>
      <c r="J2" s="3" t="s">
        <v>1</v>
      </c>
    </row>
    <row r="3" spans="1:10" ht="20" customHeight="1" x14ac:dyDescent="0.45">
      <c r="A3" s="1"/>
      <c r="B3" s="4" t="s">
        <v>100</v>
      </c>
      <c r="C3" s="1"/>
      <c r="D3" s="1"/>
      <c r="E3" s="1"/>
      <c r="F3" s="1"/>
      <c r="G3" s="1"/>
      <c r="H3" s="1"/>
      <c r="I3" s="1"/>
      <c r="J3" s="1"/>
    </row>
    <row r="4" spans="1:10" ht="20" customHeight="1" x14ac:dyDescent="0.45">
      <c r="A4" s="5"/>
      <c r="B4" s="23" t="s">
        <v>101</v>
      </c>
      <c r="C4" s="5"/>
      <c r="D4" s="5"/>
      <c r="E4" s="5"/>
      <c r="F4" s="5"/>
      <c r="G4" s="5"/>
      <c r="H4" s="5"/>
      <c r="I4" s="5"/>
      <c r="J4" s="6" t="s">
        <v>102</v>
      </c>
    </row>
    <row r="5" spans="1:10" ht="8" customHeight="1" x14ac:dyDescent="0.45"/>
    <row r="6" spans="1:10" ht="20" customHeight="1" x14ac:dyDescent="0.45">
      <c r="B6" s="96" t="s">
        <v>103</v>
      </c>
      <c r="C6" s="94"/>
      <c r="D6" s="94"/>
      <c r="E6" s="94"/>
      <c r="F6" s="94"/>
      <c r="G6" s="94"/>
      <c r="H6" s="94"/>
      <c r="I6" s="94"/>
      <c r="J6" s="94"/>
    </row>
    <row r="7" spans="1:10" ht="6" customHeight="1" x14ac:dyDescent="0.45"/>
    <row r="8" spans="1:10" ht="22.05" customHeight="1" x14ac:dyDescent="0.5">
      <c r="B8" s="7" t="s">
        <v>104</v>
      </c>
      <c r="C8" s="8"/>
      <c r="D8" s="8"/>
      <c r="E8" s="8"/>
      <c r="F8" s="8"/>
      <c r="G8" s="8"/>
      <c r="H8" s="8"/>
      <c r="I8" s="8"/>
      <c r="J8" s="8"/>
    </row>
    <row r="9" spans="1:10" ht="18" customHeight="1" x14ac:dyDescent="0.45">
      <c r="B9" s="13" t="s">
        <v>105</v>
      </c>
    </row>
    <row r="10" spans="1:10" ht="18" customHeight="1" x14ac:dyDescent="0.45">
      <c r="B10" s="24" t="s">
        <v>106</v>
      </c>
      <c r="C10" s="24" t="s">
        <v>107</v>
      </c>
      <c r="D10" s="25" t="s">
        <v>108</v>
      </c>
      <c r="E10" s="24" t="s">
        <v>109</v>
      </c>
      <c r="F10" s="25" t="s">
        <v>110</v>
      </c>
      <c r="G10" s="25" t="s">
        <v>111</v>
      </c>
      <c r="H10" s="25" t="s">
        <v>112</v>
      </c>
      <c r="I10" s="25" t="s">
        <v>113</v>
      </c>
      <c r="J10" s="24" t="s">
        <v>114</v>
      </c>
    </row>
    <row r="11" spans="1:10" x14ac:dyDescent="0.45">
      <c r="B11" s="26" t="s">
        <v>115</v>
      </c>
      <c r="C11" s="27" t="s">
        <v>116</v>
      </c>
      <c r="D11" s="28">
        <v>150</v>
      </c>
      <c r="E11" s="27" t="s">
        <v>117</v>
      </c>
      <c r="F11" s="29"/>
      <c r="G11" s="29"/>
      <c r="H11" s="29"/>
      <c r="I11" s="29"/>
      <c r="J11" s="30" t="s">
        <v>118</v>
      </c>
    </row>
    <row r="12" spans="1:10" ht="23.25" x14ac:dyDescent="0.45">
      <c r="B12" s="26" t="s">
        <v>119</v>
      </c>
      <c r="C12" s="27" t="s">
        <v>120</v>
      </c>
      <c r="D12" s="31" t="s">
        <v>121</v>
      </c>
      <c r="E12" s="27" t="s">
        <v>122</v>
      </c>
      <c r="F12" s="32">
        <v>0.85</v>
      </c>
      <c r="G12" s="32">
        <v>0.97</v>
      </c>
      <c r="H12" s="32">
        <v>1</v>
      </c>
      <c r="I12" s="33" cm="1">
        <f t="array" ref="I12">IF(AND(F12&lt;=G12,G12&lt;=H12,F12&lt;H12,F12&gt;=0,H12&lt;=1),_xll.VoseMean(_xll.VosePERTObject(F12,G12,H12)),"✗ range")</f>
        <v>0.95499999999999996</v>
      </c>
      <c r="J12" s="30" t="s">
        <v>123</v>
      </c>
    </row>
    <row r="13" spans="1:10" x14ac:dyDescent="0.45">
      <c r="B13" s="26" t="s">
        <v>124</v>
      </c>
      <c r="C13" s="27" t="s">
        <v>125</v>
      </c>
      <c r="D13" s="32">
        <v>0.05</v>
      </c>
      <c r="E13" s="27" t="s">
        <v>117</v>
      </c>
      <c r="F13" s="29"/>
      <c r="G13" s="29"/>
      <c r="H13" s="29"/>
      <c r="I13" s="29"/>
      <c r="J13" s="30" t="s">
        <v>126</v>
      </c>
    </row>
    <row r="14" spans="1:10" x14ac:dyDescent="0.45">
      <c r="B14" s="26" t="s">
        <v>127</v>
      </c>
      <c r="C14" s="27" t="s">
        <v>128</v>
      </c>
      <c r="D14" s="34">
        <v>3</v>
      </c>
      <c r="E14" s="27" t="s">
        <v>117</v>
      </c>
      <c r="F14" s="29"/>
      <c r="G14" s="29"/>
      <c r="H14" s="29"/>
      <c r="I14" s="29"/>
      <c r="J14" s="30" t="s">
        <v>129</v>
      </c>
    </row>
    <row r="15" spans="1:10" ht="8" customHeight="1" x14ac:dyDescent="0.45"/>
    <row r="16" spans="1:10" ht="22.05" customHeight="1" x14ac:dyDescent="0.5">
      <c r="B16" s="7" t="s">
        <v>130</v>
      </c>
      <c r="C16" s="8"/>
      <c r="D16" s="8"/>
      <c r="E16" s="8"/>
      <c r="F16" s="8"/>
      <c r="G16" s="8"/>
      <c r="H16" s="8"/>
      <c r="I16" s="8"/>
      <c r="J16" s="8"/>
    </row>
    <row r="17" spans="2:10" ht="18" customHeight="1" x14ac:dyDescent="0.45">
      <c r="B17" s="13" t="s">
        <v>131</v>
      </c>
    </row>
    <row r="18" spans="2:10" ht="18" customHeight="1" x14ac:dyDescent="0.45">
      <c r="B18" s="24" t="s">
        <v>106</v>
      </c>
      <c r="C18" s="24" t="s">
        <v>107</v>
      </c>
      <c r="D18" s="25" t="s">
        <v>108</v>
      </c>
      <c r="E18" s="24" t="s">
        <v>109</v>
      </c>
      <c r="F18" s="5"/>
      <c r="G18" s="5"/>
      <c r="H18" s="5"/>
      <c r="I18" s="5"/>
      <c r="J18" s="24" t="s">
        <v>114</v>
      </c>
    </row>
    <row r="19" spans="2:10" x14ac:dyDescent="0.45">
      <c r="B19" s="26" t="s">
        <v>132</v>
      </c>
      <c r="C19" s="27" t="s">
        <v>133</v>
      </c>
      <c r="D19" s="35">
        <v>72</v>
      </c>
      <c r="E19" s="27" t="s">
        <v>117</v>
      </c>
      <c r="F19" s="29"/>
      <c r="G19" s="29"/>
      <c r="H19" s="29"/>
      <c r="I19" s="29"/>
      <c r="J19" s="30" t="s">
        <v>134</v>
      </c>
    </row>
    <row r="20" spans="2:10" x14ac:dyDescent="0.45">
      <c r="B20" s="26" t="s">
        <v>135</v>
      </c>
      <c r="C20" s="27"/>
      <c r="D20" s="32">
        <v>0.3</v>
      </c>
      <c r="E20" s="27" t="s">
        <v>117</v>
      </c>
      <c r="F20" s="29"/>
      <c r="G20" s="29"/>
      <c r="H20" s="29"/>
      <c r="I20" s="29"/>
      <c r="J20" s="30" t="s">
        <v>136</v>
      </c>
    </row>
    <row r="21" spans="2:10" ht="8" customHeight="1" x14ac:dyDescent="0.45"/>
    <row r="22" spans="2:10" ht="22.05" customHeight="1" x14ac:dyDescent="0.5">
      <c r="B22" s="7" t="s">
        <v>137</v>
      </c>
      <c r="C22" s="8"/>
      <c r="D22" s="8"/>
      <c r="E22" s="8"/>
      <c r="F22" s="8"/>
      <c r="G22" s="8"/>
      <c r="H22" s="8"/>
      <c r="I22" s="8"/>
      <c r="J22" s="8"/>
    </row>
    <row r="23" spans="2:10" ht="18" customHeight="1" x14ac:dyDescent="0.45">
      <c r="B23" s="13" t="s">
        <v>138</v>
      </c>
    </row>
    <row r="24" spans="2:10" ht="18" customHeight="1" x14ac:dyDescent="0.45">
      <c r="B24" s="24" t="s">
        <v>106</v>
      </c>
      <c r="C24" s="24" t="s">
        <v>107</v>
      </c>
      <c r="D24" s="25" t="s">
        <v>108</v>
      </c>
      <c r="E24" s="24" t="s">
        <v>109</v>
      </c>
      <c r="F24" s="5"/>
      <c r="G24" s="5"/>
      <c r="H24" s="5"/>
      <c r="I24" s="5"/>
      <c r="J24" s="24" t="s">
        <v>114</v>
      </c>
    </row>
    <row r="25" spans="2:10" x14ac:dyDescent="0.45">
      <c r="B25" s="26" t="s">
        <v>139</v>
      </c>
      <c r="C25" s="27" t="s">
        <v>140</v>
      </c>
      <c r="D25" s="34">
        <v>2027</v>
      </c>
      <c r="E25" s="27" t="s">
        <v>117</v>
      </c>
      <c r="F25" s="29"/>
      <c r="G25" s="29"/>
      <c r="H25" s="29"/>
      <c r="I25" s="29"/>
      <c r="J25" s="30" t="s">
        <v>141</v>
      </c>
    </row>
    <row r="26" spans="2:10" ht="23.25" x14ac:dyDescent="0.45">
      <c r="B26" s="26" t="s">
        <v>142</v>
      </c>
      <c r="C26" s="27" t="s">
        <v>133</v>
      </c>
      <c r="D26" s="35">
        <v>71</v>
      </c>
      <c r="E26" s="27" t="s">
        <v>117</v>
      </c>
      <c r="F26" s="29"/>
      <c r="G26" s="29"/>
      <c r="H26" s="29"/>
      <c r="I26" s="29"/>
      <c r="J26" s="30" t="s">
        <v>143</v>
      </c>
    </row>
    <row r="27" spans="2:10" x14ac:dyDescent="0.45">
      <c r="B27" s="26" t="s">
        <v>144</v>
      </c>
      <c r="C27" s="27" t="s">
        <v>133</v>
      </c>
      <c r="D27" s="35">
        <v>2.85</v>
      </c>
      <c r="E27" s="27" t="s">
        <v>117</v>
      </c>
      <c r="F27" s="29"/>
      <c r="G27" s="29"/>
      <c r="H27" s="29"/>
      <c r="I27" s="29"/>
      <c r="J27" s="30" t="s">
        <v>145</v>
      </c>
    </row>
    <row r="28" spans="2:10" x14ac:dyDescent="0.45">
      <c r="B28" s="26" t="s">
        <v>146</v>
      </c>
      <c r="C28" s="27" t="s">
        <v>133</v>
      </c>
      <c r="D28" s="35">
        <v>4.25</v>
      </c>
      <c r="E28" s="27" t="s">
        <v>117</v>
      </c>
      <c r="F28" s="29"/>
      <c r="G28" s="29"/>
      <c r="H28" s="29"/>
      <c r="I28" s="29"/>
      <c r="J28" s="30" t="s">
        <v>147</v>
      </c>
    </row>
    <row r="29" spans="2:10" x14ac:dyDescent="0.45">
      <c r="B29" s="26" t="s">
        <v>148</v>
      </c>
      <c r="C29" s="27" t="s">
        <v>133</v>
      </c>
      <c r="D29" s="35">
        <v>6.2</v>
      </c>
      <c r="E29" s="27" t="s">
        <v>117</v>
      </c>
      <c r="F29" s="29"/>
      <c r="G29" s="29"/>
      <c r="H29" s="29"/>
      <c r="I29" s="29"/>
      <c r="J29" s="30" t="s">
        <v>145</v>
      </c>
    </row>
    <row r="30" spans="2:10" x14ac:dyDescent="0.45">
      <c r="B30" s="26" t="s">
        <v>149</v>
      </c>
      <c r="C30" s="27" t="s">
        <v>133</v>
      </c>
      <c r="D30" s="35">
        <v>8.8000000000000007</v>
      </c>
      <c r="E30" s="27" t="s">
        <v>117</v>
      </c>
      <c r="F30" s="29"/>
      <c r="G30" s="29"/>
      <c r="H30" s="29"/>
      <c r="I30" s="29"/>
      <c r="J30" s="30" t="s">
        <v>150</v>
      </c>
    </row>
    <row r="31" spans="2:10" ht="8" customHeight="1" x14ac:dyDescent="0.45"/>
    <row r="32" spans="2:10" ht="22.05" customHeight="1" x14ac:dyDescent="0.5">
      <c r="B32" s="7" t="s">
        <v>151</v>
      </c>
      <c r="C32" s="8"/>
      <c r="D32" s="8"/>
      <c r="E32" s="8"/>
      <c r="F32" s="8"/>
      <c r="G32" s="8"/>
      <c r="H32" s="8"/>
      <c r="I32" s="8"/>
      <c r="J32" s="8"/>
    </row>
    <row r="33" spans="2:10" ht="18" customHeight="1" x14ac:dyDescent="0.45">
      <c r="B33" s="13" t="s">
        <v>152</v>
      </c>
    </row>
    <row r="34" spans="2:10" ht="18" customHeight="1" x14ac:dyDescent="0.45">
      <c r="B34" s="24" t="s">
        <v>106</v>
      </c>
      <c r="C34" s="24" t="s">
        <v>107</v>
      </c>
      <c r="D34" s="25" t="s">
        <v>108</v>
      </c>
      <c r="E34" s="24" t="s">
        <v>109</v>
      </c>
      <c r="F34" s="5"/>
      <c r="G34" s="5"/>
      <c r="H34" s="5"/>
      <c r="I34" s="5"/>
      <c r="J34" s="24" t="s">
        <v>114</v>
      </c>
    </row>
    <row r="35" spans="2:10" ht="23.25" x14ac:dyDescent="0.45">
      <c r="B35" s="26" t="s">
        <v>153</v>
      </c>
      <c r="C35" s="27" t="s">
        <v>154</v>
      </c>
      <c r="D35" s="32">
        <v>0.7</v>
      </c>
      <c r="E35" s="27" t="s">
        <v>117</v>
      </c>
      <c r="F35" s="29"/>
      <c r="G35" s="29"/>
      <c r="H35" s="29"/>
      <c r="I35" s="29"/>
      <c r="J35" s="30" t="s">
        <v>155</v>
      </c>
    </row>
    <row r="36" spans="2:10" x14ac:dyDescent="0.45">
      <c r="B36" s="26" t="s">
        <v>156</v>
      </c>
      <c r="C36" s="27" t="s">
        <v>133</v>
      </c>
      <c r="D36" s="35">
        <v>60</v>
      </c>
      <c r="E36" s="27" t="s">
        <v>117</v>
      </c>
      <c r="F36" s="29"/>
      <c r="G36" s="29"/>
      <c r="H36" s="29"/>
      <c r="I36" s="29"/>
      <c r="J36" s="30" t="s">
        <v>157</v>
      </c>
    </row>
    <row r="37" spans="2:10" x14ac:dyDescent="0.45">
      <c r="B37" s="26" t="s">
        <v>158</v>
      </c>
      <c r="C37" s="27" t="s">
        <v>120</v>
      </c>
      <c r="D37" s="33">
        <f>Uptime_ML</f>
        <v>0.97</v>
      </c>
      <c r="E37" s="27" t="s">
        <v>159</v>
      </c>
      <c r="F37" s="29"/>
      <c r="G37" s="29"/>
      <c r="H37" s="29"/>
      <c r="I37" s="29"/>
      <c r="J37" s="30" t="s">
        <v>160</v>
      </c>
    </row>
    <row r="38" spans="2:10" x14ac:dyDescent="0.45">
      <c r="B38" s="26" t="s">
        <v>161</v>
      </c>
      <c r="C38" s="27" t="s">
        <v>125</v>
      </c>
      <c r="D38" s="32">
        <v>0.1</v>
      </c>
      <c r="E38" s="27" t="s">
        <v>117</v>
      </c>
      <c r="F38" s="29"/>
      <c r="G38" s="29"/>
      <c r="H38" s="29"/>
      <c r="I38" s="29"/>
      <c r="J38" s="30" t="s">
        <v>162</v>
      </c>
    </row>
    <row r="39" spans="2:10" ht="8" customHeight="1" x14ac:dyDescent="0.45"/>
  </sheetData>
  <mergeCells count="1">
    <mergeCell ref="B6:J6"/>
  </mergeCells>
  <conditionalFormatting sqref="I12">
    <cfRule type="expression" dxfId="5" priority="1">
      <formula>LEFT($I12,1)="✗"</formula>
    </cfRule>
  </conditionalFormatting>
  <dataValidations count="6">
    <dataValidation type="decimal" operator="greaterThan" showErrorMessage="1" errorTitle="Positive value" error="Enter a value greater than zero." sqref="D11 D36 D26 D19:D20" xr:uid="{00000000-0002-0000-0100-000000000000}">
      <formula1>0</formula1>
    </dataValidation>
    <dataValidation type="custom" showErrorMessage="1" errorTitle="PERT range" error="Low must be below High, with Most likely between them, all between 0% and 100%." sqref="F12:H12" xr:uid="{00000000-0002-0000-0100-000001000000}">
      <formula1>AND($F12&lt;=$G12,$G12&lt;=$H12,$F12&lt;$H12,$F12&gt;=0,$H12&lt;=1)</formula1>
    </dataValidation>
    <dataValidation type="decimal" showErrorMessage="1" errorTitle="Probability" error="Enter a value between 0% and 100%." sqref="D13 D38 D35" xr:uid="{00000000-0002-0000-0100-000002000000}">
      <formula1>0</formula1>
      <formula2>1</formula2>
    </dataValidation>
    <dataValidation type="whole" showErrorMessage="1" errorTitle="Whole number" error="Enter a whole number." sqref="D14" xr:uid="{00000000-0002-0000-0100-000003000000}">
      <formula1>0</formula1>
      <formula2>1000000</formula2>
    </dataValidation>
    <dataValidation type="whole" showErrorMessage="1" errorTitle="Year" error="Enter a calendar year." sqref="D25" xr:uid="{00000000-0002-0000-0100-000006000000}">
      <formula1>1900</formula1>
      <formula2>2200</formula2>
    </dataValidation>
    <dataValidation type="decimal" showErrorMessage="1" errorTitle="Value" error="Enter a value of zero or more." sqref="D27:D30" xr:uid="{00000000-0002-0000-0100-000008000000}">
      <formula1>0</formula1>
      <formula2>1000000000000</formula2>
    </dataValidation>
  </dataValidations>
  <hyperlinks>
    <hyperlink ref="B4" location="'About'!A1" display="◂  About" xr:uid="{00000000-0004-0000-0100-000000000000}"/>
    <hyperlink ref="J4" location="'Decisions'!A1" display="Next:  Decisions  ▸" xr:uid="{00000000-0004-0000-01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0A800"/>
    <pageSetUpPr fitToPage="1"/>
  </sheetPr>
  <dimension ref="A1:I32"/>
  <sheetViews>
    <sheetView showGridLines="0" workbookViewId="0">
      <pane ySplit="5" topLeftCell="A6" activePane="bottomLeft" state="frozen"/>
      <selection pane="bottomLeft"/>
    </sheetView>
  </sheetViews>
  <sheetFormatPr defaultRowHeight="14.25" x14ac:dyDescent="0.45"/>
  <cols>
    <col min="1" max="1" width="2" customWidth="1"/>
    <col min="2" max="2" width="42" customWidth="1"/>
    <col min="3" max="3" width="16" customWidth="1"/>
    <col min="4" max="5" width="13" customWidth="1"/>
    <col min="6" max="7" width="11" customWidth="1"/>
    <col min="8" max="8" width="15" customWidth="1"/>
    <col min="9" max="9" width="52" customWidth="1"/>
    <col min="11" max="11" width="9.06640625" customWidth="1"/>
  </cols>
  <sheetData>
    <row r="1" spans="1:9" ht="6" customHeight="1" x14ac:dyDescent="0.45"/>
    <row r="2" spans="1:9" ht="30" customHeight="1" x14ac:dyDescent="0.45">
      <c r="A2" s="1"/>
      <c r="B2" s="22" t="s">
        <v>0</v>
      </c>
      <c r="C2" s="1"/>
      <c r="D2" s="1"/>
      <c r="E2" s="1"/>
      <c r="F2" s="1"/>
      <c r="G2" s="1"/>
      <c r="H2" s="1"/>
      <c r="I2" s="3" t="s">
        <v>1</v>
      </c>
    </row>
    <row r="3" spans="1:9" ht="20" customHeight="1" x14ac:dyDescent="0.45">
      <c r="A3" s="1"/>
      <c r="B3" s="4" t="s">
        <v>163</v>
      </c>
      <c r="C3" s="1"/>
      <c r="D3" s="1"/>
      <c r="E3" s="1"/>
      <c r="F3" s="1"/>
      <c r="G3" s="1"/>
      <c r="H3" s="1"/>
      <c r="I3" s="1"/>
    </row>
    <row r="4" spans="1:9" ht="20" customHeight="1" x14ac:dyDescent="0.45">
      <c r="A4" s="5"/>
      <c r="B4" s="23" t="s">
        <v>164</v>
      </c>
      <c r="C4" s="5"/>
      <c r="D4" s="5"/>
      <c r="E4" s="5"/>
      <c r="F4" s="5"/>
      <c r="G4" s="5"/>
      <c r="H4" s="5"/>
      <c r="I4" s="6" t="s">
        <v>165</v>
      </c>
    </row>
    <row r="5" spans="1:9" ht="8" customHeight="1" x14ac:dyDescent="0.45"/>
    <row r="6" spans="1:9" ht="30" customHeight="1" x14ac:dyDescent="0.45">
      <c r="B6" s="96" t="s">
        <v>166</v>
      </c>
      <c r="C6" s="94"/>
      <c r="D6" s="94"/>
      <c r="E6" s="94"/>
      <c r="F6" s="94"/>
      <c r="G6" s="94"/>
      <c r="H6" s="94"/>
      <c r="I6" s="94"/>
    </row>
    <row r="7" spans="1:9" ht="6" customHeight="1" x14ac:dyDescent="0.45"/>
    <row r="8" spans="1:9" ht="22.05" customHeight="1" x14ac:dyDescent="0.5">
      <c r="B8" s="7" t="s">
        <v>167</v>
      </c>
      <c r="C8" s="8"/>
      <c r="D8" s="8"/>
      <c r="E8" s="8"/>
      <c r="F8" s="8"/>
      <c r="G8" s="8"/>
      <c r="H8" s="8"/>
      <c r="I8" s="8"/>
    </row>
    <row r="9" spans="1:9" ht="18" customHeight="1" x14ac:dyDescent="0.45">
      <c r="B9" s="13" t="s">
        <v>168</v>
      </c>
    </row>
    <row r="10" spans="1:9" ht="18" customHeight="1" x14ac:dyDescent="0.45">
      <c r="B10" s="36" t="s">
        <v>54</v>
      </c>
      <c r="C10" s="36" t="s">
        <v>107</v>
      </c>
      <c r="D10" s="37" t="s">
        <v>169</v>
      </c>
      <c r="E10" s="37" t="s">
        <v>170</v>
      </c>
      <c r="F10" s="37" t="s">
        <v>171</v>
      </c>
      <c r="G10" s="37" t="s">
        <v>172</v>
      </c>
      <c r="H10" s="36" t="s">
        <v>173</v>
      </c>
      <c r="I10" s="36" t="s">
        <v>174</v>
      </c>
    </row>
    <row r="11" spans="1:9" x14ac:dyDescent="0.45">
      <c r="B11" s="26" t="s">
        <v>175</v>
      </c>
      <c r="C11" s="27" t="s">
        <v>120</v>
      </c>
      <c r="D11" s="38">
        <v>0.2</v>
      </c>
      <c r="E11" s="32">
        <v>0.6</v>
      </c>
      <c r="F11" s="32">
        <v>0</v>
      </c>
      <c r="G11" s="32">
        <v>0.7</v>
      </c>
      <c r="H11" s="27" t="s">
        <v>176</v>
      </c>
      <c r="I11" s="27" t="s">
        <v>177</v>
      </c>
    </row>
    <row r="12" spans="1:9" x14ac:dyDescent="0.45">
      <c r="B12" s="26" t="s">
        <v>178</v>
      </c>
      <c r="C12" s="27" t="s">
        <v>120</v>
      </c>
      <c r="D12" s="38">
        <v>0.5</v>
      </c>
      <c r="E12" s="32">
        <v>0</v>
      </c>
      <c r="F12" s="32">
        <v>0</v>
      </c>
      <c r="G12" s="32">
        <v>0.7</v>
      </c>
      <c r="H12" s="27" t="s">
        <v>176</v>
      </c>
      <c r="I12" s="27" t="s">
        <v>179</v>
      </c>
    </row>
    <row r="13" spans="1:9" x14ac:dyDescent="0.45">
      <c r="B13" s="26" t="s">
        <v>180</v>
      </c>
      <c r="C13" s="27" t="s">
        <v>133</v>
      </c>
      <c r="D13" s="39">
        <v>72</v>
      </c>
      <c r="E13" s="28">
        <v>62</v>
      </c>
      <c r="F13" s="28">
        <v>57</v>
      </c>
      <c r="G13" s="28">
        <v>72</v>
      </c>
      <c r="H13" s="27" t="s">
        <v>181</v>
      </c>
      <c r="I13" s="27" t="s">
        <v>182</v>
      </c>
    </row>
    <row r="14" spans="1:9" ht="8" customHeight="1" x14ac:dyDescent="0.45"/>
    <row r="15" spans="1:9" ht="22.05" customHeight="1" x14ac:dyDescent="0.5">
      <c r="B15" s="7" t="s">
        <v>183</v>
      </c>
      <c r="C15" s="8"/>
      <c r="D15" s="8"/>
      <c r="E15" s="8"/>
      <c r="F15" s="8"/>
      <c r="G15" s="8"/>
      <c r="H15" s="8"/>
      <c r="I15" s="8"/>
    </row>
    <row r="16" spans="1:9" ht="18" customHeight="1" x14ac:dyDescent="0.45">
      <c r="B16" s="13" t="s">
        <v>184</v>
      </c>
    </row>
    <row r="17" spans="2:9" ht="18" customHeight="1" x14ac:dyDescent="0.45">
      <c r="B17" s="36"/>
      <c r="C17" s="36" t="s">
        <v>185</v>
      </c>
      <c r="D17" s="5"/>
      <c r="E17" s="5"/>
      <c r="F17" s="5"/>
      <c r="G17" s="37" t="s">
        <v>186</v>
      </c>
      <c r="H17" s="5"/>
      <c r="I17" s="36" t="s">
        <v>187</v>
      </c>
    </row>
    <row r="18" spans="2:9" x14ac:dyDescent="0.45">
      <c r="B18" s="40" t="s">
        <v>188</v>
      </c>
      <c r="C18" s="97" t="s">
        <v>189</v>
      </c>
      <c r="D18" s="98"/>
      <c r="E18" s="98"/>
      <c r="F18" s="98"/>
      <c r="G18" s="29"/>
      <c r="H18" s="29"/>
      <c r="I18" s="27" t="s">
        <v>190</v>
      </c>
    </row>
    <row r="19" spans="2:9" x14ac:dyDescent="0.45">
      <c r="B19" s="26" t="s">
        <v>191</v>
      </c>
      <c r="C19" s="97" t="s">
        <v>192</v>
      </c>
      <c r="D19" s="98"/>
      <c r="E19" s="98"/>
      <c r="F19" s="98"/>
      <c r="G19" s="33">
        <f>MissTarget</f>
        <v>0.1</v>
      </c>
      <c r="H19" s="29"/>
      <c r="I19" s="27" t="s">
        <v>193</v>
      </c>
    </row>
    <row r="20" spans="2:9" x14ac:dyDescent="0.45">
      <c r="B20" s="26" t="s">
        <v>194</v>
      </c>
      <c r="C20" s="97" t="s">
        <v>195</v>
      </c>
      <c r="D20" s="98"/>
      <c r="E20" s="98"/>
      <c r="F20" s="98"/>
      <c r="G20" s="41" t="str">
        <f>IF(WithinCap_Plan,"✔  yes","✗  no")</f>
        <v>✔  yes</v>
      </c>
      <c r="H20" s="29"/>
      <c r="I20" s="27" t="s">
        <v>196</v>
      </c>
    </row>
    <row r="21" spans="2:9" ht="8" customHeight="1" x14ac:dyDescent="0.45"/>
    <row r="22" spans="2:9" ht="22.05" customHeight="1" x14ac:dyDescent="0.5">
      <c r="B22" s="7" t="s">
        <v>197</v>
      </c>
      <c r="C22" s="8"/>
      <c r="D22" s="8"/>
      <c r="E22" s="8"/>
      <c r="F22" s="8"/>
      <c r="G22" s="8"/>
      <c r="H22" s="8"/>
      <c r="I22" s="8"/>
    </row>
    <row r="23" spans="2:9" ht="18" customHeight="1" x14ac:dyDescent="0.45">
      <c r="B23" s="13" t="s">
        <v>198</v>
      </c>
    </row>
    <row r="24" spans="2:9" x14ac:dyDescent="0.45">
      <c r="B24" s="26" t="s">
        <v>199</v>
      </c>
      <c r="C24" s="29"/>
      <c r="D24" s="99" t="s">
        <v>331</v>
      </c>
      <c r="E24" s="29"/>
      <c r="F24" s="29"/>
      <c r="G24" s="29"/>
      <c r="H24" s="29"/>
      <c r="I24" s="29"/>
    </row>
    <row r="25" spans="2:9" x14ac:dyDescent="0.45">
      <c r="B25" s="26" t="s">
        <v>200</v>
      </c>
      <c r="C25" s="29"/>
      <c r="D25" s="42" t="s">
        <v>330</v>
      </c>
      <c r="E25" s="29"/>
      <c r="F25" s="29"/>
      <c r="G25" s="29"/>
      <c r="H25" s="29"/>
      <c r="I25" s="29"/>
    </row>
    <row r="26" spans="2:9" x14ac:dyDescent="0.45">
      <c r="B26" s="26" t="s">
        <v>201</v>
      </c>
      <c r="C26" s="29"/>
      <c r="D26" s="43">
        <v>32</v>
      </c>
      <c r="E26" s="29"/>
      <c r="F26" s="29"/>
      <c r="G26" s="29"/>
      <c r="H26" s="29"/>
      <c r="I26" s="29"/>
    </row>
    <row r="27" spans="2:9" x14ac:dyDescent="0.45">
      <c r="B27" s="26" t="s">
        <v>202</v>
      </c>
      <c r="C27" s="29"/>
      <c r="D27" s="43">
        <v>10000</v>
      </c>
      <c r="E27" s="29"/>
      <c r="F27" s="29"/>
      <c r="G27" s="29"/>
      <c r="H27" s="29"/>
      <c r="I27" s="29"/>
    </row>
    <row r="28" spans="2:9" x14ac:dyDescent="0.45">
      <c r="B28" s="26" t="s">
        <v>203</v>
      </c>
      <c r="C28" s="29"/>
      <c r="D28" s="44">
        <v>911.9</v>
      </c>
      <c r="E28" s="29"/>
      <c r="F28" s="29"/>
      <c r="G28" s="29"/>
      <c r="H28" s="29"/>
      <c r="I28" s="29"/>
    </row>
    <row r="29" spans="2:9" x14ac:dyDescent="0.45">
      <c r="B29" s="26" t="s">
        <v>204</v>
      </c>
      <c r="C29" s="29"/>
      <c r="D29" s="42" t="s">
        <v>328</v>
      </c>
      <c r="E29" s="29"/>
      <c r="F29" s="29"/>
      <c r="G29" s="29"/>
      <c r="H29" s="29"/>
      <c r="I29" s="29"/>
    </row>
    <row r="30" spans="2:9" x14ac:dyDescent="0.45">
      <c r="B30" s="26" t="s">
        <v>205</v>
      </c>
      <c r="C30" s="29"/>
      <c r="D30" s="42" t="s">
        <v>329</v>
      </c>
      <c r="E30" s="29"/>
      <c r="F30" s="29"/>
      <c r="G30" s="29"/>
      <c r="H30" s="29"/>
      <c r="I30" s="29"/>
    </row>
    <row r="31" spans="2:9" x14ac:dyDescent="0.45">
      <c r="B31" s="26" t="s">
        <v>206</v>
      </c>
      <c r="C31" s="29"/>
      <c r="D31" s="45">
        <v>244.4849155</v>
      </c>
      <c r="E31" s="29"/>
      <c r="F31" s="29"/>
      <c r="G31" s="29"/>
      <c r="H31" s="29"/>
      <c r="I31" s="29"/>
    </row>
    <row r="32" spans="2:9" ht="14" customHeight="1" x14ac:dyDescent="0.45"/>
  </sheetData>
  <mergeCells count="4">
    <mergeCell ref="C19:F19"/>
    <mergeCell ref="B6:I6"/>
    <mergeCell ref="C18:F18"/>
    <mergeCell ref="C20:F20"/>
  </mergeCells>
  <dataValidations count="2">
    <dataValidation type="decimal" showErrorMessage="1" errorTitle="Decision" error="Enter a value from 0 to 0.7." sqref="D11:E12" xr:uid="{00000000-0002-0000-0200-000000000000}">
      <formula1>0</formula1>
      <formula2>0.7</formula2>
    </dataValidation>
    <dataValidation type="list" showErrorMessage="1" errorTitle="Put strike" error="Choose one of the strikes the bank quotes." sqref="D13:E13" xr:uid="{00000000-0002-0000-0200-000002000000}">
      <formula1>"57,62,67,72"</formula1>
    </dataValidation>
  </dataValidations>
  <hyperlinks>
    <hyperlink ref="B4" location="'Inputs'!A1" display="◂  Inputs" xr:uid="{00000000-0004-0000-0200-000000000000}"/>
    <hyperlink ref="I4" location="'Hedges'!A1" display="Next:  Hedges  ▸" xr:uid="{00000000-0004-0000-02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AC62"/>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4" customWidth="1"/>
    <col min="3" max="4" width="10" customWidth="1"/>
    <col min="5" max="5" width="5" customWidth="1"/>
    <col min="6" max="29" width="7" customWidth="1"/>
  </cols>
  <sheetData>
    <row r="1" spans="1:29" ht="6" customHeight="1" x14ac:dyDescent="0.45"/>
    <row r="2" spans="1:29" ht="30" customHeight="1" x14ac:dyDescent="0.45">
      <c r="A2" s="1"/>
      <c r="B2" s="22" t="s">
        <v>0</v>
      </c>
      <c r="C2" s="1"/>
      <c r="D2" s="1"/>
      <c r="E2" s="1"/>
      <c r="F2" s="1"/>
      <c r="G2" s="1"/>
      <c r="H2" s="1"/>
      <c r="I2" s="1"/>
      <c r="J2" s="1"/>
      <c r="K2" s="1"/>
      <c r="L2" s="1"/>
      <c r="M2" s="1"/>
      <c r="N2" s="1"/>
      <c r="O2" s="1"/>
      <c r="P2" s="1"/>
      <c r="Q2" s="1"/>
      <c r="R2" s="1"/>
      <c r="S2" s="1"/>
      <c r="T2" s="1"/>
      <c r="U2" s="1"/>
      <c r="V2" s="1"/>
      <c r="W2" s="1"/>
      <c r="X2" s="1"/>
      <c r="Y2" s="1"/>
      <c r="Z2" s="1"/>
      <c r="AA2" s="1"/>
      <c r="AB2" s="1"/>
      <c r="AC2" s="3" t="s">
        <v>1</v>
      </c>
    </row>
    <row r="3" spans="1:29" ht="20" customHeight="1" x14ac:dyDescent="0.45">
      <c r="A3" s="1"/>
      <c r="B3" s="4" t="s">
        <v>207</v>
      </c>
      <c r="C3" s="1"/>
      <c r="D3" s="1"/>
      <c r="E3" s="1"/>
      <c r="F3" s="1"/>
      <c r="G3" s="1"/>
      <c r="H3" s="1"/>
      <c r="I3" s="1"/>
      <c r="J3" s="1"/>
      <c r="K3" s="1"/>
      <c r="L3" s="1"/>
      <c r="M3" s="1"/>
      <c r="N3" s="1"/>
      <c r="O3" s="1"/>
      <c r="P3" s="1"/>
      <c r="Q3" s="1"/>
      <c r="R3" s="1"/>
      <c r="S3" s="1"/>
      <c r="T3" s="1"/>
      <c r="U3" s="1"/>
      <c r="V3" s="1"/>
      <c r="W3" s="1"/>
      <c r="X3" s="1"/>
      <c r="Y3" s="1"/>
      <c r="Z3" s="1"/>
      <c r="AA3" s="1"/>
      <c r="AB3" s="1"/>
      <c r="AC3" s="1"/>
    </row>
    <row r="4" spans="1:29" ht="20" customHeight="1" x14ac:dyDescent="0.45">
      <c r="A4" s="5"/>
      <c r="B4" s="23" t="s">
        <v>208</v>
      </c>
      <c r="C4" s="5"/>
      <c r="D4" s="5"/>
      <c r="E4" s="5"/>
      <c r="F4" s="5"/>
      <c r="G4" s="5"/>
      <c r="H4" s="5"/>
      <c r="I4" s="5"/>
      <c r="J4" s="5"/>
      <c r="K4" s="5"/>
      <c r="L4" s="5"/>
      <c r="M4" s="5"/>
      <c r="N4" s="5"/>
      <c r="O4" s="5"/>
      <c r="P4" s="5"/>
      <c r="Q4" s="5"/>
      <c r="R4" s="5"/>
      <c r="S4" s="5"/>
      <c r="T4" s="5"/>
      <c r="U4" s="5"/>
      <c r="V4" s="5"/>
      <c r="W4" s="5"/>
      <c r="X4" s="5"/>
      <c r="Y4" s="5"/>
      <c r="Z4" s="5"/>
      <c r="AA4" s="5"/>
      <c r="AB4" s="5"/>
      <c r="AC4" s="6" t="s">
        <v>209</v>
      </c>
    </row>
    <row r="5" spans="1:29" ht="8" customHeight="1" x14ac:dyDescent="0.45"/>
    <row r="6" spans="1:29" ht="16.05" customHeight="1" x14ac:dyDescent="0.45">
      <c r="B6" s="46" t="s">
        <v>210</v>
      </c>
      <c r="C6" s="47"/>
      <c r="D6" s="48" t="s">
        <v>211</v>
      </c>
      <c r="E6" s="49" t="s">
        <v>212</v>
      </c>
      <c r="F6" s="50">
        <v>1</v>
      </c>
      <c r="G6" s="50">
        <f t="shared" ref="G6:AC6" si="0">F6+1</f>
        <v>2</v>
      </c>
      <c r="H6" s="50">
        <f t="shared" si="0"/>
        <v>3</v>
      </c>
      <c r="I6" s="50">
        <f t="shared" si="0"/>
        <v>4</v>
      </c>
      <c r="J6" s="50">
        <f t="shared" si="0"/>
        <v>5</v>
      </c>
      <c r="K6" s="50">
        <f t="shared" si="0"/>
        <v>6</v>
      </c>
      <c r="L6" s="50">
        <f t="shared" si="0"/>
        <v>7</v>
      </c>
      <c r="M6" s="50">
        <f t="shared" si="0"/>
        <v>8</v>
      </c>
      <c r="N6" s="50">
        <f t="shared" si="0"/>
        <v>9</v>
      </c>
      <c r="O6" s="50">
        <f t="shared" si="0"/>
        <v>10</v>
      </c>
      <c r="P6" s="50">
        <f t="shared" si="0"/>
        <v>11</v>
      </c>
      <c r="Q6" s="50">
        <f t="shared" si="0"/>
        <v>12</v>
      </c>
      <c r="R6" s="50">
        <f t="shared" si="0"/>
        <v>13</v>
      </c>
      <c r="S6" s="50">
        <f t="shared" si="0"/>
        <v>14</v>
      </c>
      <c r="T6" s="50">
        <f t="shared" si="0"/>
        <v>15</v>
      </c>
      <c r="U6" s="50">
        <f t="shared" si="0"/>
        <v>16</v>
      </c>
      <c r="V6" s="50">
        <f t="shared" si="0"/>
        <v>17</v>
      </c>
      <c r="W6" s="50">
        <f t="shared" si="0"/>
        <v>18</v>
      </c>
      <c r="X6" s="50">
        <f t="shared" si="0"/>
        <v>19</v>
      </c>
      <c r="Y6" s="50">
        <f t="shared" si="0"/>
        <v>20</v>
      </c>
      <c r="Z6" s="50">
        <f t="shared" si="0"/>
        <v>21</v>
      </c>
      <c r="AA6" s="50">
        <f t="shared" si="0"/>
        <v>22</v>
      </c>
      <c r="AB6" s="50">
        <f t="shared" si="0"/>
        <v>23</v>
      </c>
      <c r="AC6" s="50">
        <f t="shared" si="0"/>
        <v>24</v>
      </c>
    </row>
    <row r="7" spans="1:29" ht="16.05" customHeight="1" x14ac:dyDescent="0.45">
      <c r="B7" s="36" t="s">
        <v>213</v>
      </c>
      <c r="C7" s="5"/>
      <c r="D7" s="5"/>
      <c r="E7" s="5"/>
      <c r="F7" s="51">
        <f>EDATE(StartMonth,0)</f>
        <v>46388</v>
      </c>
      <c r="G7" s="51">
        <f>EDATE(StartMonth,1)</f>
        <v>46419</v>
      </c>
      <c r="H7" s="51">
        <f>EDATE(StartMonth,2)</f>
        <v>46447</v>
      </c>
      <c r="I7" s="51">
        <f>EDATE(StartMonth,3)</f>
        <v>46478</v>
      </c>
      <c r="J7" s="51">
        <f>EDATE(StartMonth,4)</f>
        <v>46508</v>
      </c>
      <c r="K7" s="51">
        <f>EDATE(StartMonth,5)</f>
        <v>46539</v>
      </c>
      <c r="L7" s="51">
        <f>EDATE(StartMonth,6)</f>
        <v>46569</v>
      </c>
      <c r="M7" s="51">
        <f>EDATE(StartMonth,7)</f>
        <v>46600</v>
      </c>
      <c r="N7" s="51">
        <f>EDATE(StartMonth,8)</f>
        <v>46631</v>
      </c>
      <c r="O7" s="51">
        <f>EDATE(StartMonth,9)</f>
        <v>46661</v>
      </c>
      <c r="P7" s="51">
        <f>EDATE(StartMonth,10)</f>
        <v>46692</v>
      </c>
      <c r="Q7" s="51">
        <f>EDATE(StartMonth,11)</f>
        <v>46722</v>
      </c>
      <c r="R7" s="51">
        <f>EDATE(StartMonth,12)</f>
        <v>46753</v>
      </c>
      <c r="S7" s="51">
        <f>EDATE(StartMonth,13)</f>
        <v>46784</v>
      </c>
      <c r="T7" s="51">
        <f>EDATE(StartMonth,14)</f>
        <v>46813</v>
      </c>
      <c r="U7" s="51">
        <f>EDATE(StartMonth,15)</f>
        <v>46844</v>
      </c>
      <c r="V7" s="51">
        <f>EDATE(StartMonth,16)</f>
        <v>46874</v>
      </c>
      <c r="W7" s="51">
        <f>EDATE(StartMonth,17)</f>
        <v>46905</v>
      </c>
      <c r="X7" s="51">
        <f>EDATE(StartMonth,18)</f>
        <v>46935</v>
      </c>
      <c r="Y7" s="51">
        <f>EDATE(StartMonth,19)</f>
        <v>46966</v>
      </c>
      <c r="Z7" s="51">
        <f>EDATE(StartMonth,20)</f>
        <v>46997</v>
      </c>
      <c r="AA7" s="51">
        <f>EDATE(StartMonth,21)</f>
        <v>47027</v>
      </c>
      <c r="AB7" s="51">
        <f>EDATE(StartMonth,22)</f>
        <v>47058</v>
      </c>
      <c r="AC7" s="51">
        <f>EDATE(StartMonth,23)</f>
        <v>47088</v>
      </c>
    </row>
    <row r="8" spans="1:29" ht="6" customHeight="1" x14ac:dyDescent="0.45"/>
    <row r="9" spans="1:29" ht="22.05" customHeight="1" x14ac:dyDescent="0.5">
      <c r="B9" s="7" t="s">
        <v>214</v>
      </c>
      <c r="C9" s="8"/>
      <c r="D9" s="8"/>
      <c r="E9" s="8"/>
      <c r="F9" s="8"/>
      <c r="G9" s="8"/>
      <c r="H9" s="8"/>
      <c r="I9" s="8"/>
      <c r="J9" s="8"/>
      <c r="K9" s="8"/>
      <c r="L9" s="8"/>
      <c r="M9" s="8"/>
      <c r="N9" s="8"/>
      <c r="O9" s="8"/>
      <c r="P9" s="8"/>
      <c r="Q9" s="8"/>
      <c r="R9" s="8"/>
      <c r="S9" s="8"/>
      <c r="T9" s="8"/>
      <c r="U9" s="8"/>
      <c r="V9" s="8"/>
      <c r="W9" s="8"/>
      <c r="X9" s="8"/>
      <c r="Y9" s="8"/>
      <c r="Z9" s="8"/>
      <c r="AA9" s="8"/>
      <c r="AB9" s="8"/>
      <c r="AC9" s="8"/>
    </row>
    <row r="10" spans="1:29" ht="18" customHeight="1" x14ac:dyDescent="0.45">
      <c r="B10" s="13" t="s">
        <v>215</v>
      </c>
    </row>
    <row r="11" spans="1:29" ht="18" customHeight="1" x14ac:dyDescent="0.45">
      <c r="B11" s="36" t="s">
        <v>216</v>
      </c>
      <c r="C11" s="36" t="s">
        <v>107</v>
      </c>
      <c r="D11" s="37" t="s">
        <v>217</v>
      </c>
      <c r="E11" s="5"/>
      <c r="F11" s="36" t="s">
        <v>218</v>
      </c>
      <c r="G11" s="5"/>
      <c r="H11" s="5"/>
      <c r="I11" s="5"/>
      <c r="J11" s="5"/>
      <c r="K11" s="5"/>
      <c r="L11" s="5"/>
      <c r="M11" s="5"/>
      <c r="N11" s="5"/>
      <c r="O11" s="5"/>
      <c r="P11" s="5"/>
      <c r="Q11" s="5"/>
      <c r="R11" s="5"/>
      <c r="S11" s="5"/>
      <c r="T11" s="5"/>
      <c r="U11" s="5"/>
      <c r="V11" s="5"/>
      <c r="W11" s="5"/>
      <c r="X11" s="5"/>
      <c r="Y11" s="5"/>
      <c r="Z11" s="5"/>
      <c r="AA11" s="5"/>
      <c r="AB11" s="5"/>
      <c r="AC11" s="5"/>
    </row>
    <row r="12" spans="1:29" x14ac:dyDescent="0.45">
      <c r="B12" s="26" t="s">
        <v>219</v>
      </c>
      <c r="C12" s="27" t="s">
        <v>220</v>
      </c>
      <c r="D12" s="52">
        <f>DATE(FirstYear,1,1)</f>
        <v>46388</v>
      </c>
      <c r="E12" s="29"/>
      <c r="F12" s="27" t="s">
        <v>221</v>
      </c>
      <c r="G12" s="29"/>
      <c r="H12" s="29"/>
      <c r="I12" s="29"/>
      <c r="J12" s="29"/>
      <c r="K12" s="29"/>
      <c r="L12" s="29"/>
      <c r="M12" s="29"/>
      <c r="N12" s="29"/>
      <c r="O12" s="29"/>
      <c r="P12" s="29"/>
      <c r="Q12" s="29"/>
      <c r="R12" s="29"/>
      <c r="S12" s="29"/>
      <c r="T12" s="29"/>
      <c r="U12" s="29"/>
      <c r="V12" s="29"/>
      <c r="W12" s="29"/>
      <c r="X12" s="29"/>
      <c r="Y12" s="29"/>
      <c r="Z12" s="29"/>
      <c r="AA12" s="29"/>
      <c r="AB12" s="29"/>
      <c r="AC12" s="29"/>
    </row>
    <row r="13" spans="1:29" x14ac:dyDescent="0.45">
      <c r="B13" s="26" t="s">
        <v>222</v>
      </c>
      <c r="C13" s="27" t="s">
        <v>128</v>
      </c>
      <c r="D13" s="53">
        <f>COUNT(F6:AC6)</f>
        <v>24</v>
      </c>
      <c r="E13" s="29"/>
      <c r="F13" s="27" t="s">
        <v>223</v>
      </c>
      <c r="G13" s="29"/>
      <c r="H13" s="29"/>
      <c r="I13" s="29"/>
      <c r="J13" s="29"/>
      <c r="K13" s="29"/>
      <c r="L13" s="29"/>
      <c r="M13" s="29"/>
      <c r="N13" s="29"/>
      <c r="O13" s="29"/>
      <c r="P13" s="29"/>
      <c r="Q13" s="29"/>
      <c r="R13" s="29"/>
      <c r="S13" s="29"/>
      <c r="T13" s="29"/>
      <c r="U13" s="29"/>
      <c r="V13" s="29"/>
      <c r="W13" s="29"/>
      <c r="X13" s="29"/>
      <c r="Y13" s="29"/>
      <c r="Z13" s="29"/>
      <c r="AA13" s="29"/>
      <c r="AB13" s="29"/>
      <c r="AC13" s="29"/>
    </row>
    <row r="14" spans="1:29" x14ac:dyDescent="0.45">
      <c r="B14" s="26" t="s">
        <v>224</v>
      </c>
      <c r="C14" s="27" t="s">
        <v>225</v>
      </c>
      <c r="D14" s="54" cm="1">
        <f t="array" aca="1" ref="D14" ca="1">_xll.VoseInput("Outage","1 = yes")+_xll.VoseBernoulli(Prob_Outage)</f>
        <v>0</v>
      </c>
      <c r="E14" s="29"/>
      <c r="F14" s="27" t="s">
        <v>226</v>
      </c>
      <c r="G14" s="29"/>
      <c r="H14" s="29"/>
      <c r="I14" s="29"/>
      <c r="J14" s="29"/>
      <c r="K14" s="29"/>
      <c r="L14" s="29"/>
      <c r="M14" s="29"/>
      <c r="N14" s="29"/>
      <c r="O14" s="29"/>
      <c r="P14" s="29"/>
      <c r="Q14" s="29"/>
      <c r="R14" s="29"/>
      <c r="S14" s="29"/>
      <c r="T14" s="29"/>
      <c r="U14" s="29"/>
      <c r="V14" s="29"/>
      <c r="W14" s="29"/>
      <c r="X14" s="29"/>
      <c r="Y14" s="29"/>
      <c r="Z14" s="29"/>
      <c r="AA14" s="29"/>
      <c r="AB14" s="29"/>
      <c r="AC14" s="29"/>
    </row>
    <row r="15" spans="1:29" x14ac:dyDescent="0.45">
      <c r="B15" s="26" t="s">
        <v>227</v>
      </c>
      <c r="C15" s="27" t="s">
        <v>228</v>
      </c>
      <c r="D15" s="54" cm="1">
        <f t="array" aca="1" ref="D15" ca="1">_xll.VoseStepUniform(1,MonthsHedged-OutageMonths+1)</f>
        <v>7</v>
      </c>
      <c r="E15" s="29"/>
      <c r="F15" s="27" t="s">
        <v>229</v>
      </c>
      <c r="G15" s="29"/>
      <c r="H15" s="29"/>
      <c r="I15" s="29"/>
      <c r="J15" s="29"/>
      <c r="K15" s="29"/>
      <c r="L15" s="29"/>
      <c r="M15" s="29"/>
      <c r="N15" s="29"/>
      <c r="O15" s="29"/>
      <c r="P15" s="29"/>
      <c r="Q15" s="29"/>
      <c r="R15" s="29"/>
      <c r="S15" s="29"/>
      <c r="T15" s="29"/>
      <c r="U15" s="29"/>
      <c r="V15" s="29"/>
      <c r="W15" s="29"/>
      <c r="X15" s="29"/>
      <c r="Y15" s="29"/>
      <c r="Z15" s="29"/>
      <c r="AA15" s="29"/>
      <c r="AB15" s="29"/>
      <c r="AC15" s="29"/>
    </row>
    <row r="16" spans="1:29" x14ac:dyDescent="0.45">
      <c r="B16" s="26" t="s">
        <v>230</v>
      </c>
      <c r="C16" s="27"/>
      <c r="D16" s="55">
        <f>Volatility/SQRT(12)</f>
        <v>8.6602540378443865E-2</v>
      </c>
      <c r="E16" s="29"/>
      <c r="F16" s="27" t="s">
        <v>231</v>
      </c>
      <c r="G16" s="29"/>
      <c r="H16" s="29"/>
      <c r="I16" s="29"/>
      <c r="J16" s="29"/>
      <c r="K16" s="29"/>
      <c r="L16" s="29"/>
      <c r="M16" s="29"/>
      <c r="N16" s="29"/>
      <c r="O16" s="29"/>
      <c r="P16" s="29"/>
      <c r="Q16" s="29"/>
      <c r="R16" s="29"/>
      <c r="S16" s="29"/>
      <c r="T16" s="29"/>
      <c r="U16" s="29"/>
      <c r="V16" s="29"/>
      <c r="W16" s="29"/>
      <c r="X16" s="29"/>
      <c r="Y16" s="29"/>
      <c r="Z16" s="29"/>
      <c r="AA16" s="29"/>
      <c r="AB16" s="29"/>
      <c r="AC16" s="29"/>
    </row>
    <row r="17" spans="2:29" x14ac:dyDescent="0.45">
      <c r="B17" s="26" t="s">
        <v>232</v>
      </c>
      <c r="C17" s="27"/>
      <c r="D17" s="56">
        <f>-0.5*Sigma_m^2</f>
        <v>-3.7499999999999999E-3</v>
      </c>
      <c r="E17" s="29"/>
      <c r="F17" s="27" t="s">
        <v>233</v>
      </c>
      <c r="G17" s="29"/>
      <c r="H17" s="29"/>
      <c r="I17" s="29"/>
      <c r="J17" s="29"/>
      <c r="K17" s="29"/>
      <c r="L17" s="29"/>
      <c r="M17" s="29"/>
      <c r="N17" s="29"/>
      <c r="O17" s="29"/>
      <c r="P17" s="29"/>
      <c r="Q17" s="29"/>
      <c r="R17" s="29"/>
      <c r="S17" s="29"/>
      <c r="T17" s="29"/>
      <c r="U17" s="29"/>
      <c r="V17" s="29"/>
      <c r="W17" s="29"/>
      <c r="X17" s="29"/>
      <c r="Y17" s="29"/>
      <c r="Z17" s="29"/>
      <c r="AA17" s="29"/>
      <c r="AB17" s="29"/>
      <c r="AC17" s="29"/>
    </row>
    <row r="18" spans="2:29" x14ac:dyDescent="0.45">
      <c r="B18" s="26" t="s">
        <v>234</v>
      </c>
      <c r="C18" s="27" t="s">
        <v>235</v>
      </c>
      <c r="D18" s="57">
        <f>BudgetPrice*PlanVolume*BudgetUptime*MonthsHedged/1000</f>
        <v>209.52</v>
      </c>
      <c r="E18" s="29"/>
      <c r="F18" s="27" t="s">
        <v>236</v>
      </c>
      <c r="G18" s="29"/>
      <c r="H18" s="29"/>
      <c r="I18" s="29"/>
      <c r="J18" s="29"/>
      <c r="K18" s="29"/>
      <c r="L18" s="29"/>
      <c r="M18" s="29"/>
      <c r="N18" s="29"/>
      <c r="O18" s="29"/>
      <c r="P18" s="29"/>
      <c r="Q18" s="29"/>
      <c r="R18" s="29"/>
      <c r="S18" s="29"/>
      <c r="T18" s="29"/>
      <c r="U18" s="29"/>
      <c r="V18" s="29"/>
      <c r="W18" s="29"/>
      <c r="X18" s="29"/>
      <c r="Y18" s="29"/>
      <c r="Z18" s="29"/>
      <c r="AA18" s="29"/>
      <c r="AB18" s="29"/>
      <c r="AC18" s="29"/>
    </row>
    <row r="19" spans="2:29" ht="8" customHeight="1" x14ac:dyDescent="0.45"/>
    <row r="20" spans="2:29" ht="22.05" customHeight="1" x14ac:dyDescent="0.5">
      <c r="B20" s="7" t="s">
        <v>237</v>
      </c>
      <c r="C20" s="8"/>
      <c r="D20" s="8"/>
      <c r="E20" s="8"/>
      <c r="F20" s="8"/>
      <c r="G20" s="8"/>
      <c r="H20" s="8"/>
      <c r="I20" s="8"/>
      <c r="J20" s="8"/>
      <c r="K20" s="8"/>
      <c r="L20" s="8"/>
      <c r="M20" s="8"/>
      <c r="N20" s="8"/>
      <c r="O20" s="8"/>
      <c r="P20" s="8"/>
      <c r="Q20" s="8"/>
      <c r="R20" s="8"/>
      <c r="S20" s="8"/>
      <c r="T20" s="8"/>
      <c r="U20" s="8"/>
      <c r="V20" s="8"/>
      <c r="W20" s="8"/>
      <c r="X20" s="8"/>
      <c r="Y20" s="8"/>
      <c r="Z20" s="8"/>
      <c r="AA20" s="8"/>
      <c r="AB20" s="8"/>
      <c r="AC20" s="8"/>
    </row>
    <row r="21" spans="2:29" ht="18" customHeight="1" x14ac:dyDescent="0.45">
      <c r="B21" s="13" t="s">
        <v>238</v>
      </c>
    </row>
    <row r="22" spans="2:29" ht="18" customHeight="1" x14ac:dyDescent="0.45">
      <c r="B22" s="36" t="s">
        <v>216</v>
      </c>
      <c r="C22" s="36" t="s">
        <v>107</v>
      </c>
      <c r="D22" s="37" t="s">
        <v>217</v>
      </c>
      <c r="E22" s="5"/>
      <c r="F22" s="36" t="s">
        <v>218</v>
      </c>
      <c r="G22" s="5"/>
      <c r="H22" s="5"/>
      <c r="I22" s="5"/>
      <c r="J22" s="5"/>
      <c r="K22" s="5"/>
      <c r="L22" s="5"/>
      <c r="M22" s="5"/>
      <c r="N22" s="5"/>
      <c r="O22" s="5"/>
      <c r="P22" s="5"/>
      <c r="Q22" s="5"/>
      <c r="R22" s="5"/>
      <c r="S22" s="5"/>
      <c r="T22" s="5"/>
      <c r="U22" s="5"/>
      <c r="V22" s="5"/>
      <c r="W22" s="5"/>
      <c r="X22" s="5"/>
      <c r="Y22" s="5"/>
      <c r="Z22" s="5"/>
      <c r="AA22" s="5"/>
      <c r="AB22" s="5"/>
      <c r="AC22" s="5"/>
    </row>
    <row r="23" spans="2:29" x14ac:dyDescent="0.45">
      <c r="B23" s="26" t="s">
        <v>239</v>
      </c>
      <c r="C23" s="27" t="s">
        <v>133</v>
      </c>
      <c r="D23" s="58">
        <f>IF(PutStrike_Start=57,PutPrem_57,IF(PutStrike_Start=62,PutPrem_62,IF(PutStrike_Start=67,PutPrem_67,IF(PutStrike_Start=72,PutPrem_72,NA()))))</f>
        <v>4.25</v>
      </c>
      <c r="E23" s="29"/>
      <c r="F23" s="27" t="s">
        <v>240</v>
      </c>
      <c r="G23" s="29"/>
      <c r="H23" s="29"/>
      <c r="I23" s="29"/>
      <c r="J23" s="29"/>
      <c r="K23" s="29"/>
      <c r="L23" s="29"/>
      <c r="M23" s="29"/>
      <c r="N23" s="29"/>
      <c r="O23" s="29"/>
      <c r="P23" s="29"/>
      <c r="Q23" s="29"/>
      <c r="R23" s="29"/>
      <c r="S23" s="29"/>
      <c r="T23" s="29"/>
      <c r="U23" s="29"/>
      <c r="V23" s="29"/>
      <c r="W23" s="29"/>
      <c r="X23" s="29"/>
      <c r="Y23" s="29"/>
      <c r="Z23" s="29"/>
      <c r="AA23" s="29"/>
      <c r="AB23" s="29"/>
      <c r="AC23" s="29"/>
    </row>
    <row r="24" spans="2:29" x14ac:dyDescent="0.45">
      <c r="B24" s="26" t="s">
        <v>241</v>
      </c>
      <c r="C24" s="27" t="s">
        <v>133</v>
      </c>
      <c r="D24" s="58">
        <f>IF(PutStrike=57,PutPrem_57,IF(PutStrike=62,PutPrem_62,IF(PutStrike=67,PutPrem_67,IF(PutStrike=72,PutPrem_72,NA()))))</f>
        <v>8.8000000000000007</v>
      </c>
      <c r="E24" s="29"/>
      <c r="F24" s="27" t="s">
        <v>240</v>
      </c>
      <c r="G24" s="29"/>
      <c r="H24" s="29"/>
      <c r="I24" s="29"/>
      <c r="J24" s="29"/>
      <c r="K24" s="29"/>
      <c r="L24" s="29"/>
      <c r="M24" s="29"/>
      <c r="N24" s="29"/>
      <c r="O24" s="29"/>
      <c r="P24" s="29"/>
      <c r="Q24" s="29"/>
      <c r="R24" s="29"/>
      <c r="S24" s="29"/>
      <c r="T24" s="29"/>
      <c r="U24" s="29"/>
      <c r="V24" s="29"/>
      <c r="W24" s="29"/>
      <c r="X24" s="29"/>
      <c r="Y24" s="29"/>
      <c r="Z24" s="29"/>
      <c r="AA24" s="29"/>
      <c r="AB24" s="29"/>
      <c r="AC24" s="29"/>
    </row>
    <row r="25" spans="2:29" x14ac:dyDescent="0.45">
      <c r="B25" s="26" t="s">
        <v>242</v>
      </c>
      <c r="C25" s="27" t="s">
        <v>120</v>
      </c>
      <c r="D25" s="33">
        <f>SwapShare_Start+PutShare_Start</f>
        <v>0.6</v>
      </c>
      <c r="E25" s="29"/>
      <c r="F25" s="27" t="s">
        <v>243</v>
      </c>
      <c r="G25" s="29"/>
      <c r="H25" s="29"/>
      <c r="I25" s="29"/>
      <c r="J25" s="29"/>
      <c r="K25" s="29"/>
      <c r="L25" s="29"/>
      <c r="M25" s="29"/>
      <c r="N25" s="29"/>
      <c r="O25" s="29"/>
      <c r="P25" s="29"/>
      <c r="Q25" s="29"/>
      <c r="R25" s="29"/>
      <c r="S25" s="29"/>
      <c r="T25" s="29"/>
      <c r="U25" s="29"/>
      <c r="V25" s="29"/>
      <c r="W25" s="29"/>
      <c r="X25" s="29"/>
      <c r="Y25" s="29"/>
      <c r="Z25" s="29"/>
      <c r="AA25" s="29"/>
      <c r="AB25" s="29"/>
      <c r="AC25" s="29"/>
    </row>
    <row r="26" spans="2:29" x14ac:dyDescent="0.45">
      <c r="B26" s="26" t="s">
        <v>244</v>
      </c>
      <c r="C26" s="27" t="s">
        <v>120</v>
      </c>
      <c r="D26" s="33">
        <f>SwapShare+PutShare</f>
        <v>0.7</v>
      </c>
      <c r="E26" s="29"/>
      <c r="F26" s="27" t="s">
        <v>243</v>
      </c>
      <c r="G26" s="29"/>
      <c r="H26" s="29"/>
      <c r="I26" s="29"/>
      <c r="J26" s="29"/>
      <c r="K26" s="29"/>
      <c r="L26" s="29"/>
      <c r="M26" s="29"/>
      <c r="N26" s="29"/>
      <c r="O26" s="29"/>
      <c r="P26" s="29"/>
      <c r="Q26" s="29"/>
      <c r="R26" s="29"/>
      <c r="S26" s="29"/>
      <c r="T26" s="29"/>
      <c r="U26" s="29"/>
      <c r="V26" s="29"/>
      <c r="W26" s="29"/>
      <c r="X26" s="29"/>
      <c r="Y26" s="29"/>
      <c r="Z26" s="29"/>
      <c r="AA26" s="29"/>
      <c r="AB26" s="29"/>
      <c r="AC26" s="29"/>
    </row>
    <row r="27" spans="2:29" x14ac:dyDescent="0.45">
      <c r="B27" s="26" t="s">
        <v>245</v>
      </c>
      <c r="C27" s="27" t="s">
        <v>246</v>
      </c>
      <c r="D27" s="42" t="b">
        <f>ROUND(Hedged_Start,6)&lt;=HedgeCap</f>
        <v>1</v>
      </c>
      <c r="E27" s="29"/>
      <c r="F27" s="27" t="s">
        <v>247</v>
      </c>
      <c r="G27" s="29"/>
      <c r="H27" s="29"/>
      <c r="I27" s="29"/>
      <c r="J27" s="29"/>
      <c r="K27" s="29"/>
      <c r="L27" s="29"/>
      <c r="M27" s="29"/>
      <c r="N27" s="29"/>
      <c r="O27" s="29"/>
      <c r="P27" s="29"/>
      <c r="Q27" s="29"/>
      <c r="R27" s="29"/>
      <c r="S27" s="29"/>
      <c r="T27" s="29"/>
      <c r="U27" s="29"/>
      <c r="V27" s="29"/>
      <c r="W27" s="29"/>
      <c r="X27" s="29"/>
      <c r="Y27" s="29"/>
      <c r="Z27" s="29"/>
      <c r="AA27" s="29"/>
      <c r="AB27" s="29"/>
      <c r="AC27" s="29"/>
    </row>
    <row r="28" spans="2:29" x14ac:dyDescent="0.45">
      <c r="B28" s="26" t="s">
        <v>248</v>
      </c>
      <c r="C28" s="27" t="s">
        <v>246</v>
      </c>
      <c r="D28" s="42" t="b">
        <f>ROUND(Hedged_Plan,6)&lt;=HedgeCap</f>
        <v>1</v>
      </c>
      <c r="E28" s="29"/>
      <c r="F28" s="27" t="s">
        <v>247</v>
      </c>
      <c r="G28" s="29"/>
      <c r="H28" s="29"/>
      <c r="I28" s="29"/>
      <c r="J28" s="29"/>
      <c r="K28" s="29"/>
      <c r="L28" s="29"/>
      <c r="M28" s="29"/>
      <c r="N28" s="29"/>
      <c r="O28" s="29"/>
      <c r="P28" s="29"/>
      <c r="Q28" s="29"/>
      <c r="R28" s="29"/>
      <c r="S28" s="29"/>
      <c r="T28" s="29"/>
      <c r="U28" s="29"/>
      <c r="V28" s="29"/>
      <c r="W28" s="29"/>
      <c r="X28" s="29"/>
      <c r="Y28" s="29"/>
      <c r="Z28" s="29"/>
      <c r="AA28" s="29"/>
      <c r="AB28" s="29"/>
      <c r="AC28" s="29"/>
    </row>
    <row r="29" spans="2:29" ht="8" customHeight="1" x14ac:dyDescent="0.45"/>
    <row r="30" spans="2:29" ht="22.05" customHeight="1" x14ac:dyDescent="0.5">
      <c r="B30" s="7" t="s">
        <v>249</v>
      </c>
      <c r="C30" s="8"/>
      <c r="D30" s="8"/>
      <c r="E30" s="8"/>
      <c r="F30" s="8"/>
      <c r="G30" s="8"/>
      <c r="H30" s="8"/>
      <c r="I30" s="8"/>
      <c r="J30" s="8"/>
      <c r="K30" s="8"/>
      <c r="L30" s="8"/>
      <c r="M30" s="8"/>
      <c r="N30" s="8"/>
      <c r="O30" s="8"/>
      <c r="P30" s="8"/>
      <c r="Q30" s="8"/>
      <c r="R30" s="8"/>
      <c r="S30" s="8"/>
      <c r="T30" s="8"/>
      <c r="U30" s="8"/>
      <c r="V30" s="8"/>
      <c r="W30" s="8"/>
      <c r="X30" s="8"/>
      <c r="Y30" s="8"/>
      <c r="Z30" s="8"/>
      <c r="AA30" s="8"/>
      <c r="AB30" s="8"/>
      <c r="AC30" s="8"/>
    </row>
    <row r="31" spans="2:29" ht="18" customHeight="1" x14ac:dyDescent="0.45">
      <c r="B31" s="13" t="s">
        <v>250</v>
      </c>
    </row>
    <row r="32" spans="2:29" x14ac:dyDescent="0.45">
      <c r="B32" s="26" t="s">
        <v>251</v>
      </c>
      <c r="C32" s="27" t="s">
        <v>133</v>
      </c>
      <c r="D32" s="29"/>
      <c r="E32" s="29"/>
      <c r="F32" s="59">
        <f t="array" aca="1" ref="F32:AC32" ca="1">_xll.VoseTimeGBM(Mu_m,Sigma_m,PriceNow)</f>
        <v>71.457143541301008</v>
      </c>
      <c r="G32" s="59">
        <f ca="1"/>
        <v>71.781167196167928</v>
      </c>
      <c r="H32" s="59">
        <f ca="1"/>
        <v>71.459338575186152</v>
      </c>
      <c r="I32" s="59">
        <f ca="1"/>
        <v>70.260880031102417</v>
      </c>
      <c r="J32" s="59">
        <f ca="1"/>
        <v>64.145921678845298</v>
      </c>
      <c r="K32" s="59">
        <f ca="1"/>
        <v>65.453775022045434</v>
      </c>
      <c r="L32" s="59">
        <f ca="1"/>
        <v>68.134534986354367</v>
      </c>
      <c r="M32" s="59">
        <f ca="1"/>
        <v>62.470237414126636</v>
      </c>
      <c r="N32" s="59">
        <f ca="1"/>
        <v>62.5267567166877</v>
      </c>
      <c r="O32" s="59">
        <f ca="1"/>
        <v>57.978758204519735</v>
      </c>
      <c r="P32" s="59">
        <f ca="1"/>
        <v>63.129695642264714</v>
      </c>
      <c r="Q32" s="59">
        <f ca="1"/>
        <v>56.154605948498222</v>
      </c>
      <c r="R32" s="59">
        <f ca="1"/>
        <v>47.399141279277906</v>
      </c>
      <c r="S32" s="59">
        <f ca="1"/>
        <v>51.080724586471497</v>
      </c>
      <c r="T32" s="59">
        <f ca="1"/>
        <v>52.543151072841177</v>
      </c>
      <c r="U32" s="59">
        <f ca="1"/>
        <v>54.903074235003636</v>
      </c>
      <c r="V32" s="59">
        <f ca="1"/>
        <v>58.177128587772941</v>
      </c>
      <c r="W32" s="59">
        <f ca="1"/>
        <v>54.944274613022081</v>
      </c>
      <c r="X32" s="59">
        <f ca="1"/>
        <v>51.594290951839589</v>
      </c>
      <c r="Y32" s="59">
        <f ca="1"/>
        <v>52.263696921506728</v>
      </c>
      <c r="Z32" s="59">
        <f ca="1"/>
        <v>52.560014434254498</v>
      </c>
      <c r="AA32" s="59">
        <f ca="1"/>
        <v>55.892164165897498</v>
      </c>
      <c r="AB32" s="59">
        <f ca="1"/>
        <v>50.959829873301608</v>
      </c>
      <c r="AC32" s="59">
        <f ca="1"/>
        <v>53.121929985270882</v>
      </c>
    </row>
    <row r="33" spans="2:29" x14ac:dyDescent="0.45">
      <c r="B33" s="26" t="s">
        <v>252</v>
      </c>
      <c r="C33" s="27" t="s">
        <v>120</v>
      </c>
      <c r="D33" s="29"/>
      <c r="E33" s="29"/>
      <c r="F33" s="60" cm="1">
        <f t="array" aca="1" ref="F33" ca="1">_xll.VosePERT(Uptime_Lo,Uptime_ML,Uptime_Hi)</f>
        <v>0.90769643116298981</v>
      </c>
      <c r="G33" s="60" cm="1">
        <f t="array" aca="1" ref="G33" ca="1">_xll.VosePERT(Uptime_Lo,Uptime_ML,Uptime_Hi)</f>
        <v>0.96860897018182923</v>
      </c>
      <c r="H33" s="60" cm="1">
        <f t="array" aca="1" ref="H33" ca="1">_xll.VosePERT(Uptime_Lo,Uptime_ML,Uptime_Hi)</f>
        <v>0.90059987621128523</v>
      </c>
      <c r="I33" s="60" cm="1">
        <f t="array" aca="1" ref="I33" ca="1">_xll.VosePERT(Uptime_Lo,Uptime_ML,Uptime_Hi)</f>
        <v>0.96378928871065217</v>
      </c>
      <c r="J33" s="60" cm="1">
        <f t="array" aca="1" ref="J33" ca="1">_xll.VosePERT(Uptime_Lo,Uptime_ML,Uptime_Hi)</f>
        <v>0.97369378571435372</v>
      </c>
      <c r="K33" s="60" cm="1">
        <f t="array" aca="1" ref="K33" ca="1">_xll.VosePERT(Uptime_Lo,Uptime_ML,Uptime_Hi)</f>
        <v>0.9809747945777838</v>
      </c>
      <c r="L33" s="60" cm="1">
        <f t="array" aca="1" ref="L33" ca="1">_xll.VosePERT(Uptime_Lo,Uptime_ML,Uptime_Hi)</f>
        <v>0.97804849881992151</v>
      </c>
      <c r="M33" s="60" cm="1">
        <f t="array" aca="1" ref="M33" ca="1">_xll.VosePERT(Uptime_Lo,Uptime_ML,Uptime_Hi)</f>
        <v>0.97172498884068159</v>
      </c>
      <c r="N33" s="60" cm="1">
        <f t="array" aca="1" ref="N33" ca="1">_xll.VosePERT(Uptime_Lo,Uptime_ML,Uptime_Hi)</f>
        <v>0.97871694552706057</v>
      </c>
      <c r="O33" s="60" cm="1">
        <f t="array" aca="1" ref="O33" ca="1">_xll.VosePERT(Uptime_Lo,Uptime_ML,Uptime_Hi)</f>
        <v>0.96660290378603808</v>
      </c>
      <c r="P33" s="60" cm="1">
        <f t="array" aca="1" ref="P33" ca="1">_xll.VosePERT(Uptime_Lo,Uptime_ML,Uptime_Hi)</f>
        <v>0.90328636943184271</v>
      </c>
      <c r="Q33" s="60" cm="1">
        <f t="array" aca="1" ref="Q33" ca="1">_xll.VosePERT(Uptime_Lo,Uptime_ML,Uptime_Hi)</f>
        <v>0.94040480965867412</v>
      </c>
      <c r="R33" s="60" cm="1">
        <f t="array" aca="1" ref="R33" ca="1">_xll.VosePERT(Uptime_Lo,Uptime_ML,Uptime_Hi)</f>
        <v>0.97330567499088272</v>
      </c>
      <c r="S33" s="60" cm="1">
        <f t="array" aca="1" ref="S33" ca="1">_xll.VosePERT(Uptime_Lo,Uptime_ML,Uptime_Hi)</f>
        <v>0.88701832085283061</v>
      </c>
      <c r="T33" s="60" cm="1">
        <f t="array" aca="1" ref="T33" ca="1">_xll.VosePERT(Uptime_Lo,Uptime_ML,Uptime_Hi)</f>
        <v>0.95657830550486556</v>
      </c>
      <c r="U33" s="60" cm="1">
        <f t="array" aca="1" ref="U33" ca="1">_xll.VosePERT(Uptime_Lo,Uptime_ML,Uptime_Hi)</f>
        <v>0.97976023361136733</v>
      </c>
      <c r="V33" s="60" cm="1">
        <f t="array" aca="1" ref="V33" ca="1">_xll.VosePERT(Uptime_Lo,Uptime_ML,Uptime_Hi)</f>
        <v>0.93441632433768484</v>
      </c>
      <c r="W33" s="60" cm="1">
        <f t="array" aca="1" ref="W33" ca="1">_xll.VosePERT(Uptime_Lo,Uptime_ML,Uptime_Hi)</f>
        <v>0.9911758882813142</v>
      </c>
      <c r="X33" s="60" cm="1">
        <f t="array" aca="1" ref="X33" ca="1">_xll.VosePERT(Uptime_Lo,Uptime_ML,Uptime_Hi)</f>
        <v>0.92480319197249483</v>
      </c>
      <c r="Y33" s="60" cm="1">
        <f t="array" aca="1" ref="Y33" ca="1">_xll.VosePERT(Uptime_Lo,Uptime_ML,Uptime_Hi)</f>
        <v>0.91854111849396081</v>
      </c>
      <c r="Z33" s="60" cm="1">
        <f t="array" aca="1" ref="Z33" ca="1">_xll.VosePERT(Uptime_Lo,Uptime_ML,Uptime_Hi)</f>
        <v>0.98430687919540927</v>
      </c>
      <c r="AA33" s="60" cm="1">
        <f t="array" aca="1" ref="AA33" ca="1">_xll.VosePERT(Uptime_Lo,Uptime_ML,Uptime_Hi)</f>
        <v>0.97226602901403436</v>
      </c>
      <c r="AB33" s="60" cm="1">
        <f t="array" aca="1" ref="AB33" ca="1">_xll.VosePERT(Uptime_Lo,Uptime_ML,Uptime_Hi)</f>
        <v>0.9538289378639091</v>
      </c>
      <c r="AC33" s="60" cm="1">
        <f t="array" aca="1" ref="AC33" ca="1">_xll.VosePERT(Uptime_Lo,Uptime_ML,Uptime_Hi)</f>
        <v>0.94259763356290471</v>
      </c>
    </row>
    <row r="34" spans="2:29" x14ac:dyDescent="0.45">
      <c r="B34" s="26" t="s">
        <v>253</v>
      </c>
      <c r="C34" s="27" t="s">
        <v>225</v>
      </c>
      <c r="D34" s="29"/>
      <c r="E34" s="29"/>
      <c r="F34" s="53">
        <f t="shared" ref="F34:AC34" ca="1" si="1">IF(AND(Outage=1,F$6&gt;=OutageStart,F$6&lt;OutageStart+OutageMonths),1,0)</f>
        <v>0</v>
      </c>
      <c r="G34" s="53">
        <f t="shared" ca="1" si="1"/>
        <v>0</v>
      </c>
      <c r="H34" s="53">
        <f t="shared" ca="1" si="1"/>
        <v>0</v>
      </c>
      <c r="I34" s="53">
        <f t="shared" ca="1" si="1"/>
        <v>0</v>
      </c>
      <c r="J34" s="53">
        <f t="shared" ca="1" si="1"/>
        <v>0</v>
      </c>
      <c r="K34" s="53">
        <f t="shared" ca="1" si="1"/>
        <v>0</v>
      </c>
      <c r="L34" s="53">
        <f t="shared" ca="1" si="1"/>
        <v>0</v>
      </c>
      <c r="M34" s="53">
        <f t="shared" ca="1" si="1"/>
        <v>0</v>
      </c>
      <c r="N34" s="53">
        <f t="shared" ca="1" si="1"/>
        <v>0</v>
      </c>
      <c r="O34" s="53">
        <f t="shared" ca="1" si="1"/>
        <v>0</v>
      </c>
      <c r="P34" s="53">
        <f t="shared" ca="1" si="1"/>
        <v>0</v>
      </c>
      <c r="Q34" s="53">
        <f t="shared" ca="1" si="1"/>
        <v>0</v>
      </c>
      <c r="R34" s="53">
        <f t="shared" ca="1" si="1"/>
        <v>0</v>
      </c>
      <c r="S34" s="53">
        <f t="shared" ca="1" si="1"/>
        <v>0</v>
      </c>
      <c r="T34" s="53">
        <f t="shared" ca="1" si="1"/>
        <v>0</v>
      </c>
      <c r="U34" s="53">
        <f t="shared" ca="1" si="1"/>
        <v>0</v>
      </c>
      <c r="V34" s="53">
        <f t="shared" ca="1" si="1"/>
        <v>0</v>
      </c>
      <c r="W34" s="53">
        <f t="shared" ca="1" si="1"/>
        <v>0</v>
      </c>
      <c r="X34" s="53">
        <f t="shared" ca="1" si="1"/>
        <v>0</v>
      </c>
      <c r="Y34" s="53">
        <f t="shared" ca="1" si="1"/>
        <v>0</v>
      </c>
      <c r="Z34" s="53">
        <f t="shared" ca="1" si="1"/>
        <v>0</v>
      </c>
      <c r="AA34" s="53">
        <f t="shared" ca="1" si="1"/>
        <v>0</v>
      </c>
      <c r="AB34" s="53">
        <f t="shared" ca="1" si="1"/>
        <v>0</v>
      </c>
      <c r="AC34" s="53">
        <f t="shared" ca="1" si="1"/>
        <v>0</v>
      </c>
    </row>
    <row r="35" spans="2:29" x14ac:dyDescent="0.45">
      <c r="B35" s="26" t="s">
        <v>77</v>
      </c>
      <c r="C35" s="27" t="s">
        <v>254</v>
      </c>
      <c r="D35" s="61">
        <f ca="1">SUM(F35:AC35)</f>
        <v>3427.911930045716</v>
      </c>
      <c r="E35" s="29"/>
      <c r="F35" s="57">
        <f t="shared" ref="F35:AC35" ca="1" si="2">PlanVolume*F33*(1-F34)</f>
        <v>136.15446467444846</v>
      </c>
      <c r="G35" s="57">
        <f t="shared" ca="1" si="2"/>
        <v>145.29134552727439</v>
      </c>
      <c r="H35" s="57">
        <f t="shared" ca="1" si="2"/>
        <v>135.08998143169279</v>
      </c>
      <c r="I35" s="57">
        <f t="shared" ca="1" si="2"/>
        <v>144.56839330659781</v>
      </c>
      <c r="J35" s="57">
        <f t="shared" ca="1" si="2"/>
        <v>146.05406785715306</v>
      </c>
      <c r="K35" s="57">
        <f t="shared" ca="1" si="2"/>
        <v>147.14621918666757</v>
      </c>
      <c r="L35" s="57">
        <f t="shared" ca="1" si="2"/>
        <v>146.70727482298824</v>
      </c>
      <c r="M35" s="57">
        <f t="shared" ca="1" si="2"/>
        <v>145.75874832610225</v>
      </c>
      <c r="N35" s="57">
        <f t="shared" ca="1" si="2"/>
        <v>146.80754182905909</v>
      </c>
      <c r="O35" s="57">
        <f t="shared" ca="1" si="2"/>
        <v>144.99043556790571</v>
      </c>
      <c r="P35" s="57">
        <f t="shared" ca="1" si="2"/>
        <v>135.49295541477642</v>
      </c>
      <c r="Q35" s="57">
        <f t="shared" ca="1" si="2"/>
        <v>141.06072144880113</v>
      </c>
      <c r="R35" s="57">
        <f t="shared" ca="1" si="2"/>
        <v>145.99585124863242</v>
      </c>
      <c r="S35" s="57">
        <f t="shared" ca="1" si="2"/>
        <v>133.05274812792459</v>
      </c>
      <c r="T35" s="57">
        <f t="shared" ca="1" si="2"/>
        <v>143.48674582572983</v>
      </c>
      <c r="U35" s="57">
        <f t="shared" ca="1" si="2"/>
        <v>146.9640350417051</v>
      </c>
      <c r="V35" s="57">
        <f t="shared" ca="1" si="2"/>
        <v>140.16244865065272</v>
      </c>
      <c r="W35" s="57">
        <f t="shared" ca="1" si="2"/>
        <v>148.67638324219712</v>
      </c>
      <c r="X35" s="57">
        <f t="shared" ca="1" si="2"/>
        <v>138.72047879587421</v>
      </c>
      <c r="Y35" s="57">
        <f t="shared" ca="1" si="2"/>
        <v>137.78116777409411</v>
      </c>
      <c r="Z35" s="57">
        <f t="shared" ca="1" si="2"/>
        <v>147.64603187931138</v>
      </c>
      <c r="AA35" s="57">
        <f t="shared" ca="1" si="2"/>
        <v>145.83990435210515</v>
      </c>
      <c r="AB35" s="57">
        <f t="shared" ca="1" si="2"/>
        <v>143.07434067958636</v>
      </c>
      <c r="AC35" s="57">
        <f t="shared" ca="1" si="2"/>
        <v>141.38964503443572</v>
      </c>
    </row>
    <row r="36" spans="2:29" x14ac:dyDescent="0.45">
      <c r="B36" s="40" t="s">
        <v>255</v>
      </c>
      <c r="C36" s="27" t="s">
        <v>235</v>
      </c>
      <c r="D36" s="62">
        <f ca="1">SUM(F36:AC36)</f>
        <v>202.850756703287</v>
      </c>
      <c r="E36" s="29"/>
      <c r="F36" s="62">
        <f t="shared" ref="F36:AC36" ca="1" si="3">F35*F32/1000</f>
        <v>9.7292091260310603</v>
      </c>
      <c r="G36" s="62">
        <f t="shared" ca="1" si="3"/>
        <v>10.429182365449487</v>
      </c>
      <c r="H36" s="62">
        <f t="shared" ca="1" si="3"/>
        <v>9.6534407212429443</v>
      </c>
      <c r="I36" s="62">
        <f t="shared" ca="1" si="3"/>
        <v>10.157502538404099</v>
      </c>
      <c r="J36" s="62">
        <f t="shared" ca="1" si="3"/>
        <v>9.3687727976416966</v>
      </c>
      <c r="K36" s="62">
        <f t="shared" ca="1" si="3"/>
        <v>9.6312755259887233</v>
      </c>
      <c r="L36" s="62">
        <f t="shared" ca="1" si="3"/>
        <v>9.9958319491795979</v>
      </c>
      <c r="M36" s="62">
        <f t="shared" ca="1" si="3"/>
        <v>9.1055836131175401</v>
      </c>
      <c r="N36" s="62">
        <f t="shared" ca="1" si="3"/>
        <v>9.1793994521205313</v>
      </c>
      <c r="O36" s="62">
        <f t="shared" ca="1" si="3"/>
        <v>8.4063654057596029</v>
      </c>
      <c r="P36" s="62">
        <f t="shared" ca="1" si="3"/>
        <v>8.553629037005777</v>
      </c>
      <c r="Q36" s="62">
        <f t="shared" ca="1" si="3"/>
        <v>7.9212092277682986</v>
      </c>
      <c r="R36" s="62">
        <f t="shared" ca="1" si="3"/>
        <v>6.9200779795223699</v>
      </c>
      <c r="S36" s="62">
        <f t="shared" ca="1" si="3"/>
        <v>6.7964307825956762</v>
      </c>
      <c r="T36" s="62">
        <f t="shared" ca="1" si="3"/>
        <v>7.539245762871686</v>
      </c>
      <c r="U36" s="62">
        <f t="shared" ca="1" si="3"/>
        <v>8.0687773257704105</v>
      </c>
      <c r="V36" s="62">
        <f t="shared" ca="1" si="3"/>
        <v>8.1542487983261456</v>
      </c>
      <c r="W36" s="62">
        <f t="shared" ca="1" si="3"/>
        <v>8.1689160293301928</v>
      </c>
      <c r="X36" s="62">
        <f t="shared" ca="1" si="3"/>
        <v>7.1571847439728291</v>
      </c>
      <c r="Y36" s="62">
        <f t="shared" ca="1" si="3"/>
        <v>7.2009531940365248</v>
      </c>
      <c r="Z36" s="62">
        <f t="shared" ca="1" si="3"/>
        <v>7.7602775667370061</v>
      </c>
      <c r="AA36" s="62">
        <f t="shared" ca="1" si="3"/>
        <v>8.1513078759866495</v>
      </c>
      <c r="AB36" s="62">
        <f t="shared" ca="1" si="3"/>
        <v>7.2910440602665165</v>
      </c>
      <c r="AC36" s="62">
        <f t="shared" ca="1" si="3"/>
        <v>7.5108908241615975</v>
      </c>
    </row>
    <row r="37" spans="2:29" ht="8" customHeight="1" x14ac:dyDescent="0.45"/>
    <row r="38" spans="2:29" ht="22.05" customHeight="1" x14ac:dyDescent="0.5">
      <c r="B38" s="7" t="s">
        <v>256</v>
      </c>
      <c r="C38" s="8"/>
      <c r="D38" s="8"/>
      <c r="E38" s="8"/>
      <c r="F38" s="8"/>
      <c r="G38" s="8"/>
      <c r="H38" s="8"/>
      <c r="I38" s="8"/>
      <c r="J38" s="8"/>
      <c r="K38" s="8"/>
      <c r="L38" s="8"/>
      <c r="M38" s="8"/>
      <c r="N38" s="8"/>
      <c r="O38" s="8"/>
      <c r="P38" s="8"/>
      <c r="Q38" s="8"/>
      <c r="R38" s="8"/>
      <c r="S38" s="8"/>
      <c r="T38" s="8"/>
      <c r="U38" s="8"/>
      <c r="V38" s="8"/>
      <c r="W38" s="8"/>
      <c r="X38" s="8"/>
      <c r="Y38" s="8"/>
      <c r="Z38" s="8"/>
      <c r="AA38" s="8"/>
      <c r="AB38" s="8"/>
      <c r="AC38" s="8"/>
    </row>
    <row r="39" spans="2:29" ht="18" customHeight="1" x14ac:dyDescent="0.45">
      <c r="B39" s="13" t="s">
        <v>257</v>
      </c>
    </row>
    <row r="40" spans="2:29" x14ac:dyDescent="0.45">
      <c r="B40" s="26" t="s">
        <v>258</v>
      </c>
      <c r="C40" s="27" t="s">
        <v>235</v>
      </c>
      <c r="D40" s="62">
        <f ca="1">SUM(F40:AC40)</f>
        <v>25.524698790279629</v>
      </c>
      <c r="E40" s="29"/>
      <c r="F40" s="58">
        <f t="shared" ref="F40:AC40" ca="1" si="4">(SwapPrice-F32)*SwapShare_Start*PlanVolume/1000</f>
        <v>-4.1142918717090707E-2</v>
      </c>
      <c r="G40" s="58">
        <f t="shared" ca="1" si="4"/>
        <v>-7.0305047655113528E-2</v>
      </c>
      <c r="H40" s="58">
        <f t="shared" ca="1" si="4"/>
        <v>-4.1340471766753664E-2</v>
      </c>
      <c r="I40" s="58">
        <f t="shared" ca="1" si="4"/>
        <v>6.652079720078248E-2</v>
      </c>
      <c r="J40" s="58">
        <f t="shared" ca="1" si="4"/>
        <v>0.61686704890392319</v>
      </c>
      <c r="K40" s="58">
        <f t="shared" ca="1" si="4"/>
        <v>0.49916024801591097</v>
      </c>
      <c r="L40" s="58">
        <f t="shared" ca="1" si="4"/>
        <v>0.25789185122810693</v>
      </c>
      <c r="M40" s="58">
        <f t="shared" ca="1" si="4"/>
        <v>0.76767863272860282</v>
      </c>
      <c r="N40" s="58">
        <f t="shared" ca="1" si="4"/>
        <v>0.76259189549810702</v>
      </c>
      <c r="O40" s="58">
        <f t="shared" ca="1" si="4"/>
        <v>1.171911761593224</v>
      </c>
      <c r="P40" s="58">
        <f t="shared" ca="1" si="4"/>
        <v>0.70832739219617569</v>
      </c>
      <c r="Q40" s="58">
        <f t="shared" ca="1" si="4"/>
        <v>1.3360854646351599</v>
      </c>
      <c r="R40" s="58">
        <f t="shared" ca="1" si="4"/>
        <v>2.1240772848649887</v>
      </c>
      <c r="S40" s="58">
        <f t="shared" ca="1" si="4"/>
        <v>1.7927347872175652</v>
      </c>
      <c r="T40" s="58">
        <f t="shared" ca="1" si="4"/>
        <v>1.661116403444294</v>
      </c>
      <c r="U40" s="58">
        <f t="shared" ca="1" si="4"/>
        <v>1.4487233188496726</v>
      </c>
      <c r="V40" s="58">
        <f t="shared" ca="1" si="4"/>
        <v>1.1540584271004353</v>
      </c>
      <c r="W40" s="58">
        <f t="shared" ca="1" si="4"/>
        <v>1.4450152848280124</v>
      </c>
      <c r="X40" s="58">
        <f t="shared" ca="1" si="4"/>
        <v>1.7465138143344368</v>
      </c>
      <c r="Y40" s="58">
        <f t="shared" ca="1" si="4"/>
        <v>1.6862672770643945</v>
      </c>
      <c r="Z40" s="58">
        <f t="shared" ca="1" si="4"/>
        <v>1.6595987009170952</v>
      </c>
      <c r="AA40" s="58">
        <f t="shared" ca="1" si="4"/>
        <v>1.3597052250692252</v>
      </c>
      <c r="AB40" s="58">
        <f t="shared" ca="1" si="4"/>
        <v>1.8036153114028552</v>
      </c>
      <c r="AC40" s="58">
        <f t="shared" ca="1" si="4"/>
        <v>1.6090263013256205</v>
      </c>
    </row>
    <row r="41" spans="2:29" x14ac:dyDescent="0.45">
      <c r="B41" s="26" t="s">
        <v>259</v>
      </c>
      <c r="C41" s="27" t="s">
        <v>235</v>
      </c>
      <c r="D41" s="62">
        <f ca="1">SUM(F41:AC41)</f>
        <v>0</v>
      </c>
      <c r="E41" s="29"/>
      <c r="F41" s="58">
        <f t="shared" ref="F41:AC41" ca="1" si="5">(MAX(PutStrike_Start-F32,0)-PutPrem_Start)*PutShare_Start*PlanVolume/1000</f>
        <v>0</v>
      </c>
      <c r="G41" s="58">
        <f t="shared" ca="1" si="5"/>
        <v>0</v>
      </c>
      <c r="H41" s="58">
        <f t="shared" ca="1" si="5"/>
        <v>0</v>
      </c>
      <c r="I41" s="58">
        <f t="shared" ca="1" si="5"/>
        <v>0</v>
      </c>
      <c r="J41" s="58">
        <f t="shared" ca="1" si="5"/>
        <v>0</v>
      </c>
      <c r="K41" s="58">
        <f t="shared" ca="1" si="5"/>
        <v>0</v>
      </c>
      <c r="L41" s="58">
        <f t="shared" ca="1" si="5"/>
        <v>0</v>
      </c>
      <c r="M41" s="58">
        <f t="shared" ca="1" si="5"/>
        <v>0</v>
      </c>
      <c r="N41" s="58">
        <f t="shared" ca="1" si="5"/>
        <v>0</v>
      </c>
      <c r="O41" s="58">
        <f t="shared" ca="1" si="5"/>
        <v>0</v>
      </c>
      <c r="P41" s="58">
        <f t="shared" ca="1" si="5"/>
        <v>0</v>
      </c>
      <c r="Q41" s="58">
        <f t="shared" ca="1" si="5"/>
        <v>0</v>
      </c>
      <c r="R41" s="58">
        <f t="shared" ca="1" si="5"/>
        <v>0</v>
      </c>
      <c r="S41" s="58">
        <f t="shared" ca="1" si="5"/>
        <v>0</v>
      </c>
      <c r="T41" s="58">
        <f t="shared" ca="1" si="5"/>
        <v>0</v>
      </c>
      <c r="U41" s="58">
        <f t="shared" ca="1" si="5"/>
        <v>0</v>
      </c>
      <c r="V41" s="58">
        <f t="shared" ca="1" si="5"/>
        <v>0</v>
      </c>
      <c r="W41" s="58">
        <f t="shared" ca="1" si="5"/>
        <v>0</v>
      </c>
      <c r="X41" s="58">
        <f t="shared" ca="1" si="5"/>
        <v>0</v>
      </c>
      <c r="Y41" s="58">
        <f t="shared" ca="1" si="5"/>
        <v>0</v>
      </c>
      <c r="Z41" s="58">
        <f t="shared" ca="1" si="5"/>
        <v>0</v>
      </c>
      <c r="AA41" s="58">
        <f t="shared" ca="1" si="5"/>
        <v>0</v>
      </c>
      <c r="AB41" s="58">
        <f t="shared" ca="1" si="5"/>
        <v>0</v>
      </c>
      <c r="AC41" s="58">
        <f t="shared" ca="1" si="5"/>
        <v>0</v>
      </c>
    </row>
    <row r="42" spans="2:29" x14ac:dyDescent="0.45">
      <c r="B42" s="26" t="s">
        <v>260</v>
      </c>
      <c r="C42" s="27" t="s">
        <v>235</v>
      </c>
      <c r="D42" s="62">
        <f ca="1">SUM(F42:AC42)</f>
        <v>8.5082329300932109</v>
      </c>
      <c r="E42" s="29"/>
      <c r="F42" s="58">
        <f t="shared" ref="F42:AC42" ca="1" si="6">(SwapPrice-F32)*SwapShare*PlanVolume/1000</f>
        <v>-1.3714306239030236E-2</v>
      </c>
      <c r="G42" s="58">
        <f t="shared" ca="1" si="6"/>
        <v>-2.3435015885037842E-2</v>
      </c>
      <c r="H42" s="58">
        <f t="shared" ca="1" si="6"/>
        <v>-1.3780157255584555E-2</v>
      </c>
      <c r="I42" s="58">
        <f t="shared" ca="1" si="6"/>
        <v>2.2173599066927493E-2</v>
      </c>
      <c r="J42" s="58">
        <f t="shared" ca="1" si="6"/>
        <v>0.2056223496346411</v>
      </c>
      <c r="K42" s="58">
        <f t="shared" ca="1" si="6"/>
        <v>0.16638674933863698</v>
      </c>
      <c r="L42" s="58">
        <f t="shared" ca="1" si="6"/>
        <v>8.596395040936898E-2</v>
      </c>
      <c r="M42" s="58">
        <f t="shared" ca="1" si="6"/>
        <v>0.25589287757620094</v>
      </c>
      <c r="N42" s="58">
        <f t="shared" ca="1" si="6"/>
        <v>0.25419729849936901</v>
      </c>
      <c r="O42" s="58">
        <f t="shared" ca="1" si="6"/>
        <v>0.39063725386440795</v>
      </c>
      <c r="P42" s="58">
        <f t="shared" ca="1" si="6"/>
        <v>0.23610913073205858</v>
      </c>
      <c r="Q42" s="58">
        <f t="shared" ca="1" si="6"/>
        <v>0.44536182154505338</v>
      </c>
      <c r="R42" s="58">
        <f t="shared" ca="1" si="6"/>
        <v>0.70802576162166286</v>
      </c>
      <c r="S42" s="58">
        <f t="shared" ca="1" si="6"/>
        <v>0.5975782624058551</v>
      </c>
      <c r="T42" s="58">
        <f t="shared" ca="1" si="6"/>
        <v>0.55370546781476471</v>
      </c>
      <c r="U42" s="58">
        <f t="shared" ca="1" si="6"/>
        <v>0.4829077729498909</v>
      </c>
      <c r="V42" s="58">
        <f t="shared" ca="1" si="6"/>
        <v>0.38468614236681181</v>
      </c>
      <c r="W42" s="58">
        <f t="shared" ca="1" si="6"/>
        <v>0.48167176160933756</v>
      </c>
      <c r="X42" s="58">
        <f t="shared" ca="1" si="6"/>
        <v>0.58217127144481229</v>
      </c>
      <c r="Y42" s="58">
        <f t="shared" ca="1" si="6"/>
        <v>0.56208909235479809</v>
      </c>
      <c r="Z42" s="58">
        <f t="shared" ca="1" si="6"/>
        <v>0.55319956697236516</v>
      </c>
      <c r="AA42" s="58">
        <f t="shared" ca="1" si="6"/>
        <v>0.45323507502307508</v>
      </c>
      <c r="AB42" s="58">
        <f t="shared" ca="1" si="6"/>
        <v>0.60120510380095171</v>
      </c>
      <c r="AC42" s="58">
        <f t="shared" ca="1" si="6"/>
        <v>0.53634210044187358</v>
      </c>
    </row>
    <row r="43" spans="2:29" x14ac:dyDescent="0.45">
      <c r="B43" s="26" t="s">
        <v>261</v>
      </c>
      <c r="C43" s="27" t="s">
        <v>235</v>
      </c>
      <c r="D43" s="62">
        <f ca="1">SUM(F43:AC43)</f>
        <v>7.2305823252330246</v>
      </c>
      <c r="E43" s="29"/>
      <c r="F43" s="58">
        <f t="shared" ref="F43:AC43" ca="1" si="7">(MAX(PutStrike-F32,0)-PutPrem_Plan)*PutShare*PlanVolume/1000</f>
        <v>-0.61928576559757564</v>
      </c>
      <c r="G43" s="58">
        <f t="shared" ca="1" si="7"/>
        <v>-0.64358753971259464</v>
      </c>
      <c r="H43" s="58">
        <f t="shared" ca="1" si="7"/>
        <v>-0.61945039313896144</v>
      </c>
      <c r="I43" s="58">
        <f t="shared" ca="1" si="7"/>
        <v>-0.52956600233268136</v>
      </c>
      <c r="J43" s="58">
        <f t="shared" ca="1" si="7"/>
        <v>-7.0944125913397382E-2</v>
      </c>
      <c r="K43" s="58">
        <f t="shared" ca="1" si="7"/>
        <v>-0.16903312665340761</v>
      </c>
      <c r="L43" s="58">
        <f t="shared" ca="1" si="7"/>
        <v>-0.37009012397657759</v>
      </c>
      <c r="M43" s="58">
        <f t="shared" ca="1" si="7"/>
        <v>5.4732193940502244E-2</v>
      </c>
      <c r="N43" s="58">
        <f t="shared" ca="1" si="7"/>
        <v>5.0493246248422434E-2</v>
      </c>
      <c r="O43" s="58">
        <f t="shared" ca="1" si="7"/>
        <v>0.3915931346610198</v>
      </c>
      <c r="P43" s="58">
        <f t="shared" ca="1" si="7"/>
        <v>5.2728268301463817E-3</v>
      </c>
      <c r="Q43" s="58">
        <f t="shared" ca="1" si="7"/>
        <v>0.5284045538626333</v>
      </c>
      <c r="R43" s="58">
        <f t="shared" ca="1" si="7"/>
        <v>1.1850644040541569</v>
      </c>
      <c r="S43" s="58">
        <f t="shared" ca="1" si="7"/>
        <v>0.90894565601463762</v>
      </c>
      <c r="T43" s="58">
        <f t="shared" ca="1" si="7"/>
        <v>0.79926366953691175</v>
      </c>
      <c r="U43" s="58">
        <f t="shared" ca="1" si="7"/>
        <v>0.6222694323747272</v>
      </c>
      <c r="V43" s="58">
        <f t="shared" ca="1" si="7"/>
        <v>0.37671535591702932</v>
      </c>
      <c r="W43" s="58">
        <f t="shared" ca="1" si="7"/>
        <v>0.61917940402334382</v>
      </c>
      <c r="X43" s="58">
        <f t="shared" ca="1" si="7"/>
        <v>0.8704281786120307</v>
      </c>
      <c r="Y43" s="58">
        <f t="shared" ca="1" si="7"/>
        <v>0.82022273088699538</v>
      </c>
      <c r="Z43" s="58">
        <f t="shared" ca="1" si="7"/>
        <v>0.79799891743091256</v>
      </c>
      <c r="AA43" s="58">
        <f t="shared" ca="1" si="7"/>
        <v>0.54808768755768766</v>
      </c>
      <c r="AB43" s="58">
        <f t="shared" ca="1" si="7"/>
        <v>0.91801275950237937</v>
      </c>
      <c r="AC43" s="58">
        <f t="shared" ca="1" si="7"/>
        <v>0.75585525110468377</v>
      </c>
    </row>
    <row r="44" spans="2:29" ht="8" customHeight="1" x14ac:dyDescent="0.45"/>
    <row r="45" spans="2:29" ht="22.05" customHeight="1" x14ac:dyDescent="0.5">
      <c r="B45" s="7" t="s">
        <v>262</v>
      </c>
      <c r="C45" s="8"/>
      <c r="D45" s="8"/>
      <c r="E45" s="8"/>
      <c r="F45" s="8"/>
      <c r="G45" s="8"/>
      <c r="H45" s="8"/>
      <c r="I45" s="8"/>
      <c r="J45" s="8"/>
      <c r="K45" s="8"/>
      <c r="L45" s="8"/>
      <c r="M45" s="8"/>
      <c r="N45" s="8"/>
      <c r="O45" s="8"/>
      <c r="P45" s="8"/>
      <c r="Q45" s="8"/>
      <c r="R45" s="8"/>
      <c r="S45" s="8"/>
      <c r="T45" s="8"/>
      <c r="U45" s="8"/>
      <c r="V45" s="8"/>
      <c r="W45" s="8"/>
      <c r="X45" s="8"/>
      <c r="Y45" s="8"/>
      <c r="Z45" s="8"/>
      <c r="AA45" s="8"/>
      <c r="AB45" s="8"/>
      <c r="AC45" s="8"/>
    </row>
    <row r="46" spans="2:29" ht="18" customHeight="1" x14ac:dyDescent="0.45">
      <c r="B46" s="13" t="s">
        <v>263</v>
      </c>
    </row>
    <row r="47" spans="2:29" ht="18" customHeight="1" x14ac:dyDescent="0.45">
      <c r="B47" s="36" t="s">
        <v>264</v>
      </c>
      <c r="C47" s="36" t="s">
        <v>107</v>
      </c>
      <c r="D47" s="37" t="s">
        <v>217</v>
      </c>
      <c r="E47" s="5"/>
      <c r="F47" s="36" t="s">
        <v>265</v>
      </c>
      <c r="G47" s="5"/>
      <c r="H47" s="5"/>
      <c r="I47" s="5"/>
      <c r="J47" s="5"/>
      <c r="K47" s="5"/>
      <c r="L47" s="5"/>
      <c r="M47" s="5"/>
      <c r="N47" s="5"/>
      <c r="O47" s="5"/>
      <c r="P47" s="5"/>
      <c r="Q47" s="5"/>
      <c r="R47" s="5"/>
      <c r="S47" s="5"/>
      <c r="T47" s="5"/>
      <c r="U47" s="5"/>
      <c r="V47" s="5"/>
      <c r="W47" s="5"/>
      <c r="X47" s="5"/>
      <c r="Y47" s="5"/>
      <c r="Z47" s="5"/>
      <c r="AA47" s="5"/>
      <c r="AB47" s="5"/>
      <c r="AC47" s="5"/>
    </row>
    <row r="48" spans="2:29" x14ac:dyDescent="0.45">
      <c r="B48" s="26" t="s">
        <v>266</v>
      </c>
      <c r="C48" s="27" t="s">
        <v>235</v>
      </c>
      <c r="D48" s="63" cm="1">
        <f t="array" aca="1" ref="D48" ca="1">_xll.VoseOutput("Revenue, no hedge","US$m")+D36</f>
        <v>202.850756703287</v>
      </c>
      <c r="E48" s="29"/>
      <c r="F48" s="27" t="s">
        <v>267</v>
      </c>
      <c r="G48" s="29"/>
      <c r="H48" s="29"/>
      <c r="I48" s="29"/>
      <c r="J48" s="29"/>
      <c r="K48" s="29"/>
      <c r="L48" s="29"/>
      <c r="M48" s="29"/>
      <c r="N48" s="29"/>
      <c r="O48" s="29"/>
      <c r="P48" s="29"/>
      <c r="Q48" s="29"/>
      <c r="R48" s="29"/>
      <c r="S48" s="29"/>
      <c r="T48" s="29"/>
      <c r="U48" s="29"/>
      <c r="V48" s="29"/>
      <c r="W48" s="29"/>
      <c r="X48" s="29"/>
      <c r="Y48" s="29"/>
      <c r="Z48" s="29"/>
      <c r="AA48" s="29"/>
      <c r="AB48" s="29"/>
      <c r="AC48" s="29"/>
    </row>
    <row r="49" spans="2:29" x14ac:dyDescent="0.45">
      <c r="B49" s="26" t="s">
        <v>268</v>
      </c>
      <c r="C49" s="27" t="s">
        <v>235</v>
      </c>
      <c r="D49" s="63" cm="1">
        <f t="array" aca="1" ref="D49" ca="1">_xll.VoseOutput("Revenue, starting plan","US$m")+D36+D40+D41</f>
        <v>228.37545549356662</v>
      </c>
      <c r="E49" s="29"/>
      <c r="F49" s="27" t="s">
        <v>269</v>
      </c>
      <c r="G49" s="29"/>
      <c r="H49" s="29"/>
      <c r="I49" s="29"/>
      <c r="J49" s="29"/>
      <c r="K49" s="29"/>
      <c r="L49" s="29"/>
      <c r="M49" s="29"/>
      <c r="N49" s="29"/>
      <c r="O49" s="29"/>
      <c r="P49" s="29"/>
      <c r="Q49" s="29"/>
      <c r="R49" s="29"/>
      <c r="S49" s="29"/>
      <c r="T49" s="29"/>
      <c r="U49" s="29"/>
      <c r="V49" s="29"/>
      <c r="W49" s="29"/>
      <c r="X49" s="29"/>
      <c r="Y49" s="29"/>
      <c r="Z49" s="29"/>
      <c r="AA49" s="29"/>
      <c r="AB49" s="29"/>
      <c r="AC49" s="29"/>
    </row>
    <row r="50" spans="2:29" x14ac:dyDescent="0.45">
      <c r="B50" s="26" t="s">
        <v>270</v>
      </c>
      <c r="C50" s="27" t="s">
        <v>235</v>
      </c>
      <c r="D50" s="63" cm="1">
        <f t="array" aca="1" ref="D50" ca="1">_xll.VoseOutput("Revenue, plan in use","US$m")+D36+D42+D43</f>
        <v>218.58957195861325</v>
      </c>
      <c r="E50" s="29"/>
      <c r="F50" s="27"/>
      <c r="G50" s="29"/>
      <c r="H50" s="29"/>
      <c r="I50" s="29"/>
      <c r="J50" s="29"/>
      <c r="K50" s="29"/>
      <c r="L50" s="29"/>
      <c r="M50" s="29"/>
      <c r="N50" s="29"/>
      <c r="O50" s="29"/>
      <c r="P50" s="29"/>
      <c r="Q50" s="29"/>
      <c r="R50" s="29"/>
      <c r="S50" s="29"/>
      <c r="T50" s="29"/>
      <c r="U50" s="29"/>
      <c r="V50" s="29"/>
      <c r="W50" s="29"/>
      <c r="X50" s="29"/>
      <c r="Y50" s="29"/>
      <c r="Z50" s="29"/>
      <c r="AA50" s="29"/>
      <c r="AB50" s="29"/>
      <c r="AC50" s="29"/>
    </row>
    <row r="51" spans="2:29" x14ac:dyDescent="0.45">
      <c r="B51" s="26" t="s">
        <v>271</v>
      </c>
      <c r="C51" s="27" t="s">
        <v>235</v>
      </c>
      <c r="D51" s="64" cm="1">
        <f t="array" aca="1" ref="D51" ca="1">_xll.VoseOutput("Hedge payoff, starting plan","US$m")+D40+D41</f>
        <v>25.524698790279629</v>
      </c>
      <c r="E51" s="29"/>
      <c r="F51" s="27" t="s">
        <v>272</v>
      </c>
      <c r="G51" s="29"/>
      <c r="H51" s="29"/>
      <c r="I51" s="29"/>
      <c r="J51" s="29"/>
      <c r="K51" s="29"/>
      <c r="L51" s="29"/>
      <c r="M51" s="29"/>
      <c r="N51" s="29"/>
      <c r="O51" s="29"/>
      <c r="P51" s="29"/>
      <c r="Q51" s="29"/>
      <c r="R51" s="29"/>
      <c r="S51" s="29"/>
      <c r="T51" s="29"/>
      <c r="U51" s="29"/>
      <c r="V51" s="29"/>
      <c r="W51" s="29"/>
      <c r="X51" s="29"/>
      <c r="Y51" s="29"/>
      <c r="Z51" s="29"/>
      <c r="AA51" s="29"/>
      <c r="AB51" s="29"/>
      <c r="AC51" s="29"/>
    </row>
    <row r="52" spans="2:29" x14ac:dyDescent="0.45">
      <c r="B52" s="26" t="s">
        <v>273</v>
      </c>
      <c r="C52" s="27" t="s">
        <v>235</v>
      </c>
      <c r="D52" s="64" cm="1">
        <f t="array" aca="1" ref="D52" ca="1">_xll.VoseOutput("Hedge payoff, plan in use","US$m")+D42+D43</f>
        <v>15.738815255326235</v>
      </c>
      <c r="E52" s="29"/>
      <c r="F52" s="27"/>
      <c r="G52" s="29"/>
      <c r="H52" s="29"/>
      <c r="I52" s="29"/>
      <c r="J52" s="29"/>
      <c r="K52" s="29"/>
      <c r="L52" s="29"/>
      <c r="M52" s="29"/>
      <c r="N52" s="29"/>
      <c r="O52" s="29"/>
      <c r="P52" s="29"/>
      <c r="Q52" s="29"/>
      <c r="R52" s="29"/>
      <c r="S52" s="29"/>
      <c r="T52" s="29"/>
      <c r="U52" s="29"/>
      <c r="V52" s="29"/>
      <c r="W52" s="29"/>
      <c r="X52" s="29"/>
      <c r="Y52" s="29"/>
      <c r="Z52" s="29"/>
      <c r="AA52" s="29"/>
      <c r="AB52" s="29"/>
      <c r="AC52" s="29"/>
    </row>
    <row r="53" spans="2:29" x14ac:dyDescent="0.45">
      <c r="B53" s="26" t="s">
        <v>274</v>
      </c>
      <c r="C53" s="27" t="s">
        <v>225</v>
      </c>
      <c r="D53" s="65" cm="1">
        <f t="array" aca="1" ref="D53" ca="1">_xll.VoseOutput("Below budget, starting plan","1 = yes")+IF(Out_Rev_Start&lt;BudgetRevenue,1,0)</f>
        <v>0</v>
      </c>
      <c r="E53" s="29"/>
      <c r="F53" s="27" t="s">
        <v>275</v>
      </c>
      <c r="G53" s="29"/>
      <c r="H53" s="29"/>
      <c r="I53" s="29"/>
      <c r="J53" s="29"/>
      <c r="K53" s="29"/>
      <c r="L53" s="29"/>
      <c r="M53" s="29"/>
      <c r="N53" s="29"/>
      <c r="O53" s="29"/>
      <c r="P53" s="29"/>
      <c r="Q53" s="29"/>
      <c r="R53" s="29"/>
      <c r="S53" s="29"/>
      <c r="T53" s="29"/>
      <c r="U53" s="29"/>
      <c r="V53" s="29"/>
      <c r="W53" s="29"/>
      <c r="X53" s="29"/>
      <c r="Y53" s="29"/>
      <c r="Z53" s="29"/>
      <c r="AA53" s="29"/>
      <c r="AB53" s="29"/>
      <c r="AC53" s="29"/>
    </row>
    <row r="54" spans="2:29" x14ac:dyDescent="0.45">
      <c r="B54" s="26" t="s">
        <v>276</v>
      </c>
      <c r="C54" s="27" t="s">
        <v>225</v>
      </c>
      <c r="D54" s="65" cm="1">
        <f t="array" aca="1" ref="D54" ca="1">_xll.VoseOutput("Below budget, plan in use","1 = yes")+IF(Out_Rev_Plan&lt;BudgetRevenue,1,0)</f>
        <v>0</v>
      </c>
      <c r="E54" s="29"/>
      <c r="F54" s="27"/>
      <c r="G54" s="29"/>
      <c r="H54" s="29"/>
      <c r="I54" s="29"/>
      <c r="J54" s="29"/>
      <c r="K54" s="29"/>
      <c r="L54" s="29"/>
      <c r="M54" s="29"/>
      <c r="N54" s="29"/>
      <c r="O54" s="29"/>
      <c r="P54" s="29"/>
      <c r="Q54" s="29"/>
      <c r="R54" s="29"/>
      <c r="S54" s="29"/>
      <c r="T54" s="29"/>
      <c r="U54" s="29"/>
      <c r="V54" s="29"/>
      <c r="W54" s="29"/>
      <c r="X54" s="29"/>
      <c r="Y54" s="29"/>
      <c r="Z54" s="29"/>
      <c r="AA54" s="29"/>
      <c r="AB54" s="29"/>
      <c r="AC54" s="29"/>
    </row>
    <row r="55" spans="2:29" ht="8" customHeight="1" x14ac:dyDescent="0.45"/>
    <row r="56" spans="2:29" ht="22.05" customHeight="1" x14ac:dyDescent="0.5">
      <c r="B56" s="7" t="s">
        <v>277</v>
      </c>
      <c r="C56" s="8"/>
      <c r="D56" s="8"/>
      <c r="E56" s="8"/>
      <c r="F56" s="8"/>
      <c r="G56" s="8"/>
      <c r="H56" s="8"/>
      <c r="I56" s="8"/>
      <c r="J56" s="8"/>
      <c r="K56" s="8"/>
      <c r="L56" s="8"/>
      <c r="M56" s="8"/>
      <c r="N56" s="8"/>
      <c r="O56" s="8"/>
      <c r="P56" s="8"/>
      <c r="Q56" s="8"/>
      <c r="R56" s="8"/>
      <c r="S56" s="8"/>
      <c r="T56" s="8"/>
      <c r="U56" s="8"/>
      <c r="V56" s="8"/>
      <c r="W56" s="8"/>
      <c r="X56" s="8"/>
      <c r="Y56" s="8"/>
      <c r="Z56" s="8"/>
      <c r="AA56" s="8"/>
      <c r="AB56" s="8"/>
      <c r="AC56" s="8"/>
    </row>
    <row r="57" spans="2:29" ht="18" customHeight="1" x14ac:dyDescent="0.45">
      <c r="B57" s="13" t="s">
        <v>278</v>
      </c>
    </row>
    <row r="58" spans="2:29" x14ac:dyDescent="0.45">
      <c r="B58" s="26" t="s">
        <v>279</v>
      </c>
      <c r="C58" s="29"/>
      <c r="D58" s="66" t="str">
        <f>IF(AND(ISNUMBER(PutPrem_Start),ISNUMBER(PutPrem_Plan)),"OK","CHECK")</f>
        <v>OK</v>
      </c>
      <c r="E58" s="29"/>
      <c r="F58" s="29"/>
      <c r="G58" s="29"/>
      <c r="H58" s="29"/>
      <c r="I58" s="29"/>
      <c r="J58" s="29"/>
      <c r="K58" s="29"/>
      <c r="L58" s="29"/>
      <c r="M58" s="29"/>
      <c r="N58" s="29"/>
      <c r="O58" s="29"/>
      <c r="P58" s="29"/>
      <c r="Q58" s="29"/>
      <c r="R58" s="29"/>
      <c r="S58" s="29"/>
      <c r="T58" s="29"/>
      <c r="U58" s="29"/>
      <c r="V58" s="29"/>
      <c r="W58" s="29"/>
      <c r="X58" s="29"/>
      <c r="Y58" s="29"/>
      <c r="Z58" s="29"/>
      <c r="AA58" s="29"/>
      <c r="AB58" s="29"/>
      <c r="AC58" s="29"/>
    </row>
    <row r="59" spans="2:29" x14ac:dyDescent="0.45">
      <c r="B59" s="26" t="s">
        <v>280</v>
      </c>
      <c r="C59" s="29"/>
      <c r="D59" s="66" t="str">
        <f>IF(AND(WithinCap_Start,WithinCap_Plan),"OK","CHECK")</f>
        <v>OK</v>
      </c>
      <c r="E59" s="29"/>
      <c r="F59" s="29"/>
      <c r="G59" s="29"/>
      <c r="H59" s="29"/>
      <c r="I59" s="29"/>
      <c r="J59" s="29"/>
      <c r="K59" s="29"/>
      <c r="L59" s="29"/>
      <c r="M59" s="29"/>
      <c r="N59" s="29"/>
      <c r="O59" s="29"/>
      <c r="P59" s="29"/>
      <c r="Q59" s="29"/>
      <c r="R59" s="29"/>
      <c r="S59" s="29"/>
      <c r="T59" s="29"/>
      <c r="U59" s="29"/>
      <c r="V59" s="29"/>
      <c r="W59" s="29"/>
      <c r="X59" s="29"/>
      <c r="Y59" s="29"/>
      <c r="Z59" s="29"/>
      <c r="AA59" s="29"/>
      <c r="AB59" s="29"/>
      <c r="AC59" s="29"/>
    </row>
    <row r="60" spans="2:29" x14ac:dyDescent="0.45">
      <c r="B60" s="26" t="s">
        <v>281</v>
      </c>
      <c r="C60" s="29"/>
      <c r="D60" s="66" t="str">
        <f>IF(AND(ROUND(SwapShare-SwapShare_Lo,6)&gt;=0,ROUND(SwapShare_Hi-SwapShare,6)&gt;=0,ROUND(PutShare-PutShare_Lo,6)&gt;=0,ROUND(PutShare_Hi-PutShare,6)&gt;=0),"OK","CHECK")</f>
        <v>OK</v>
      </c>
      <c r="E60" s="29"/>
      <c r="F60" s="29"/>
      <c r="G60" s="29"/>
      <c r="H60" s="29"/>
      <c r="I60" s="29"/>
      <c r="J60" s="29"/>
      <c r="K60" s="29"/>
      <c r="L60" s="29"/>
      <c r="M60" s="29"/>
      <c r="N60" s="29"/>
      <c r="O60" s="29"/>
      <c r="P60" s="29"/>
      <c r="Q60" s="29"/>
      <c r="R60" s="29"/>
      <c r="S60" s="29"/>
      <c r="T60" s="29"/>
      <c r="U60" s="29"/>
      <c r="V60" s="29"/>
      <c r="W60" s="29"/>
      <c r="X60" s="29"/>
      <c r="Y60" s="29"/>
      <c r="Z60" s="29"/>
      <c r="AA60" s="29"/>
      <c r="AB60" s="29"/>
      <c r="AC60" s="29"/>
    </row>
    <row r="61" spans="2:29" x14ac:dyDescent="0.45">
      <c r="B61" s="26" t="s">
        <v>282</v>
      </c>
      <c r="C61" s="29"/>
      <c r="D61" s="66" t="str">
        <f>IF(SwapPrice&lt;=PriceNow,"OK","CHECK")</f>
        <v>OK</v>
      </c>
      <c r="E61" s="29"/>
      <c r="F61" s="29"/>
      <c r="G61" s="29"/>
      <c r="H61" s="29"/>
      <c r="I61" s="29"/>
      <c r="J61" s="29"/>
      <c r="K61" s="29"/>
      <c r="L61" s="29"/>
      <c r="M61" s="29"/>
      <c r="N61" s="29"/>
      <c r="O61" s="29"/>
      <c r="P61" s="29"/>
      <c r="Q61" s="29"/>
      <c r="R61" s="29"/>
      <c r="S61" s="29"/>
      <c r="T61" s="29"/>
      <c r="U61" s="29"/>
      <c r="V61" s="29"/>
      <c r="W61" s="29"/>
      <c r="X61" s="29"/>
      <c r="Y61" s="29"/>
      <c r="Z61" s="29"/>
      <c r="AA61" s="29"/>
      <c r="AB61" s="29"/>
      <c r="AC61" s="29"/>
    </row>
    <row r="62" spans="2:29" ht="14" customHeight="1" x14ac:dyDescent="0.45"/>
  </sheetData>
  <conditionalFormatting sqref="D58:D61">
    <cfRule type="expression" dxfId="4" priority="1">
      <formula>D58="CHECK"</formula>
    </cfRule>
  </conditionalFormatting>
  <hyperlinks>
    <hyperlink ref="B4" location="'Decisions'!A1" display="◂  Decisions" xr:uid="{00000000-0004-0000-0300-000000000000}"/>
    <hyperlink ref="AC4" location="'Results'!A1" display="Next:  Results  ▸" xr:uid="{00000000-0004-0000-0300-000001000000}"/>
  </hyperlinks>
  <printOptions horizontalCentered="1"/>
  <pageMargins left="0.4" right="0.4" top="0.5" bottom="0.6" header="0.25" footer="0.25"/>
  <pageSetup paperSize="8" fitToHeight="0" orientation="landscape"/>
  <headerFooter>
    <oddFooter>&amp;L&amp;K3F5876&amp;8&amp;F · &amp;A&amp;R&amp;K3F5876&amp;8Page &amp;P of &amp;N</oddFooter>
  </headerFooter>
  <rowBreaks count="1" manualBreakCount="1">
    <brk id="4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803D"/>
    <outlinePr summaryBelow="0"/>
    <pageSetUpPr fitToPage="1"/>
  </sheetPr>
  <dimension ref="A1:R233"/>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2" t="s">
        <v>0</v>
      </c>
      <c r="C2" s="1"/>
      <c r="D2" s="1"/>
      <c r="E2" s="1"/>
      <c r="F2" s="1"/>
      <c r="G2" s="1"/>
      <c r="H2" s="1"/>
      <c r="I2" s="1"/>
      <c r="J2" s="1"/>
      <c r="K2" s="1"/>
      <c r="L2" s="1"/>
      <c r="M2" s="1"/>
      <c r="N2" s="1"/>
      <c r="O2" s="1"/>
      <c r="P2" s="1"/>
      <c r="Q2" s="1"/>
      <c r="R2" s="3" t="s">
        <v>1</v>
      </c>
    </row>
    <row r="3" spans="1:18" ht="20" customHeight="1" x14ac:dyDescent="0.45">
      <c r="A3" s="1"/>
      <c r="B3" s="4" t="s">
        <v>283</v>
      </c>
      <c r="C3" s="1"/>
      <c r="D3" s="1"/>
      <c r="E3" s="1"/>
      <c r="F3" s="1"/>
      <c r="G3" s="1"/>
      <c r="H3" s="1"/>
      <c r="I3" s="1"/>
      <c r="J3" s="1"/>
      <c r="K3" s="1"/>
      <c r="L3" s="1"/>
      <c r="M3" s="1"/>
      <c r="N3" s="1"/>
      <c r="O3" s="1"/>
      <c r="P3" s="1"/>
      <c r="Q3" s="1"/>
      <c r="R3" s="1"/>
    </row>
    <row r="4" spans="1:18" ht="20" customHeight="1" x14ac:dyDescent="0.45">
      <c r="A4" s="5"/>
      <c r="B4" s="23" t="s">
        <v>284</v>
      </c>
      <c r="C4" s="5"/>
      <c r="D4" s="5"/>
      <c r="E4" s="5"/>
      <c r="F4" s="5"/>
      <c r="G4" s="5"/>
      <c r="H4" s="5"/>
      <c r="I4" s="5"/>
      <c r="J4" s="5"/>
      <c r="K4" s="5"/>
      <c r="L4" s="5"/>
      <c r="M4" s="5"/>
      <c r="N4" s="5"/>
      <c r="O4" s="5"/>
      <c r="P4" s="5"/>
      <c r="Q4" s="5"/>
      <c r="R4" s="5"/>
    </row>
    <row r="5" spans="1:18" ht="8" customHeight="1" x14ac:dyDescent="0.45"/>
    <row r="6" spans="1:18" ht="26" customHeight="1" x14ac:dyDescent="0.45">
      <c r="B6" s="67" t="str" cm="1">
        <f t="array" aca="1" ref="B6" ca="1">IF(ISNUMBER(_xll.VoseSimMean(Out_Rev_Plan)),"✔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8"/>
      <c r="D6" s="68"/>
      <c r="E6" s="68"/>
      <c r="F6" s="68"/>
      <c r="G6" s="68"/>
    </row>
    <row r="7" spans="1:18" x14ac:dyDescent="0.45">
      <c r="B7" s="69"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285</v>
      </c>
      <c r="C9" s="8"/>
      <c r="D9" s="8"/>
      <c r="E9" s="8"/>
      <c r="F9" s="8"/>
      <c r="G9" s="8"/>
      <c r="I9" s="70" t="s">
        <v>286</v>
      </c>
      <c r="J9" s="8"/>
      <c r="K9" s="8"/>
      <c r="L9" s="8"/>
      <c r="M9" s="8"/>
      <c r="N9" s="8"/>
      <c r="O9" s="8"/>
      <c r="P9" s="8"/>
      <c r="Q9" s="8"/>
      <c r="R9" s="8"/>
    </row>
    <row r="10" spans="1:18" ht="18" customHeight="1" x14ac:dyDescent="0.45">
      <c r="B10" s="13" t="s">
        <v>287</v>
      </c>
    </row>
    <row r="11" spans="1:18" ht="18" customHeight="1" x14ac:dyDescent="0.45">
      <c r="B11" s="24" t="s">
        <v>54</v>
      </c>
      <c r="C11" s="24" t="s">
        <v>107</v>
      </c>
      <c r="D11" s="25" t="s">
        <v>170</v>
      </c>
      <c r="E11" s="25" t="s">
        <v>169</v>
      </c>
      <c r="F11" s="25" t="s">
        <v>288</v>
      </c>
      <c r="G11" s="5"/>
    </row>
    <row r="12" spans="1:18" x14ac:dyDescent="0.45">
      <c r="B12" s="26" t="s">
        <v>175</v>
      </c>
      <c r="C12" s="27" t="s">
        <v>120</v>
      </c>
      <c r="D12" s="33">
        <f>SwapShare_Start</f>
        <v>0.6</v>
      </c>
      <c r="E12" s="71">
        <f>SwapShare</f>
        <v>0.2</v>
      </c>
      <c r="F12" s="72">
        <f>E12-D12</f>
        <v>-0.39999999999999997</v>
      </c>
      <c r="G12" s="29"/>
    </row>
    <row r="13" spans="1:18" x14ac:dyDescent="0.45">
      <c r="B13" s="26" t="s">
        <v>178</v>
      </c>
      <c r="C13" s="27" t="s">
        <v>120</v>
      </c>
      <c r="D13" s="33">
        <f>PutShare_Start</f>
        <v>0</v>
      </c>
      <c r="E13" s="71">
        <f>PutShare</f>
        <v>0.5</v>
      </c>
      <c r="F13" s="72">
        <f>E13-D13</f>
        <v>0.5</v>
      </c>
      <c r="G13" s="29"/>
    </row>
    <row r="14" spans="1:18" x14ac:dyDescent="0.45">
      <c r="B14" s="26" t="s">
        <v>180</v>
      </c>
      <c r="C14" s="27" t="s">
        <v>133</v>
      </c>
      <c r="D14" s="73">
        <f>PutStrike_Start</f>
        <v>62</v>
      </c>
      <c r="E14" s="74">
        <f>PutStrike</f>
        <v>72</v>
      </c>
      <c r="F14" s="75">
        <f>E14-D14</f>
        <v>10</v>
      </c>
      <c r="G14" s="29"/>
    </row>
    <row r="15" spans="1:18" ht="6" customHeight="1" x14ac:dyDescent="0.45"/>
    <row r="16" spans="1:18" ht="28.05" customHeight="1" x14ac:dyDescent="0.45">
      <c r="B16" s="24" t="s">
        <v>289</v>
      </c>
      <c r="C16" s="24" t="s">
        <v>107</v>
      </c>
      <c r="D16" s="25" t="s">
        <v>170</v>
      </c>
      <c r="E16" s="25" t="s">
        <v>169</v>
      </c>
      <c r="F16" s="25" t="s">
        <v>288</v>
      </c>
      <c r="G16" s="25"/>
    </row>
    <row r="17" spans="2:18" x14ac:dyDescent="0.45">
      <c r="B17" s="26" t="s">
        <v>290</v>
      </c>
      <c r="C17" s="27" t="s">
        <v>235</v>
      </c>
      <c r="D17" s="76" cm="1">
        <f t="array" aca="1" ref="D17" ca="1">_xll.VoseSimMean(Out_Rev_Start)</f>
        <v>244.00796098015272</v>
      </c>
      <c r="E17" s="76" cm="1">
        <f t="array" aca="1" ref="E17" ca="1">_xll.VoseSimMean(Out_Rev_Plan)</f>
        <v>244.48491548119088</v>
      </c>
      <c r="F17" s="77">
        <f t="shared" ref="F17:F23" ca="1" si="0">IFERROR(E17-D17,"–")</f>
        <v>0.47695450103816484</v>
      </c>
      <c r="G17" s="78" t="str">
        <f ca="1">IF(ISNUMBER(F17),IF(F17&gt;0,"✔ better",IF(F17=0,"same","")),"")</f>
        <v>✔ better</v>
      </c>
    </row>
    <row r="18" spans="2:18" x14ac:dyDescent="0.45">
      <c r="B18" s="26" t="s">
        <v>291</v>
      </c>
      <c r="C18" s="27" t="s">
        <v>235</v>
      </c>
      <c r="D18" s="76" cm="1">
        <f t="array" aca="1" ref="D18" ca="1">_xll.VoseSimPercentile(Out_Rev_Start,0.05)</f>
        <v>209.80551954274441</v>
      </c>
      <c r="E18" s="76" cm="1">
        <f t="array" aca="1" ref="E18" ca="1">_xll.VoseSimPercentile(Out_Rev_Plan,0.05)</f>
        <v>204.93528173236655</v>
      </c>
      <c r="F18" s="77">
        <f t="shared" ca="1" si="0"/>
        <v>-4.8702378103778585</v>
      </c>
      <c r="G18" s="78" t="str">
        <f ca="1">IF(ISNUMBER(F18),IF(F18&gt;0,"✔ better",IF(F18=0,"same","")),"")</f>
        <v/>
      </c>
    </row>
    <row r="19" spans="2:18" x14ac:dyDescent="0.45">
      <c r="B19" s="26" t="s">
        <v>292</v>
      </c>
      <c r="C19" s="27" t="s">
        <v>235</v>
      </c>
      <c r="D19" s="76" cm="1">
        <f t="array" aca="1" ref="D19" ca="1">_xll.VoseSimPercentile(Out_Rev_Start,0.95)</f>
        <v>287.83555447154652</v>
      </c>
      <c r="E19" s="76" cm="1">
        <f t="array" aca="1" ref="E19" ca="1">_xll.VoseSimPercentile(Out_Rev_Plan,0.95)</f>
        <v>321.46635121833043</v>
      </c>
      <c r="F19" s="77">
        <f t="shared" ca="1" si="0"/>
        <v>33.630796746783915</v>
      </c>
      <c r="G19" s="78" t="str">
        <f ca="1">IF(ISNUMBER(F19),IF(F19&gt;0,"✔ better",IF(F19=0,"same","")),"")</f>
        <v>✔ better</v>
      </c>
    </row>
    <row r="20" spans="2:18" x14ac:dyDescent="0.45">
      <c r="B20" s="26" t="s">
        <v>293</v>
      </c>
      <c r="C20" s="27" t="s">
        <v>294</v>
      </c>
      <c r="D20" s="79" cm="1">
        <f t="array" aca="1" ref="D20" ca="1">1-_xll.VoseSimProbability(Out_Miss_Start,0.5)</f>
        <v>4.7895210478952066E-2</v>
      </c>
      <c r="E20" s="79" cm="1">
        <f t="array" aca="1" ref="E20" ca="1">1-_xll.VoseSimProbability(Out_Miss_Plan,0.5)</f>
        <v>9.3290670932906661E-2</v>
      </c>
      <c r="F20" s="80">
        <f t="shared" ca="1" si="0"/>
        <v>4.5395460453954595E-2</v>
      </c>
      <c r="G20" s="78" t="str">
        <f ca="1">IF(ISNUMBER(F20),IF(F20&lt;0,"✔ better",IF(F20=0,"same","")),"")</f>
        <v/>
      </c>
    </row>
    <row r="21" spans="2:18" x14ac:dyDescent="0.45">
      <c r="B21" s="26" t="s">
        <v>295</v>
      </c>
      <c r="C21" s="27" t="s">
        <v>235</v>
      </c>
      <c r="D21" s="81" cm="1">
        <f t="array" aca="1" ref="D21" ca="1">IFERROR(-_xll.VoseSimMean(Out_Hedge_Start),"–")</f>
        <v>2.3117939410586823</v>
      </c>
      <c r="E21" s="81" cm="1">
        <f t="array" aca="1" ref="E21" ca="1">IFERROR(-_xll.VoseSimMean(Out_Hedge_Plan),"–")</f>
        <v>1.8348394400208075</v>
      </c>
      <c r="F21" s="82">
        <f t="shared" ca="1" si="0"/>
        <v>-0.47695450103787485</v>
      </c>
      <c r="G21" s="78" t="str">
        <f ca="1">IF(ISNUMBER(F21),IF(F21&lt;0,"✔ better",IF(F21=0,"same","")),"")</f>
        <v>✔ better</v>
      </c>
    </row>
    <row r="22" spans="2:18" x14ac:dyDescent="0.45">
      <c r="B22" s="26" t="s">
        <v>296</v>
      </c>
      <c r="C22" s="27" t="s">
        <v>120</v>
      </c>
      <c r="D22" s="83">
        <f>Hedged_Start</f>
        <v>0.6</v>
      </c>
      <c r="E22" s="83">
        <f>Hedged_Plan</f>
        <v>0.7</v>
      </c>
      <c r="F22" s="80">
        <f t="shared" si="0"/>
        <v>9.9999999999999978E-2</v>
      </c>
      <c r="G22" s="29"/>
    </row>
    <row r="23" spans="2:18" x14ac:dyDescent="0.45">
      <c r="B23" s="26" t="s">
        <v>297</v>
      </c>
      <c r="C23" s="27" t="s">
        <v>235</v>
      </c>
      <c r="D23" s="81">
        <f>PutShare_Start*PutPrem_Start*PlanVolume*MonthsHedged/1000</f>
        <v>0</v>
      </c>
      <c r="E23" s="81">
        <f>PutShare*PutPrem_Plan*PlanVolume*MonthsHedged/1000</f>
        <v>15.84</v>
      </c>
      <c r="F23" s="82">
        <f t="shared" si="0"/>
        <v>15.84</v>
      </c>
      <c r="G23" s="29"/>
    </row>
    <row r="24" spans="2:18" x14ac:dyDescent="0.45">
      <c r="B24" s="26" t="s">
        <v>161</v>
      </c>
      <c r="C24" s="27" t="s">
        <v>294</v>
      </c>
      <c r="D24" s="84">
        <f>MissTarget</f>
        <v>0.1</v>
      </c>
      <c r="E24" s="84">
        <f>MissTarget</f>
        <v>0.1</v>
      </c>
      <c r="F24" s="29"/>
      <c r="G24" s="29"/>
    </row>
    <row r="25" spans="2:18" x14ac:dyDescent="0.45">
      <c r="B25" s="26" t="s">
        <v>153</v>
      </c>
      <c r="C25" s="27" t="s">
        <v>120</v>
      </c>
      <c r="D25" s="33">
        <f>HedgeCap</f>
        <v>0.7</v>
      </c>
      <c r="E25" s="33">
        <f>HedgeCap</f>
        <v>0.7</v>
      </c>
      <c r="F25" s="29"/>
      <c r="G25" s="29"/>
    </row>
    <row r="26" spans="2:18" x14ac:dyDescent="0.45">
      <c r="B26" s="85" t="s">
        <v>298</v>
      </c>
    </row>
    <row r="27" spans="2:18" ht="8" customHeight="1" x14ac:dyDescent="0.45"/>
    <row r="28" spans="2:18" ht="22.05" customHeight="1" x14ac:dyDescent="0.5">
      <c r="B28" s="7" t="s">
        <v>299</v>
      </c>
      <c r="C28" s="8"/>
      <c r="D28" s="8"/>
      <c r="E28" s="8"/>
      <c r="F28" s="8"/>
      <c r="G28" s="8"/>
      <c r="I28" s="70" t="s">
        <v>300</v>
      </c>
      <c r="J28" s="8"/>
      <c r="K28" s="8"/>
      <c r="L28" s="8"/>
      <c r="M28" s="8"/>
      <c r="N28" s="8"/>
      <c r="O28" s="8"/>
      <c r="P28" s="8"/>
      <c r="Q28" s="8"/>
      <c r="R28" s="8"/>
    </row>
    <row r="29" spans="2:18" ht="18" customHeight="1" x14ac:dyDescent="0.45">
      <c r="B29" s="13" t="s">
        <v>301</v>
      </c>
    </row>
    <row r="30" spans="2:18" ht="18" customHeight="1" x14ac:dyDescent="0.45">
      <c r="B30" s="24" t="s">
        <v>289</v>
      </c>
      <c r="C30" s="24" t="s">
        <v>107</v>
      </c>
      <c r="D30" s="25" t="s">
        <v>217</v>
      </c>
      <c r="E30" s="5"/>
      <c r="F30" s="5"/>
      <c r="G30" s="5"/>
    </row>
    <row r="31" spans="2:18" x14ac:dyDescent="0.45">
      <c r="B31" s="26" t="s">
        <v>290</v>
      </c>
      <c r="C31" s="27" t="s">
        <v>235</v>
      </c>
      <c r="D31" s="76" cm="1">
        <f t="array" aca="1" ref="D31" ca="1">_xll.VoseSimMean(Out_Rev_None)</f>
        <v>246.31975492121089</v>
      </c>
      <c r="E31" s="29"/>
      <c r="F31" s="29"/>
      <c r="G31" s="29"/>
    </row>
    <row r="32" spans="2:18" x14ac:dyDescent="0.45">
      <c r="B32" s="26" t="s">
        <v>291</v>
      </c>
      <c r="C32" s="27" t="s">
        <v>235</v>
      </c>
      <c r="D32" s="76" cm="1">
        <f t="array" aca="1" ref="D32" ca="1">_xll.VoseSimPercentile(Out_Rev_None,0.05)</f>
        <v>159.17778838416689</v>
      </c>
      <c r="E32" s="29"/>
      <c r="F32" s="29"/>
      <c r="G32" s="29"/>
    </row>
    <row r="33" spans="2:7" x14ac:dyDescent="0.45">
      <c r="B33" s="26" t="s">
        <v>292</v>
      </c>
      <c r="C33" s="27" t="s">
        <v>235</v>
      </c>
      <c r="D33" s="76" cm="1">
        <f t="array" aca="1" ref="D33" ca="1">_xll.VoseSimPercentile(Out_Rev_None,0.95)</f>
        <v>361.7304469403565</v>
      </c>
      <c r="E33" s="29"/>
      <c r="F33" s="29"/>
      <c r="G33" s="29"/>
    </row>
    <row r="34" spans="2:7" x14ac:dyDescent="0.45">
      <c r="B34" s="26" t="s">
        <v>293</v>
      </c>
      <c r="C34" s="27" t="s">
        <v>294</v>
      </c>
      <c r="D34" s="79" cm="1">
        <f t="array" aca="1" ref="D34" ca="1">_xll.VoseSimProbability(Out_Rev_None,BudgetRevenue)</f>
        <v>0.30576942305769422</v>
      </c>
      <c r="E34" s="29"/>
      <c r="F34" s="29"/>
      <c r="G34" s="29"/>
    </row>
    <row r="35" spans="2:7" x14ac:dyDescent="0.45">
      <c r="B35" s="86" t="s">
        <v>302</v>
      </c>
      <c r="C35" s="27" t="s">
        <v>235</v>
      </c>
      <c r="D35" s="57">
        <f>BudgetRevenue</f>
        <v>209.52</v>
      </c>
      <c r="E35" s="29"/>
      <c r="F35" s="29"/>
      <c r="G35" s="29"/>
    </row>
    <row r="36" spans="2:7" ht="8" customHeight="1" x14ac:dyDescent="0.45"/>
    <row r="43" spans="2:7" ht="22.05" customHeight="1" x14ac:dyDescent="0.5">
      <c r="B43" s="7" t="s">
        <v>303</v>
      </c>
      <c r="C43" s="8"/>
      <c r="D43" s="8"/>
      <c r="E43" s="8"/>
      <c r="F43" s="8"/>
      <c r="G43" s="8"/>
    </row>
    <row r="44" spans="2:7" ht="45" customHeight="1" x14ac:dyDescent="0.45">
      <c r="B44" s="93" t="s">
        <v>304</v>
      </c>
      <c r="C44" s="94"/>
      <c r="D44" s="94"/>
      <c r="E44" s="94"/>
      <c r="F44" s="94"/>
      <c r="G44" s="94"/>
    </row>
    <row r="45" spans="2:7" ht="45" customHeight="1" x14ac:dyDescent="0.45">
      <c r="B45" s="93" t="s">
        <v>305</v>
      </c>
      <c r="C45" s="94"/>
      <c r="D45" s="94"/>
      <c r="E45" s="94"/>
      <c r="F45" s="94"/>
      <c r="G45" s="94"/>
    </row>
    <row r="46" spans="2:7" ht="32" customHeight="1" x14ac:dyDescent="0.45">
      <c r="B46" s="93" t="s">
        <v>306</v>
      </c>
      <c r="C46" s="94"/>
      <c r="D46" s="94"/>
      <c r="E46" s="94"/>
      <c r="F46" s="94"/>
      <c r="G46" s="94"/>
    </row>
    <row r="47" spans="2:7" ht="19.05" customHeight="1" x14ac:dyDescent="0.45">
      <c r="B47" s="93" t="s">
        <v>307</v>
      </c>
      <c r="C47" s="94"/>
      <c r="D47" s="94"/>
      <c r="E47" s="94"/>
      <c r="F47" s="94"/>
      <c r="G47" s="94"/>
    </row>
    <row r="48" spans="2:7" ht="19.05" customHeight="1" x14ac:dyDescent="0.45">
      <c r="B48" s="93" t="s">
        <v>308</v>
      </c>
      <c r="C48" s="94"/>
      <c r="D48" s="94"/>
      <c r="E48" s="94"/>
      <c r="F48" s="94"/>
      <c r="G48" s="94"/>
    </row>
    <row r="49" spans="2:8" ht="14" customHeight="1" x14ac:dyDescent="0.45"/>
    <row r="50" spans="2:8" ht="14" customHeight="1" x14ac:dyDescent="0.45"/>
    <row r="51" spans="2:8" ht="22.05" customHeight="1" x14ac:dyDescent="0.5">
      <c r="B51" s="7" t="s">
        <v>309</v>
      </c>
      <c r="C51" s="8"/>
      <c r="D51" s="8"/>
      <c r="E51" s="8"/>
      <c r="F51" s="8"/>
      <c r="G51" s="8"/>
    </row>
    <row r="52" spans="2:8" ht="18" customHeight="1" x14ac:dyDescent="0.45">
      <c r="B52" s="13" t="s">
        <v>310</v>
      </c>
    </row>
    <row r="53" spans="2:8" ht="28.05" hidden="1" customHeight="1" outlineLevel="1" x14ac:dyDescent="0.45">
      <c r="B53" s="25" t="s">
        <v>311</v>
      </c>
      <c r="C53" s="25" t="s">
        <v>312</v>
      </c>
      <c r="D53" s="25" t="s">
        <v>313</v>
      </c>
      <c r="E53" s="25" t="s">
        <v>314</v>
      </c>
      <c r="F53" s="25" t="s">
        <v>315</v>
      </c>
      <c r="G53" s="25" t="s">
        <v>316</v>
      </c>
      <c r="H53" s="25" t="s">
        <v>317</v>
      </c>
    </row>
    <row r="54" spans="2:8" hidden="1" outlineLevel="1" x14ac:dyDescent="0.45">
      <c r="B54" s="87">
        <v>0.01</v>
      </c>
      <c r="C54" s="87">
        <f t="shared" ref="C54:C85" si="1">1-B54</f>
        <v>0.99</v>
      </c>
      <c r="D54" s="88" cm="1">
        <f t="array" aca="1" ref="D54" ca="1">IF(ISNUMBER(_xll.VoseSimPercentile(Out_Rev_None,$B54)),_xll.VoseSimPercentile(Out_Rev_None,$B54),NA())</f>
        <v>135.76718418531129</v>
      </c>
      <c r="E54" s="88" cm="1">
        <f t="array" aca="1" ref="E54" ca="1">IF(ISNUMBER(_xll.VoseSimPercentile(Out_Rev_Start,$B54)),_xll.VoseSimPercentile(Out_Rev_Start,$B54),NA())</f>
        <v>198.78352926979412</v>
      </c>
      <c r="F54" s="88" cm="1">
        <f t="array" aca="1" ref="F54" ca="1">IF(ISNUMBER(_xll.VoseSimPercentile(Out_Rev_Plan,$B54)),_xll.VoseSimPercentile(Out_Rev_Plan,$B54),NA())</f>
        <v>192.97328675261178</v>
      </c>
      <c r="G54" s="88">
        <f t="shared" ref="G54:G85" si="2">BudgetRevenue</f>
        <v>209.52</v>
      </c>
      <c r="H54" s="88" cm="1">
        <f t="array" aca="1" ref="H54" ca="1">IF(ISNUMBER(_xll.VoseSimPercentile(Out_Hedge_Plan,$B54)),_xll.VoseSimPercentile(Out_Hedge_Plan,$B54),NA())</f>
        <v>-55.621148360934164</v>
      </c>
    </row>
    <row r="55" spans="2:8" hidden="1" outlineLevel="1" x14ac:dyDescent="0.45">
      <c r="B55" s="87">
        <v>0.03</v>
      </c>
      <c r="C55" s="87">
        <f t="shared" si="1"/>
        <v>0.97</v>
      </c>
      <c r="D55" s="88" cm="1">
        <f t="array" aca="1" ref="D55" ca="1">IF(ISNUMBER(_xll.VoseSimPercentile(Out_Rev_None,$B55)),_xll.VoseSimPercentile(Out_Rev_None,$B55),NA())</f>
        <v>150.44094874340982</v>
      </c>
      <c r="E55" s="88" cm="1">
        <f t="array" aca="1" ref="E55" ca="1">IF(ISNUMBER(_xll.VoseSimPercentile(Out_Rev_Start,$B55)),_xll.VoseSimPercentile(Out_Rev_Start,$B55),NA())</f>
        <v>205.8797496618011</v>
      </c>
      <c r="F55" s="88" cm="1">
        <f t="array" aca="1" ref="F55" ca="1">IF(ISNUMBER(_xll.VoseSimPercentile(Out_Rev_Plan,$B55)),_xll.VoseSimPercentile(Out_Rev_Plan,$B55),NA())</f>
        <v>201.27577529726364</v>
      </c>
      <c r="G55" s="88">
        <f t="shared" si="2"/>
        <v>209.52</v>
      </c>
      <c r="H55" s="88" cm="1">
        <f t="array" aca="1" ref="H55" ca="1">IF(ISNUMBER(_xll.VoseSimPercentile(Out_Hedge_Plan,$B55)),_xll.VoseSimPercentile(Out_Hedge_Plan,$B55),NA())</f>
        <v>-45.965255162948139</v>
      </c>
    </row>
    <row r="56" spans="2:8" hidden="1" outlineLevel="1" x14ac:dyDescent="0.45">
      <c r="B56" s="87">
        <v>0.05</v>
      </c>
      <c r="C56" s="87">
        <f t="shared" si="1"/>
        <v>0.95</v>
      </c>
      <c r="D56" s="88" cm="1">
        <f t="array" aca="1" ref="D56" ca="1">IF(ISNUMBER(_xll.VoseSimPercentile(Out_Rev_None,$B56)),_xll.VoseSimPercentile(Out_Rev_None,$B56),NA())</f>
        <v>159.17778838416689</v>
      </c>
      <c r="E56" s="88" cm="1">
        <f t="array" aca="1" ref="E56" ca="1">IF(ISNUMBER(_xll.VoseSimPercentile(Out_Rev_Start,$B56)),_xll.VoseSimPercentile(Out_Rev_Start,$B56),NA())</f>
        <v>209.80551954274441</v>
      </c>
      <c r="F56" s="88" cm="1">
        <f t="array" aca="1" ref="F56" ca="1">IF(ISNUMBER(_xll.VoseSimPercentile(Out_Rev_Plan,$B56)),_xll.VoseSimPercentile(Out_Rev_Plan,$B56),NA())</f>
        <v>204.93528173236655</v>
      </c>
      <c r="G56" s="88">
        <f t="shared" si="2"/>
        <v>209.52</v>
      </c>
      <c r="H56" s="88" cm="1">
        <f t="array" aca="1" ref="H56" ca="1">IF(ISNUMBER(_xll.VoseSimPercentile(Out_Hedge_Plan,$B56)),_xll.VoseSimPercentile(Out_Hedge_Plan,$B56),NA())</f>
        <v>-40.558710890883091</v>
      </c>
    </row>
    <row r="57" spans="2:8" hidden="1" outlineLevel="1" x14ac:dyDescent="0.45">
      <c r="B57" s="87">
        <v>7.0000000000000007E-2</v>
      </c>
      <c r="C57" s="87">
        <f t="shared" si="1"/>
        <v>0.92999999999999994</v>
      </c>
      <c r="D57" s="88" cm="1">
        <f t="array" aca="1" ref="D57" ca="1">IF(ISNUMBER(_xll.VoseSimPercentile(Out_Rev_None,$B57)),_xll.VoseSimPercentile(Out_Rev_None,$B57),NA())</f>
        <v>165.99142879668463</v>
      </c>
      <c r="E57" s="88" cm="1">
        <f t="array" aca="1" ref="E57" ca="1">IF(ISNUMBER(_xll.VoseSimPercentile(Out_Rev_Start,$B57)),_xll.VoseSimPercentile(Out_Rev_Start,$B57),NA())</f>
        <v>212.66646591516948</v>
      </c>
      <c r="F57" s="88" cm="1">
        <f t="array" aca="1" ref="F57" ca="1">IF(ISNUMBER(_xll.VoseSimPercentile(Out_Rev_Plan,$B57)),_xll.VoseSimPercentile(Out_Rev_Plan,$B57),NA())</f>
        <v>207.25942673914636</v>
      </c>
      <c r="G57" s="88">
        <f t="shared" si="2"/>
        <v>209.52</v>
      </c>
      <c r="H57" s="88" cm="1">
        <f t="array" aca="1" ref="H57" ca="1">IF(ISNUMBER(_xll.VoseSimPercentile(Out_Hedge_Plan,$B57)),_xll.VoseSimPercentile(Out_Hedge_Plan,$B57),NA())</f>
        <v>-37.183445299061368</v>
      </c>
    </row>
    <row r="58" spans="2:8" hidden="1" outlineLevel="1" x14ac:dyDescent="0.45">
      <c r="B58" s="87">
        <v>0.09</v>
      </c>
      <c r="C58" s="87">
        <f t="shared" si="1"/>
        <v>0.91</v>
      </c>
      <c r="D58" s="88" cm="1">
        <f t="array" aca="1" ref="D58" ca="1">IF(ISNUMBER(_xll.VoseSimPercentile(Out_Rev_None,$B58)),_xll.VoseSimPercentile(Out_Rev_None,$B58),NA())</f>
        <v>171.5388708618035</v>
      </c>
      <c r="E58" s="88" cm="1">
        <f t="array" aca="1" ref="E58" ca="1">IF(ISNUMBER(_xll.VoseSimPercentile(Out_Rev_Start,$B58)),_xll.VoseSimPercentile(Out_Rev_Start,$B58),NA())</f>
        <v>215.13232053993443</v>
      </c>
      <c r="F58" s="88" cm="1">
        <f t="array" aca="1" ref="F58" ca="1">IF(ISNUMBER(_xll.VoseSimPercentile(Out_Rev_Plan,$B58)),_xll.VoseSimPercentile(Out_Rev_Plan,$B58),NA())</f>
        <v>209.33654098036843</v>
      </c>
      <c r="G58" s="88">
        <f t="shared" si="2"/>
        <v>209.52</v>
      </c>
      <c r="H58" s="88" cm="1">
        <f t="array" aca="1" ref="H58" ca="1">IF(ISNUMBER(_xll.VoseSimPercentile(Out_Hedge_Plan,$B58)),_xll.VoseSimPercentile(Out_Hedge_Plan,$B58),NA())</f>
        <v>-34.417511307584462</v>
      </c>
    </row>
    <row r="59" spans="2:8" hidden="1" outlineLevel="1" x14ac:dyDescent="0.45">
      <c r="B59" s="87">
        <v>0.11</v>
      </c>
      <c r="C59" s="87">
        <f t="shared" si="1"/>
        <v>0.89</v>
      </c>
      <c r="D59" s="88" cm="1">
        <f t="array" aca="1" ref="D59" ca="1">IF(ISNUMBER(_xll.VoseSimPercentile(Out_Rev_None,$B59)),_xll.VoseSimPercentile(Out_Rev_None,$B59),NA())</f>
        <v>176.44063977452851</v>
      </c>
      <c r="E59" s="88" cm="1">
        <f t="array" aca="1" ref="E59" ca="1">IF(ISNUMBER(_xll.VoseSimPercentile(Out_Rev_Start,$B59)),_xll.VoseSimPercentile(Out_Rev_Start,$B59),NA())</f>
        <v>217.21547052143333</v>
      </c>
      <c r="F59" s="88" cm="1">
        <f t="array" aca="1" ref="F59" ca="1">IF(ISNUMBER(_xll.VoseSimPercentile(Out_Rev_Plan,$B59)),_xll.VoseSimPercentile(Out_Rev_Plan,$B59),NA())</f>
        <v>210.90072201279</v>
      </c>
      <c r="G59" s="88">
        <f t="shared" si="2"/>
        <v>209.52</v>
      </c>
      <c r="H59" s="88" cm="1">
        <f t="array" aca="1" ref="H59" ca="1">IF(ISNUMBER(_xll.VoseSimPercentile(Out_Hedge_Plan,$B59)),_xll.VoseSimPercentile(Out_Hedge_Plan,$B59),NA())</f>
        <v>-32.422180910375516</v>
      </c>
    </row>
    <row r="60" spans="2:8" hidden="1" outlineLevel="1" x14ac:dyDescent="0.45">
      <c r="B60" s="87">
        <v>0.13</v>
      </c>
      <c r="C60" s="87">
        <f t="shared" si="1"/>
        <v>0.87</v>
      </c>
      <c r="D60" s="88" cm="1">
        <f t="array" aca="1" ref="D60" ca="1">IF(ISNUMBER(_xll.VoseSimPercentile(Out_Rev_None,$B60)),_xll.VoseSimPercentile(Out_Rev_None,$B60),NA())</f>
        <v>180.51447985595189</v>
      </c>
      <c r="E60" s="88" cm="1">
        <f t="array" aca="1" ref="E60" ca="1">IF(ISNUMBER(_xll.VoseSimPercentile(Out_Rev_Start,$B60)),_xll.VoseSimPercentile(Out_Rev_Start,$B60),NA())</f>
        <v>218.88724645758791</v>
      </c>
      <c r="F60" s="88" cm="1">
        <f t="array" aca="1" ref="F60" ca="1">IF(ISNUMBER(_xll.VoseSimPercentile(Out_Rev_Plan,$B60)),_xll.VoseSimPercentile(Out_Rev_Plan,$B60),NA())</f>
        <v>212.38470408723987</v>
      </c>
      <c r="G60" s="88">
        <f t="shared" si="2"/>
        <v>209.52</v>
      </c>
      <c r="H60" s="88" cm="1">
        <f t="array" aca="1" ref="H60" ca="1">IF(ISNUMBER(_xll.VoseSimPercentile(Out_Hedge_Plan,$B60)),_xll.VoseSimPercentile(Out_Hedge_Plan,$B60),NA())</f>
        <v>-30.54550345283721</v>
      </c>
    </row>
    <row r="61" spans="2:8" hidden="1" outlineLevel="1" x14ac:dyDescent="0.45">
      <c r="B61" s="87">
        <v>0.15</v>
      </c>
      <c r="C61" s="87">
        <f t="shared" si="1"/>
        <v>0.85</v>
      </c>
      <c r="D61" s="88" cm="1">
        <f t="array" aca="1" ref="D61" ca="1">IF(ISNUMBER(_xll.VoseSimPercentile(Out_Rev_None,$B61)),_xll.VoseSimPercentile(Out_Rev_None,$B61),NA())</f>
        <v>184.57158726193475</v>
      </c>
      <c r="E61" s="88" cm="1">
        <f t="array" aca="1" ref="E61" ca="1">IF(ISNUMBER(_xll.VoseSimPercentile(Out_Rev_Start,$B61)),_xll.VoseSimPercentile(Out_Rev_Start,$B61),NA())</f>
        <v>220.51226284439943</v>
      </c>
      <c r="F61" s="88" cm="1">
        <f t="array" aca="1" ref="F61" ca="1">IF(ISNUMBER(_xll.VoseSimPercentile(Out_Rev_Plan,$B61)),_xll.VoseSimPercentile(Out_Rev_Plan,$B61),NA())</f>
        <v>213.48292662791997</v>
      </c>
      <c r="G61" s="88">
        <f t="shared" si="2"/>
        <v>209.52</v>
      </c>
      <c r="H61" s="88" cm="1">
        <f t="array" aca="1" ref="H61" ca="1">IF(ISNUMBER(_xll.VoseSimPercentile(Out_Hedge_Plan,$B61)),_xll.VoseSimPercentile(Out_Hedge_Plan,$B61),NA())</f>
        <v>-28.967641795512037</v>
      </c>
    </row>
    <row r="62" spans="2:8" hidden="1" outlineLevel="1" x14ac:dyDescent="0.45">
      <c r="B62" s="87">
        <v>0.17</v>
      </c>
      <c r="C62" s="87">
        <f t="shared" si="1"/>
        <v>0.83</v>
      </c>
      <c r="D62" s="88" cm="1">
        <f t="array" aca="1" ref="D62" ca="1">IF(ISNUMBER(_xll.VoseSimPercentile(Out_Rev_None,$B62)),_xll.VoseSimPercentile(Out_Rev_None,$B62),NA())</f>
        <v>187.97488682260536</v>
      </c>
      <c r="E62" s="88" cm="1">
        <f t="array" aca="1" ref="E62" ca="1">IF(ISNUMBER(_xll.VoseSimPercentile(Out_Rev_Start,$B62)),_xll.VoseSimPercentile(Out_Rev_Start,$B62),NA())</f>
        <v>221.93853327611777</v>
      </c>
      <c r="F62" s="88" cm="1">
        <f t="array" aca="1" ref="F62" ca="1">IF(ISNUMBER(_xll.VoseSimPercentile(Out_Rev_Plan,$B62)),_xll.VoseSimPercentile(Out_Rev_Plan,$B62),NA())</f>
        <v>214.61127847451485</v>
      </c>
      <c r="G62" s="88">
        <f t="shared" si="2"/>
        <v>209.52</v>
      </c>
      <c r="H62" s="88" cm="1">
        <f t="array" aca="1" ref="H62" ca="1">IF(ISNUMBER(_xll.VoseSimPercentile(Out_Hedge_Plan,$B62)),_xll.VoseSimPercentile(Out_Hedge_Plan,$B62),NA())</f>
        <v>-27.625759093855642</v>
      </c>
    </row>
    <row r="63" spans="2:8" hidden="1" outlineLevel="1" x14ac:dyDescent="0.45">
      <c r="B63" s="87">
        <v>0.19</v>
      </c>
      <c r="C63" s="87">
        <f t="shared" si="1"/>
        <v>0.81</v>
      </c>
      <c r="D63" s="88" cm="1">
        <f t="array" aca="1" ref="D63" ca="1">IF(ISNUMBER(_xll.VoseSimPercentile(Out_Rev_None,$B63)),_xll.VoseSimPercentile(Out_Rev_None,$B63),NA())</f>
        <v>191.10528440704715</v>
      </c>
      <c r="E63" s="88" cm="1">
        <f t="array" aca="1" ref="E63" ca="1">IF(ISNUMBER(_xll.VoseSimPercentile(Out_Rev_Start,$B63)),_xll.VoseSimPercentile(Out_Rev_Start,$B63),NA())</f>
        <v>223.36456205058857</v>
      </c>
      <c r="F63" s="88" cm="1">
        <f t="array" aca="1" ref="F63" ca="1">IF(ISNUMBER(_xll.VoseSimPercentile(Out_Rev_Plan,$B63)),_xll.VoseSimPercentile(Out_Rev_Plan,$B63),NA())</f>
        <v>215.71361043983927</v>
      </c>
      <c r="G63" s="88">
        <f t="shared" si="2"/>
        <v>209.52</v>
      </c>
      <c r="H63" s="88" cm="1">
        <f t="array" aca="1" ref="H63" ca="1">IF(ISNUMBER(_xll.VoseSimPercentile(Out_Hedge_Plan,$B63)),_xll.VoseSimPercentile(Out_Hedge_Plan,$B63),NA())</f>
        <v>-26.246325671046549</v>
      </c>
    </row>
    <row r="64" spans="2:8" hidden="1" outlineLevel="1" x14ac:dyDescent="0.45">
      <c r="B64" s="87">
        <v>0.21</v>
      </c>
      <c r="C64" s="87">
        <f t="shared" si="1"/>
        <v>0.79</v>
      </c>
      <c r="D64" s="88" cm="1">
        <f t="array" aca="1" ref="D64" ca="1">IF(ISNUMBER(_xll.VoseSimPercentile(Out_Rev_None,$B64)),_xll.VoseSimPercentile(Out_Rev_None,$B64),NA())</f>
        <v>194.38374208172738</v>
      </c>
      <c r="E64" s="88" cm="1">
        <f t="array" aca="1" ref="E64" ca="1">IF(ISNUMBER(_xll.VoseSimPercentile(Out_Rev_Start,$B64)),_xll.VoseSimPercentile(Out_Rev_Start,$B64),NA())</f>
        <v>224.46875432163552</v>
      </c>
      <c r="F64" s="88" cm="1">
        <f t="array" aca="1" ref="F64" ca="1">IF(ISNUMBER(_xll.VoseSimPercentile(Out_Rev_Plan,$B64)),_xll.VoseSimPercentile(Out_Rev_Plan,$B64),NA())</f>
        <v>216.64005664482369</v>
      </c>
      <c r="G64" s="88">
        <f t="shared" si="2"/>
        <v>209.52</v>
      </c>
      <c r="H64" s="88" cm="1">
        <f t="array" aca="1" ref="H64" ca="1">IF(ISNUMBER(_xll.VoseSimPercentile(Out_Hedge_Plan,$B64)),_xll.VoseSimPercentile(Out_Hedge_Plan,$B64),NA())</f>
        <v>-24.74577032208499</v>
      </c>
    </row>
    <row r="65" spans="2:8" hidden="1" outlineLevel="1" x14ac:dyDescent="0.45">
      <c r="B65" s="87">
        <v>0.23</v>
      </c>
      <c r="C65" s="87">
        <f t="shared" si="1"/>
        <v>0.77</v>
      </c>
      <c r="D65" s="88" cm="1">
        <f t="array" aca="1" ref="D65" ca="1">IF(ISNUMBER(_xll.VoseSimPercentile(Out_Rev_None,$B65)),_xll.VoseSimPercentile(Out_Rev_None,$B65),NA())</f>
        <v>197.61474840311101</v>
      </c>
      <c r="E65" s="88" cm="1">
        <f t="array" aca="1" ref="E65" ca="1">IF(ISNUMBER(_xll.VoseSimPercentile(Out_Rev_Start,$B65)),_xll.VoseSimPercentile(Out_Rev_Start,$B65),NA())</f>
        <v>225.68493661680853</v>
      </c>
      <c r="F65" s="88" cm="1">
        <f t="array" aca="1" ref="F65" ca="1">IF(ISNUMBER(_xll.VoseSimPercentile(Out_Rev_Plan,$B65)),_xll.VoseSimPercentile(Out_Rev_Plan,$B65),NA())</f>
        <v>217.62476008565309</v>
      </c>
      <c r="G65" s="88">
        <f t="shared" si="2"/>
        <v>209.52</v>
      </c>
      <c r="H65" s="88" cm="1">
        <f t="array" aca="1" ref="H65" ca="1">IF(ISNUMBER(_xll.VoseSimPercentile(Out_Hedge_Plan,$B65)),_xll.VoseSimPercentile(Out_Hedge_Plan,$B65),NA())</f>
        <v>-23.641178064955966</v>
      </c>
    </row>
    <row r="66" spans="2:8" hidden="1" outlineLevel="1" x14ac:dyDescent="0.45">
      <c r="B66" s="87">
        <v>0.25</v>
      </c>
      <c r="C66" s="87">
        <f t="shared" si="1"/>
        <v>0.75</v>
      </c>
      <c r="D66" s="88" cm="1">
        <f t="array" aca="1" ref="D66" ca="1">IF(ISNUMBER(_xll.VoseSimPercentile(Out_Rev_None,$B66)),_xll.VoseSimPercentile(Out_Rev_None,$B66),NA())</f>
        <v>200.87060564926475</v>
      </c>
      <c r="E66" s="88" cm="1">
        <f t="array" aca="1" ref="E66" ca="1">IF(ISNUMBER(_xll.VoseSimPercentile(Out_Rev_Start,$B66)),_xll.VoseSimPercentile(Out_Rev_Start,$B66),NA())</f>
        <v>226.98887233429716</v>
      </c>
      <c r="F66" s="88" cm="1">
        <f t="array" aca="1" ref="F66" ca="1">IF(ISNUMBER(_xll.VoseSimPercentile(Out_Rev_Plan,$B66)),_xll.VoseSimPercentile(Out_Rev_Plan,$B66),NA())</f>
        <v>218.5407723773848</v>
      </c>
      <c r="G66" s="88">
        <f t="shared" si="2"/>
        <v>209.52</v>
      </c>
      <c r="H66" s="88" cm="1">
        <f t="array" aca="1" ref="H66" ca="1">IF(ISNUMBER(_xll.VoseSimPercentile(Out_Hedge_Plan,$B66)),_xll.VoseSimPercentile(Out_Hedge_Plan,$B66),NA())</f>
        <v>-22.319054338085309</v>
      </c>
    </row>
    <row r="67" spans="2:8" hidden="1" outlineLevel="1" x14ac:dyDescent="0.45">
      <c r="B67" s="87">
        <v>0.27</v>
      </c>
      <c r="C67" s="87">
        <f t="shared" si="1"/>
        <v>0.73</v>
      </c>
      <c r="D67" s="88" cm="1">
        <f t="array" aca="1" ref="D67" ca="1">IF(ISNUMBER(_xll.VoseSimPercentile(Out_Rev_None,$B67)),_xll.VoseSimPercentile(Out_Rev_None,$B67),NA())</f>
        <v>204.11335808595348</v>
      </c>
      <c r="E67" s="88" cm="1">
        <f t="array" aca="1" ref="E67" ca="1">IF(ISNUMBER(_xll.VoseSimPercentile(Out_Rev_Start,$B67)),_xll.VoseSimPercentile(Out_Rev_Start,$B67),NA())</f>
        <v>228.10884216700069</v>
      </c>
      <c r="F67" s="88" cm="1">
        <f t="array" aca="1" ref="F67" ca="1">IF(ISNUMBER(_xll.VoseSimPercentile(Out_Rev_Plan,$B67)),_xll.VoseSimPercentile(Out_Rev_Plan,$B67),NA())</f>
        <v>219.58520347079354</v>
      </c>
      <c r="G67" s="88">
        <f t="shared" si="2"/>
        <v>209.52</v>
      </c>
      <c r="H67" s="88" cm="1">
        <f t="array" aca="1" ref="H67" ca="1">IF(ISNUMBER(_xll.VoseSimPercentile(Out_Hedge_Plan,$B67)),_xll.VoseSimPercentile(Out_Hedge_Plan,$B67),NA())</f>
        <v>-21.181489541909201</v>
      </c>
    </row>
    <row r="68" spans="2:8" hidden="1" outlineLevel="1" x14ac:dyDescent="0.45">
      <c r="B68" s="87">
        <v>0.28999999999999998</v>
      </c>
      <c r="C68" s="87">
        <f t="shared" si="1"/>
        <v>0.71</v>
      </c>
      <c r="D68" s="88" cm="1">
        <f t="array" aca="1" ref="D68" ca="1">IF(ISNUMBER(_xll.VoseSimPercentile(Out_Rev_None,$B68)),_xll.VoseSimPercentile(Out_Rev_None,$B68),NA())</f>
        <v>206.91684242696843</v>
      </c>
      <c r="E68" s="88" cm="1">
        <f t="array" aca="1" ref="E68" ca="1">IF(ISNUMBER(_xll.VoseSimPercentile(Out_Rev_Start,$B68)),_xll.VoseSimPercentile(Out_Rev_Start,$B68),NA())</f>
        <v>229.27761316142562</v>
      </c>
      <c r="F68" s="88" cm="1">
        <f t="array" aca="1" ref="F68" ca="1">IF(ISNUMBER(_xll.VoseSimPercentile(Out_Rev_Plan,$B68)),_xll.VoseSimPercentile(Out_Rev_Plan,$B68),NA())</f>
        <v>220.54957542843485</v>
      </c>
      <c r="G68" s="88">
        <f t="shared" si="2"/>
        <v>209.52</v>
      </c>
      <c r="H68" s="88" cm="1">
        <f t="array" aca="1" ref="H68" ca="1">IF(ISNUMBER(_xll.VoseSimPercentile(Out_Hedge_Plan,$B68)),_xll.VoseSimPercentile(Out_Hedge_Plan,$B68),NA())</f>
        <v>-19.83038795663515</v>
      </c>
    </row>
    <row r="69" spans="2:8" hidden="1" outlineLevel="1" x14ac:dyDescent="0.45">
      <c r="B69" s="87">
        <v>0.31</v>
      </c>
      <c r="C69" s="87">
        <f t="shared" si="1"/>
        <v>0.69</v>
      </c>
      <c r="D69" s="88" cm="1">
        <f t="array" aca="1" ref="D69" ca="1">IF(ISNUMBER(_xll.VoseSimPercentile(Out_Rev_None,$B69)),_xll.VoseSimPercentile(Out_Rev_None,$B69),NA())</f>
        <v>209.98860399844583</v>
      </c>
      <c r="E69" s="88" cm="1">
        <f t="array" aca="1" ref="E69" ca="1">IF(ISNUMBER(_xll.VoseSimPercentile(Out_Rev_Start,$B69)),_xll.VoseSimPercentile(Out_Rev_Start,$B69),NA())</f>
        <v>230.45284987049527</v>
      </c>
      <c r="F69" s="88" cm="1">
        <f t="array" aca="1" ref="F69" ca="1">IF(ISNUMBER(_xll.VoseSimPercentile(Out_Rev_Plan,$B69)),_xll.VoseSimPercentile(Out_Rev_Plan,$B69),NA())</f>
        <v>221.46670004340439</v>
      </c>
      <c r="G69" s="88">
        <f t="shared" si="2"/>
        <v>209.52</v>
      </c>
      <c r="H69" s="88" cm="1">
        <f t="array" aca="1" ref="H69" ca="1">IF(ISNUMBER(_xll.VoseSimPercentile(Out_Hedge_Plan,$B69)),_xll.VoseSimPercentile(Out_Hedge_Plan,$B69),NA())</f>
        <v>-18.635250627341925</v>
      </c>
    </row>
    <row r="70" spans="2:8" hidden="1" outlineLevel="1" x14ac:dyDescent="0.45">
      <c r="B70" s="87">
        <v>0.33</v>
      </c>
      <c r="C70" s="87">
        <f t="shared" si="1"/>
        <v>0.66999999999999993</v>
      </c>
      <c r="D70" s="88" cm="1">
        <f t="array" aca="1" ref="D70" ca="1">IF(ISNUMBER(_xll.VoseSimPercentile(Out_Rev_None,$B70)),_xll.VoseSimPercentile(Out_Rev_None,$B70),NA())</f>
        <v>213.00337728850383</v>
      </c>
      <c r="E70" s="88" cm="1">
        <f t="array" aca="1" ref="E70" ca="1">IF(ISNUMBER(_xll.VoseSimPercentile(Out_Rev_Start,$B70)),_xll.VoseSimPercentile(Out_Rev_Start,$B70),NA())</f>
        <v>231.56398677011558</v>
      </c>
      <c r="F70" s="88" cm="1">
        <f t="array" aca="1" ref="F70" ca="1">IF(ISNUMBER(_xll.VoseSimPercentile(Out_Rev_Plan,$B70)),_xll.VoseSimPercentile(Out_Rev_Plan,$B70),NA())</f>
        <v>222.43919685412291</v>
      </c>
      <c r="G70" s="88">
        <f t="shared" si="2"/>
        <v>209.52</v>
      </c>
      <c r="H70" s="88" cm="1">
        <f t="array" aca="1" ref="H70" ca="1">IF(ISNUMBER(_xll.VoseSimPercentile(Out_Hedge_Plan,$B70)),_xll.VoseSimPercentile(Out_Hedge_Plan,$B70),NA())</f>
        <v>-17.586127588207855</v>
      </c>
    </row>
    <row r="71" spans="2:8" hidden="1" outlineLevel="1" x14ac:dyDescent="0.45">
      <c r="B71" s="87">
        <v>0.35</v>
      </c>
      <c r="C71" s="87">
        <f t="shared" si="1"/>
        <v>0.65</v>
      </c>
      <c r="D71" s="88" cm="1">
        <f t="array" aca="1" ref="D71" ca="1">IF(ISNUMBER(_xll.VoseSimPercentile(Out_Rev_None,$B71)),_xll.VoseSimPercentile(Out_Rev_None,$B71),NA())</f>
        <v>215.90145093648005</v>
      </c>
      <c r="E71" s="88" cm="1">
        <f t="array" aca="1" ref="E71" ca="1">IF(ISNUMBER(_xll.VoseSimPercentile(Out_Rev_Start,$B71)),_xll.VoseSimPercentile(Out_Rev_Start,$B71),NA())</f>
        <v>232.66141674072844</v>
      </c>
      <c r="F71" s="88" cm="1">
        <f t="array" aca="1" ref="F71" ca="1">IF(ISNUMBER(_xll.VoseSimPercentile(Out_Rev_Plan,$B71)),_xll.VoseSimPercentile(Out_Rev_Plan,$B71),NA())</f>
        <v>223.55691793870062</v>
      </c>
      <c r="G71" s="88">
        <f t="shared" si="2"/>
        <v>209.52</v>
      </c>
      <c r="H71" s="88" cm="1">
        <f t="array" aca="1" ref="H71" ca="1">IF(ISNUMBER(_xll.VoseSimPercentile(Out_Hedge_Plan,$B71)),_xll.VoseSimPercentile(Out_Hedge_Plan,$B71),NA())</f>
        <v>-16.224266768786251</v>
      </c>
    </row>
    <row r="72" spans="2:8" hidden="1" outlineLevel="1" x14ac:dyDescent="0.45">
      <c r="B72" s="87">
        <v>0.37</v>
      </c>
      <c r="C72" s="87">
        <f t="shared" si="1"/>
        <v>0.63</v>
      </c>
      <c r="D72" s="88" cm="1">
        <f t="array" aca="1" ref="D72" ca="1">IF(ISNUMBER(_xll.VoseSimPercentile(Out_Rev_None,$B72)),_xll.VoseSimPercentile(Out_Rev_None,$B72),NA())</f>
        <v>218.90655479429878</v>
      </c>
      <c r="E72" s="88" cm="1">
        <f t="array" aca="1" ref="E72" ca="1">IF(ISNUMBER(_xll.VoseSimPercentile(Out_Rev_Start,$B72)),_xll.VoseSimPercentile(Out_Rev_Start,$B72),NA())</f>
        <v>233.92680878425054</v>
      </c>
      <c r="F72" s="88" cm="1">
        <f t="array" aca="1" ref="F72" ca="1">IF(ISNUMBER(_xll.VoseSimPercentile(Out_Rev_Plan,$B72)),_xll.VoseSimPercentile(Out_Rev_Plan,$B72),NA())</f>
        <v>224.69274141114988</v>
      </c>
      <c r="G72" s="88">
        <f t="shared" si="2"/>
        <v>209.52</v>
      </c>
      <c r="H72" s="88" cm="1">
        <f t="array" aca="1" ref="H72" ca="1">IF(ISNUMBER(_xll.VoseSimPercentile(Out_Hedge_Plan,$B72)),_xll.VoseSimPercentile(Out_Hedge_Plan,$B72),NA())</f>
        <v>-14.844222019308082</v>
      </c>
    </row>
    <row r="73" spans="2:8" hidden="1" outlineLevel="1" x14ac:dyDescent="0.45">
      <c r="B73" s="87">
        <v>0.39</v>
      </c>
      <c r="C73" s="87">
        <f t="shared" si="1"/>
        <v>0.61</v>
      </c>
      <c r="D73" s="88" cm="1">
        <f t="array" aca="1" ref="D73" ca="1">IF(ISNUMBER(_xll.VoseSimPercentile(Out_Rev_None,$B73)),_xll.VoseSimPercentile(Out_Rev_None,$B73),NA())</f>
        <v>221.91925461169447</v>
      </c>
      <c r="E73" s="88" cm="1">
        <f t="array" aca="1" ref="E73" ca="1">IF(ISNUMBER(_xll.VoseSimPercentile(Out_Rev_Start,$B73)),_xll.VoseSimPercentile(Out_Rev_Start,$B73),NA())</f>
        <v>235.04452849775657</v>
      </c>
      <c r="F73" s="88" cm="1">
        <f t="array" aca="1" ref="F73" ca="1">IF(ISNUMBER(_xll.VoseSimPercentile(Out_Rev_Plan,$B73)),_xll.VoseSimPercentile(Out_Rev_Plan,$B73),NA())</f>
        <v>225.792279114612</v>
      </c>
      <c r="G73" s="88">
        <f t="shared" si="2"/>
        <v>209.52</v>
      </c>
      <c r="H73" s="88" cm="1">
        <f t="array" aca="1" ref="H73" ca="1">IF(ISNUMBER(_xll.VoseSimPercentile(Out_Hedge_Plan,$B73)),_xll.VoseSimPercentile(Out_Hedge_Plan,$B73),NA())</f>
        <v>-13.546042886067799</v>
      </c>
    </row>
    <row r="74" spans="2:8" hidden="1" outlineLevel="1" x14ac:dyDescent="0.45">
      <c r="B74" s="87">
        <v>0.41</v>
      </c>
      <c r="C74" s="87">
        <f t="shared" si="1"/>
        <v>0.59000000000000008</v>
      </c>
      <c r="D74" s="88" cm="1">
        <f t="array" aca="1" ref="D74" ca="1">IF(ISNUMBER(_xll.VoseSimPercentile(Out_Rev_None,$B74)),_xll.VoseSimPercentile(Out_Rev_None,$B74),NA())</f>
        <v>225.03982621193748</v>
      </c>
      <c r="E74" s="88" cm="1">
        <f t="array" aca="1" ref="E74" ca="1">IF(ISNUMBER(_xll.VoseSimPercentile(Out_Rev_Start,$B74)),_xll.VoseSimPercentile(Out_Rev_Start,$B74),NA())</f>
        <v>236.19444805515343</v>
      </c>
      <c r="F74" s="88" cm="1">
        <f t="array" aca="1" ref="F74" ca="1">IF(ISNUMBER(_xll.VoseSimPercentile(Out_Rev_Plan,$B74)),_xll.VoseSimPercentile(Out_Rev_Plan,$B74),NA())</f>
        <v>226.98559810655115</v>
      </c>
      <c r="G74" s="88">
        <f t="shared" si="2"/>
        <v>209.52</v>
      </c>
      <c r="H74" s="88" cm="1">
        <f t="array" aca="1" ref="H74" ca="1">IF(ISNUMBER(_xll.VoseSimPercentile(Out_Hedge_Plan,$B74)),_xll.VoseSimPercentile(Out_Hedge_Plan,$B74),NA())</f>
        <v>-12.15561472041521</v>
      </c>
    </row>
    <row r="75" spans="2:8" hidden="1" outlineLevel="1" x14ac:dyDescent="0.45">
      <c r="B75" s="87">
        <v>0.43</v>
      </c>
      <c r="C75" s="87">
        <f t="shared" si="1"/>
        <v>0.57000000000000006</v>
      </c>
      <c r="D75" s="88" cm="1">
        <f t="array" aca="1" ref="D75" ca="1">IF(ISNUMBER(_xll.VoseSimPercentile(Out_Rev_None,$B75)),_xll.VoseSimPercentile(Out_Rev_None,$B75),NA())</f>
        <v>227.93919141601813</v>
      </c>
      <c r="E75" s="88" cm="1">
        <f t="array" aca="1" ref="E75" ca="1">IF(ISNUMBER(_xll.VoseSimPercentile(Out_Rev_Start,$B75)),_xll.VoseSimPercentile(Out_Rev_Start,$B75),NA())</f>
        <v>237.43337682366123</v>
      </c>
      <c r="F75" s="88" cm="1">
        <f t="array" aca="1" ref="F75" ca="1">IF(ISNUMBER(_xll.VoseSimPercentile(Out_Rev_Plan,$B75)),_xll.VoseSimPercentile(Out_Rev_Plan,$B75),NA())</f>
        <v>228.33157707095407</v>
      </c>
      <c r="G75" s="88">
        <f t="shared" si="2"/>
        <v>209.52</v>
      </c>
      <c r="H75" s="88" cm="1">
        <f t="array" aca="1" ref="H75" ca="1">IF(ISNUMBER(_xll.VoseSimPercentile(Out_Hedge_Plan,$B75)),_xll.VoseSimPercentile(Out_Hedge_Plan,$B75),NA())</f>
        <v>-10.861981868194965</v>
      </c>
    </row>
    <row r="76" spans="2:8" hidden="1" outlineLevel="1" x14ac:dyDescent="0.45">
      <c r="B76" s="87">
        <v>0.45</v>
      </c>
      <c r="C76" s="87">
        <f t="shared" si="1"/>
        <v>0.55000000000000004</v>
      </c>
      <c r="D76" s="88" cm="1">
        <f t="array" aca="1" ref="D76" ca="1">IF(ISNUMBER(_xll.VoseSimPercentile(Out_Rev_None,$B76)),_xll.VoseSimPercentile(Out_Rev_None,$B76),NA())</f>
        <v>231.0110080531833</v>
      </c>
      <c r="E76" s="88" cm="1">
        <f t="array" aca="1" ref="E76" ca="1">IF(ISNUMBER(_xll.VoseSimPercentile(Out_Rev_Start,$B76)),_xll.VoseSimPercentile(Out_Rev_Start,$B76),NA())</f>
        <v>238.56320155164801</v>
      </c>
      <c r="F76" s="88" cm="1">
        <f t="array" aca="1" ref="F76" ca="1">IF(ISNUMBER(_xll.VoseSimPercentile(Out_Rev_Plan,$B76)),_xll.VoseSimPercentile(Out_Rev_Plan,$B76),NA())</f>
        <v>229.77840623870679</v>
      </c>
      <c r="G76" s="88">
        <f t="shared" si="2"/>
        <v>209.52</v>
      </c>
      <c r="H76" s="88" cm="1">
        <f t="array" aca="1" ref="H76" ca="1">IF(ISNUMBER(_xll.VoseSimPercentile(Out_Hedge_Plan,$B76)),_xll.VoseSimPercentile(Out_Hedge_Plan,$B76),NA())</f>
        <v>-9.5308621928600079</v>
      </c>
    </row>
    <row r="77" spans="2:8" hidden="1" outlineLevel="1" x14ac:dyDescent="0.45">
      <c r="B77" s="87">
        <v>0.47</v>
      </c>
      <c r="C77" s="87">
        <f t="shared" si="1"/>
        <v>0.53</v>
      </c>
      <c r="D77" s="88" cm="1">
        <f t="array" aca="1" ref="D77" ca="1">IF(ISNUMBER(_xll.VoseSimPercentile(Out_Rev_None,$B77)),_xll.VoseSimPercentile(Out_Rev_None,$B77),NA())</f>
        <v>234.09066869395934</v>
      </c>
      <c r="E77" s="88" cm="1">
        <f t="array" aca="1" ref="E77" ca="1">IF(ISNUMBER(_xll.VoseSimPercentile(Out_Rev_Start,$B77)),_xll.VoseSimPercentile(Out_Rev_Start,$B77),NA())</f>
        <v>239.66341260988568</v>
      </c>
      <c r="F77" s="88" cm="1">
        <f t="array" aca="1" ref="F77" ca="1">IF(ISNUMBER(_xll.VoseSimPercentile(Out_Rev_Plan,$B77)),_xll.VoseSimPercentile(Out_Rev_Plan,$B77),NA())</f>
        <v>231.17522245081966</v>
      </c>
      <c r="G77" s="88">
        <f t="shared" si="2"/>
        <v>209.52</v>
      </c>
      <c r="H77" s="88" cm="1">
        <f t="array" aca="1" ref="H77" ca="1">IF(ISNUMBER(_xll.VoseSimPercentile(Out_Hedge_Plan,$B77)),_xll.VoseSimPercentile(Out_Hedge_Plan,$B77),NA())</f>
        <v>-8.0615246648625067</v>
      </c>
    </row>
    <row r="78" spans="2:8" hidden="1" outlineLevel="1" x14ac:dyDescent="0.45">
      <c r="B78" s="87">
        <v>0.49</v>
      </c>
      <c r="C78" s="87">
        <f t="shared" si="1"/>
        <v>0.51</v>
      </c>
      <c r="D78" s="88" cm="1">
        <f t="array" aca="1" ref="D78" ca="1">IF(ISNUMBER(_xll.VoseSimPercentile(Out_Rev_None,$B78)),_xll.VoseSimPercentile(Out_Rev_None,$B78),NA())</f>
        <v>237.24685169150612</v>
      </c>
      <c r="E78" s="88" cm="1">
        <f t="array" aca="1" ref="E78" ca="1">IF(ISNUMBER(_xll.VoseSimPercentile(Out_Rev_Start,$B78)),_xll.VoseSimPercentile(Out_Rev_Start,$B78),NA())</f>
        <v>240.88569055915985</v>
      </c>
      <c r="F78" s="88" cm="1">
        <f t="array" aca="1" ref="F78" ca="1">IF(ISNUMBER(_xll.VoseSimPercentile(Out_Rev_Plan,$B78)),_xll.VoseSimPercentile(Out_Rev_Plan,$B78),NA())</f>
        <v>232.52126178422844</v>
      </c>
      <c r="G78" s="88">
        <f t="shared" si="2"/>
        <v>209.52</v>
      </c>
      <c r="H78" s="88" cm="1">
        <f t="array" aca="1" ref="H78" ca="1">IF(ISNUMBER(_xll.VoseSimPercentile(Out_Hedge_Plan,$B78)),_xll.VoseSimPercentile(Out_Hedge_Plan,$B78),NA())</f>
        <v>-6.4976451444354231</v>
      </c>
    </row>
    <row r="79" spans="2:8" hidden="1" outlineLevel="1" x14ac:dyDescent="0.45">
      <c r="B79" s="87">
        <v>0.51</v>
      </c>
      <c r="C79" s="87">
        <f t="shared" si="1"/>
        <v>0.49</v>
      </c>
      <c r="D79" s="88" cm="1">
        <f t="array" aca="1" ref="D79" ca="1">IF(ISNUMBER(_xll.VoseSimPercentile(Out_Rev_None,$B79)),_xll.VoseSimPercentile(Out_Rev_None,$B79),NA())</f>
        <v>240.41364452023717</v>
      </c>
      <c r="E79" s="88" cm="1">
        <f t="array" aca="1" ref="E79" ca="1">IF(ISNUMBER(_xll.VoseSimPercentile(Out_Rev_Start,$B79)),_xll.VoseSimPercentile(Out_Rev_Start,$B79),NA())</f>
        <v>242.10923407161431</v>
      </c>
      <c r="F79" s="88" cm="1">
        <f t="array" aca="1" ref="F79" ca="1">IF(ISNUMBER(_xll.VoseSimPercentile(Out_Rev_Plan,$B79)),_xll.VoseSimPercentile(Out_Rev_Plan,$B79),NA())</f>
        <v>234.11251539785118</v>
      </c>
      <c r="G79" s="88">
        <f t="shared" si="2"/>
        <v>209.52</v>
      </c>
      <c r="H79" s="88" cm="1">
        <f t="array" aca="1" ref="H79" ca="1">IF(ISNUMBER(_xll.VoseSimPercentile(Out_Hedge_Plan,$B79)),_xll.VoseSimPercentile(Out_Hedge_Plan,$B79),NA())</f>
        <v>-4.9664843107164769</v>
      </c>
    </row>
    <row r="80" spans="2:8" hidden="1" outlineLevel="1" x14ac:dyDescent="0.45">
      <c r="B80" s="87">
        <v>0.53</v>
      </c>
      <c r="C80" s="87">
        <f t="shared" si="1"/>
        <v>0.47</v>
      </c>
      <c r="D80" s="88" cm="1">
        <f t="array" aca="1" ref="D80" ca="1">IF(ISNUMBER(_xll.VoseSimPercentile(Out_Rev_None,$B80)),_xll.VoseSimPercentile(Out_Rev_None,$B80),NA())</f>
        <v>243.18186385234219</v>
      </c>
      <c r="E80" s="88" cm="1">
        <f t="array" aca="1" ref="E80" ca="1">IF(ISNUMBER(_xll.VoseSimPercentile(Out_Rev_Start,$B80)),_xll.VoseSimPercentile(Out_Rev_Start,$B80),NA())</f>
        <v>243.22196972694721</v>
      </c>
      <c r="F80" s="88" cm="1">
        <f t="array" aca="1" ref="F80" ca="1">IF(ISNUMBER(_xll.VoseSimPercentile(Out_Rev_Plan,$B80)),_xll.VoseSimPercentile(Out_Rev_Plan,$B80),NA())</f>
        <v>235.59177820673511</v>
      </c>
      <c r="G80" s="88">
        <f t="shared" si="2"/>
        <v>209.52</v>
      </c>
      <c r="H80" s="88" cm="1">
        <f t="array" aca="1" ref="H80" ca="1">IF(ISNUMBER(_xll.VoseSimPercentile(Out_Hedge_Plan,$B80)),_xll.VoseSimPercentile(Out_Hedge_Plan,$B80),NA())</f>
        <v>-3.2425188879970981</v>
      </c>
    </row>
    <row r="81" spans="2:8" hidden="1" outlineLevel="1" x14ac:dyDescent="0.45">
      <c r="B81" s="87">
        <v>0.55000000000000004</v>
      </c>
      <c r="C81" s="87">
        <f t="shared" si="1"/>
        <v>0.44999999999999996</v>
      </c>
      <c r="D81" s="88" cm="1">
        <f t="array" aca="1" ref="D81" ca="1">IF(ISNUMBER(_xll.VoseSimPercentile(Out_Rev_None,$B81)),_xll.VoseSimPercentile(Out_Rev_None,$B81),NA())</f>
        <v>246.20865272142143</v>
      </c>
      <c r="E81" s="88" cm="1">
        <f t="array" aca="1" ref="E81" ca="1">IF(ISNUMBER(_xll.VoseSimPercentile(Out_Rev_Start,$B81)),_xll.VoseSimPercentile(Out_Rev_Start,$B81),NA())</f>
        <v>244.28987882443352</v>
      </c>
      <c r="F81" s="88" cm="1">
        <f t="array" aca="1" ref="F81" ca="1">IF(ISNUMBER(_xll.VoseSimPercentile(Out_Rev_Plan,$B81)),_xll.VoseSimPercentile(Out_Rev_Plan,$B81),NA())</f>
        <v>237.19163459210992</v>
      </c>
      <c r="G81" s="88">
        <f t="shared" si="2"/>
        <v>209.52</v>
      </c>
      <c r="H81" s="88" cm="1">
        <f t="array" aca="1" ref="H81" ca="1">IF(ISNUMBER(_xll.VoseSimPercentile(Out_Hedge_Plan,$B81)),_xll.VoseSimPercentile(Out_Hedge_Plan,$B81),NA())</f>
        <v>-1.5983048722521254</v>
      </c>
    </row>
    <row r="82" spans="2:8" hidden="1" outlineLevel="1" x14ac:dyDescent="0.45">
      <c r="B82" s="87">
        <v>0.56999999999999995</v>
      </c>
      <c r="C82" s="87">
        <f t="shared" si="1"/>
        <v>0.43000000000000005</v>
      </c>
      <c r="D82" s="88" cm="1">
        <f t="array" aca="1" ref="D82" ca="1">IF(ISNUMBER(_xll.VoseSimPercentile(Out_Rev_None,$B82)),_xll.VoseSimPercentile(Out_Rev_None,$B82),NA())</f>
        <v>249.49906483958125</v>
      </c>
      <c r="E82" s="88" cm="1">
        <f t="array" aca="1" ref="E82" ca="1">IF(ISNUMBER(_xll.VoseSimPercentile(Out_Rev_Start,$B82)),_xll.VoseSimPercentile(Out_Rev_Start,$B82),NA())</f>
        <v>245.36403224128759</v>
      </c>
      <c r="F82" s="88" cm="1">
        <f t="array" aca="1" ref="F82" ca="1">IF(ISNUMBER(_xll.VoseSimPercentile(Out_Rev_Plan,$B82)),_xll.VoseSimPercentile(Out_Rev_Plan,$B82),NA())</f>
        <v>238.78911061310157</v>
      </c>
      <c r="G82" s="88">
        <f t="shared" si="2"/>
        <v>209.52</v>
      </c>
      <c r="H82" s="88" cm="1">
        <f t="array" aca="1" ref="H82" ca="1">IF(ISNUMBER(_xll.VoseSimPercentile(Out_Hedge_Plan,$B82)),_xll.VoseSimPercentile(Out_Hedge_Plan,$B82),NA())</f>
        <v>2.8670741324816618E-3</v>
      </c>
    </row>
    <row r="83" spans="2:8" hidden="1" outlineLevel="1" x14ac:dyDescent="0.45">
      <c r="B83" s="87">
        <v>0.59</v>
      </c>
      <c r="C83" s="87">
        <f t="shared" si="1"/>
        <v>0.41000000000000003</v>
      </c>
      <c r="D83" s="88" cm="1">
        <f t="array" aca="1" ref="D83" ca="1">IF(ISNUMBER(_xll.VoseSimPercentile(Out_Rev_None,$B83)),_xll.VoseSimPercentile(Out_Rev_None,$B83),NA())</f>
        <v>252.24493075708813</v>
      </c>
      <c r="E83" s="88" cm="1">
        <f t="array" aca="1" ref="E83" ca="1">IF(ISNUMBER(_xll.VoseSimPercentile(Out_Rev_Start,$B83)),_xll.VoseSimPercentile(Out_Rev_Start,$B83),NA())</f>
        <v>246.57508464682249</v>
      </c>
      <c r="F83" s="88" cm="1">
        <f t="array" aca="1" ref="F83" ca="1">IF(ISNUMBER(_xll.VoseSimPercentile(Out_Rev_Plan,$B83)),_xll.VoseSimPercentile(Out_Rev_Plan,$B83),NA())</f>
        <v>240.55425112037884</v>
      </c>
      <c r="G83" s="88">
        <f t="shared" si="2"/>
        <v>209.52</v>
      </c>
      <c r="H83" s="88" cm="1">
        <f t="array" aca="1" ref="H83" ca="1">IF(ISNUMBER(_xll.VoseSimPercentile(Out_Hedge_Plan,$B83)),_xll.VoseSimPercentile(Out_Hedge_Plan,$B83),NA())</f>
        <v>1.7988156493379872</v>
      </c>
    </row>
    <row r="84" spans="2:8" hidden="1" outlineLevel="1" x14ac:dyDescent="0.45">
      <c r="B84" s="87">
        <v>0.61</v>
      </c>
      <c r="C84" s="87">
        <f t="shared" si="1"/>
        <v>0.39</v>
      </c>
      <c r="D84" s="88" cm="1">
        <f t="array" aca="1" ref="D84" ca="1">IF(ISNUMBER(_xll.VoseSimPercentile(Out_Rev_None,$B84)),_xll.VoseSimPercentile(Out_Rev_None,$B84),NA())</f>
        <v>255.19742946380541</v>
      </c>
      <c r="E84" s="88" cm="1">
        <f t="array" aca="1" ref="E84" ca="1">IF(ISNUMBER(_xll.VoseSimPercentile(Out_Rev_Start,$B84)),_xll.VoseSimPercentile(Out_Rev_Start,$B84),NA())</f>
        <v>247.79538117101492</v>
      </c>
      <c r="F84" s="88" cm="1">
        <f t="array" aca="1" ref="F84" ca="1">IF(ISNUMBER(_xll.VoseSimPercentile(Out_Rev_Plan,$B84)),_xll.VoseSimPercentile(Out_Rev_Plan,$B84),NA())</f>
        <v>242.47746694079714</v>
      </c>
      <c r="G84" s="88">
        <f t="shared" si="2"/>
        <v>209.52</v>
      </c>
      <c r="H84" s="88" cm="1">
        <f t="array" aca="1" ref="H84" ca="1">IF(ISNUMBER(_xll.VoseSimPercentile(Out_Hedge_Plan,$B84)),_xll.VoseSimPercentile(Out_Hedge_Plan,$B84),NA())</f>
        <v>3.6417551785019073</v>
      </c>
    </row>
    <row r="85" spans="2:8" hidden="1" outlineLevel="1" x14ac:dyDescent="0.45">
      <c r="B85" s="87">
        <v>0.63</v>
      </c>
      <c r="C85" s="87">
        <f t="shared" si="1"/>
        <v>0.37</v>
      </c>
      <c r="D85" s="88" cm="1">
        <f t="array" aca="1" ref="D85" ca="1">IF(ISNUMBER(_xll.VoseSimPercentile(Out_Rev_None,$B85)),_xll.VoseSimPercentile(Out_Rev_None,$B85),NA())</f>
        <v>258.60098942883707</v>
      </c>
      <c r="E85" s="88" cm="1">
        <f t="array" aca="1" ref="E85" ca="1">IF(ISNUMBER(_xll.VoseSimPercentile(Out_Rev_Start,$B85)),_xll.VoseSimPercentile(Out_Rev_Start,$B85),NA())</f>
        <v>248.9035534919621</v>
      </c>
      <c r="F85" s="88" cm="1">
        <f t="array" aca="1" ref="F85" ca="1">IF(ISNUMBER(_xll.VoseSimPercentile(Out_Rev_Plan,$B85)),_xll.VoseSimPercentile(Out_Rev_Plan,$B85),NA())</f>
        <v>244.4245297441465</v>
      </c>
      <c r="G85" s="88">
        <f t="shared" si="2"/>
        <v>209.52</v>
      </c>
      <c r="H85" s="88" cm="1">
        <f t="array" aca="1" ref="H85" ca="1">IF(ISNUMBER(_xll.VoseSimPercentile(Out_Hedge_Plan,$B85)),_xll.VoseSimPercentile(Out_Hedge_Plan,$B85),NA())</f>
        <v>5.5252903399688389</v>
      </c>
    </row>
    <row r="86" spans="2:8" hidden="1" outlineLevel="1" x14ac:dyDescent="0.45">
      <c r="B86" s="87">
        <v>0.65</v>
      </c>
      <c r="C86" s="87">
        <f t="shared" ref="C86:C117" si="3">1-B86</f>
        <v>0.35</v>
      </c>
      <c r="D86" s="88" cm="1">
        <f t="array" aca="1" ref="D86" ca="1">IF(ISNUMBER(_xll.VoseSimPercentile(Out_Rev_None,$B86)),_xll.VoseSimPercentile(Out_Rev_None,$B86),NA())</f>
        <v>262.34153136382957</v>
      </c>
      <c r="E86" s="88" cm="1">
        <f t="array" aca="1" ref="E86" ca="1">IF(ISNUMBER(_xll.VoseSimPercentile(Out_Rev_Start,$B86)),_xll.VoseSimPercentile(Out_Rev_Start,$B86),NA())</f>
        <v>250.36666343458973</v>
      </c>
      <c r="F86" s="88" cm="1">
        <f t="array" aca="1" ref="F86" ca="1">IF(ISNUMBER(_xll.VoseSimPercentile(Out_Rev_Plan,$B86)),_xll.VoseSimPercentile(Out_Rev_Plan,$B86),NA())</f>
        <v>246.45032008841022</v>
      </c>
      <c r="G86" s="88">
        <f t="shared" ref="G86:G103" si="4">BudgetRevenue</f>
        <v>209.52</v>
      </c>
      <c r="H86" s="88" cm="1">
        <f t="array" aca="1" ref="H86" ca="1">IF(ISNUMBER(_xll.VoseSimPercentile(Out_Hedge_Plan,$B86)),_xll.VoseSimPercentile(Out_Hedge_Plan,$B86),NA())</f>
        <v>7.4432662508917318</v>
      </c>
    </row>
    <row r="87" spans="2:8" hidden="1" outlineLevel="1" x14ac:dyDescent="0.45">
      <c r="B87" s="87">
        <v>0.67</v>
      </c>
      <c r="C87" s="87">
        <f t="shared" si="3"/>
        <v>0.32999999999999996</v>
      </c>
      <c r="D87" s="88" cm="1">
        <f t="array" aca="1" ref="D87" ca="1">IF(ISNUMBER(_xll.VoseSimPercentile(Out_Rev_None,$B87)),_xll.VoseSimPercentile(Out_Rev_None,$B87),NA())</f>
        <v>265.79189048475666</v>
      </c>
      <c r="E87" s="88" cm="1">
        <f t="array" aca="1" ref="E87" ca="1">IF(ISNUMBER(_xll.VoseSimPercentile(Out_Rev_Start,$B87)),_xll.VoseSimPercentile(Out_Rev_Start,$B87),NA())</f>
        <v>251.79449591321691</v>
      </c>
      <c r="F87" s="88" cm="1">
        <f t="array" aca="1" ref="F87" ca="1">IF(ISNUMBER(_xll.VoseSimPercentile(Out_Rev_Plan,$B87)),_xll.VoseSimPercentile(Out_Rev_Plan,$B87),NA())</f>
        <v>248.74710452134693</v>
      </c>
      <c r="G87" s="88">
        <f t="shared" si="4"/>
        <v>209.52</v>
      </c>
      <c r="H87" s="88" cm="1">
        <f t="array" aca="1" ref="H87" ca="1">IF(ISNUMBER(_xll.VoseSimPercentile(Out_Hedge_Plan,$B87)),_xll.VoseSimPercentile(Out_Hedge_Plan,$B87),NA())</f>
        <v>9.501047918023378</v>
      </c>
    </row>
    <row r="88" spans="2:8" hidden="1" outlineLevel="1" x14ac:dyDescent="0.45">
      <c r="B88" s="87">
        <v>0.69</v>
      </c>
      <c r="C88" s="87">
        <f t="shared" si="3"/>
        <v>0.31000000000000005</v>
      </c>
      <c r="D88" s="88" cm="1">
        <f t="array" aca="1" ref="D88" ca="1">IF(ISNUMBER(_xll.VoseSimPercentile(Out_Rev_None,$B88)),_xll.VoseSimPercentile(Out_Rev_None,$B88),NA())</f>
        <v>269.53997255250397</v>
      </c>
      <c r="E88" s="88" cm="1">
        <f t="array" aca="1" ref="E88" ca="1">IF(ISNUMBER(_xll.VoseSimPercentile(Out_Rev_Start,$B88)),_xll.VoseSimPercentile(Out_Rev_Start,$B88),NA())</f>
        <v>253.18030386094429</v>
      </c>
      <c r="F88" s="88" cm="1">
        <f t="array" aca="1" ref="F88" ca="1">IF(ISNUMBER(_xll.VoseSimPercentile(Out_Rev_Plan,$B88)),_xll.VoseSimPercentile(Out_Rev_Plan,$B88),NA())</f>
        <v>251.03663566300872</v>
      </c>
      <c r="G88" s="88">
        <f t="shared" si="4"/>
        <v>209.52</v>
      </c>
      <c r="H88" s="88" cm="1">
        <f t="array" aca="1" ref="H88" ca="1">IF(ISNUMBER(_xll.VoseSimPercentile(Out_Hedge_Plan,$B88)),_xll.VoseSimPercentile(Out_Hedge_Plan,$B88),NA())</f>
        <v>11.473624247590813</v>
      </c>
    </row>
    <row r="89" spans="2:8" hidden="1" outlineLevel="1" x14ac:dyDescent="0.45">
      <c r="B89" s="87">
        <v>0.71</v>
      </c>
      <c r="C89" s="87">
        <f t="shared" si="3"/>
        <v>0.29000000000000004</v>
      </c>
      <c r="D89" s="88" cm="1">
        <f t="array" aca="1" ref="D89" ca="1">IF(ISNUMBER(_xll.VoseSimPercentile(Out_Rev_None,$B89)),_xll.VoseSimPercentile(Out_Rev_None,$B89),NA())</f>
        <v>273.07823642053575</v>
      </c>
      <c r="E89" s="88" cm="1">
        <f t="array" aca="1" ref="E89" ca="1">IF(ISNUMBER(_xll.VoseSimPercentile(Out_Rev_Start,$B89)),_xll.VoseSimPercentile(Out_Rev_Start,$B89),NA())</f>
        <v>254.44181886469477</v>
      </c>
      <c r="F89" s="88" cm="1">
        <f t="array" aca="1" ref="F89" ca="1">IF(ISNUMBER(_xll.VoseSimPercentile(Out_Rev_Plan,$B89)),_xll.VoseSimPercentile(Out_Rev_Plan,$B89),NA())</f>
        <v>253.6933997350213</v>
      </c>
      <c r="G89" s="88">
        <f t="shared" si="4"/>
        <v>209.52</v>
      </c>
      <c r="H89" s="88" cm="1">
        <f t="array" aca="1" ref="H89" ca="1">IF(ISNUMBER(_xll.VoseSimPercentile(Out_Hedge_Plan,$B89)),_xll.VoseSimPercentile(Out_Hedge_Plan,$B89),NA())</f>
        <v>13.301011043098523</v>
      </c>
    </row>
    <row r="90" spans="2:8" hidden="1" outlineLevel="1" x14ac:dyDescent="0.45">
      <c r="B90" s="87">
        <v>0.73</v>
      </c>
      <c r="C90" s="87">
        <f t="shared" si="3"/>
        <v>0.27</v>
      </c>
      <c r="D90" s="88" cm="1">
        <f t="array" aca="1" ref="D90" ca="1">IF(ISNUMBER(_xll.VoseSimPercentile(Out_Rev_None,$B90)),_xll.VoseSimPercentile(Out_Rev_None,$B90),NA())</f>
        <v>277.02172801917646</v>
      </c>
      <c r="E90" s="88" cm="1">
        <f t="array" aca="1" ref="E90" ca="1">IF(ISNUMBER(_xll.VoseSimPercentile(Out_Rev_Start,$B90)),_xll.VoseSimPercentile(Out_Rev_Start,$B90),NA())</f>
        <v>255.75326444322067</v>
      </c>
      <c r="F90" s="88" cm="1">
        <f t="array" aca="1" ref="F90" ca="1">IF(ISNUMBER(_xll.VoseSimPercentile(Out_Rev_Plan,$B90)),_xll.VoseSimPercentile(Out_Rev_Plan,$B90),NA())</f>
        <v>256.39159780256199</v>
      </c>
      <c r="G90" s="88">
        <f t="shared" si="4"/>
        <v>209.52</v>
      </c>
      <c r="H90" s="88" cm="1">
        <f t="array" aca="1" ref="H90" ca="1">IF(ISNUMBER(_xll.VoseSimPercentile(Out_Hedge_Plan,$B90)),_xll.VoseSimPercentile(Out_Hedge_Plan,$B90),NA())</f>
        <v>15.438819597477305</v>
      </c>
    </row>
    <row r="91" spans="2:8" hidden="1" outlineLevel="1" x14ac:dyDescent="0.45">
      <c r="B91" s="87">
        <v>0.75</v>
      </c>
      <c r="C91" s="87">
        <f t="shared" si="3"/>
        <v>0.25</v>
      </c>
      <c r="D91" s="88" cm="1">
        <f t="array" aca="1" ref="D91" ca="1">IF(ISNUMBER(_xll.VoseSimPercentile(Out_Rev_None,$B91)),_xll.VoseSimPercentile(Out_Rev_None,$B91),NA())</f>
        <v>281.00984029116654</v>
      </c>
      <c r="E91" s="88" cm="1">
        <f t="array" aca="1" ref="E91" ca="1">IF(ISNUMBER(_xll.VoseSimPercentile(Out_Rev_Start,$B91)),_xll.VoseSimPercentile(Out_Rev_Start,$B91),NA())</f>
        <v>257.38892609969594</v>
      </c>
      <c r="F91" s="88" cm="1">
        <f t="array" aca="1" ref="F91" ca="1">IF(ISNUMBER(_xll.VoseSimPercentile(Out_Rev_Plan,$B91)),_xll.VoseSimPercentile(Out_Rev_Plan,$B91),NA())</f>
        <v>259.41541160223261</v>
      </c>
      <c r="G91" s="88">
        <f t="shared" si="4"/>
        <v>209.52</v>
      </c>
      <c r="H91" s="88" cm="1">
        <f t="array" aca="1" ref="H91" ca="1">IF(ISNUMBER(_xll.VoseSimPercentile(Out_Hedge_Plan,$B91)),_xll.VoseSimPercentile(Out_Hedge_Plan,$B91),NA())</f>
        <v>17.473474201087654</v>
      </c>
    </row>
    <row r="92" spans="2:8" hidden="1" outlineLevel="1" x14ac:dyDescent="0.45">
      <c r="B92" s="87">
        <v>0.77</v>
      </c>
      <c r="C92" s="87">
        <f t="shared" si="3"/>
        <v>0.22999999999999998</v>
      </c>
      <c r="D92" s="88" cm="1">
        <f t="array" aca="1" ref="D92" ca="1">IF(ISNUMBER(_xll.VoseSimPercentile(Out_Rev_None,$B92)),_xll.VoseSimPercentile(Out_Rev_None,$B92),NA())</f>
        <v>285.95272692917672</v>
      </c>
      <c r="E92" s="88" cm="1">
        <f t="array" aca="1" ref="E92" ca="1">IF(ISNUMBER(_xll.VoseSimPercentile(Out_Rev_Start,$B92)),_xll.VoseSimPercentile(Out_Rev_Start,$B92),NA())</f>
        <v>259.31498021037874</v>
      </c>
      <c r="F92" s="88" cm="1">
        <f t="array" aca="1" ref="F92" ca="1">IF(ISNUMBER(_xll.VoseSimPercentile(Out_Rev_Plan,$B92)),_xll.VoseSimPercentile(Out_Rev_Plan,$B92),NA())</f>
        <v>262.87335498142863</v>
      </c>
      <c r="G92" s="88">
        <f t="shared" si="4"/>
        <v>209.52</v>
      </c>
      <c r="H92" s="88" cm="1">
        <f t="array" aca="1" ref="H92" ca="1">IF(ISNUMBER(_xll.VoseSimPercentile(Out_Hedge_Plan,$B92)),_xll.VoseSimPercentile(Out_Hedge_Plan,$B92),NA())</f>
        <v>19.711026410024417</v>
      </c>
    </row>
    <row r="93" spans="2:8" hidden="1" outlineLevel="1" x14ac:dyDescent="0.45">
      <c r="B93" s="87">
        <v>0.79</v>
      </c>
      <c r="C93" s="87">
        <f t="shared" si="3"/>
        <v>0.20999999999999996</v>
      </c>
      <c r="D93" s="88" cm="1">
        <f t="array" aca="1" ref="D93" ca="1">IF(ISNUMBER(_xll.VoseSimPercentile(Out_Rev_None,$B93)),_xll.VoseSimPercentile(Out_Rev_None,$B93),NA())</f>
        <v>290.85723620912466</v>
      </c>
      <c r="E93" s="88" cm="1">
        <f t="array" aca="1" ref="E93" ca="1">IF(ISNUMBER(_xll.VoseSimPercentile(Out_Rev_Start,$B93)),_xll.VoseSimPercentile(Out_Rev_Start,$B93),NA())</f>
        <v>261.20529658977961</v>
      </c>
      <c r="F93" s="88" cm="1">
        <f t="array" aca="1" ref="F93" ca="1">IF(ISNUMBER(_xll.VoseSimPercentile(Out_Rev_Plan,$B93)),_xll.VoseSimPercentile(Out_Rev_Plan,$B93),NA())</f>
        <v>266.83032685437291</v>
      </c>
      <c r="G93" s="88">
        <f t="shared" si="4"/>
        <v>209.52</v>
      </c>
      <c r="H93" s="88" cm="1">
        <f t="array" aca="1" ref="H93" ca="1">IF(ISNUMBER(_xll.VoseSimPercentile(Out_Hedge_Plan,$B93)),_xll.VoseSimPercentile(Out_Hedge_Plan,$B93),NA())</f>
        <v>21.948473008865882</v>
      </c>
    </row>
    <row r="94" spans="2:8" hidden="1" outlineLevel="1" x14ac:dyDescent="0.45">
      <c r="B94" s="87">
        <v>0.81</v>
      </c>
      <c r="C94" s="87">
        <f t="shared" si="3"/>
        <v>0.18999999999999995</v>
      </c>
      <c r="D94" s="88" cm="1">
        <f t="array" aca="1" ref="D94" ca="1">IF(ISNUMBER(_xll.VoseSimPercentile(Out_Rev_None,$B94)),_xll.VoseSimPercentile(Out_Rev_None,$B94),NA())</f>
        <v>296.7059607237191</v>
      </c>
      <c r="E94" s="88" cm="1">
        <f t="array" aca="1" ref="E94" ca="1">IF(ISNUMBER(_xll.VoseSimPercentile(Out_Rev_Start,$B94)),_xll.VoseSimPercentile(Out_Rev_Start,$B94),NA())</f>
        <v>263.20257487523133</v>
      </c>
      <c r="F94" s="88" cm="1">
        <f t="array" aca="1" ref="F94" ca="1">IF(ISNUMBER(_xll.VoseSimPercentile(Out_Rev_Plan,$B94)),_xll.VoseSimPercentile(Out_Rev_Plan,$B94),NA())</f>
        <v>270.48227891490552</v>
      </c>
      <c r="G94" s="88">
        <f t="shared" si="4"/>
        <v>209.52</v>
      </c>
      <c r="H94" s="88" cm="1">
        <f t="array" aca="1" ref="H94" ca="1">IF(ISNUMBER(_xll.VoseSimPercentile(Out_Hedge_Plan,$B94)),_xll.VoseSimPercentile(Out_Hedge_Plan,$B94),NA())</f>
        <v>24.181544516875679</v>
      </c>
    </row>
    <row r="95" spans="2:8" hidden="1" outlineLevel="1" x14ac:dyDescent="0.45">
      <c r="B95" s="87">
        <v>0.83</v>
      </c>
      <c r="C95" s="87">
        <f t="shared" si="3"/>
        <v>0.17000000000000004</v>
      </c>
      <c r="D95" s="88" cm="1">
        <f t="array" aca="1" ref="D95" ca="1">IF(ISNUMBER(_xll.VoseSimPercentile(Out_Rev_None,$B95)),_xll.VoseSimPercentile(Out_Rev_None,$B95),NA())</f>
        <v>302.67869166578413</v>
      </c>
      <c r="E95" s="88" cm="1">
        <f t="array" aca="1" ref="E95" ca="1">IF(ISNUMBER(_xll.VoseSimPercentile(Out_Rev_Start,$B95)),_xll.VoseSimPercentile(Out_Rev_Start,$B95),NA())</f>
        <v>265.49988609574859</v>
      </c>
      <c r="F95" s="88" cm="1">
        <f t="array" aca="1" ref="F95" ca="1">IF(ISNUMBER(_xll.VoseSimPercentile(Out_Rev_Plan,$B95)),_xll.VoseSimPercentile(Out_Rev_Plan,$B95),NA())</f>
        <v>275.46283710143683</v>
      </c>
      <c r="G95" s="88">
        <f t="shared" si="4"/>
        <v>209.52</v>
      </c>
      <c r="H95" s="88" cm="1">
        <f t="array" aca="1" ref="H95" ca="1">IF(ISNUMBER(_xll.VoseSimPercentile(Out_Hedge_Plan,$B95)),_xll.VoseSimPercentile(Out_Hedge_Plan,$B95),NA())</f>
        <v>26.563901633203479</v>
      </c>
    </row>
    <row r="96" spans="2:8" hidden="1" outlineLevel="1" x14ac:dyDescent="0.45">
      <c r="B96" s="87">
        <v>0.85</v>
      </c>
      <c r="C96" s="87">
        <f t="shared" si="3"/>
        <v>0.15000000000000002</v>
      </c>
      <c r="D96" s="88" cm="1">
        <f t="array" aca="1" ref="D96" ca="1">IF(ISNUMBER(_xll.VoseSimPercentile(Out_Rev_None,$B96)),_xll.VoseSimPercentile(Out_Rev_None,$B96),NA())</f>
        <v>308.52364360301817</v>
      </c>
      <c r="E96" s="88" cm="1">
        <f t="array" aca="1" ref="E96" ca="1">IF(ISNUMBER(_xll.VoseSimPercentile(Out_Rev_Start,$B96)),_xll.VoseSimPercentile(Out_Rev_Start,$B96),NA())</f>
        <v>267.68913684535937</v>
      </c>
      <c r="F96" s="88" cm="1">
        <f t="array" aca="1" ref="F96" ca="1">IF(ISNUMBER(_xll.VoseSimPercentile(Out_Rev_Plan,$B96)),_xll.VoseSimPercentile(Out_Rev_Plan,$B96),NA())</f>
        <v>279.89772264725087</v>
      </c>
      <c r="G96" s="88">
        <f t="shared" si="4"/>
        <v>209.52</v>
      </c>
      <c r="H96" s="88" cm="1">
        <f t="array" aca="1" ref="H96" ca="1">IF(ISNUMBER(_xll.VoseSimPercentile(Out_Hedge_Plan,$B96)),_xll.VoseSimPercentile(Out_Hedge_Plan,$B96),NA())</f>
        <v>28.731400855516952</v>
      </c>
    </row>
    <row r="97" spans="2:8" hidden="1" outlineLevel="1" x14ac:dyDescent="0.45">
      <c r="B97" s="87">
        <v>0.87</v>
      </c>
      <c r="C97" s="87">
        <f t="shared" si="3"/>
        <v>0.13</v>
      </c>
      <c r="D97" s="88" cm="1">
        <f t="array" aca="1" ref="D97" ca="1">IF(ISNUMBER(_xll.VoseSimPercentile(Out_Rev_None,$B97)),_xll.VoseSimPercentile(Out_Rev_None,$B97),NA())</f>
        <v>315.55332080259359</v>
      </c>
      <c r="E97" s="88" cm="1">
        <f t="array" aca="1" ref="E97" ca="1">IF(ISNUMBER(_xll.VoseSimPercentile(Out_Rev_Start,$B97)),_xll.VoseSimPercentile(Out_Rev_Start,$B97),NA())</f>
        <v>270.34358746663503</v>
      </c>
      <c r="F97" s="88" cm="1">
        <f t="array" aca="1" ref="F97" ca="1">IF(ISNUMBER(_xll.VoseSimPercentile(Out_Rev_Plan,$B97)),_xll.VoseSimPercentile(Out_Rev_Plan,$B97),NA())</f>
        <v>285.60868320022854</v>
      </c>
      <c r="G97" s="88">
        <f t="shared" si="4"/>
        <v>209.52</v>
      </c>
      <c r="H97" s="88" cm="1">
        <f t="array" aca="1" ref="H97" ca="1">IF(ISNUMBER(_xll.VoseSimPercentile(Out_Hedge_Plan,$B97)),_xll.VoseSimPercentile(Out_Hedge_Plan,$B97),NA())</f>
        <v>31.73295284128907</v>
      </c>
    </row>
    <row r="98" spans="2:8" hidden="1" outlineLevel="1" x14ac:dyDescent="0.45">
      <c r="B98" s="87">
        <v>0.89</v>
      </c>
      <c r="C98" s="87">
        <f t="shared" si="3"/>
        <v>0.10999999999999999</v>
      </c>
      <c r="D98" s="88" cm="1">
        <f t="array" aca="1" ref="D98" ca="1">IF(ISNUMBER(_xll.VoseSimPercentile(Out_Rev_None,$B98)),_xll.VoseSimPercentile(Out_Rev_None,$B98),NA())</f>
        <v>323.84172052187301</v>
      </c>
      <c r="E98" s="88" cm="1">
        <f t="array" aca="1" ref="E98" ca="1">IF(ISNUMBER(_xll.VoseSimPercentile(Out_Rev_Start,$B98)),_xll.VoseSimPercentile(Out_Rev_Start,$B98),NA())</f>
        <v>273.35598378576447</v>
      </c>
      <c r="F98" s="88" cm="1">
        <f t="array" aca="1" ref="F98" ca="1">IF(ISNUMBER(_xll.VoseSimPercentile(Out_Rev_Plan,$B98)),_xll.VoseSimPercentile(Out_Rev_Plan,$B98),NA())</f>
        <v>291.53205850825867</v>
      </c>
      <c r="G98" s="88">
        <f t="shared" si="4"/>
        <v>209.52</v>
      </c>
      <c r="H98" s="88" cm="1">
        <f t="array" aca="1" ref="H98" ca="1">IF(ISNUMBER(_xll.VoseSimPercentile(Out_Hedge_Plan,$B98)),_xll.VoseSimPercentile(Out_Hedge_Plan,$B98),NA())</f>
        <v>34.7401417665045</v>
      </c>
    </row>
    <row r="99" spans="2:8" hidden="1" outlineLevel="1" x14ac:dyDescent="0.45">
      <c r="B99" s="87">
        <v>0.91</v>
      </c>
      <c r="C99" s="87">
        <f t="shared" si="3"/>
        <v>8.9999999999999969E-2</v>
      </c>
      <c r="D99" s="88" cm="1">
        <f t="array" aca="1" ref="D99" ca="1">IF(ISNUMBER(_xll.VoseSimPercentile(Out_Rev_None,$B99)),_xll.VoseSimPercentile(Out_Rev_None,$B99),NA())</f>
        <v>333.17215072816475</v>
      </c>
      <c r="E99" s="88" cm="1">
        <f t="array" aca="1" ref="E99" ca="1">IF(ISNUMBER(_xll.VoseSimPercentile(Out_Rev_Start,$B99)),_xll.VoseSimPercentile(Out_Rev_Start,$B99),NA())</f>
        <v>277.21079128869036</v>
      </c>
      <c r="F99" s="88" cm="1">
        <f t="array" aca="1" ref="F99" ca="1">IF(ISNUMBER(_xll.VoseSimPercentile(Out_Rev_Plan,$B99)),_xll.VoseSimPercentile(Out_Rev_Plan,$B99),NA())</f>
        <v>298.82027851692504</v>
      </c>
      <c r="G99" s="88">
        <f t="shared" si="4"/>
        <v>209.52</v>
      </c>
      <c r="H99" s="88" cm="1">
        <f t="array" aca="1" ref="H99" ca="1">IF(ISNUMBER(_xll.VoseSimPercentile(Out_Hedge_Plan,$B99)),_xll.VoseSimPercentile(Out_Hedge_Plan,$B99),NA())</f>
        <v>37.999864061518615</v>
      </c>
    </row>
    <row r="100" spans="2:8" hidden="1" outlineLevel="1" x14ac:dyDescent="0.45">
      <c r="B100" s="87">
        <v>0.93</v>
      </c>
      <c r="C100" s="87">
        <f t="shared" si="3"/>
        <v>6.9999999999999951E-2</v>
      </c>
      <c r="D100" s="88" cm="1">
        <f t="array" aca="1" ref="D100" ca="1">IF(ISNUMBER(_xll.VoseSimPercentile(Out_Rev_None,$B100)),_xll.VoseSimPercentile(Out_Rev_None,$B100),NA())</f>
        <v>345.48670616574702</v>
      </c>
      <c r="E100" s="88" cm="1">
        <f t="array" aca="1" ref="E100" ca="1">IF(ISNUMBER(_xll.VoseSimPercentile(Out_Rev_Start,$B100)),_xll.VoseSimPercentile(Out_Rev_Start,$B100),NA())</f>
        <v>281.70171541784799</v>
      </c>
      <c r="F100" s="88" cm="1">
        <f t="array" aca="1" ref="F100" ca="1">IF(ISNUMBER(_xll.VoseSimPercentile(Out_Rev_Plan,$B100)),_xll.VoseSimPercentile(Out_Rev_Plan,$B100),NA())</f>
        <v>308.64934706026594</v>
      </c>
      <c r="G100" s="88">
        <f t="shared" si="4"/>
        <v>209.52</v>
      </c>
      <c r="H100" s="88" cm="1">
        <f t="array" aca="1" ref="H100" ca="1">IF(ISNUMBER(_xll.VoseSimPercentile(Out_Hedge_Plan,$B100)),_xll.VoseSimPercentile(Out_Hedge_Plan,$B100),NA())</f>
        <v>42.40654915631481</v>
      </c>
    </row>
    <row r="101" spans="2:8" hidden="1" outlineLevel="1" x14ac:dyDescent="0.45">
      <c r="B101" s="87">
        <v>0.95</v>
      </c>
      <c r="C101" s="87">
        <f t="shared" si="3"/>
        <v>5.0000000000000044E-2</v>
      </c>
      <c r="D101" s="88" cm="1">
        <f t="array" aca="1" ref="D101" ca="1">IF(ISNUMBER(_xll.VoseSimPercentile(Out_Rev_None,$B101)),_xll.VoseSimPercentile(Out_Rev_None,$B101),NA())</f>
        <v>361.7304469403565</v>
      </c>
      <c r="E101" s="88" cm="1">
        <f t="array" aca="1" ref="E101" ca="1">IF(ISNUMBER(_xll.VoseSimPercentile(Out_Rev_Start,$B101)),_xll.VoseSimPercentile(Out_Rev_Start,$B101),NA())</f>
        <v>287.83555447154652</v>
      </c>
      <c r="F101" s="88" cm="1">
        <f t="array" aca="1" ref="F101" ca="1">IF(ISNUMBER(_xll.VoseSimPercentile(Out_Rev_Plan,$B101)),_xll.VoseSimPercentile(Out_Rev_Plan,$B101),NA())</f>
        <v>321.46635121833043</v>
      </c>
      <c r="G101" s="88">
        <f t="shared" si="4"/>
        <v>209.52</v>
      </c>
      <c r="H101" s="88" cm="1">
        <f t="array" aca="1" ref="H101" ca="1">IF(ISNUMBER(_xll.VoseSimPercentile(Out_Hedge_Plan,$B101)),_xll.VoseSimPercentile(Out_Hedge_Plan,$B101),NA())</f>
        <v>47.134872730500277</v>
      </c>
    </row>
    <row r="102" spans="2:8" hidden="1" outlineLevel="1" x14ac:dyDescent="0.45">
      <c r="B102" s="87">
        <v>0.97</v>
      </c>
      <c r="C102" s="87">
        <f t="shared" si="3"/>
        <v>3.0000000000000027E-2</v>
      </c>
      <c r="D102" s="88" cm="1">
        <f t="array" aca="1" ref="D102" ca="1">IF(ISNUMBER(_xll.VoseSimPercentile(Out_Rev_None,$B102)),_xll.VoseSimPercentile(Out_Rev_None,$B102),NA())</f>
        <v>387.26919764123124</v>
      </c>
      <c r="E102" s="88" cm="1">
        <f t="array" aca="1" ref="E102" ca="1">IF(ISNUMBER(_xll.VoseSimPercentile(Out_Rev_Start,$B102)),_xll.VoseSimPercentile(Out_Rev_Start,$B102),NA())</f>
        <v>296.96625169057967</v>
      </c>
      <c r="F102" s="88" cm="1">
        <f t="array" aca="1" ref="F102" ca="1">IF(ISNUMBER(_xll.VoseSimPercentile(Out_Rev_Plan,$B102)),_xll.VoseSimPercentile(Out_Rev_Plan,$B102),NA())</f>
        <v>341.53906592267049</v>
      </c>
      <c r="G102" s="88">
        <f t="shared" si="4"/>
        <v>209.52</v>
      </c>
      <c r="H102" s="88" cm="1">
        <f t="array" aca="1" ref="H102" ca="1">IF(ISNUMBER(_xll.VoseSimPercentile(Out_Hedge_Plan,$B102)),_xll.VoseSimPercentile(Out_Hedge_Plan,$B102),NA())</f>
        <v>53.461872790889849</v>
      </c>
    </row>
    <row r="103" spans="2:8" hidden="1" outlineLevel="1" x14ac:dyDescent="0.45">
      <c r="B103" s="87">
        <v>0.99</v>
      </c>
      <c r="C103" s="87">
        <f t="shared" si="3"/>
        <v>1.0000000000000009E-2</v>
      </c>
      <c r="D103" s="88" cm="1">
        <f t="array" aca="1" ref="D103" ca="1">IF(ISNUMBER(_xll.VoseSimPercentile(Out_Rev_None,$B103)),_xll.VoseSimPercentile(Out_Rev_None,$B103),NA())</f>
        <v>433.39839434866172</v>
      </c>
      <c r="E103" s="88" cm="1">
        <f t="array" aca="1" ref="E103" ca="1">IF(ISNUMBER(_xll.VoseSimPercentile(Out_Rev_Start,$B103)),_xll.VoseSimPercentile(Out_Rev_Start,$B103),NA())</f>
        <v>314.95286223190288</v>
      </c>
      <c r="F103" s="88" cm="1">
        <f t="array" aca="1" ref="F103" ca="1">IF(ISNUMBER(_xll.VoseSimPercentile(Out_Rev_Plan,$B103)),_xll.VoseSimPercentile(Out_Rev_Plan,$B103),NA())</f>
        <v>377.86746095773333</v>
      </c>
      <c r="G103" s="88">
        <f t="shared" si="4"/>
        <v>209.52</v>
      </c>
      <c r="H103" s="88" cm="1">
        <f t="array" aca="1" ref="H103" ca="1">IF(ISNUMBER(_xll.VoseSimPercentile(Out_Hedge_Plan,$B103)),_xll.VoseSimPercentile(Out_Hedge_Plan,$B103),NA())</f>
        <v>63.84296352287258</v>
      </c>
    </row>
    <row r="104" spans="2:8" hidden="1" outlineLevel="1" x14ac:dyDescent="0.45"/>
    <row r="105" spans="2:8" ht="18" hidden="1" customHeight="1" outlineLevel="1" x14ac:dyDescent="0.45">
      <c r="B105" s="24" t="s">
        <v>318</v>
      </c>
      <c r="C105" s="25" t="s">
        <v>217</v>
      </c>
      <c r="D105" s="5"/>
      <c r="E105" s="5"/>
      <c r="F105" s="5"/>
      <c r="G105" s="5"/>
    </row>
    <row r="106" spans="2:8" hidden="1" outlineLevel="1" x14ac:dyDescent="0.45">
      <c r="B106" s="89">
        <v>5.0000000000000001E-3</v>
      </c>
      <c r="C106" s="88" cm="1">
        <f t="array" aca="1" ref="C106" ca="1">IF(ISNUMBER(_xll.VoseSimPercentile(Out_Hedge_Plan,0.005)),_xll.VoseSimPercentile(Out_Hedge_Plan,0.005),NA())</f>
        <v>-62.711872779012026</v>
      </c>
    </row>
    <row r="107" spans="2:8" hidden="1" outlineLevel="1" x14ac:dyDescent="0.45">
      <c r="B107" s="89">
        <v>0.01</v>
      </c>
      <c r="C107" s="88" cm="1">
        <f t="array" aca="1" ref="C107" ca="1">IF(ISNUMBER(_xll.VoseSimPercentile(Out_Hedge_Plan,0.01)),_xll.VoseSimPercentile(Out_Hedge_Plan,0.01),NA())</f>
        <v>-55.621148360934164</v>
      </c>
    </row>
    <row r="108" spans="2:8" hidden="1" outlineLevel="1" x14ac:dyDescent="0.45">
      <c r="B108" s="89">
        <v>0.02</v>
      </c>
      <c r="C108" s="88" cm="1">
        <f t="array" aca="1" ref="C108" ca="1">IF(ISNUMBER(_xll.VoseSimPercentile(Out_Hedge_Plan,0.02)),_xll.VoseSimPercentile(Out_Hedge_Plan,0.02),NA())</f>
        <v>-49.472066158990373</v>
      </c>
    </row>
    <row r="109" spans="2:8" hidden="1" outlineLevel="1" x14ac:dyDescent="0.45">
      <c r="B109" s="89">
        <v>0.03</v>
      </c>
      <c r="C109" s="88" cm="1">
        <f t="array" aca="1" ref="C109" ca="1">IF(ISNUMBER(_xll.VoseSimPercentile(Out_Hedge_Plan,0.03)),_xll.VoseSimPercentile(Out_Hedge_Plan,0.03),NA())</f>
        <v>-45.965255162948139</v>
      </c>
    </row>
    <row r="110" spans="2:8" hidden="1" outlineLevel="1" x14ac:dyDescent="0.45">
      <c r="B110" s="89">
        <v>0.04</v>
      </c>
      <c r="C110" s="88" cm="1">
        <f t="array" aca="1" ref="C110" ca="1">IF(ISNUMBER(_xll.VoseSimPercentile(Out_Hedge_Plan,0.04)),_xll.VoseSimPercentile(Out_Hedge_Plan,0.04),NA())</f>
        <v>-42.99931300756063</v>
      </c>
    </row>
    <row r="111" spans="2:8" hidden="1" outlineLevel="1" x14ac:dyDescent="0.45">
      <c r="B111" s="89">
        <v>0.05</v>
      </c>
      <c r="C111" s="88" cm="1">
        <f t="array" aca="1" ref="C111" ca="1">IF(ISNUMBER(_xll.VoseSimPercentile(Out_Hedge_Plan,0.05)),_xll.VoseSimPercentile(Out_Hedge_Plan,0.05),NA())</f>
        <v>-40.558710890883091</v>
      </c>
    </row>
    <row r="112" spans="2:8" hidden="1" outlineLevel="1" x14ac:dyDescent="0.45">
      <c r="B112" s="89">
        <v>0.06</v>
      </c>
      <c r="C112" s="88" cm="1">
        <f t="array" aca="1" ref="C112" ca="1">IF(ISNUMBER(_xll.VoseSimPercentile(Out_Hedge_Plan,0.06)),_xll.VoseSimPercentile(Out_Hedge_Plan,0.06),NA())</f>
        <v>-38.814198377352909</v>
      </c>
    </row>
    <row r="113" spans="2:3" hidden="1" outlineLevel="1" x14ac:dyDescent="0.45">
      <c r="B113" s="89">
        <v>7.0000000000000007E-2</v>
      </c>
      <c r="C113" s="88" cm="1">
        <f t="array" aca="1" ref="C113" ca="1">IF(ISNUMBER(_xll.VoseSimPercentile(Out_Hedge_Plan,0.07)),_xll.VoseSimPercentile(Out_Hedge_Plan,0.07),NA())</f>
        <v>-37.183445299061368</v>
      </c>
    </row>
    <row r="114" spans="2:3" hidden="1" outlineLevel="1" x14ac:dyDescent="0.45">
      <c r="B114" s="89">
        <v>0.08</v>
      </c>
      <c r="C114" s="88" cm="1">
        <f t="array" aca="1" ref="C114" ca="1">IF(ISNUMBER(_xll.VoseSimPercentile(Out_Hedge_Plan,0.08)),_xll.VoseSimPercentile(Out_Hedge_Plan,0.08),NA())</f>
        <v>-35.671306476855946</v>
      </c>
    </row>
    <row r="115" spans="2:3" hidden="1" outlineLevel="1" x14ac:dyDescent="0.45">
      <c r="B115" s="89">
        <v>0.09</v>
      </c>
      <c r="C115" s="88" cm="1">
        <f t="array" aca="1" ref="C115" ca="1">IF(ISNUMBER(_xll.VoseSimPercentile(Out_Hedge_Plan,0.09)),_xll.VoseSimPercentile(Out_Hedge_Plan,0.09),NA())</f>
        <v>-34.417511307584462</v>
      </c>
    </row>
    <row r="116" spans="2:3" hidden="1" outlineLevel="1" x14ac:dyDescent="0.45">
      <c r="B116" s="89">
        <v>0.1</v>
      </c>
      <c r="C116" s="88" cm="1">
        <f t="array" aca="1" ref="C116" ca="1">IF(ISNUMBER(_xll.VoseSimPercentile(Out_Hedge_Plan,0.1)),_xll.VoseSimPercentile(Out_Hedge_Plan,0.1),NA())</f>
        <v>-33.445733242749988</v>
      </c>
    </row>
    <row r="117" spans="2:3" hidden="1" outlineLevel="1" x14ac:dyDescent="0.45">
      <c r="B117" s="89">
        <v>0.11</v>
      </c>
      <c r="C117" s="88" cm="1">
        <f t="array" aca="1" ref="C117" ca="1">IF(ISNUMBER(_xll.VoseSimPercentile(Out_Hedge_Plan,0.11)),_xll.VoseSimPercentile(Out_Hedge_Plan,0.11),NA())</f>
        <v>-32.422180910375516</v>
      </c>
    </row>
    <row r="118" spans="2:3" hidden="1" outlineLevel="1" x14ac:dyDescent="0.45">
      <c r="B118" s="89">
        <v>0.12</v>
      </c>
      <c r="C118" s="88" cm="1">
        <f t="array" aca="1" ref="C118" ca="1">IF(ISNUMBER(_xll.VoseSimPercentile(Out_Hedge_Plan,0.12)),_xll.VoseSimPercentile(Out_Hedge_Plan,0.12),NA())</f>
        <v>-31.420292412509284</v>
      </c>
    </row>
    <row r="119" spans="2:3" hidden="1" outlineLevel="1" x14ac:dyDescent="0.45">
      <c r="B119" s="89">
        <v>0.13</v>
      </c>
      <c r="C119" s="88" cm="1">
        <f t="array" aca="1" ref="C119" ca="1">IF(ISNUMBER(_xll.VoseSimPercentile(Out_Hedge_Plan,0.13)),_xll.VoseSimPercentile(Out_Hedge_Plan,0.13),NA())</f>
        <v>-30.54550345283721</v>
      </c>
    </row>
    <row r="120" spans="2:3" hidden="1" outlineLevel="1" x14ac:dyDescent="0.45">
      <c r="B120" s="89">
        <v>0.14000000000000001</v>
      </c>
      <c r="C120" s="88" cm="1">
        <f t="array" aca="1" ref="C120" ca="1">IF(ISNUMBER(_xll.VoseSimPercentile(Out_Hedge_Plan,0.14)),_xll.VoseSimPercentile(Out_Hedge_Plan,0.14),NA())</f>
        <v>-29.85022188398198</v>
      </c>
    </row>
    <row r="121" spans="2:3" hidden="1" outlineLevel="1" x14ac:dyDescent="0.45">
      <c r="B121" s="89">
        <v>0.15</v>
      </c>
      <c r="C121" s="88" cm="1">
        <f t="array" aca="1" ref="C121" ca="1">IF(ISNUMBER(_xll.VoseSimPercentile(Out_Hedge_Plan,0.15)),_xll.VoseSimPercentile(Out_Hedge_Plan,0.15),NA())</f>
        <v>-28.967641795512037</v>
      </c>
    </row>
    <row r="122" spans="2:3" hidden="1" outlineLevel="1" x14ac:dyDescent="0.45">
      <c r="B122" s="89">
        <v>0.16</v>
      </c>
      <c r="C122" s="88" cm="1">
        <f t="array" aca="1" ref="C122" ca="1">IF(ISNUMBER(_xll.VoseSimPercentile(Out_Hedge_Plan,0.16)),_xll.VoseSimPercentile(Out_Hedge_Plan,0.16),NA())</f>
        <v>-28.299039272583865</v>
      </c>
    </row>
    <row r="123" spans="2:3" hidden="1" outlineLevel="1" x14ac:dyDescent="0.45">
      <c r="B123" s="89">
        <v>0.17</v>
      </c>
      <c r="C123" s="88" cm="1">
        <f t="array" aca="1" ref="C123" ca="1">IF(ISNUMBER(_xll.VoseSimPercentile(Out_Hedge_Plan,0.17)),_xll.VoseSimPercentile(Out_Hedge_Plan,0.17),NA())</f>
        <v>-27.625759093855642</v>
      </c>
    </row>
    <row r="124" spans="2:3" hidden="1" outlineLevel="1" x14ac:dyDescent="0.45">
      <c r="B124" s="89">
        <v>0.18</v>
      </c>
      <c r="C124" s="88" cm="1">
        <f t="array" aca="1" ref="C124" ca="1">IF(ISNUMBER(_xll.VoseSimPercentile(Out_Hedge_Plan,0.18)),_xll.VoseSimPercentile(Out_Hedge_Plan,0.18),NA())</f>
        <v>-26.910515287807172</v>
      </c>
    </row>
    <row r="125" spans="2:3" hidden="1" outlineLevel="1" x14ac:dyDescent="0.45">
      <c r="B125" s="89">
        <v>0.19</v>
      </c>
      <c r="C125" s="88" cm="1">
        <f t="array" aca="1" ref="C125" ca="1">IF(ISNUMBER(_xll.VoseSimPercentile(Out_Hedge_Plan,0.19)),_xll.VoseSimPercentile(Out_Hedge_Plan,0.19),NA())</f>
        <v>-26.246325671046549</v>
      </c>
    </row>
    <row r="126" spans="2:3" hidden="1" outlineLevel="1" x14ac:dyDescent="0.45">
      <c r="B126" s="89">
        <v>0.2</v>
      </c>
      <c r="C126" s="88" cm="1">
        <f t="array" aca="1" ref="C126" ca="1">IF(ISNUMBER(_xll.VoseSimPercentile(Out_Hedge_Plan,0.2)),_xll.VoseSimPercentile(Out_Hedge_Plan,0.2),NA())</f>
        <v>-25.462174697054138</v>
      </c>
    </row>
    <row r="127" spans="2:3" hidden="1" outlineLevel="1" x14ac:dyDescent="0.45">
      <c r="B127" s="89">
        <v>0.21</v>
      </c>
      <c r="C127" s="88" cm="1">
        <f t="array" aca="1" ref="C127" ca="1">IF(ISNUMBER(_xll.VoseSimPercentile(Out_Hedge_Plan,0.21)),_xll.VoseSimPercentile(Out_Hedge_Plan,0.21),NA())</f>
        <v>-24.74577032208499</v>
      </c>
    </row>
    <row r="128" spans="2:3" hidden="1" outlineLevel="1" x14ac:dyDescent="0.45">
      <c r="B128" s="89">
        <v>0.22</v>
      </c>
      <c r="C128" s="88" cm="1">
        <f t="array" aca="1" ref="C128" ca="1">IF(ISNUMBER(_xll.VoseSimPercentile(Out_Hedge_Plan,0.22)),_xll.VoseSimPercentile(Out_Hedge_Plan,0.22),NA())</f>
        <v>-24.153467377524002</v>
      </c>
    </row>
    <row r="129" spans="2:3" hidden="1" outlineLevel="1" x14ac:dyDescent="0.45">
      <c r="B129" s="89">
        <v>0.23</v>
      </c>
      <c r="C129" s="88" cm="1">
        <f t="array" aca="1" ref="C129" ca="1">IF(ISNUMBER(_xll.VoseSimPercentile(Out_Hedge_Plan,0.23)),_xll.VoseSimPercentile(Out_Hedge_Plan,0.23),NA())</f>
        <v>-23.641178064955966</v>
      </c>
    </row>
    <row r="130" spans="2:3" hidden="1" outlineLevel="1" x14ac:dyDescent="0.45">
      <c r="B130" s="89">
        <v>0.24</v>
      </c>
      <c r="C130" s="88" cm="1">
        <f t="array" aca="1" ref="C130" ca="1">IF(ISNUMBER(_xll.VoseSimPercentile(Out_Hedge_Plan,0.24)),_xll.VoseSimPercentile(Out_Hedge_Plan,0.24),NA())</f>
        <v>-23.002729741706382</v>
      </c>
    </row>
    <row r="131" spans="2:3" hidden="1" outlineLevel="1" x14ac:dyDescent="0.45">
      <c r="B131" s="89">
        <v>0.25</v>
      </c>
      <c r="C131" s="88" cm="1">
        <f t="array" aca="1" ref="C131" ca="1">IF(ISNUMBER(_xll.VoseSimPercentile(Out_Hedge_Plan,0.25)),_xll.VoseSimPercentile(Out_Hedge_Plan,0.25),NA())</f>
        <v>-22.319054338085309</v>
      </c>
    </row>
    <row r="132" spans="2:3" hidden="1" outlineLevel="1" x14ac:dyDescent="0.45">
      <c r="B132" s="89">
        <v>0.26</v>
      </c>
      <c r="C132" s="88" cm="1">
        <f t="array" aca="1" ref="C132" ca="1">IF(ISNUMBER(_xll.VoseSimPercentile(Out_Hedge_Plan,0.26)),_xll.VoseSimPercentile(Out_Hedge_Plan,0.26),NA())</f>
        <v>-21.6520532065332</v>
      </c>
    </row>
    <row r="133" spans="2:3" hidden="1" outlineLevel="1" x14ac:dyDescent="0.45">
      <c r="B133" s="89">
        <v>0.27</v>
      </c>
      <c r="C133" s="88" cm="1">
        <f t="array" aca="1" ref="C133" ca="1">IF(ISNUMBER(_xll.VoseSimPercentile(Out_Hedge_Plan,0.27)),_xll.VoseSimPercentile(Out_Hedge_Plan,0.27),NA())</f>
        <v>-21.181489541909201</v>
      </c>
    </row>
    <row r="134" spans="2:3" hidden="1" outlineLevel="1" x14ac:dyDescent="0.45">
      <c r="B134" s="89">
        <v>0.28000000000000003</v>
      </c>
      <c r="C134" s="88" cm="1">
        <f t="array" aca="1" ref="C134" ca="1">IF(ISNUMBER(_xll.VoseSimPercentile(Out_Hedge_Plan,0.28)),_xll.VoseSimPercentile(Out_Hedge_Plan,0.28),NA())</f>
        <v>-20.425511311736962</v>
      </c>
    </row>
    <row r="135" spans="2:3" hidden="1" outlineLevel="1" x14ac:dyDescent="0.45">
      <c r="B135" s="89">
        <v>0.28999999999999998</v>
      </c>
      <c r="C135" s="88" cm="1">
        <f t="array" aca="1" ref="C135" ca="1">IF(ISNUMBER(_xll.VoseSimPercentile(Out_Hedge_Plan,0.29)),_xll.VoseSimPercentile(Out_Hedge_Plan,0.29),NA())</f>
        <v>-19.83038795663515</v>
      </c>
    </row>
    <row r="136" spans="2:3" hidden="1" outlineLevel="1" x14ac:dyDescent="0.45">
      <c r="B136" s="89">
        <v>0.3</v>
      </c>
      <c r="C136" s="88" cm="1">
        <f t="array" aca="1" ref="C136" ca="1">IF(ISNUMBER(_xll.VoseSimPercentile(Out_Hedge_Plan,0.3)),_xll.VoseSimPercentile(Out_Hedge_Plan,0.3),NA())</f>
        <v>-19.232588482527966</v>
      </c>
    </row>
    <row r="137" spans="2:3" hidden="1" outlineLevel="1" x14ac:dyDescent="0.45">
      <c r="B137" s="89">
        <v>0.31</v>
      </c>
      <c r="C137" s="88" cm="1">
        <f t="array" aca="1" ref="C137" ca="1">IF(ISNUMBER(_xll.VoseSimPercentile(Out_Hedge_Plan,0.31)),_xll.VoseSimPercentile(Out_Hedge_Plan,0.31),NA())</f>
        <v>-18.635250627341925</v>
      </c>
    </row>
    <row r="138" spans="2:3" hidden="1" outlineLevel="1" x14ac:dyDescent="0.45">
      <c r="B138" s="89">
        <v>0.32</v>
      </c>
      <c r="C138" s="88" cm="1">
        <f t="array" aca="1" ref="C138" ca="1">IF(ISNUMBER(_xll.VoseSimPercentile(Out_Hedge_Plan,0.32)),_xll.VoseSimPercentile(Out_Hedge_Plan,0.32),NA())</f>
        <v>-18.132750999450359</v>
      </c>
    </row>
    <row r="139" spans="2:3" hidden="1" outlineLevel="1" x14ac:dyDescent="0.45">
      <c r="B139" s="89">
        <v>0.33</v>
      </c>
      <c r="C139" s="88" cm="1">
        <f t="array" aca="1" ref="C139" ca="1">IF(ISNUMBER(_xll.VoseSimPercentile(Out_Hedge_Plan,0.33)),_xll.VoseSimPercentile(Out_Hedge_Plan,0.33),NA())</f>
        <v>-17.586127588207855</v>
      </c>
    </row>
    <row r="140" spans="2:3" hidden="1" outlineLevel="1" x14ac:dyDescent="0.45">
      <c r="B140" s="89">
        <v>0.34</v>
      </c>
      <c r="C140" s="88" cm="1">
        <f t="array" aca="1" ref="C140" ca="1">IF(ISNUMBER(_xll.VoseSimPercentile(Out_Hedge_Plan,0.34)),_xll.VoseSimPercentile(Out_Hedge_Plan,0.34),NA())</f>
        <v>-16.979959604124794</v>
      </c>
    </row>
    <row r="141" spans="2:3" hidden="1" outlineLevel="1" x14ac:dyDescent="0.45">
      <c r="B141" s="89">
        <v>0.35</v>
      </c>
      <c r="C141" s="88" cm="1">
        <f t="array" aca="1" ref="C141" ca="1">IF(ISNUMBER(_xll.VoseSimPercentile(Out_Hedge_Plan,0.35)),_xll.VoseSimPercentile(Out_Hedge_Plan,0.35),NA())</f>
        <v>-16.224266768786251</v>
      </c>
    </row>
    <row r="142" spans="2:3" hidden="1" outlineLevel="1" x14ac:dyDescent="0.45">
      <c r="B142" s="89">
        <v>0.36</v>
      </c>
      <c r="C142" s="88" cm="1">
        <f t="array" aca="1" ref="C142" ca="1">IF(ISNUMBER(_xll.VoseSimPercentile(Out_Hedge_Plan,0.36)),_xll.VoseSimPercentile(Out_Hedge_Plan,0.36),NA())</f>
        <v>-15.50195157384519</v>
      </c>
    </row>
    <row r="143" spans="2:3" hidden="1" outlineLevel="1" x14ac:dyDescent="0.45">
      <c r="B143" s="89">
        <v>0.37</v>
      </c>
      <c r="C143" s="88" cm="1">
        <f t="array" aca="1" ref="C143" ca="1">IF(ISNUMBER(_xll.VoseSimPercentile(Out_Hedge_Plan,0.37)),_xll.VoseSimPercentile(Out_Hedge_Plan,0.37),NA())</f>
        <v>-14.844222019308082</v>
      </c>
    </row>
    <row r="144" spans="2:3" hidden="1" outlineLevel="1" x14ac:dyDescent="0.45">
      <c r="B144" s="89">
        <v>0.38</v>
      </c>
      <c r="C144" s="88" cm="1">
        <f t="array" aca="1" ref="C144" ca="1">IF(ISNUMBER(_xll.VoseSimPercentile(Out_Hedge_Plan,0.38)),_xll.VoseSimPercentile(Out_Hedge_Plan,0.38),NA())</f>
        <v>-14.136697048529419</v>
      </c>
    </row>
    <row r="145" spans="2:3" hidden="1" outlineLevel="1" x14ac:dyDescent="0.45">
      <c r="B145" s="89">
        <v>0.39</v>
      </c>
      <c r="C145" s="88" cm="1">
        <f t="array" aca="1" ref="C145" ca="1">IF(ISNUMBER(_xll.VoseSimPercentile(Out_Hedge_Plan,0.39)),_xll.VoseSimPercentile(Out_Hedge_Plan,0.39),NA())</f>
        <v>-13.546042886067799</v>
      </c>
    </row>
    <row r="146" spans="2:3" hidden="1" outlineLevel="1" x14ac:dyDescent="0.45">
      <c r="B146" s="89">
        <v>0.4</v>
      </c>
      <c r="C146" s="88" cm="1">
        <f t="array" aca="1" ref="C146" ca="1">IF(ISNUMBER(_xll.VoseSimPercentile(Out_Hedge_Plan,0.4)),_xll.VoseSimPercentile(Out_Hedge_Plan,0.4),NA())</f>
        <v>-12.786978352804358</v>
      </c>
    </row>
    <row r="147" spans="2:3" hidden="1" outlineLevel="1" x14ac:dyDescent="0.45">
      <c r="B147" s="89">
        <v>0.41</v>
      </c>
      <c r="C147" s="88" cm="1">
        <f t="array" aca="1" ref="C147" ca="1">IF(ISNUMBER(_xll.VoseSimPercentile(Out_Hedge_Plan,0.41)),_xll.VoseSimPercentile(Out_Hedge_Plan,0.41),NA())</f>
        <v>-12.15561472041521</v>
      </c>
    </row>
    <row r="148" spans="2:3" hidden="1" outlineLevel="1" x14ac:dyDescent="0.45">
      <c r="B148" s="89">
        <v>0.42</v>
      </c>
      <c r="C148" s="88" cm="1">
        <f t="array" aca="1" ref="C148" ca="1">IF(ISNUMBER(_xll.VoseSimPercentile(Out_Hedge_Plan,0.42)),_xll.VoseSimPercentile(Out_Hedge_Plan,0.42),NA())</f>
        <v>-11.472688166436365</v>
      </c>
    </row>
    <row r="149" spans="2:3" hidden="1" outlineLevel="1" x14ac:dyDescent="0.45">
      <c r="B149" s="89">
        <v>0.43</v>
      </c>
      <c r="C149" s="88" cm="1">
        <f t="array" aca="1" ref="C149" ca="1">IF(ISNUMBER(_xll.VoseSimPercentile(Out_Hedge_Plan,0.43)),_xll.VoseSimPercentile(Out_Hedge_Plan,0.43),NA())</f>
        <v>-10.861981868194965</v>
      </c>
    </row>
    <row r="150" spans="2:3" hidden="1" outlineLevel="1" x14ac:dyDescent="0.45">
      <c r="B150" s="89">
        <v>0.44</v>
      </c>
      <c r="C150" s="88" cm="1">
        <f t="array" aca="1" ref="C150" ca="1">IF(ISNUMBER(_xll.VoseSimPercentile(Out_Hedge_Plan,0.44)),_xll.VoseSimPercentile(Out_Hedge_Plan,0.44),NA())</f>
        <v>-10.252301393979479</v>
      </c>
    </row>
    <row r="151" spans="2:3" hidden="1" outlineLevel="1" x14ac:dyDescent="0.45">
      <c r="B151" s="89">
        <v>0.45</v>
      </c>
      <c r="C151" s="88" cm="1">
        <f t="array" aca="1" ref="C151" ca="1">IF(ISNUMBER(_xll.VoseSimPercentile(Out_Hedge_Plan,0.45)),_xll.VoseSimPercentile(Out_Hedge_Plan,0.45),NA())</f>
        <v>-9.5308621928600079</v>
      </c>
    </row>
    <row r="152" spans="2:3" hidden="1" outlineLevel="1" x14ac:dyDescent="0.45">
      <c r="B152" s="89">
        <v>0.46</v>
      </c>
      <c r="C152" s="88" cm="1">
        <f t="array" aca="1" ref="C152" ca="1">IF(ISNUMBER(_xll.VoseSimPercentile(Out_Hedge_Plan,0.46)),_xll.VoseSimPercentile(Out_Hedge_Plan,0.46),NA())</f>
        <v>-8.7726127159932972</v>
      </c>
    </row>
    <row r="153" spans="2:3" hidden="1" outlineLevel="1" x14ac:dyDescent="0.45">
      <c r="B153" s="89">
        <v>0.47</v>
      </c>
      <c r="C153" s="88" cm="1">
        <f t="array" aca="1" ref="C153" ca="1">IF(ISNUMBER(_xll.VoseSimPercentile(Out_Hedge_Plan,0.47)),_xll.VoseSimPercentile(Out_Hedge_Plan,0.47),NA())</f>
        <v>-8.0615246648625067</v>
      </c>
    </row>
    <row r="154" spans="2:3" hidden="1" outlineLevel="1" x14ac:dyDescent="0.45">
      <c r="B154" s="89">
        <v>0.48</v>
      </c>
      <c r="C154" s="88" cm="1">
        <f t="array" aca="1" ref="C154" ca="1">IF(ISNUMBER(_xll.VoseSimPercentile(Out_Hedge_Plan,0.48)),_xll.VoseSimPercentile(Out_Hedge_Plan,0.48),NA())</f>
        <v>-7.2344017347492375</v>
      </c>
    </row>
    <row r="155" spans="2:3" hidden="1" outlineLevel="1" x14ac:dyDescent="0.45">
      <c r="B155" s="89">
        <v>0.49</v>
      </c>
      <c r="C155" s="88" cm="1">
        <f t="array" aca="1" ref="C155" ca="1">IF(ISNUMBER(_xll.VoseSimPercentile(Out_Hedge_Plan,0.49)),_xll.VoseSimPercentile(Out_Hedge_Plan,0.49),NA())</f>
        <v>-6.4976451444354231</v>
      </c>
    </row>
    <row r="156" spans="2:3" hidden="1" outlineLevel="1" x14ac:dyDescent="0.45">
      <c r="B156" s="89">
        <v>0.5</v>
      </c>
      <c r="C156" s="88" cm="1">
        <f t="array" aca="1" ref="C156" ca="1">IF(ISNUMBER(_xll.VoseSimPercentile(Out_Hedge_Plan,0.5)),_xll.VoseSimPercentile(Out_Hedge_Plan,0.5),NA())</f>
        <v>-5.7815989865067525</v>
      </c>
    </row>
    <row r="157" spans="2:3" hidden="1" outlineLevel="1" x14ac:dyDescent="0.45">
      <c r="B157" s="89">
        <v>0.51</v>
      </c>
      <c r="C157" s="88" cm="1">
        <f t="array" aca="1" ref="C157" ca="1">IF(ISNUMBER(_xll.VoseSimPercentile(Out_Hedge_Plan,0.51)),_xll.VoseSimPercentile(Out_Hedge_Plan,0.51),NA())</f>
        <v>-4.9664843107164769</v>
      </c>
    </row>
    <row r="158" spans="2:3" hidden="1" outlineLevel="1" x14ac:dyDescent="0.45">
      <c r="B158" s="89">
        <v>0.52</v>
      </c>
      <c r="C158" s="88" cm="1">
        <f t="array" aca="1" ref="C158" ca="1">IF(ISNUMBER(_xll.VoseSimPercentile(Out_Hedge_Plan,0.52)),_xll.VoseSimPercentile(Out_Hedge_Plan,0.52),NA())</f>
        <v>-4.1256859784969917</v>
      </c>
    </row>
    <row r="159" spans="2:3" hidden="1" outlineLevel="1" x14ac:dyDescent="0.45">
      <c r="B159" s="89">
        <v>0.53</v>
      </c>
      <c r="C159" s="88" cm="1">
        <f t="array" aca="1" ref="C159" ca="1">IF(ISNUMBER(_xll.VoseSimPercentile(Out_Hedge_Plan,0.53)),_xll.VoseSimPercentile(Out_Hedge_Plan,0.53),NA())</f>
        <v>-3.2425188879970981</v>
      </c>
    </row>
    <row r="160" spans="2:3" hidden="1" outlineLevel="1" x14ac:dyDescent="0.45">
      <c r="B160" s="89">
        <v>0.54</v>
      </c>
      <c r="C160" s="88" cm="1">
        <f t="array" aca="1" ref="C160" ca="1">IF(ISNUMBER(_xll.VoseSimPercentile(Out_Hedge_Plan,0.54)),_xll.VoseSimPercentile(Out_Hedge_Plan,0.54),NA())</f>
        <v>-2.3744185237801538</v>
      </c>
    </row>
    <row r="161" spans="2:3" hidden="1" outlineLevel="1" x14ac:dyDescent="0.45">
      <c r="B161" s="89">
        <v>0.55000000000000004</v>
      </c>
      <c r="C161" s="88" cm="1">
        <f t="array" aca="1" ref="C161" ca="1">IF(ISNUMBER(_xll.VoseSimPercentile(Out_Hedge_Plan,0.55)),_xll.VoseSimPercentile(Out_Hedge_Plan,0.55),NA())</f>
        <v>-1.5983048722521254</v>
      </c>
    </row>
    <row r="162" spans="2:3" hidden="1" outlineLevel="1" x14ac:dyDescent="0.45">
      <c r="B162" s="89">
        <v>0.56000000000000005</v>
      </c>
      <c r="C162" s="88" cm="1">
        <f t="array" aca="1" ref="C162" ca="1">IF(ISNUMBER(_xll.VoseSimPercentile(Out_Hedge_Plan,0.56)),_xll.VoseSimPercentile(Out_Hedge_Plan,0.56),NA())</f>
        <v>-0.85451611550563999</v>
      </c>
    </row>
    <row r="163" spans="2:3" hidden="1" outlineLevel="1" x14ac:dyDescent="0.45">
      <c r="B163" s="89">
        <v>0.56999999999999995</v>
      </c>
      <c r="C163" s="88" cm="1">
        <f t="array" aca="1" ref="C163" ca="1">IF(ISNUMBER(_xll.VoseSimPercentile(Out_Hedge_Plan,0.57)),_xll.VoseSimPercentile(Out_Hedge_Plan,0.57),NA())</f>
        <v>2.8670741324816618E-3</v>
      </c>
    </row>
    <row r="164" spans="2:3" hidden="1" outlineLevel="1" x14ac:dyDescent="0.45">
      <c r="B164" s="89">
        <v>0.57999999999999996</v>
      </c>
      <c r="C164" s="88" cm="1">
        <f t="array" aca="1" ref="C164" ca="1">IF(ISNUMBER(_xll.VoseSimPercentile(Out_Hedge_Plan,0.58)),_xll.VoseSimPercentile(Out_Hedge_Plan,0.58),NA())</f>
        <v>0.87421829274219665</v>
      </c>
    </row>
    <row r="165" spans="2:3" hidden="1" outlineLevel="1" x14ac:dyDescent="0.45">
      <c r="B165" s="89">
        <v>0.59</v>
      </c>
      <c r="C165" s="88" cm="1">
        <f t="array" aca="1" ref="C165" ca="1">IF(ISNUMBER(_xll.VoseSimPercentile(Out_Hedge_Plan,0.59)),_xll.VoseSimPercentile(Out_Hedge_Plan,0.59),NA())</f>
        <v>1.7988156493379872</v>
      </c>
    </row>
    <row r="166" spans="2:3" hidden="1" outlineLevel="1" x14ac:dyDescent="0.45">
      <c r="B166" s="89">
        <v>0.6</v>
      </c>
      <c r="C166" s="88" cm="1">
        <f t="array" aca="1" ref="C166" ca="1">IF(ISNUMBER(_xll.VoseSimPercentile(Out_Hedge_Plan,0.6)),_xll.VoseSimPercentile(Out_Hedge_Plan,0.6),NA())</f>
        <v>2.7347501867551554</v>
      </c>
    </row>
    <row r="167" spans="2:3" hidden="1" outlineLevel="1" x14ac:dyDescent="0.45">
      <c r="B167" s="89">
        <v>0.61</v>
      </c>
      <c r="C167" s="88" cm="1">
        <f t="array" aca="1" ref="C167" ca="1">IF(ISNUMBER(_xll.VoseSimPercentile(Out_Hedge_Plan,0.61)),_xll.VoseSimPercentile(Out_Hedge_Plan,0.61),NA())</f>
        <v>3.6417551785019073</v>
      </c>
    </row>
    <row r="168" spans="2:3" hidden="1" outlineLevel="1" x14ac:dyDescent="0.45">
      <c r="B168" s="89">
        <v>0.62</v>
      </c>
      <c r="C168" s="88" cm="1">
        <f t="array" aca="1" ref="C168" ca="1">IF(ISNUMBER(_xll.VoseSimPercentile(Out_Hedge_Plan,0.62)),_xll.VoseSimPercentile(Out_Hedge_Plan,0.62),NA())</f>
        <v>4.6217617640195856</v>
      </c>
    </row>
    <row r="169" spans="2:3" hidden="1" outlineLevel="1" x14ac:dyDescent="0.45">
      <c r="B169" s="89">
        <v>0.63</v>
      </c>
      <c r="C169" s="88" cm="1">
        <f t="array" aca="1" ref="C169" ca="1">IF(ISNUMBER(_xll.VoseSimPercentile(Out_Hedge_Plan,0.63)),_xll.VoseSimPercentile(Out_Hedge_Plan,0.63),NA())</f>
        <v>5.5252903399688389</v>
      </c>
    </row>
    <row r="170" spans="2:3" hidden="1" outlineLevel="1" x14ac:dyDescent="0.45">
      <c r="B170" s="89">
        <v>0.64</v>
      </c>
      <c r="C170" s="88" cm="1">
        <f t="array" aca="1" ref="C170" ca="1">IF(ISNUMBER(_xll.VoseSimPercentile(Out_Hedge_Plan,0.64)),_xll.VoseSimPercentile(Out_Hedge_Plan,0.64),NA())</f>
        <v>6.4501122211886424</v>
      </c>
    </row>
    <row r="171" spans="2:3" hidden="1" outlineLevel="1" x14ac:dyDescent="0.45">
      <c r="B171" s="89">
        <v>0.65</v>
      </c>
      <c r="C171" s="88" cm="1">
        <f t="array" aca="1" ref="C171" ca="1">IF(ISNUMBER(_xll.VoseSimPercentile(Out_Hedge_Plan,0.65)),_xll.VoseSimPercentile(Out_Hedge_Plan,0.65),NA())</f>
        <v>7.4432662508917318</v>
      </c>
    </row>
    <row r="172" spans="2:3" hidden="1" outlineLevel="1" x14ac:dyDescent="0.45">
      <c r="B172" s="89">
        <v>0.66</v>
      </c>
      <c r="C172" s="88" cm="1">
        <f t="array" aca="1" ref="C172" ca="1">IF(ISNUMBER(_xll.VoseSimPercentile(Out_Hedge_Plan,0.66)),_xll.VoseSimPercentile(Out_Hedge_Plan,0.66),NA())</f>
        <v>8.4126910057996227</v>
      </c>
    </row>
    <row r="173" spans="2:3" hidden="1" outlineLevel="1" x14ac:dyDescent="0.45">
      <c r="B173" s="89">
        <v>0.67</v>
      </c>
      <c r="C173" s="88" cm="1">
        <f t="array" aca="1" ref="C173" ca="1">IF(ISNUMBER(_xll.VoseSimPercentile(Out_Hedge_Plan,0.67)),_xll.VoseSimPercentile(Out_Hedge_Plan,0.67),NA())</f>
        <v>9.501047918023378</v>
      </c>
    </row>
    <row r="174" spans="2:3" hidden="1" outlineLevel="1" x14ac:dyDescent="0.45">
      <c r="B174" s="89">
        <v>0.68</v>
      </c>
      <c r="C174" s="88" cm="1">
        <f t="array" aca="1" ref="C174" ca="1">IF(ISNUMBER(_xll.VoseSimPercentile(Out_Hedge_Plan,0.68)),_xll.VoseSimPercentile(Out_Hedge_Plan,0.68),NA())</f>
        <v>10.457719105082097</v>
      </c>
    </row>
    <row r="175" spans="2:3" hidden="1" outlineLevel="1" x14ac:dyDescent="0.45">
      <c r="B175" s="89">
        <v>0.69</v>
      </c>
      <c r="C175" s="88" cm="1">
        <f t="array" aca="1" ref="C175" ca="1">IF(ISNUMBER(_xll.VoseSimPercentile(Out_Hedge_Plan,0.69)),_xll.VoseSimPercentile(Out_Hedge_Plan,0.69),NA())</f>
        <v>11.473624247590813</v>
      </c>
    </row>
    <row r="176" spans="2:3" hidden="1" outlineLevel="1" x14ac:dyDescent="0.45">
      <c r="B176" s="89">
        <v>0.7</v>
      </c>
      <c r="C176" s="88" cm="1">
        <f t="array" aca="1" ref="C176" ca="1">IF(ISNUMBER(_xll.VoseSimPercentile(Out_Hedge_Plan,0.7)),_xll.VoseSimPercentile(Out_Hedge_Plan,0.7),NA())</f>
        <v>12.457861493507249</v>
      </c>
    </row>
    <row r="177" spans="2:3" hidden="1" outlineLevel="1" x14ac:dyDescent="0.45">
      <c r="B177" s="89">
        <v>0.71</v>
      </c>
      <c r="C177" s="88" cm="1">
        <f t="array" aca="1" ref="C177" ca="1">IF(ISNUMBER(_xll.VoseSimPercentile(Out_Hedge_Plan,0.71)),_xll.VoseSimPercentile(Out_Hedge_Plan,0.71),NA())</f>
        <v>13.301011043098523</v>
      </c>
    </row>
    <row r="178" spans="2:3" hidden="1" outlineLevel="1" x14ac:dyDescent="0.45">
      <c r="B178" s="89">
        <v>0.72</v>
      </c>
      <c r="C178" s="88" cm="1">
        <f t="array" aca="1" ref="C178" ca="1">IF(ISNUMBER(_xll.VoseSimPercentile(Out_Hedge_Plan,0.72)),_xll.VoseSimPercentile(Out_Hedge_Plan,0.72),NA())</f>
        <v>14.437244058464081</v>
      </c>
    </row>
    <row r="179" spans="2:3" hidden="1" outlineLevel="1" x14ac:dyDescent="0.45">
      <c r="B179" s="89">
        <v>0.73</v>
      </c>
      <c r="C179" s="88" cm="1">
        <f t="array" aca="1" ref="C179" ca="1">IF(ISNUMBER(_xll.VoseSimPercentile(Out_Hedge_Plan,0.73)),_xll.VoseSimPercentile(Out_Hedge_Plan,0.73),NA())</f>
        <v>15.438819597477305</v>
      </c>
    </row>
    <row r="180" spans="2:3" hidden="1" outlineLevel="1" x14ac:dyDescent="0.45">
      <c r="B180" s="89">
        <v>0.74</v>
      </c>
      <c r="C180" s="88" cm="1">
        <f t="array" aca="1" ref="C180" ca="1">IF(ISNUMBER(_xll.VoseSimPercentile(Out_Hedge_Plan,0.74)),_xll.VoseSimPercentile(Out_Hedge_Plan,0.74),NA())</f>
        <v>16.493835192497812</v>
      </c>
    </row>
    <row r="181" spans="2:3" hidden="1" outlineLevel="1" x14ac:dyDescent="0.45">
      <c r="B181" s="89">
        <v>0.75</v>
      </c>
      <c r="C181" s="88" cm="1">
        <f t="array" aca="1" ref="C181" ca="1">IF(ISNUMBER(_xll.VoseSimPercentile(Out_Hedge_Plan,0.75)),_xll.VoseSimPercentile(Out_Hedge_Plan,0.75),NA())</f>
        <v>17.473474201087654</v>
      </c>
    </row>
    <row r="182" spans="2:3" hidden="1" outlineLevel="1" x14ac:dyDescent="0.45">
      <c r="B182" s="89">
        <v>0.76</v>
      </c>
      <c r="C182" s="88" cm="1">
        <f t="array" aca="1" ref="C182" ca="1">IF(ISNUMBER(_xll.VoseSimPercentile(Out_Hedge_Plan,0.76)),_xll.VoseSimPercentile(Out_Hedge_Plan,0.76),NA())</f>
        <v>18.545556248663196</v>
      </c>
    </row>
    <row r="183" spans="2:3" hidden="1" outlineLevel="1" x14ac:dyDescent="0.45">
      <c r="B183" s="89">
        <v>0.77</v>
      </c>
      <c r="C183" s="88" cm="1">
        <f t="array" aca="1" ref="C183" ca="1">IF(ISNUMBER(_xll.VoseSimPercentile(Out_Hedge_Plan,0.77)),_xll.VoseSimPercentile(Out_Hedge_Plan,0.77),NA())</f>
        <v>19.711026410024417</v>
      </c>
    </row>
    <row r="184" spans="2:3" hidden="1" outlineLevel="1" x14ac:dyDescent="0.45">
      <c r="B184" s="89">
        <v>0.78</v>
      </c>
      <c r="C184" s="88" cm="1">
        <f t="array" aca="1" ref="C184" ca="1">IF(ISNUMBER(_xll.VoseSimPercentile(Out_Hedge_Plan,0.78)),_xll.VoseSimPercentile(Out_Hedge_Plan,0.78),NA())</f>
        <v>20.851444273503883</v>
      </c>
    </row>
    <row r="185" spans="2:3" hidden="1" outlineLevel="1" x14ac:dyDescent="0.45">
      <c r="B185" s="89">
        <v>0.79</v>
      </c>
      <c r="C185" s="88" cm="1">
        <f t="array" aca="1" ref="C185" ca="1">IF(ISNUMBER(_xll.VoseSimPercentile(Out_Hedge_Plan,0.79)),_xll.VoseSimPercentile(Out_Hedge_Plan,0.79),NA())</f>
        <v>21.948473008865882</v>
      </c>
    </row>
    <row r="186" spans="2:3" hidden="1" outlineLevel="1" x14ac:dyDescent="0.45">
      <c r="B186" s="89">
        <v>0.8</v>
      </c>
      <c r="C186" s="88" cm="1">
        <f t="array" aca="1" ref="C186" ca="1">IF(ISNUMBER(_xll.VoseSimPercentile(Out_Hedge_Plan,0.8)),_xll.VoseSimPercentile(Out_Hedge_Plan,0.8),NA())</f>
        <v>23.029878177542532</v>
      </c>
    </row>
    <row r="187" spans="2:3" hidden="1" outlineLevel="1" x14ac:dyDescent="0.45">
      <c r="B187" s="89">
        <v>0.81</v>
      </c>
      <c r="C187" s="88" cm="1">
        <f t="array" aca="1" ref="C187" ca="1">IF(ISNUMBER(_xll.VoseSimPercentile(Out_Hedge_Plan,0.81)),_xll.VoseSimPercentile(Out_Hedge_Plan,0.81),NA())</f>
        <v>24.181544516875679</v>
      </c>
    </row>
    <row r="188" spans="2:3" hidden="1" outlineLevel="1" x14ac:dyDescent="0.45">
      <c r="B188" s="89">
        <v>0.82</v>
      </c>
      <c r="C188" s="88" cm="1">
        <f t="array" aca="1" ref="C188" ca="1">IF(ISNUMBER(_xll.VoseSimPercentile(Out_Hedge_Plan,0.82)),_xll.VoseSimPercentile(Out_Hedge_Plan,0.82),NA())</f>
        <v>25.350160648095141</v>
      </c>
    </row>
    <row r="189" spans="2:3" hidden="1" outlineLevel="1" x14ac:dyDescent="0.45">
      <c r="B189" s="89">
        <v>0.83</v>
      </c>
      <c r="C189" s="88" cm="1">
        <f t="array" aca="1" ref="C189" ca="1">IF(ISNUMBER(_xll.VoseSimPercentile(Out_Hedge_Plan,0.83)),_xll.VoseSimPercentile(Out_Hedge_Plan,0.83),NA())</f>
        <v>26.563901633203479</v>
      </c>
    </row>
    <row r="190" spans="2:3" hidden="1" outlineLevel="1" x14ac:dyDescent="0.45">
      <c r="B190" s="89">
        <v>0.84</v>
      </c>
      <c r="C190" s="88" cm="1">
        <f t="array" aca="1" ref="C190" ca="1">IF(ISNUMBER(_xll.VoseSimPercentile(Out_Hedge_Plan,0.84)),_xll.VoseSimPercentile(Out_Hedge_Plan,0.84),NA())</f>
        <v>27.647859982071424</v>
      </c>
    </row>
    <row r="191" spans="2:3" hidden="1" outlineLevel="1" x14ac:dyDescent="0.45">
      <c r="B191" s="89">
        <v>0.85</v>
      </c>
      <c r="C191" s="88" cm="1">
        <f t="array" aca="1" ref="C191" ca="1">IF(ISNUMBER(_xll.VoseSimPercentile(Out_Hedge_Plan,0.85)),_xll.VoseSimPercentile(Out_Hedge_Plan,0.85),NA())</f>
        <v>28.731400855516952</v>
      </c>
    </row>
    <row r="192" spans="2:3" hidden="1" outlineLevel="1" x14ac:dyDescent="0.45">
      <c r="B192" s="89">
        <v>0.86</v>
      </c>
      <c r="C192" s="88" cm="1">
        <f t="array" aca="1" ref="C192" ca="1">IF(ISNUMBER(_xll.VoseSimPercentile(Out_Hedge_Plan,0.86)),_xll.VoseSimPercentile(Out_Hedge_Plan,0.86),NA())</f>
        <v>30.049581593604621</v>
      </c>
    </row>
    <row r="193" spans="2:7" hidden="1" outlineLevel="1" x14ac:dyDescent="0.45">
      <c r="B193" s="89">
        <v>0.87</v>
      </c>
      <c r="C193" s="88" cm="1">
        <f t="array" aca="1" ref="C193" ca="1">IF(ISNUMBER(_xll.VoseSimPercentile(Out_Hedge_Plan,0.87)),_xll.VoseSimPercentile(Out_Hedge_Plan,0.87),NA())</f>
        <v>31.73295284128907</v>
      </c>
    </row>
    <row r="194" spans="2:7" hidden="1" outlineLevel="1" x14ac:dyDescent="0.45">
      <c r="B194" s="89">
        <v>0.88</v>
      </c>
      <c r="C194" s="88" cm="1">
        <f t="array" aca="1" ref="C194" ca="1">IF(ISNUMBER(_xll.VoseSimPercentile(Out_Hedge_Plan,0.88)),_xll.VoseSimPercentile(Out_Hedge_Plan,0.88),NA())</f>
        <v>33.259061984980221</v>
      </c>
    </row>
    <row r="195" spans="2:7" hidden="1" outlineLevel="1" x14ac:dyDescent="0.45">
      <c r="B195" s="89">
        <v>0.89</v>
      </c>
      <c r="C195" s="88" cm="1">
        <f t="array" aca="1" ref="C195" ca="1">IF(ISNUMBER(_xll.VoseSimPercentile(Out_Hedge_Plan,0.89)),_xll.VoseSimPercentile(Out_Hedge_Plan,0.89),NA())</f>
        <v>34.7401417665045</v>
      </c>
    </row>
    <row r="196" spans="2:7" hidden="1" outlineLevel="1" x14ac:dyDescent="0.45">
      <c r="B196" s="89">
        <v>0.9</v>
      </c>
      <c r="C196" s="88" cm="1">
        <f t="array" aca="1" ref="C196" ca="1">IF(ISNUMBER(_xll.VoseSimPercentile(Out_Hedge_Plan,0.9)),_xll.VoseSimPercentile(Out_Hedge_Plan,0.9),NA())</f>
        <v>36.355375762452553</v>
      </c>
    </row>
    <row r="197" spans="2:7" hidden="1" outlineLevel="1" x14ac:dyDescent="0.45">
      <c r="B197" s="89">
        <v>0.91</v>
      </c>
      <c r="C197" s="88" cm="1">
        <f t="array" aca="1" ref="C197" ca="1">IF(ISNUMBER(_xll.VoseSimPercentile(Out_Hedge_Plan,0.91)),_xll.VoseSimPercentile(Out_Hedge_Plan,0.91),NA())</f>
        <v>37.999864061518615</v>
      </c>
    </row>
    <row r="198" spans="2:7" hidden="1" outlineLevel="1" x14ac:dyDescent="0.45">
      <c r="B198" s="89">
        <v>0.92</v>
      </c>
      <c r="C198" s="88" cm="1">
        <f t="array" aca="1" ref="C198" ca="1">IF(ISNUMBER(_xll.VoseSimPercentile(Out_Hedge_Plan,0.92)),_xll.VoseSimPercentile(Out_Hedge_Plan,0.92),NA())</f>
        <v>40.594261070898781</v>
      </c>
    </row>
    <row r="199" spans="2:7" hidden="1" outlineLevel="1" x14ac:dyDescent="0.45">
      <c r="B199" s="89">
        <v>0.93</v>
      </c>
      <c r="C199" s="88" cm="1">
        <f t="array" aca="1" ref="C199" ca="1">IF(ISNUMBER(_xll.VoseSimPercentile(Out_Hedge_Plan,0.93)),_xll.VoseSimPercentile(Out_Hedge_Plan,0.93),NA())</f>
        <v>42.40654915631481</v>
      </c>
    </row>
    <row r="200" spans="2:7" hidden="1" outlineLevel="1" x14ac:dyDescent="0.45">
      <c r="B200" s="89">
        <v>0.94</v>
      </c>
      <c r="C200" s="88" cm="1">
        <f t="array" aca="1" ref="C200" ca="1">IF(ISNUMBER(_xll.VoseSimPercentile(Out_Hedge_Plan,0.94)),_xll.VoseSimPercentile(Out_Hedge_Plan,0.94),NA())</f>
        <v>44.601975957710529</v>
      </c>
    </row>
    <row r="201" spans="2:7" hidden="1" outlineLevel="1" x14ac:dyDescent="0.45">
      <c r="B201" s="89">
        <v>0.95</v>
      </c>
      <c r="C201" s="88" cm="1">
        <f t="array" aca="1" ref="C201" ca="1">IF(ISNUMBER(_xll.VoseSimPercentile(Out_Hedge_Plan,0.95)),_xll.VoseSimPercentile(Out_Hedge_Plan,0.95),NA())</f>
        <v>47.134872730500277</v>
      </c>
    </row>
    <row r="202" spans="2:7" hidden="1" outlineLevel="1" x14ac:dyDescent="0.45">
      <c r="B202" s="89">
        <v>0.96</v>
      </c>
      <c r="C202" s="88" cm="1">
        <f t="array" aca="1" ref="C202" ca="1">IF(ISNUMBER(_xll.VoseSimPercentile(Out_Hedge_Plan,0.96)),_xll.VoseSimPercentile(Out_Hedge_Plan,0.96),NA())</f>
        <v>49.944565643627371</v>
      </c>
    </row>
    <row r="203" spans="2:7" hidden="1" outlineLevel="1" x14ac:dyDescent="0.45">
      <c r="B203" s="89">
        <v>0.97</v>
      </c>
      <c r="C203" s="88" cm="1">
        <f t="array" aca="1" ref="C203" ca="1">IF(ISNUMBER(_xll.VoseSimPercentile(Out_Hedge_Plan,0.97)),_xll.VoseSimPercentile(Out_Hedge_Plan,0.97),NA())</f>
        <v>53.461872790889849</v>
      </c>
    </row>
    <row r="204" spans="2:7" hidden="1" outlineLevel="1" x14ac:dyDescent="0.45">
      <c r="B204" s="89">
        <v>0.98</v>
      </c>
      <c r="C204" s="88" cm="1">
        <f t="array" aca="1" ref="C204" ca="1">IF(ISNUMBER(_xll.VoseSimPercentile(Out_Hedge_Plan,0.98)),_xll.VoseSimPercentile(Out_Hedge_Plan,0.98),NA())</f>
        <v>57.510522735259542</v>
      </c>
    </row>
    <row r="205" spans="2:7" hidden="1" outlineLevel="1" x14ac:dyDescent="0.45">
      <c r="B205" s="89">
        <v>0.99</v>
      </c>
      <c r="C205" s="88" cm="1">
        <f t="array" aca="1" ref="C205" ca="1">IF(ISNUMBER(_xll.VoseSimPercentile(Out_Hedge_Plan,0.99)),_xll.VoseSimPercentile(Out_Hedge_Plan,0.99),NA())</f>
        <v>63.84296352287258</v>
      </c>
    </row>
    <row r="206" spans="2:7" hidden="1" outlineLevel="1" x14ac:dyDescent="0.45">
      <c r="B206" s="89">
        <v>0.995</v>
      </c>
      <c r="C206" s="88" cm="1">
        <f t="array" aca="1" ref="C206" ca="1">IF(ISNUMBER(_xll.VoseSimPercentile(Out_Hedge_Plan,0.995)),_xll.VoseSimPercentile(Out_Hedge_Plan,0.995),NA())</f>
        <v>68.659416151115039</v>
      </c>
    </row>
    <row r="207" spans="2:7" hidden="1" outlineLevel="1" x14ac:dyDescent="0.45"/>
    <row r="208" spans="2:7" ht="18" hidden="1" customHeight="1" outlineLevel="1" x14ac:dyDescent="0.45">
      <c r="B208" s="24" t="s">
        <v>319</v>
      </c>
      <c r="C208" s="25" t="s">
        <v>320</v>
      </c>
      <c r="D208" s="25" t="s">
        <v>321</v>
      </c>
      <c r="E208" s="25" t="s">
        <v>322</v>
      </c>
      <c r="F208" s="25" t="s">
        <v>323</v>
      </c>
      <c r="G208" s="25" t="s">
        <v>324</v>
      </c>
    </row>
    <row r="209" spans="2:7" hidden="1" outlineLevel="1" x14ac:dyDescent="0.45">
      <c r="B209" s="90">
        <v>0</v>
      </c>
      <c r="C209" s="88">
        <f ca="1">IF(ISNUMBER($C$106),$C$106+($C$206-$C$106)*0/24,NA())</f>
        <v>-62.711872779012026</v>
      </c>
      <c r="D209" s="91">
        <f t="shared" ref="D209:D233" ca="1" si="5">IF(ISNUMBER(C209),MATCH(C209,$C$106:$C$206,1),NA())</f>
        <v>1</v>
      </c>
      <c r="E209" s="88">
        <f t="shared" ref="E209:E232" ca="1" si="6">IF(ISNUMBER(C209),(C209+C210)/2,NA())</f>
        <v>-59.974970926301047</v>
      </c>
      <c r="F209" s="89">
        <f t="shared" ref="F209:F232" ca="1" si="7">IF(ISNUMBER(G210),G210-G209,NA())</f>
        <v>3.8598339060156176E-3</v>
      </c>
      <c r="G209" s="89" cm="1">
        <f t="array" aca="1" ref="G209" ca="1">IF(ISNUMBER(D209),IF(D209&gt;=101,INDEX($B$106:$B$206,101),INDEX($B$106:$B$206,D209)+(C209-INDEX($C$106:$C$206,D209))/MAX(0.000000000001,INDEX($C$106:$C$206,D209+1)-INDEX($C$106:$C$206,D209))*(INDEX($B$106:$B$206,D209+1)-INDEX($B$106:$B$206,D209))),NA())</f>
        <v>5.0000000000000001E-3</v>
      </c>
    </row>
    <row r="210" spans="2:7" hidden="1" outlineLevel="1" x14ac:dyDescent="0.45">
      <c r="B210" s="90">
        <v>1</v>
      </c>
      <c r="C210" s="88">
        <f ca="1">IF(ISNUMBER($C$106),$C$106+($C$206-$C$106)*1/24,NA())</f>
        <v>-57.238069073590069</v>
      </c>
      <c r="D210" s="91">
        <f t="shared" ca="1" si="5"/>
        <v>1</v>
      </c>
      <c r="E210" s="88">
        <f t="shared" ca="1" si="6"/>
        <v>-54.501167220879083</v>
      </c>
      <c r="F210" s="89">
        <f t="shared" ca="1" si="7"/>
        <v>7.4124566019025534E-3</v>
      </c>
      <c r="G210" s="89" cm="1">
        <f t="array" aca="1" ref="G210" ca="1">IF(ISNUMBER(D210),IF(D210&gt;=101,INDEX($B$106:$B$206,101),INDEX($B$106:$B$206,D210)+(C210-INDEX($C$106:$C$206,D210))/MAX(0.000000000001,INDEX($C$106:$C$206,D210+1)-INDEX($C$106:$C$206,D210))*(INDEX($B$106:$B$206,D210+1)-INDEX($B$106:$B$206,D210))),NA())</f>
        <v>8.8598339060156177E-3</v>
      </c>
    </row>
    <row r="211" spans="2:7" hidden="1" outlineLevel="1" x14ac:dyDescent="0.45">
      <c r="B211" s="90">
        <v>2</v>
      </c>
      <c r="C211" s="88">
        <f ca="1">IF(ISNUMBER($C$106),$C$106+($C$206-$C$106)*2/24,NA())</f>
        <v>-51.764265368168104</v>
      </c>
      <c r="D211" s="91">
        <f t="shared" ca="1" si="5"/>
        <v>2</v>
      </c>
      <c r="E211" s="88">
        <f t="shared" ca="1" si="6"/>
        <v>-49.027363515457125</v>
      </c>
      <c r="F211" s="89">
        <f t="shared" ca="1" si="7"/>
        <v>1.2800352699357535E-2</v>
      </c>
      <c r="G211" s="89" cm="1">
        <f t="array" aca="1" ref="G211" ca="1">IF(ISNUMBER(D211),IF(D211&gt;=101,INDEX($B$106:$B$206,101),INDEX($B$106:$B$206,D211)+(C211-INDEX($C$106:$C$206,D211))/MAX(0.000000000001,INDEX($C$106:$C$206,D211+1)-INDEX($C$106:$C$206,D211))*(INDEX($B$106:$B$206,D211+1)-INDEX($B$106:$B$206,D211))),NA())</f>
        <v>1.6272290507918171E-2</v>
      </c>
    </row>
    <row r="212" spans="2:7" hidden="1" outlineLevel="1" x14ac:dyDescent="0.45">
      <c r="B212" s="90">
        <v>3</v>
      </c>
      <c r="C212" s="88">
        <f ca="1">IF(ISNUMBER($C$106),$C$106+($C$206-$C$106)*3/24,NA())</f>
        <v>-46.290461662746139</v>
      </c>
      <c r="D212" s="91">
        <f t="shared" ca="1" si="5"/>
        <v>3</v>
      </c>
      <c r="E212" s="88">
        <f t="shared" ca="1" si="6"/>
        <v>-43.553559810035161</v>
      </c>
      <c r="F212" s="89">
        <f t="shared" ca="1" si="7"/>
        <v>1.9870457494479646E-2</v>
      </c>
      <c r="G212" s="89" cm="1">
        <f t="array" aca="1" ref="G212" ca="1">IF(ISNUMBER(D212),IF(D212&gt;=101,INDEX($B$106:$B$206,101),INDEX($B$106:$B$206,D212)+(C212-INDEX($C$106:$C$206,D212))/MAX(0.000000000001,INDEX($C$106:$C$206,D212+1)-INDEX($C$106:$C$206,D212))*(INDEX($B$106:$B$206,D212+1)-INDEX($B$106:$B$206,D212))),NA())</f>
        <v>2.9072643207275706E-2</v>
      </c>
    </row>
    <row r="213" spans="2:7" hidden="1" outlineLevel="1" x14ac:dyDescent="0.45">
      <c r="B213" s="90">
        <v>4</v>
      </c>
      <c r="C213" s="88">
        <f ca="1">IF(ISNUMBER($C$106),$C$106+($C$206-$C$106)*4/24,NA())</f>
        <v>-40.816657957324182</v>
      </c>
      <c r="D213" s="91">
        <f t="shared" ca="1" si="5"/>
        <v>5</v>
      </c>
      <c r="E213" s="88">
        <f t="shared" ca="1" si="6"/>
        <v>-38.079756104613203</v>
      </c>
      <c r="F213" s="89">
        <f t="shared" ca="1" si="7"/>
        <v>3.3676563442784052E-2</v>
      </c>
      <c r="G213" s="89" cm="1">
        <f t="array" aca="1" ref="G213" ca="1">IF(ISNUMBER(D213),IF(D213&gt;=101,INDEX($B$106:$B$206,101),INDEX($B$106:$B$206,D213)+(C213-INDEX($C$106:$C$206,D213))/MAX(0.000000000001,INDEX($C$106:$C$206,D213+1)-INDEX($C$106:$C$206,D213))*(INDEX($B$106:$B$206,D213+1)-INDEX($B$106:$B$206,D213))),NA())</f>
        <v>4.8943100701755352E-2</v>
      </c>
    </row>
    <row r="214" spans="2:7" hidden="1" outlineLevel="1" x14ac:dyDescent="0.45">
      <c r="B214" s="90">
        <v>5</v>
      </c>
      <c r="C214" s="88">
        <f ca="1">IF(ISNUMBER($C$106),$C$106+($C$206-$C$106)*5/24,NA())</f>
        <v>-35.342854251902224</v>
      </c>
      <c r="D214" s="91">
        <f t="shared" ca="1" si="5"/>
        <v>9</v>
      </c>
      <c r="E214" s="88">
        <f t="shared" ca="1" si="6"/>
        <v>-32.605952399191239</v>
      </c>
      <c r="F214" s="89">
        <f t="shared" ca="1" si="7"/>
        <v>5.7109529561410841E-2</v>
      </c>
      <c r="G214" s="89" cm="1">
        <f t="array" aca="1" ref="G214" ca="1">IF(ISNUMBER(D214),IF(D214&gt;=101,INDEX($B$106:$B$206,101),INDEX($B$106:$B$206,D214)+(C214-INDEX($C$106:$C$206,D214))/MAX(0.000000000001,INDEX($C$106:$C$206,D214+1)-INDEX($C$106:$C$206,D214))*(INDEX($B$106:$B$206,D214+1)-INDEX($B$106:$B$206,D214))),NA())</f>
        <v>8.2619664144539404E-2</v>
      </c>
    </row>
    <row r="215" spans="2:7" hidden="1" outlineLevel="1" x14ac:dyDescent="0.45">
      <c r="B215" s="90">
        <v>6</v>
      </c>
      <c r="C215" s="88">
        <f ca="1">IF(ISNUMBER($C$106),$C$106+($C$206-$C$106)*6/24,NA())</f>
        <v>-29.86905054648026</v>
      </c>
      <c r="D215" s="91">
        <f t="shared" ca="1" si="5"/>
        <v>14</v>
      </c>
      <c r="E215" s="88">
        <f t="shared" ca="1" si="6"/>
        <v>-27.132148693769281</v>
      </c>
      <c r="F215" s="89">
        <f t="shared" ca="1" si="7"/>
        <v>7.6188782631082724E-2</v>
      </c>
      <c r="G215" s="89" cm="1">
        <f t="array" aca="1" ref="G215" ca="1">IF(ISNUMBER(D215),IF(D215&gt;=101,INDEX($B$106:$B$206,101),INDEX($B$106:$B$206,D215)+(C215-INDEX($C$106:$C$206,D215))/MAX(0.000000000001,INDEX($C$106:$C$206,D215+1)-INDEX($C$106:$C$206,D215))*(INDEX($B$106:$B$206,D215+1)-INDEX($B$106:$B$206,D215))),NA())</f>
        <v>0.13972919370595024</v>
      </c>
    </row>
    <row r="216" spans="2:7" hidden="1" outlineLevel="1" x14ac:dyDescent="0.45">
      <c r="B216" s="90">
        <v>7</v>
      </c>
      <c r="C216" s="88">
        <f ca="1">IF(ISNUMBER($C$106),$C$106+($C$206-$C$106)*7/24,NA())</f>
        <v>-24.395246841058302</v>
      </c>
      <c r="D216" s="91">
        <f t="shared" ca="1" si="5"/>
        <v>22</v>
      </c>
      <c r="E216" s="88">
        <f t="shared" ca="1" si="6"/>
        <v>-21.65834498834732</v>
      </c>
      <c r="F216" s="89">
        <f t="shared" ca="1" si="7"/>
        <v>8.9290890708480508E-2</v>
      </c>
      <c r="G216" s="89" cm="1">
        <f t="array" aca="1" ref="G216" ca="1">IF(ISNUMBER(D216),IF(D216&gt;=101,INDEX($B$106:$B$206,101),INDEX($B$106:$B$206,D216)+(C216-INDEX($C$106:$C$206,D216))/MAX(0.000000000001,INDEX($C$106:$C$206,D216+1)-INDEX($C$106:$C$206,D216))*(INDEX($B$106:$B$206,D216+1)-INDEX($B$106:$B$206,D216))),NA())</f>
        <v>0.21591797633703297</v>
      </c>
    </row>
    <row r="217" spans="2:7" hidden="1" outlineLevel="1" x14ac:dyDescent="0.45">
      <c r="B217" s="90">
        <v>8</v>
      </c>
      <c r="C217" s="88">
        <f ca="1">IF(ISNUMBER($C$106),$C$106+($C$206-$C$106)*8/24,NA())</f>
        <v>-18.921443135636338</v>
      </c>
      <c r="D217" s="91">
        <f t="shared" ca="1" si="5"/>
        <v>31</v>
      </c>
      <c r="E217" s="88">
        <f t="shared" ca="1" si="6"/>
        <v>-16.184541282925355</v>
      </c>
      <c r="F217" s="89">
        <f t="shared" ca="1" si="7"/>
        <v>8.6087510950575485E-2</v>
      </c>
      <c r="G217" s="89" cm="1">
        <f t="array" aca="1" ref="G217" ca="1">IF(ISNUMBER(D217),IF(D217&gt;=101,INDEX($B$106:$B$206,101),INDEX($B$106:$B$206,D217)+(C217-INDEX($C$106:$C$206,D217))/MAX(0.000000000001,INDEX($C$106:$C$206,D217+1)-INDEX($C$106:$C$206,D217))*(INDEX($B$106:$B$206,D217+1)-INDEX($B$106:$B$206,D217))),NA())</f>
        <v>0.30520886704551348</v>
      </c>
    </row>
    <row r="218" spans="2:7" hidden="1" outlineLevel="1" x14ac:dyDescent="0.45">
      <c r="B218" s="90">
        <v>9</v>
      </c>
      <c r="C218" s="88">
        <f ca="1">IF(ISNUMBER($C$106),$C$106+($C$206-$C$106)*9/24,NA())</f>
        <v>-13.447639430214373</v>
      </c>
      <c r="D218" s="91">
        <f t="shared" ca="1" si="5"/>
        <v>40</v>
      </c>
      <c r="E218" s="88">
        <f t="shared" ca="1" si="6"/>
        <v>-10.710737577503394</v>
      </c>
      <c r="F218" s="89">
        <f t="shared" ca="1" si="7"/>
        <v>7.9763790170909898E-2</v>
      </c>
      <c r="G218" s="89" cm="1">
        <f t="array" aca="1" ref="G218" ca="1">IF(ISNUMBER(D218),IF(D218&gt;=101,INDEX($B$106:$B$206,101),INDEX($B$106:$B$206,D218)+(C218-INDEX($C$106:$C$206,D218))/MAX(0.000000000001,INDEX($C$106:$C$206,D218+1)-INDEX($C$106:$C$206,D218))*(INDEX($B$106:$B$206,D218+1)-INDEX($B$106:$B$206,D218))),NA())</f>
        <v>0.39129637799608896</v>
      </c>
    </row>
    <row r="219" spans="2:7" hidden="1" outlineLevel="1" x14ac:dyDescent="0.45">
      <c r="B219" s="90">
        <v>10</v>
      </c>
      <c r="C219" s="88">
        <f ca="1">IF(ISNUMBER($C$106),$C$106+($C$206-$C$106)*10/24,NA())</f>
        <v>-7.9738357247924156</v>
      </c>
      <c r="D219" s="91">
        <f t="shared" ca="1" si="5"/>
        <v>48</v>
      </c>
      <c r="E219" s="88">
        <f t="shared" ca="1" si="6"/>
        <v>-5.2369338720814333</v>
      </c>
      <c r="F219" s="89">
        <f t="shared" ca="1" si="7"/>
        <v>6.7492839056957299E-2</v>
      </c>
      <c r="G219" s="89" cm="1">
        <f t="array" aca="1" ref="G219" ca="1">IF(ISNUMBER(D219),IF(D219&gt;=101,INDEX($B$106:$B$206,101),INDEX($B$106:$B$206,D219)+(C219-INDEX($C$106:$C$206,D219))/MAX(0.000000000001,INDEX($C$106:$C$206,D219+1)-INDEX($C$106:$C$206,D219))*(INDEX($B$106:$B$206,D219+1)-INDEX($B$106:$B$206,D219))),NA())</f>
        <v>0.47106016816699886</v>
      </c>
    </row>
    <row r="220" spans="2:7" hidden="1" outlineLevel="1" x14ac:dyDescent="0.45">
      <c r="B220" s="90">
        <v>11</v>
      </c>
      <c r="C220" s="88">
        <f ca="1">IF(ISNUMBER($C$106),$C$106+($C$206-$C$106)*11/24,NA())</f>
        <v>-2.5000320193704511</v>
      </c>
      <c r="D220" s="91">
        <f t="shared" ca="1" si="5"/>
        <v>54</v>
      </c>
      <c r="E220" s="88">
        <f t="shared" ca="1" si="6"/>
        <v>0.23686983334052769</v>
      </c>
      <c r="F220" s="89">
        <f t="shared" ca="1" si="7"/>
        <v>6.4082275949469691E-2</v>
      </c>
      <c r="G220" s="89" cm="1">
        <f t="array" aca="1" ref="G220" ca="1">IF(ISNUMBER(D220),IF(D220&gt;=101,INDEX($B$106:$B$206,101),INDEX($B$106:$B$206,D220)+(C220-INDEX($C$106:$C$206,D220))/MAX(0.000000000001,INDEX($C$106:$C$206,D220+1)-INDEX($C$106:$C$206,D220))*(INDEX($B$106:$B$206,D220+1)-INDEX($B$106:$B$206,D220))),NA())</f>
        <v>0.53855300722395616</v>
      </c>
    </row>
    <row r="221" spans="2:7" hidden="1" outlineLevel="1" x14ac:dyDescent="0.45">
      <c r="B221" s="90">
        <v>12</v>
      </c>
      <c r="C221" s="88">
        <f ca="1">IF(ISNUMBER($C$106),$C$106+($C$206-$C$106)*12/24,NA())</f>
        <v>2.9737716860515064</v>
      </c>
      <c r="D221" s="91">
        <f t="shared" ca="1" si="5"/>
        <v>61</v>
      </c>
      <c r="E221" s="88">
        <f t="shared" ca="1" si="6"/>
        <v>5.7106735387624852</v>
      </c>
      <c r="F221" s="89">
        <f t="shared" ca="1" si="7"/>
        <v>5.7685240225489043E-2</v>
      </c>
      <c r="G221" s="89" cm="1">
        <f t="array" aca="1" ref="G221" ca="1">IF(ISNUMBER(D221),IF(D221&gt;=101,INDEX($B$106:$B$206,101),INDEX($B$106:$B$206,D221)+(C221-INDEX($C$106:$C$206,D221))/MAX(0.000000000001,INDEX($C$106:$C$206,D221+1)-INDEX($C$106:$C$206,D221))*(INDEX($B$106:$B$206,D221+1)-INDEX($B$106:$B$206,D221))),NA())</f>
        <v>0.60263528317342585</v>
      </c>
    </row>
    <row r="222" spans="2:7" hidden="1" outlineLevel="1" x14ac:dyDescent="0.45">
      <c r="B222" s="90">
        <v>13</v>
      </c>
      <c r="C222" s="88">
        <f ca="1">IF(ISNUMBER($C$106),$C$106+($C$206-$C$106)*13/24,NA())</f>
        <v>8.4475753914734639</v>
      </c>
      <c r="D222" s="91">
        <f t="shared" ca="1" si="5"/>
        <v>67</v>
      </c>
      <c r="E222" s="88">
        <f t="shared" ca="1" si="6"/>
        <v>11.184477244184443</v>
      </c>
      <c r="F222" s="89">
        <f t="shared" ca="1" si="7"/>
        <v>5.5139343066920032E-2</v>
      </c>
      <c r="G222" s="89" cm="1">
        <f t="array" aca="1" ref="G222" ca="1">IF(ISNUMBER(D222),IF(D222&gt;=101,INDEX($B$106:$B$206,101),INDEX($B$106:$B$206,D222)+(C222-INDEX($C$106:$C$206,D222))/MAX(0.000000000001,INDEX($C$106:$C$206,D222+1)-INDEX($C$106:$C$206,D222))*(INDEX($B$106:$B$206,D222+1)-INDEX($B$106:$B$206,D222))),NA())</f>
        <v>0.66032052339891489</v>
      </c>
    </row>
    <row r="223" spans="2:7" hidden="1" outlineLevel="1" x14ac:dyDescent="0.45">
      <c r="B223" s="90">
        <v>14</v>
      </c>
      <c r="C223" s="88">
        <f ca="1">IF(ISNUMBER($C$106),$C$106+($C$206-$C$106)*14/24,NA())</f>
        <v>13.921379096895421</v>
      </c>
      <c r="D223" s="91">
        <f t="shared" ca="1" si="5"/>
        <v>72</v>
      </c>
      <c r="E223" s="88">
        <f t="shared" ca="1" si="6"/>
        <v>16.658280949606407</v>
      </c>
      <c r="F223" s="89">
        <f t="shared" ca="1" si="7"/>
        <v>5.1830123289560159E-2</v>
      </c>
      <c r="G223" s="89" cm="1">
        <f t="array" aca="1" ref="G223" ca="1">IF(ISNUMBER(D223),IF(D223&gt;=101,INDEX($B$106:$B$206,101),INDEX($B$106:$B$206,D223)+(C223-INDEX($C$106:$C$206,D223))/MAX(0.000000000001,INDEX($C$106:$C$206,D223+1)-INDEX($C$106:$C$206,D223))*(INDEX($B$106:$B$206,D223+1)-INDEX($B$106:$B$206,D223))),NA())</f>
        <v>0.71545986646583493</v>
      </c>
    </row>
    <row r="224" spans="2:7" hidden="1" outlineLevel="1" x14ac:dyDescent="0.45">
      <c r="B224" s="90">
        <v>15</v>
      </c>
      <c r="C224" s="88">
        <f ca="1">IF(ISNUMBER($C$106),$C$106+($C$206-$C$106)*15/24,NA())</f>
        <v>19.395182802317393</v>
      </c>
      <c r="D224" s="91">
        <f t="shared" ca="1" si="5"/>
        <v>77</v>
      </c>
      <c r="E224" s="88">
        <f t="shared" ca="1" si="6"/>
        <v>22.132084655028372</v>
      </c>
      <c r="F224" s="89">
        <f t="shared" ca="1" si="7"/>
        <v>4.8592540636739012E-2</v>
      </c>
      <c r="G224" s="89" cm="1">
        <f t="array" aca="1" ref="G224" ca="1">IF(ISNUMBER(D224),IF(D224&gt;=101,INDEX($B$106:$B$206,101),INDEX($B$106:$B$206,D224)+(C224-INDEX($C$106:$C$206,D224))/MAX(0.000000000001,INDEX($C$106:$C$206,D224+1)-INDEX($C$106:$C$206,D224))*(INDEX($B$106:$B$206,D224+1)-INDEX($B$106:$B$206,D224))),NA())</f>
        <v>0.76728998975539509</v>
      </c>
    </row>
    <row r="225" spans="2:7" hidden="1" outlineLevel="1" x14ac:dyDescent="0.45">
      <c r="B225" s="90">
        <v>16</v>
      </c>
      <c r="C225" s="88">
        <f ca="1">IF(ISNUMBER($C$106),$C$106+($C$206-$C$106)*16/24,NA())</f>
        <v>24.868986507739351</v>
      </c>
      <c r="D225" s="91">
        <f t="shared" ca="1" si="5"/>
        <v>82</v>
      </c>
      <c r="E225" s="88">
        <f t="shared" ca="1" si="6"/>
        <v>27.605888360450329</v>
      </c>
      <c r="F225" s="89">
        <f t="shared" ca="1" si="7"/>
        <v>4.5859263760284819E-2</v>
      </c>
      <c r="G225" s="89" cm="1">
        <f t="array" aca="1" ref="G225" ca="1">IF(ISNUMBER(D225),IF(D225&gt;=101,INDEX($B$106:$B$206,101),INDEX($B$106:$B$206,D225)+(C225-INDEX($C$106:$C$206,D225))/MAX(0.000000000001,INDEX($C$106:$C$206,D225+1)-INDEX($C$106:$C$206,D225))*(INDEX($B$106:$B$206,D225+1)-INDEX($B$106:$B$206,D225))),NA())</f>
        <v>0.8158825303921341</v>
      </c>
    </row>
    <row r="226" spans="2:7" hidden="1" outlineLevel="1" x14ac:dyDescent="0.45">
      <c r="B226" s="90">
        <v>17</v>
      </c>
      <c r="C226" s="88">
        <f ca="1">IF(ISNUMBER($C$106),$C$106+($C$206-$C$106)*17/24,NA())</f>
        <v>30.342790213161308</v>
      </c>
      <c r="D226" s="91">
        <f t="shared" ca="1" si="5"/>
        <v>87</v>
      </c>
      <c r="E226" s="88">
        <f t="shared" ca="1" si="6"/>
        <v>33.079692065872294</v>
      </c>
      <c r="F226" s="89">
        <f t="shared" ca="1" si="7"/>
        <v>3.4922578655354752E-2</v>
      </c>
      <c r="G226" s="89" cm="1">
        <f t="array" aca="1" ref="G226" ca="1">IF(ISNUMBER(D226),IF(D226&gt;=101,INDEX($B$106:$B$206,101),INDEX($B$106:$B$206,D226)+(C226-INDEX($C$106:$C$206,D226))/MAX(0.000000000001,INDEX($C$106:$C$206,D226+1)-INDEX($C$106:$C$206,D226))*(INDEX($B$106:$B$206,D226+1)-INDEX($B$106:$B$206,D226))),NA())</f>
        <v>0.86174179415241892</v>
      </c>
    </row>
    <row r="227" spans="2:7" hidden="1" outlineLevel="1" x14ac:dyDescent="0.45">
      <c r="B227" s="90">
        <v>18</v>
      </c>
      <c r="C227" s="88">
        <f ca="1">IF(ISNUMBER($C$106),$C$106+($C$206-$C$106)*18/24,NA())</f>
        <v>35.81659391858328</v>
      </c>
      <c r="D227" s="91">
        <f t="shared" ca="1" si="5"/>
        <v>90</v>
      </c>
      <c r="E227" s="88">
        <f t="shared" ca="1" si="6"/>
        <v>38.553495771294251</v>
      </c>
      <c r="F227" s="89">
        <f t="shared" ca="1" si="7"/>
        <v>2.7176829695892524E-2</v>
      </c>
      <c r="G227" s="89" cm="1">
        <f t="array" aca="1" ref="G227" ca="1">IF(ISNUMBER(D227),IF(D227&gt;=101,INDEX($B$106:$B$206,101),INDEX($B$106:$B$206,D227)+(C227-INDEX($C$106:$C$206,D227))/MAX(0.000000000001,INDEX($C$106:$C$206,D227+1)-INDEX($C$106:$C$206,D227))*(INDEX($B$106:$B$206,D227+1)-INDEX($B$106:$B$206,D227))),NA())</f>
        <v>0.89666437280777367</v>
      </c>
    </row>
    <row r="228" spans="2:7" hidden="1" outlineLevel="1" x14ac:dyDescent="0.45">
      <c r="B228" s="90">
        <v>19</v>
      </c>
      <c r="C228" s="88">
        <f ca="1">IF(ISNUMBER($C$106),$C$106+($C$206-$C$106)*19/24,NA())</f>
        <v>41.290397624005223</v>
      </c>
      <c r="D228" s="91">
        <f t="shared" ca="1" si="5"/>
        <v>93</v>
      </c>
      <c r="E228" s="88">
        <f t="shared" ca="1" si="6"/>
        <v>44.027299476716209</v>
      </c>
      <c r="F228" s="89">
        <f t="shared" ca="1" si="7"/>
        <v>2.4695368725548006E-2</v>
      </c>
      <c r="G228" s="89" cm="1">
        <f t="array" aca="1" ref="G228" ca="1">IF(ISNUMBER(D228),IF(D228&gt;=101,INDEX($B$106:$B$206,101),INDEX($B$106:$B$206,D228)+(C228-INDEX($C$106:$C$206,D228))/MAX(0.000000000001,INDEX($C$106:$C$206,D228+1)-INDEX($C$106:$C$206,D228))*(INDEX($B$106:$B$206,D228+1)-INDEX($B$106:$B$206,D228))),NA())</f>
        <v>0.92384120250366619</v>
      </c>
    </row>
    <row r="229" spans="2:7" hidden="1" outlineLevel="1" x14ac:dyDescent="0.45">
      <c r="B229" s="90">
        <v>20</v>
      </c>
      <c r="C229" s="88">
        <f ca="1">IF(ISNUMBER($C$106),$C$106+($C$206-$C$106)*20/24,NA())</f>
        <v>46.764201329427195</v>
      </c>
      <c r="D229" s="91">
        <f t="shared" ca="1" si="5"/>
        <v>95</v>
      </c>
      <c r="E229" s="88">
        <f t="shared" ca="1" si="6"/>
        <v>49.501103182138174</v>
      </c>
      <c r="F229" s="89">
        <f t="shared" ca="1" si="7"/>
        <v>1.7983869821851739E-2</v>
      </c>
      <c r="G229" s="89" cm="1">
        <f t="array" aca="1" ref="G229" ca="1">IF(ISNUMBER(D229),IF(D229&gt;=101,INDEX($B$106:$B$206,101),INDEX($B$106:$B$206,D229)+(C229-INDEX($C$106:$C$206,D229))/MAX(0.000000000001,INDEX($C$106:$C$206,D229+1)-INDEX($C$106:$C$206,D229))*(INDEX($B$106:$B$206,D229+1)-INDEX($B$106:$B$206,D229))),NA())</f>
        <v>0.9485365712292142</v>
      </c>
    </row>
    <row r="230" spans="2:7" hidden="1" outlineLevel="1" x14ac:dyDescent="0.45">
      <c r="B230" s="90">
        <v>21</v>
      </c>
      <c r="C230" s="88">
        <f ca="1">IF(ISNUMBER($C$106),$C$106+($C$206-$C$106)*21/24,NA())</f>
        <v>52.238005034849152</v>
      </c>
      <c r="D230" s="91">
        <f t="shared" ca="1" si="5"/>
        <v>97</v>
      </c>
      <c r="E230" s="88">
        <f t="shared" ca="1" si="6"/>
        <v>54.974906887560138</v>
      </c>
      <c r="F230" s="89">
        <f t="shared" ca="1" si="7"/>
        <v>1.3797423752984539E-2</v>
      </c>
      <c r="G230" s="89" cm="1">
        <f t="array" aca="1" ref="G230" ca="1">IF(ISNUMBER(D230),IF(D230&gt;=101,INDEX($B$106:$B$206,101),INDEX($B$106:$B$206,D230)+(C230-INDEX($C$106:$C$206,D230))/MAX(0.000000000001,INDEX($C$106:$C$206,D230+1)-INDEX($C$106:$C$206,D230))*(INDEX($B$106:$B$206,D230+1)-INDEX($B$106:$B$206,D230))),NA())</f>
        <v>0.96652044105106594</v>
      </c>
    </row>
    <row r="231" spans="2:7" hidden="1" outlineLevel="1" x14ac:dyDescent="0.45">
      <c r="B231" s="90">
        <v>22</v>
      </c>
      <c r="C231" s="88">
        <f ca="1">IF(ISNUMBER($C$106),$C$106+($C$206-$C$106)*22/24,NA())</f>
        <v>57.711808740271124</v>
      </c>
      <c r="D231" s="91">
        <f t="shared" ca="1" si="5"/>
        <v>99</v>
      </c>
      <c r="E231" s="88">
        <f t="shared" ca="1" si="6"/>
        <v>60.448710592982103</v>
      </c>
      <c r="F231" s="89">
        <f t="shared" ca="1" si="7"/>
        <v>8.6440661492316329E-3</v>
      </c>
      <c r="G231" s="89" cm="1">
        <f t="array" aca="1" ref="G231" ca="1">IF(ISNUMBER(D231),IF(D231&gt;=101,INDEX($B$106:$B$206,101),INDEX($B$106:$B$206,D231)+(C231-INDEX($C$106:$C$206,D231))/MAX(0.000000000001,INDEX($C$106:$C$206,D231+1)-INDEX($C$106:$C$206,D231))*(INDEX($B$106:$B$206,D231+1)-INDEX($B$106:$B$206,D231))),NA())</f>
        <v>0.98031786480405048</v>
      </c>
    </row>
    <row r="232" spans="2:7" hidden="1" outlineLevel="1" x14ac:dyDescent="0.45">
      <c r="B232" s="90">
        <v>23</v>
      </c>
      <c r="C232" s="88">
        <f ca="1">IF(ISNUMBER($C$106),$C$106+($C$206-$C$106)*23/24,NA())</f>
        <v>63.185612445693081</v>
      </c>
      <c r="D232" s="91">
        <f t="shared" ca="1" si="5"/>
        <v>99</v>
      </c>
      <c r="E232" s="88">
        <f t="shared" ca="1" si="6"/>
        <v>65.922514298404053</v>
      </c>
      <c r="F232" s="89">
        <f t="shared" ca="1" si="7"/>
        <v>6.0380690467178866E-3</v>
      </c>
      <c r="G232" s="89" cm="1">
        <f t="array" aca="1" ref="G232" ca="1">IF(ISNUMBER(D232),IF(D232&gt;=101,INDEX($B$106:$B$206,101),INDEX($B$106:$B$206,D232)+(C232-INDEX($C$106:$C$206,D232))/MAX(0.000000000001,INDEX($C$106:$C$206,D232+1)-INDEX($C$106:$C$206,D232))*(INDEX($B$106:$B$206,D232+1)-INDEX($B$106:$B$206,D232))),NA())</f>
        <v>0.98896193095328211</v>
      </c>
    </row>
    <row r="233" spans="2:7" hidden="1" outlineLevel="1" x14ac:dyDescent="0.45">
      <c r="B233" s="90">
        <v>24</v>
      </c>
      <c r="C233" s="88">
        <f ca="1">IF(ISNUMBER($C$106),$C$106+($C$206-$C$106)*24/24,NA())</f>
        <v>68.659416151115039</v>
      </c>
      <c r="D233" s="91">
        <f t="shared" ca="1" si="5"/>
        <v>101</v>
      </c>
      <c r="G233" s="89" cm="1">
        <f t="array" aca="1" ref="G233" ca="1">IF(ISNUMBER(D233),IF(D233&gt;=101,INDEX($B$106:$B$206,101),INDEX($B$106:$B$206,D233)+(C233-INDEX($C$106:$C$206,D233))/MAX(0.000000000001,INDEX($C$106:$C$206,D233+1)-INDEX($C$106:$C$206,D233))*(INDEX($B$106:$B$206,D233+1)-INDEX($B$106:$B$206,D233))),NA())</f>
        <v>0.995</v>
      </c>
    </row>
  </sheetData>
  <mergeCells count="5">
    <mergeCell ref="B47:G47"/>
    <mergeCell ref="B46:G46"/>
    <mergeCell ref="B45:G45"/>
    <mergeCell ref="B44:G44"/>
    <mergeCell ref="B48:G48"/>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06:G233">
    <cfRule type="expression" dxfId="1" priority="4">
      <formula>ISNA($C$106)</formula>
    </cfRule>
  </conditionalFormatting>
  <conditionalFormatting sqref="D54:H103">
    <cfRule type="expression" dxfId="0" priority="3">
      <formula>ISNA(D54)</formula>
    </cfRule>
  </conditionalFormatting>
  <hyperlinks>
    <hyperlink ref="B4" location="'Hedges'!A1" display="◂  Hedges" xr:uid="{00000000-0004-0000-0400-000000000000}"/>
  </hyperlinks>
  <printOptions horizontalCentered="1"/>
  <pageMargins left="0.4" right="0.4" top="0.5" bottom="0.6" header="0.25" footer="0.25"/>
  <pageSetup paperSize="9" fitToHeight="0" orientation="landscape"/>
  <headerFooter>
    <oddFooter>&amp;L&amp;K3F5876&amp;8&amp;F · &amp;A&amp;R&amp;K3F5876&amp;8Page &amp;P of &amp;N</oddFooter>
  </headerFooter>
  <rowBreaks count="1" manualBreakCount="1">
    <brk id="42" max="16383" man="1"/>
  </row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
  <sheetViews>
    <sheetView workbookViewId="0"/>
  </sheetViews>
  <sheetFormatPr defaultRowHeight="14.25" x14ac:dyDescent="0.45"/>
  <sheetData>
    <row r="1" spans="1:5" x14ac:dyDescent="0.45">
      <c r="A1" s="92" t="s">
        <v>325</v>
      </c>
      <c r="B1">
        <v>0</v>
      </c>
      <c r="C1">
        <v>1</v>
      </c>
      <c r="D1">
        <v>1</v>
      </c>
      <c r="E1" s="92" t="s">
        <v>326</v>
      </c>
    </row>
    <row r="2" spans="1:5" x14ac:dyDescent="0.45">
      <c r="A2">
        <v>1</v>
      </c>
      <c r="B2" s="92" t="s">
        <v>327</v>
      </c>
      <c r="C2">
        <v>1</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53945-8B28-494F-A271-72D2071AB701}">
  <dimension ref="A1:B1"/>
  <sheetViews>
    <sheetView workbookViewId="0"/>
  </sheetViews>
  <sheetFormatPr defaultRowHeight="14.25" x14ac:dyDescent="0.45"/>
  <sheetData>
    <row r="1" spans="1:2" x14ac:dyDescent="0.45">
      <c r="A1" s="100" t="s">
        <v>332</v>
      </c>
      <c r="B1">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17F37-166D-4D6C-9D8E-1CEDBC48BD4F}">
  <dimension ref="A1"/>
  <sheetViews>
    <sheetView workbookViewId="0"/>
  </sheetViews>
  <sheetFormatPr defaultRowHeight="14.25" x14ac:dyDescent="0.4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6F291-23EA-4B3C-884A-DD3FA37C5D63}">
  <dimension ref="B3:B82"/>
  <sheetViews>
    <sheetView workbookViewId="0"/>
  </sheetViews>
  <sheetFormatPr defaultRowHeight="14.25" x14ac:dyDescent="0.45"/>
  <sheetData>
    <row r="3" spans="2:2" x14ac:dyDescent="0.45">
      <c r="B3">
        <v>1899</v>
      </c>
    </row>
    <row r="4" spans="2:2" x14ac:dyDescent="0.45">
      <c r="B4">
        <v>0</v>
      </c>
    </row>
    <row r="5" spans="2:2" x14ac:dyDescent="0.45">
      <c r="B5">
        <v>0</v>
      </c>
    </row>
    <row r="6" spans="2:2" x14ac:dyDescent="0.45">
      <c r="B6">
        <v>0</v>
      </c>
    </row>
    <row r="7" spans="2:2" x14ac:dyDescent="0.45">
      <c r="B7">
        <v>0</v>
      </c>
    </row>
    <row r="8" spans="2:2" x14ac:dyDescent="0.45">
      <c r="B8">
        <v>0</v>
      </c>
    </row>
    <row r="9" spans="2:2" x14ac:dyDescent="0.45">
      <c r="B9">
        <v>0</v>
      </c>
    </row>
    <row r="10" spans="2:2" x14ac:dyDescent="0.45">
      <c r="B10">
        <v>0</v>
      </c>
    </row>
    <row r="11" spans="2:2" x14ac:dyDescent="0.45">
      <c r="B11">
        <v>0</v>
      </c>
    </row>
    <row r="12" spans="2:2" x14ac:dyDescent="0.45">
      <c r="B12">
        <v>101</v>
      </c>
    </row>
    <row r="13" spans="2:2" x14ac:dyDescent="0.45">
      <c r="B13">
        <v>67</v>
      </c>
    </row>
    <row r="14" spans="2:2" x14ac:dyDescent="0.45">
      <c r="B14">
        <v>376</v>
      </c>
    </row>
    <row r="15" spans="2:2" x14ac:dyDescent="0.45">
      <c r="B15">
        <v>570</v>
      </c>
    </row>
    <row r="16" spans="2:2" x14ac:dyDescent="0.45">
      <c r="B16">
        <v>518</v>
      </c>
    </row>
    <row r="17" spans="2:2" x14ac:dyDescent="0.45">
      <c r="B17">
        <v>267</v>
      </c>
    </row>
    <row r="18" spans="2:2" x14ac:dyDescent="0.45">
      <c r="B18">
        <v>127</v>
      </c>
    </row>
    <row r="19" spans="2:2" x14ac:dyDescent="0.45">
      <c r="B19">
        <v>49</v>
      </c>
    </row>
    <row r="20" spans="2:2" x14ac:dyDescent="0.45">
      <c r="B20">
        <v>13</v>
      </c>
    </row>
    <row r="21" spans="2:2" x14ac:dyDescent="0.45">
      <c r="B21">
        <v>5</v>
      </c>
    </row>
    <row r="22" spans="2:2" x14ac:dyDescent="0.45">
      <c r="B22">
        <v>8</v>
      </c>
    </row>
    <row r="23" spans="2:2" x14ac:dyDescent="0.45">
      <c r="B23">
        <v>43</v>
      </c>
    </row>
    <row r="24" spans="2:2" x14ac:dyDescent="0.45">
      <c r="B24">
        <v>251</v>
      </c>
    </row>
    <row r="25" spans="2:2" x14ac:dyDescent="0.45">
      <c r="B25">
        <v>571</v>
      </c>
    </row>
    <row r="26" spans="2:2" x14ac:dyDescent="0.45">
      <c r="B26">
        <v>534</v>
      </c>
    </row>
    <row r="27" spans="2:2" x14ac:dyDescent="0.45">
      <c r="B27">
        <v>369</v>
      </c>
    </row>
    <row r="28" spans="2:2" x14ac:dyDescent="0.45">
      <c r="B28">
        <v>150</v>
      </c>
    </row>
    <row r="29" spans="2:2" x14ac:dyDescent="0.45">
      <c r="B29">
        <v>57</v>
      </c>
    </row>
    <row r="30" spans="2:2" x14ac:dyDescent="0.45">
      <c r="B30">
        <v>12</v>
      </c>
    </row>
    <row r="31" spans="2:2" x14ac:dyDescent="0.45">
      <c r="B31">
        <v>5</v>
      </c>
    </row>
    <row r="32" spans="2:2" x14ac:dyDescent="0.45">
      <c r="B32">
        <v>8</v>
      </c>
    </row>
    <row r="33" spans="2:2" x14ac:dyDescent="0.45">
      <c r="B33">
        <v>197</v>
      </c>
    </row>
    <row r="34" spans="2:2" x14ac:dyDescent="0.45">
      <c r="B34">
        <v>934</v>
      </c>
    </row>
    <row r="35" spans="2:2" x14ac:dyDescent="0.45">
      <c r="B35">
        <v>469</v>
      </c>
    </row>
    <row r="36" spans="2:2" x14ac:dyDescent="0.45">
      <c r="B36">
        <v>206</v>
      </c>
    </row>
    <row r="37" spans="2:2" x14ac:dyDescent="0.45">
      <c r="B37">
        <v>115</v>
      </c>
    </row>
    <row r="38" spans="2:2" x14ac:dyDescent="0.45">
      <c r="B38">
        <v>44</v>
      </c>
    </row>
    <row r="39" spans="2:2" x14ac:dyDescent="0.45">
      <c r="B39">
        <v>16</v>
      </c>
    </row>
    <row r="40" spans="2:2" x14ac:dyDescent="0.45">
      <c r="B40">
        <v>8</v>
      </c>
    </row>
    <row r="41" spans="2:2" x14ac:dyDescent="0.45">
      <c r="B41">
        <v>4</v>
      </c>
    </row>
    <row r="42" spans="2:2" x14ac:dyDescent="0.45">
      <c r="B42">
        <v>7</v>
      </c>
    </row>
    <row r="43" spans="2:2" x14ac:dyDescent="0.45">
      <c r="B43">
        <v>9</v>
      </c>
    </row>
    <row r="44" spans="2:2" x14ac:dyDescent="0.45">
      <c r="B44">
        <v>4</v>
      </c>
    </row>
    <row r="45" spans="2:2" x14ac:dyDescent="0.45">
      <c r="B45">
        <v>13</v>
      </c>
    </row>
    <row r="46" spans="2:2" x14ac:dyDescent="0.45">
      <c r="B46">
        <v>48</v>
      </c>
    </row>
    <row r="47" spans="2:2" x14ac:dyDescent="0.45">
      <c r="B47">
        <v>135</v>
      </c>
    </row>
    <row r="48" spans="2:2" x14ac:dyDescent="0.45">
      <c r="B48">
        <v>267</v>
      </c>
    </row>
    <row r="49" spans="2:2" x14ac:dyDescent="0.45">
      <c r="B49">
        <v>524</v>
      </c>
    </row>
    <row r="50" spans="2:2" x14ac:dyDescent="0.45">
      <c r="B50">
        <v>573</v>
      </c>
    </row>
    <row r="51" spans="2:2" x14ac:dyDescent="0.45">
      <c r="B51">
        <v>366</v>
      </c>
    </row>
    <row r="52" spans="2:2" x14ac:dyDescent="0.45">
      <c r="B52">
        <v>61</v>
      </c>
    </row>
    <row r="53" spans="2:2" x14ac:dyDescent="0.45">
      <c r="B53">
        <v>12</v>
      </c>
    </row>
    <row r="54" spans="2:2" x14ac:dyDescent="0.45">
      <c r="B54">
        <v>36</v>
      </c>
    </row>
    <row r="55" spans="2:2" x14ac:dyDescent="0.45">
      <c r="B55">
        <v>214</v>
      </c>
    </row>
    <row r="56" spans="2:2" x14ac:dyDescent="0.45">
      <c r="B56">
        <v>532</v>
      </c>
    </row>
    <row r="57" spans="2:2" x14ac:dyDescent="0.45">
      <c r="B57">
        <v>397</v>
      </c>
    </row>
    <row r="58" spans="2:2" x14ac:dyDescent="0.45">
      <c r="B58">
        <v>341</v>
      </c>
    </row>
    <row r="59" spans="2:2" x14ac:dyDescent="0.45">
      <c r="B59">
        <v>265</v>
      </c>
    </row>
    <row r="60" spans="2:2" x14ac:dyDescent="0.45">
      <c r="B60">
        <v>137</v>
      </c>
    </row>
    <row r="61" spans="2:2" x14ac:dyDescent="0.45">
      <c r="B61">
        <v>55</v>
      </c>
    </row>
    <row r="62" spans="2:2" x14ac:dyDescent="0.45">
      <c r="B62">
        <v>11</v>
      </c>
    </row>
    <row r="63" spans="2:2" x14ac:dyDescent="0.45">
      <c r="B63">
        <v>1885</v>
      </c>
    </row>
    <row r="64" spans="2:2" x14ac:dyDescent="0.45">
      <c r="B64">
        <v>0</v>
      </c>
    </row>
    <row r="65" spans="2:2" x14ac:dyDescent="0.45">
      <c r="B65">
        <v>0</v>
      </c>
    </row>
    <row r="66" spans="2:2" x14ac:dyDescent="0.45">
      <c r="B66">
        <v>0</v>
      </c>
    </row>
    <row r="67" spans="2:2" x14ac:dyDescent="0.45">
      <c r="B67">
        <v>0</v>
      </c>
    </row>
    <row r="68" spans="2:2" x14ac:dyDescent="0.45">
      <c r="B68">
        <v>0</v>
      </c>
    </row>
    <row r="69" spans="2:2" x14ac:dyDescent="0.45">
      <c r="B69">
        <v>0</v>
      </c>
    </row>
    <row r="70" spans="2:2" x14ac:dyDescent="0.45">
      <c r="B70">
        <v>0</v>
      </c>
    </row>
    <row r="71" spans="2:2" x14ac:dyDescent="0.45">
      <c r="B71">
        <v>0</v>
      </c>
    </row>
    <row r="72" spans="2:2" x14ac:dyDescent="0.45">
      <c r="B72">
        <v>115</v>
      </c>
    </row>
    <row r="73" spans="2:2" x14ac:dyDescent="0.45">
      <c r="B73">
        <v>1795</v>
      </c>
    </row>
    <row r="74" spans="2:2" x14ac:dyDescent="0.45">
      <c r="B74">
        <v>0</v>
      </c>
    </row>
    <row r="75" spans="2:2" x14ac:dyDescent="0.45">
      <c r="B75">
        <v>0</v>
      </c>
    </row>
    <row r="76" spans="2:2" x14ac:dyDescent="0.45">
      <c r="B76">
        <v>0</v>
      </c>
    </row>
    <row r="77" spans="2:2" x14ac:dyDescent="0.45">
      <c r="B77">
        <v>0</v>
      </c>
    </row>
    <row r="78" spans="2:2" x14ac:dyDescent="0.45">
      <c r="B78">
        <v>0</v>
      </c>
    </row>
    <row r="79" spans="2:2" x14ac:dyDescent="0.45">
      <c r="B79">
        <v>0</v>
      </c>
    </row>
    <row r="80" spans="2:2" x14ac:dyDescent="0.45">
      <c r="B80">
        <v>0</v>
      </c>
    </row>
    <row r="81" spans="2:2" x14ac:dyDescent="0.45">
      <c r="B81">
        <v>0</v>
      </c>
    </row>
    <row r="82" spans="2:2" x14ac:dyDescent="0.45">
      <c r="B82">
        <v>205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7A99A6E0-915D-42BE-BA85-16665740D771}">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66</vt:i4>
      </vt:variant>
    </vt:vector>
  </HeadingPairs>
  <TitlesOfParts>
    <vt:vector size="74" baseType="lpstr">
      <vt:lpstr>About</vt:lpstr>
      <vt:lpstr>Inputs</vt:lpstr>
      <vt:lpstr>Decisions</vt:lpstr>
      <vt:lpstr>Hedges</vt:lpstr>
      <vt:lpstr>Results</vt:lpstr>
      <vt:lpstr>ModelRiskDSN</vt:lpstr>
      <vt:lpstr>ModelRiskSYS1</vt:lpstr>
      <vt:lpstr>ModelRiskCharts</vt:lpstr>
      <vt:lpstr>BudgetPrice</vt:lpstr>
      <vt:lpstr>BudgetRevenue</vt:lpstr>
      <vt:lpstr>BudgetUptime</vt:lpstr>
      <vt:lpstr>Checks</vt:lpstr>
      <vt:lpstr>FirstYear</vt:lpstr>
      <vt:lpstr>HedgeCap</vt:lpstr>
      <vt:lpstr>Hedged_Plan</vt:lpstr>
      <vt:lpstr>Hedged_Start</vt:lpstr>
      <vt:lpstr>InputMeans</vt:lpstr>
      <vt:lpstr>MissTarget</vt:lpstr>
      <vt:lpstr>MonthsHedged</vt:lpstr>
      <vt:lpstr>Mu_m</vt:lpstr>
      <vt:lpstr>OptRun_Best</vt:lpstr>
      <vt:lpstr>OptRun_Date</vt:lpstr>
      <vt:lpstr>OptRun_Engine</vt:lpstr>
      <vt:lpstr>OptRun_Feasible</vt:lpstr>
      <vt:lpstr>OptRun_Samples</vt:lpstr>
      <vt:lpstr>OptRun_Seconds</vt:lpstr>
      <vt:lpstr>OptRun_Stop</vt:lpstr>
      <vt:lpstr>OptRun_Trials</vt:lpstr>
      <vt:lpstr>Out_Hedge_Plan</vt:lpstr>
      <vt:lpstr>Out_Hedge_Start</vt:lpstr>
      <vt:lpstr>Out_Miss_Plan</vt:lpstr>
      <vt:lpstr>Out_Miss_Start</vt:lpstr>
      <vt:lpstr>Out_Rev_None</vt:lpstr>
      <vt:lpstr>Out_Rev_Plan</vt:lpstr>
      <vt:lpstr>Out_Rev_Start</vt:lpstr>
      <vt:lpstr>Outage</vt:lpstr>
      <vt:lpstr>OutageMonths</vt:lpstr>
      <vt:lpstr>OutageStart</vt:lpstr>
      <vt:lpstr>PlanVolume</vt:lpstr>
      <vt:lpstr>PriceNow</vt:lpstr>
      <vt:lpstr>Results!Print_Area</vt:lpstr>
      <vt:lpstr>Decisions!Print_Titles</vt:lpstr>
      <vt:lpstr>Hedges!Print_Titles</vt:lpstr>
      <vt:lpstr>Inputs!Print_Titles</vt:lpstr>
      <vt:lpstr>Results!Print_Titles</vt:lpstr>
      <vt:lpstr>Prob_Outage</vt:lpstr>
      <vt:lpstr>PutPrem_57</vt:lpstr>
      <vt:lpstr>PutPrem_62</vt:lpstr>
      <vt:lpstr>PutPrem_67</vt:lpstr>
      <vt:lpstr>PutPrem_72</vt:lpstr>
      <vt:lpstr>PutPrem_Plan</vt:lpstr>
      <vt:lpstr>PutPrem_Start</vt:lpstr>
      <vt:lpstr>PutShare</vt:lpstr>
      <vt:lpstr>PutShare_Hi</vt:lpstr>
      <vt:lpstr>PutShare_Lo</vt:lpstr>
      <vt:lpstr>PutShare_Start</vt:lpstr>
      <vt:lpstr>PutStrike</vt:lpstr>
      <vt:lpstr>PutStrike_Hi</vt:lpstr>
      <vt:lpstr>PutStrike_Lo</vt:lpstr>
      <vt:lpstr>PutStrike_Start</vt:lpstr>
      <vt:lpstr>Sigma_m</vt:lpstr>
      <vt:lpstr>StartMonth</vt:lpstr>
      <vt:lpstr>SwapPrice</vt:lpstr>
      <vt:lpstr>SwapShare</vt:lpstr>
      <vt:lpstr>SwapShare_Hi</vt:lpstr>
      <vt:lpstr>SwapShare_Lo</vt:lpstr>
      <vt:lpstr>SwapShare_Start</vt:lpstr>
      <vt:lpstr>Uptime_Hi</vt:lpstr>
      <vt:lpstr>Uptime_Lo</vt:lpstr>
      <vt:lpstr>Uptime_Mean</vt:lpstr>
      <vt:lpstr>Uptime_ML</vt:lpstr>
      <vt:lpstr>Volatility</vt:lpstr>
      <vt:lpstr>WithinCap_Plan</vt:lpstr>
      <vt:lpstr>WithinCap_Start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OG-12 Hedging Programme Chosen by the Optimizer</dc:title>
  <dc:subject>ModelRisk industry example library — Oil and gas</dc:subject>
  <dc:creator>Vose Software</dc:creator>
  <cp:keywords>ModelRisk; Monte Carlo; Oil and gas</cp:keywords>
  <dc:description>The swap share, put share and put strike chosen together by the ModelRisk Optimizer: the most revenue after hedging costs, with at most a 1-in-10 chance of missing the budget.</dc:description>
  <cp:lastModifiedBy>Timour Koupeev</cp:lastModifiedBy>
  <dcterms:created xsi:type="dcterms:W3CDTF">2026-10-13T13:16:59Z</dcterms:created>
  <dcterms:modified xsi:type="dcterms:W3CDTF">2026-10-13T13:25:46Z</dcterms:modified>
</cp:coreProperties>
</file>