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opt\models\Oil and gas\"/>
    </mc:Choice>
  </mc:AlternateContent>
  <xr:revisionPtr revIDLastSave="0" documentId="8_{831FB53B-20D1-46F1-ACAA-67656E8A259F}"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Decisions" sheetId="3" r:id="rId3"/>
    <sheet name="Prospects" sheetId="4" r:id="rId4"/>
    <sheet name="Programmes" sheetId="5" r:id="rId5"/>
    <sheet name="Results" sheetId="6" r:id="rId6"/>
    <sheet name="ModelRiskOptimizer" sheetId="7" state="veryHidden" r:id="rId7"/>
    <sheet name="ModelRiskDSN" sheetId="9" state="hidden" r:id="rId8"/>
    <sheet name="ModelRiskSYS1" sheetId="10" state="hidden" r:id="rId9"/>
    <sheet name="ModelRiskCharts" sheetId="11" state="hidden" r:id="rId10"/>
  </sheets>
  <definedNames>
    <definedName name="Budget">Inputs!$D$11</definedName>
    <definedName name="Chance_PlayA">Inputs!$D$17</definedName>
    <definedName name="Chance_PlayB">Inputs!$D$18</definedName>
    <definedName name="Chance_PlayC">Inputs!$D$19</definedName>
    <definedName name="Checks">Programmes!$D$33:$D$35</definedName>
    <definedName name="Cost_Hi">Prospects!$H$10:$H$17</definedName>
    <definedName name="Cost_Lo">Prospects!$F$10:$F$17</definedName>
    <definedName name="Cost_ML">Prospects!$G$10:$G$17</definedName>
    <definedName name="Discovery">Prospects!$F$30:$F$37</definedName>
    <definedName name="Drill_Alder">Decisions!$D$11</definedName>
    <definedName name="Drill_Alder_Start">Decisions!$E$11</definedName>
    <definedName name="Drill_Birch">Decisions!$D$12</definedName>
    <definedName name="Drill_Birch_Start">Decisions!$E$12</definedName>
    <definedName name="Drill_Cedar">Decisions!$D$13</definedName>
    <definedName name="Drill_Cedar_Start">Decisions!$E$13</definedName>
    <definedName name="Drill_Dogwood">Decisions!$D$14</definedName>
    <definedName name="Drill_Dogwood_Start">Decisions!$E$14</definedName>
    <definedName name="Drill_Elm">Decisions!$D$15</definedName>
    <definedName name="Drill_Elm_Start">Decisions!$E$15</definedName>
    <definedName name="Drill_Fir">Decisions!$D$16</definedName>
    <definedName name="Drill_Fir_Start">Decisions!$E$16</definedName>
    <definedName name="Drill_Ginkgo">Decisions!$D$17</definedName>
    <definedName name="Drill_Ginkgo_Start">Decisions!$E$17</definedName>
    <definedName name="Drill_Hazel">Decisions!$D$18</definedName>
    <definedName name="Drill_Hazel_Start">Decisions!$E$18</definedName>
    <definedName name="EMV_Prospect">Prospects!$I$43:$I$50</definedName>
    <definedName name="ExpEMV_Plan">Programmes!$D$12</definedName>
    <definedName name="ExpEMV_Start">Programmes!$C$12</definedName>
    <definedName name="LnFailLocal">Prospects!$J$43:$J$50</definedName>
    <definedName name="LnNoDiscovery">Prospects!$L$43:$L$50</definedName>
    <definedName name="M0_c0_cell" hidden="1">Programmes!$D$10</definedName>
    <definedName name="M0_c0_rhsA" hidden="1">Inputs!$D$11</definedName>
    <definedName name="M0_c1_cell" hidden="1">Programmes!$D$29</definedName>
    <definedName name="M0_c1_rhsA" hidden="1">Inputs!$D$12</definedName>
    <definedName name="M0_o0_cell" hidden="1">Programmes!$D$28</definedName>
    <definedName name="M0_v0_cell" hidden="1">Decisions!$D$11</definedName>
    <definedName name="M0_v1_cell" hidden="1">Decisions!$D$12</definedName>
    <definedName name="M0_v2_cell" hidden="1">Decisions!$D$13</definedName>
    <definedName name="M0_v3_cell" hidden="1">Decisions!$D$14</definedName>
    <definedName name="M0_v4_cell" hidden="1">Decisions!$D$15</definedName>
    <definedName name="M0_v5_cell" hidden="1">Decisions!$D$16</definedName>
    <definedName name="M0_v6_cell" hidden="1">Decisions!$D$17</definedName>
    <definedName name="M0_v7_cell" hidden="1">Decisions!$D$18</definedName>
    <definedName name="MaxDryChance">Inputs!$D$12</definedName>
    <definedName name="MeanCost">Prospects!$G$43:$G$50</definedName>
    <definedName name="MeanValue_Alder">Prospects!$H$43</definedName>
    <definedName name="MeanValue_Birch">Prospects!$H$44</definedName>
    <definedName name="MeanValue_Cedar">Prospects!$H$45</definedName>
    <definedName name="MeanValue_Dogwood">Prospects!$H$46</definedName>
    <definedName name="MeanValue_Elm">Prospects!$H$47</definedName>
    <definedName name="MeanValue_Fir">Prospects!$H$48</definedName>
    <definedName name="MeanValue_Ginkgo">Prospects!$H$49</definedName>
    <definedName name="MeanValue_Hazel">Prospects!$H$50</definedName>
    <definedName name="NPV_IfDrilled">Prospects!$I$30:$I$37</definedName>
    <definedName name="OptRun_Best">Decisions!$D$36</definedName>
    <definedName name="OptRun_Date">Decisions!$D$29</definedName>
    <definedName name="OptRun_Engine">Decisions!$D$30</definedName>
    <definedName name="OptRun_Feasible">Decisions!$D$35</definedName>
    <definedName name="OptRun_Samples">Decisions!$D$32</definedName>
    <definedName name="OptRun_Seconds">Decisions!$D$33</definedName>
    <definedName name="OptRun_Stop">Decisions!$D$34</definedName>
    <definedName name="OptRun_Trials">Decisions!$D$31</definedName>
    <definedName name="Out_Disc_Plan">Programmes!$D$26</definedName>
    <definedName name="Out_Disc_Start">Programmes!$C$26</definedName>
    <definedName name="Out_Dry_Plan">Programmes!$D$29</definedName>
    <definedName name="Out_Dry_Start">Programmes!$C$29</definedName>
    <definedName name="Out_ExpCost_Plan">Programmes!$D$10</definedName>
    <definedName name="Out_ExpCost_Start">Programmes!$C$10</definedName>
    <definedName name="Out_NPV_Plan">Programmes!$D$28</definedName>
    <definedName name="Out_NPV_Start">Programmes!$C$28</definedName>
    <definedName name="PDiscovery">Prospects!$E$43:$E$50</definedName>
    <definedName name="PlayChances">Prospects!$H$22:$H$24</definedName>
    <definedName name="PlayCodes">Prospects!$B$22:$B$24</definedName>
    <definedName name="PlayWorks">Prospects!$I$22:$I$24</definedName>
    <definedName name="PNoneIndep_Plan">Programmes!$D$20</definedName>
    <definedName name="PNoneIndep_Start">Programmes!$C$20</definedName>
    <definedName name="PNoneShared_Plan">Programmes!$D$19</definedName>
    <definedName name="PNoneShared_Start">Programmes!$C$19</definedName>
    <definedName name="_xlnm.Print_Area" localSheetId="5">Results!$A$1:$R$65</definedName>
    <definedName name="_xlnm.Print_Titles" localSheetId="2">Decisions!$1:$4</definedName>
    <definedName name="_xlnm.Print_Titles" localSheetId="1">Inputs!$1:$4</definedName>
    <definedName name="_xlnm.Print_Titles" localSheetId="3">Prospects!$1:$4</definedName>
    <definedName name="_xlnm.Print_Titles" localSheetId="5">Results!$1:$4</definedName>
    <definedName name="Pros_Chance">Prospects!$E$10:$E$17</definedName>
    <definedName name="Pros_Name">Prospects!$C$10:$C$17</definedName>
    <definedName name="Pros_Play">Prospects!$D$10:$D$17</definedName>
    <definedName name="Sel_Both">Prospects!$L$10:$M$17</definedName>
    <definedName name="Sel_Plan">Prospects!$M$10:$M$17</definedName>
    <definedName name="Sel_Start">Prospects!$L$10:$L$17</definedName>
    <definedName name="SharedEffect_Plan">Programmes!$D$21</definedName>
    <definedName name="SharedEffect_Start">Programmes!$C$21</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Value_P10">Prospects!$J$10:$J$17</definedName>
    <definedName name="Value_P90">Prospects!$I$10:$I$17</definedName>
    <definedName name="WellCost">Prospects!$G$30:$G$37</definedName>
    <definedName name="Wells_Plan">Programmes!$D$9</definedName>
    <definedName name="Wells_Start">Programmes!$C$9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20" i="6" l="1"/>
  <c r="C119" i="6"/>
  <c r="C118" i="6"/>
  <c r="C117" i="6"/>
  <c r="C116" i="6"/>
  <c r="C115" i="6"/>
  <c r="C114" i="6"/>
  <c r="C113" i="6"/>
  <c r="C112" i="6"/>
  <c r="C111" i="6"/>
  <c r="C110" i="6"/>
  <c r="C109" i="6"/>
  <c r="C108" i="6"/>
  <c r="C107" i="6"/>
  <c r="C106" i="6"/>
  <c r="C105" i="6"/>
  <c r="C104" i="6"/>
  <c r="C103" i="6"/>
  <c r="C102" i="6"/>
  <c r="C101" i="6"/>
  <c r="C100" i="6"/>
  <c r="C99" i="6"/>
  <c r="C98" i="6"/>
  <c r="C97" i="6"/>
  <c r="C96" i="6"/>
  <c r="C95" i="6"/>
  <c r="C94" i="6"/>
  <c r="C93" i="6"/>
  <c r="C92" i="6"/>
  <c r="C91" i="6"/>
  <c r="C90" i="6"/>
  <c r="C89" i="6"/>
  <c r="C88" i="6"/>
  <c r="C87" i="6"/>
  <c r="C86" i="6"/>
  <c r="C85" i="6"/>
  <c r="C84" i="6"/>
  <c r="C83" i="6"/>
  <c r="C82" i="6"/>
  <c r="C81" i="6"/>
  <c r="C80" i="6"/>
  <c r="C79" i="6"/>
  <c r="C78" i="6"/>
  <c r="C77" i="6"/>
  <c r="C76" i="6"/>
  <c r="C75" i="6"/>
  <c r="C74" i="6"/>
  <c r="C73" i="6"/>
  <c r="C72" i="6"/>
  <c r="C71" i="6"/>
  <c r="E30" i="6"/>
  <c r="D30" i="6"/>
  <c r="E29" i="6"/>
  <c r="D29" i="6"/>
  <c r="E19" i="6"/>
  <c r="D19" i="6"/>
  <c r="E18" i="6"/>
  <c r="D18" i="6"/>
  <c r="E17" i="6"/>
  <c r="D17" i="6"/>
  <c r="F17" i="6" s="1"/>
  <c r="E16" i="6"/>
  <c r="D16" i="6"/>
  <c r="F16" i="6" s="1"/>
  <c r="E15" i="6"/>
  <c r="D15" i="6"/>
  <c r="E14" i="6"/>
  <c r="D14" i="6"/>
  <c r="E13" i="6"/>
  <c r="D13" i="6"/>
  <c r="E12" i="6"/>
  <c r="D12" i="6"/>
  <c r="F12" i="6" s="1"/>
  <c r="D33" i="5"/>
  <c r="J50" i="4"/>
  <c r="G50" i="4"/>
  <c r="E50" i="4"/>
  <c r="C50" i="4"/>
  <c r="J49" i="4"/>
  <c r="C17" i="5" s="1"/>
  <c r="C18" i="5" s="1"/>
  <c r="G49" i="4"/>
  <c r="C49" i="4"/>
  <c r="J48" i="4"/>
  <c r="G48" i="4"/>
  <c r="C48" i="4"/>
  <c r="J47" i="4"/>
  <c r="G47" i="4"/>
  <c r="C47" i="4"/>
  <c r="J46" i="4"/>
  <c r="C15" i="5" s="1"/>
  <c r="C16" i="5" s="1"/>
  <c r="G46" i="4"/>
  <c r="C46" i="4"/>
  <c r="J45" i="4"/>
  <c r="C13" i="5" s="1"/>
  <c r="C14" i="5" s="1"/>
  <c r="C19" i="5" s="1"/>
  <c r="G45" i="4"/>
  <c r="C45" i="4"/>
  <c r="J44" i="4"/>
  <c r="G44" i="4"/>
  <c r="C44" i="4"/>
  <c r="J43" i="4"/>
  <c r="G43" i="4"/>
  <c r="C43" i="4"/>
  <c r="C37" i="4"/>
  <c r="C36" i="4"/>
  <c r="C35" i="4"/>
  <c r="C34" i="4"/>
  <c r="C33" i="4"/>
  <c r="C32" i="4"/>
  <c r="C31" i="4"/>
  <c r="C30" i="4"/>
  <c r="H24" i="4"/>
  <c r="E49" i="4"/>
  <c r="L49" i="4" s="1"/>
  <c r="H23" i="4"/>
  <c r="E46" i="4"/>
  <c r="L46" i="4" s="1"/>
  <c r="H22" i="4"/>
  <c r="E44" i="4" s="1"/>
  <c r="M17" i="4"/>
  <c r="L17" i="4"/>
  <c r="M16" i="4"/>
  <c r="D17" i="5" s="1"/>
  <c r="D18" i="5" s="1"/>
  <c r="L16" i="4"/>
  <c r="M15" i="4"/>
  <c r="L15" i="4"/>
  <c r="M14" i="4"/>
  <c r="L14" i="4"/>
  <c r="M13" i="4"/>
  <c r="D15" i="5" s="1"/>
  <c r="D16" i="5" s="1"/>
  <c r="L13" i="4"/>
  <c r="M12" i="4"/>
  <c r="L12" i="4"/>
  <c r="M11" i="4"/>
  <c r="L11" i="4"/>
  <c r="M10" i="4"/>
  <c r="D10" i="5" s="1" a="1"/>
  <c r="D10" i="5" s="1"/>
  <c r="L10" i="4"/>
  <c r="D34" i="5" s="1"/>
  <c r="C10" i="5" a="1"/>
  <c r="C10" i="5" s="1"/>
  <c r="C11" i="5" s="1"/>
  <c r="G25" i="3"/>
  <c r="G24" i="3"/>
  <c r="F14" i="6"/>
  <c r="F18" i="6"/>
  <c r="L50" i="4"/>
  <c r="E45" i="4"/>
  <c r="L45" i="4" s="1"/>
  <c r="C9" i="5"/>
  <c r="F13" i="6"/>
  <c r="E48" i="4"/>
  <c r="L48" i="4" s="1"/>
  <c r="E47" i="4"/>
  <c r="L47" i="4" s="1"/>
  <c r="E35" i="4" a="1"/>
  <c r="H30" i="4" a="1"/>
  <c r="I23" i="4" a="1"/>
  <c r="H32" i="4" a="1"/>
  <c r="G35" i="4" a="1"/>
  <c r="H47" i="4" a="1"/>
  <c r="H48" i="4" a="1"/>
  <c r="G36" i="4" a="1"/>
  <c r="I22" i="4" a="1"/>
  <c r="H33" i="4" a="1"/>
  <c r="E37" i="4" a="1"/>
  <c r="H35" i="4" a="1"/>
  <c r="E30" i="4" a="1"/>
  <c r="H46" i="4" a="1"/>
  <c r="H45" i="4" a="1"/>
  <c r="H44" i="4" a="1"/>
  <c r="G32" i="4" a="1"/>
  <c r="G34" i="4" a="1"/>
  <c r="E33" i="4" a="1"/>
  <c r="E34" i="4" a="1"/>
  <c r="H50" i="4" a="1"/>
  <c r="E31" i="4" a="1"/>
  <c r="H31" i="4" a="1"/>
  <c r="G30" i="4" a="1"/>
  <c r="G31" i="4" a="1"/>
  <c r="I24" i="4" a="1"/>
  <c r="H49" i="4" a="1"/>
  <c r="H36" i="4" a="1"/>
  <c r="E36" i="4" a="1"/>
  <c r="H43" i="4" a="1"/>
  <c r="G37" i="4" a="1"/>
  <c r="H37" i="4" a="1"/>
  <c r="H34" i="4" a="1"/>
  <c r="G33" i="4" a="1"/>
  <c r="E32" i="4" a="1"/>
  <c r="D11" i="5" l="1"/>
  <c r="E23" i="6"/>
  <c r="E37" i="6"/>
  <c r="B7" i="6"/>
  <c r="D23" i="6"/>
  <c r="D13" i="5"/>
  <c r="D14" i="5" s="1"/>
  <c r="D19" i="5" s="1"/>
  <c r="F19" i="6"/>
  <c r="F15" i="6"/>
  <c r="D9" i="5"/>
  <c r="D35" i="5" s="1"/>
  <c r="E32" i="4"/>
  <c r="G33" i="4"/>
  <c r="H34" i="4"/>
  <c r="H37" i="4"/>
  <c r="G37" i="4"/>
  <c r="H43" i="4"/>
  <c r="E36" i="4"/>
  <c r="H36" i="4"/>
  <c r="H49" i="4"/>
  <c r="I49" i="4" s="1"/>
  <c r="I24" i="4"/>
  <c r="G31" i="4"/>
  <c r="G30" i="4"/>
  <c r="H31" i="4"/>
  <c r="E31" i="4"/>
  <c r="H50" i="4"/>
  <c r="I50" i="4" s="1"/>
  <c r="E34" i="4"/>
  <c r="E33" i="4"/>
  <c r="G34" i="4"/>
  <c r="G32" i="4"/>
  <c r="H44" i="4"/>
  <c r="H45" i="4"/>
  <c r="I45" i="4" s="1"/>
  <c r="H46" i="4"/>
  <c r="I46" i="4" s="1"/>
  <c r="E30" i="4"/>
  <c r="H35" i="4"/>
  <c r="E37" i="4"/>
  <c r="H33" i="4"/>
  <c r="I22" i="4"/>
  <c r="G36" i="4"/>
  <c r="H48" i="4"/>
  <c r="I48" i="4" s="1"/>
  <c r="H47" i="4"/>
  <c r="I47" i="4" s="1"/>
  <c r="G35" i="4"/>
  <c r="H32" i="4"/>
  <c r="I23" i="4"/>
  <c r="H30" i="4"/>
  <c r="E35" i="4"/>
  <c r="L44" i="4"/>
  <c r="I44" i="4"/>
  <c r="E43" i="4"/>
  <c r="E38" i="6" l="1"/>
  <c r="F23" i="6"/>
  <c r="C27" i="5"/>
  <c r="D27" i="5"/>
  <c r="L43" i="4"/>
  <c r="I43" i="4"/>
  <c r="D32" i="4"/>
  <c r="F32" i="4" s="1"/>
  <c r="I32" i="4" s="1"/>
  <c r="D30" i="4"/>
  <c r="F30" i="4" s="1"/>
  <c r="D31" i="4"/>
  <c r="F31" i="4" s="1"/>
  <c r="I31" i="4" s="1"/>
  <c r="D36" i="4"/>
  <c r="F36" i="4" s="1"/>
  <c r="I36" i="4" s="1"/>
  <c r="D37" i="4"/>
  <c r="F37" i="4" s="1"/>
  <c r="I37" i="4" s="1"/>
  <c r="D34" i="4"/>
  <c r="F34" i="4" s="1"/>
  <c r="I34" i="4" s="1"/>
  <c r="D33" i="4"/>
  <c r="F33" i="4" s="1"/>
  <c r="I33" i="4" s="1"/>
  <c r="D35" i="4"/>
  <c r="F35" i="4" s="1"/>
  <c r="I35" i="4" s="1"/>
  <c r="D12" i="5" l="1"/>
  <c r="C12" i="5"/>
  <c r="C20" i="5"/>
  <c r="D20" i="5"/>
  <c r="I30" i="4"/>
  <c r="C26" i="5" a="1"/>
  <c r="C26" i="5" s="1"/>
  <c r="D26" i="5" a="1"/>
  <c r="D26" i="5" s="1"/>
  <c r="D28" i="6" a="1"/>
  <c r="E28" i="6" a="1"/>
  <c r="F38" i="6" l="1"/>
  <c r="D21" i="5"/>
  <c r="G38" i="6" s="1"/>
  <c r="F37" i="6"/>
  <c r="C21" i="5"/>
  <c r="G37" i="6" s="1"/>
  <c r="E28" i="6"/>
  <c r="D28" i="6"/>
  <c r="D29" i="5" a="1"/>
  <c r="D29" i="5" s="1"/>
  <c r="C29" i="5" a="1"/>
  <c r="C29" i="5" s="1"/>
  <c r="D28" i="5" a="1"/>
  <c r="D28" i="5" s="1"/>
  <c r="C28" i="5" a="1"/>
  <c r="C28" i="5" s="1"/>
  <c r="D24" i="6" a="1"/>
  <c r="D37" i="6" a="1"/>
  <c r="D38" i="6" a="1"/>
  <c r="E24" i="6" a="1"/>
  <c r="E88" i="6" a="1"/>
  <c r="E118" i="6" a="1"/>
  <c r="E83" i="6" a="1"/>
  <c r="E93" i="6" a="1"/>
  <c r="E22" i="6" a="1"/>
  <c r="E114" i="6" a="1"/>
  <c r="E79" i="6" a="1"/>
  <c r="E112" i="6" a="1"/>
  <c r="E96" i="6" a="1"/>
  <c r="E71" i="6" a="1"/>
  <c r="E104" i="6" a="1"/>
  <c r="E103" i="6" a="1"/>
  <c r="E102" i="6" a="1"/>
  <c r="E99" i="6" a="1"/>
  <c r="E116" i="6" a="1"/>
  <c r="E81" i="6" a="1"/>
  <c r="E82" i="6" a="1"/>
  <c r="B6" i="6" a="1"/>
  <c r="D122" i="6" a="1"/>
  <c r="E77" i="6" a="1"/>
  <c r="E110" i="6" a="1"/>
  <c r="E94" i="6" a="1"/>
  <c r="E78" i="6" a="1"/>
  <c r="E105" i="6" a="1"/>
  <c r="E115" i="6" a="1"/>
  <c r="B44" i="6" a="1"/>
  <c r="E107" i="6" a="1"/>
  <c r="E72" i="6" a="1"/>
  <c r="E101" i="6" a="1"/>
  <c r="E86" i="6" a="1"/>
  <c r="E100" i="6" a="1"/>
  <c r="E85" i="6" a="1"/>
  <c r="E91" i="6" a="1"/>
  <c r="E119" i="6" a="1"/>
  <c r="E87" i="6" a="1"/>
  <c r="E111" i="6" a="1"/>
  <c r="E27" i="6" a="1"/>
  <c r="E73" i="6" a="1"/>
  <c r="E108" i="6" a="1"/>
  <c r="E92" i="6" a="1"/>
  <c r="E76" i="6" a="1"/>
  <c r="E97" i="6" a="1"/>
  <c r="E113" i="6" a="1"/>
  <c r="E120" i="6" a="1"/>
  <c r="E89" i="6" a="1"/>
  <c r="E25" i="6" a="1"/>
  <c r="E84" i="6" a="1"/>
  <c r="E98" i="6" a="1"/>
  <c r="E75" i="6" a="1"/>
  <c r="E80" i="6" a="1"/>
  <c r="E117" i="6" a="1"/>
  <c r="E26" i="6" a="1"/>
  <c r="E106" i="6" a="1"/>
  <c r="E90" i="6" a="1"/>
  <c r="E74" i="6" a="1"/>
  <c r="E95" i="6" a="1"/>
  <c r="E109" i="6" a="1"/>
  <c r="D113" i="6" a="1"/>
  <c r="D27" i="6" a="1"/>
  <c r="D79" i="6" a="1"/>
  <c r="D25" i="6" a="1"/>
  <c r="D93" i="6" a="1"/>
  <c r="D98" i="6" a="1"/>
  <c r="D112" i="6" a="1"/>
  <c r="D105" i="6" a="1"/>
  <c r="D89" i="6" a="1"/>
  <c r="D73" i="6" a="1"/>
  <c r="D110" i="6" a="1"/>
  <c r="D94" i="6" a="1"/>
  <c r="D78" i="6" a="1"/>
  <c r="D118" i="6" a="1"/>
  <c r="D116" i="6" a="1"/>
  <c r="D77" i="6" a="1"/>
  <c r="D82" i="6" a="1"/>
  <c r="D107" i="6" a="1"/>
  <c r="D80" i="6" a="1"/>
  <c r="D119" i="6" a="1"/>
  <c r="D103" i="6" a="1"/>
  <c r="D87" i="6" a="1"/>
  <c r="D71" i="6" a="1"/>
  <c r="D108" i="6" a="1"/>
  <c r="D92" i="6" a="1"/>
  <c r="D76" i="6" a="1"/>
  <c r="D97" i="6" a="1"/>
  <c r="D102" i="6" a="1"/>
  <c r="D111" i="6" a="1"/>
  <c r="D100" i="6" a="1"/>
  <c r="D114" i="6" a="1"/>
  <c r="D91" i="6" a="1"/>
  <c r="D96" i="6" a="1"/>
  <c r="D117" i="6" a="1"/>
  <c r="D101" i="6" a="1"/>
  <c r="D85" i="6" a="1"/>
  <c r="D26" i="6" a="1"/>
  <c r="D106" i="6" a="1"/>
  <c r="D90" i="6" a="1"/>
  <c r="D74" i="6" a="1"/>
  <c r="D81" i="6" a="1"/>
  <c r="D86" i="6" a="1"/>
  <c r="D95" i="6" a="1"/>
  <c r="D84" i="6" a="1"/>
  <c r="D109" i="6" a="1"/>
  <c r="D22" i="6" a="1"/>
  <c r="D75" i="6" a="1"/>
  <c r="D115" i="6" a="1"/>
  <c r="D99" i="6" a="1"/>
  <c r="D83" i="6" a="1"/>
  <c r="D120" i="6" a="1"/>
  <c r="D104" i="6" a="1"/>
  <c r="D88" i="6" a="1"/>
  <c r="D72" i="6" a="1"/>
  <c r="D72" i="6" l="1"/>
  <c r="D88" i="6"/>
  <c r="D104" i="6"/>
  <c r="D120" i="6"/>
  <c r="D83" i="6"/>
  <c r="D99" i="6"/>
  <c r="D115" i="6"/>
  <c r="D75" i="6"/>
  <c r="D22" i="6"/>
  <c r="D109" i="6"/>
  <c r="D84" i="6"/>
  <c r="D95" i="6"/>
  <c r="D86" i="6"/>
  <c r="D81" i="6"/>
  <c r="D74" i="6"/>
  <c r="D90" i="6"/>
  <c r="D106" i="6"/>
  <c r="D26" i="6"/>
  <c r="D85" i="6"/>
  <c r="D101" i="6"/>
  <c r="D117" i="6"/>
  <c r="D96" i="6"/>
  <c r="D91" i="6"/>
  <c r="D114" i="6"/>
  <c r="D100" i="6"/>
  <c r="D111" i="6"/>
  <c r="D102" i="6"/>
  <c r="D97" i="6"/>
  <c r="D76" i="6"/>
  <c r="D92" i="6"/>
  <c r="D108" i="6"/>
  <c r="D71" i="6"/>
  <c r="D87" i="6"/>
  <c r="D103" i="6"/>
  <c r="D119" i="6"/>
  <c r="D80" i="6"/>
  <c r="D107" i="6"/>
  <c r="D82" i="6"/>
  <c r="D77" i="6"/>
  <c r="D116" i="6"/>
  <c r="D118" i="6"/>
  <c r="D78" i="6"/>
  <c r="D94" i="6"/>
  <c r="D110" i="6"/>
  <c r="D73" i="6"/>
  <c r="D89" i="6"/>
  <c r="D105" i="6"/>
  <c r="D112" i="6"/>
  <c r="D98" i="6"/>
  <c r="D93" i="6"/>
  <c r="D25" i="6"/>
  <c r="D79" i="6"/>
  <c r="D27" i="6"/>
  <c r="D113" i="6"/>
  <c r="E109" i="6"/>
  <c r="E95" i="6"/>
  <c r="E74" i="6"/>
  <c r="E90" i="6"/>
  <c r="E106" i="6"/>
  <c r="E26" i="6"/>
  <c r="E117" i="6"/>
  <c r="E80" i="6"/>
  <c r="E75" i="6"/>
  <c r="E98" i="6"/>
  <c r="E84" i="6"/>
  <c r="E25" i="6"/>
  <c r="E89" i="6"/>
  <c r="E120" i="6"/>
  <c r="E113" i="6"/>
  <c r="E97" i="6"/>
  <c r="E76" i="6"/>
  <c r="E92" i="6"/>
  <c r="E108" i="6"/>
  <c r="E73" i="6"/>
  <c r="E27" i="6"/>
  <c r="E111" i="6"/>
  <c r="E87" i="6"/>
  <c r="E119" i="6"/>
  <c r="E91" i="6"/>
  <c r="E85" i="6"/>
  <c r="E100" i="6"/>
  <c r="E86" i="6"/>
  <c r="E101" i="6"/>
  <c r="E72" i="6"/>
  <c r="E107" i="6"/>
  <c r="D54" i="6"/>
  <c r="F134" i="6" s="1"/>
  <c r="C50" i="6"/>
  <c r="B50" i="6"/>
  <c r="B130" i="6" s="1"/>
  <c r="E51" i="6"/>
  <c r="B51" i="6"/>
  <c r="B131" i="6" s="1"/>
  <c r="E50" i="6"/>
  <c r="D45" i="6"/>
  <c r="B54" i="6"/>
  <c r="B134" i="6" s="1"/>
  <c r="B44" i="6"/>
  <c r="B124" i="6" s="1"/>
  <c r="D53" i="6"/>
  <c r="C49" i="6"/>
  <c r="G129" i="6" s="1"/>
  <c r="D44" i="6"/>
  <c r="C47" i="6"/>
  <c r="C52" i="6"/>
  <c r="E53" i="6"/>
  <c r="D47" i="6"/>
  <c r="F127" i="6" s="1"/>
  <c r="B53" i="6"/>
  <c r="B133" i="6" s="1"/>
  <c r="D52" i="6"/>
  <c r="C48" i="6"/>
  <c r="G128" i="6" s="1"/>
  <c r="E49" i="6"/>
  <c r="E48" i="6"/>
  <c r="C55" i="6"/>
  <c r="B47" i="6"/>
  <c r="B127" i="6" s="1"/>
  <c r="D46" i="6"/>
  <c r="F126" i="6" s="1"/>
  <c r="B45" i="6"/>
  <c r="B125" i="6" s="1"/>
  <c r="D51" i="6"/>
  <c r="C54" i="6"/>
  <c r="G134" i="6" s="1"/>
  <c r="D49" i="6"/>
  <c r="D50" i="6"/>
  <c r="C46" i="6"/>
  <c r="B48" i="6"/>
  <c r="B128" i="6" s="1"/>
  <c r="E47" i="6"/>
  <c r="B49" i="6"/>
  <c r="B129" i="6" s="1"/>
  <c r="E46" i="6"/>
  <c r="C53" i="6"/>
  <c r="G133" i="6" s="1"/>
  <c r="B52" i="6"/>
  <c r="B132" i="6" s="1"/>
  <c r="B55" i="6"/>
  <c r="B135" i="6" s="1"/>
  <c r="C45" i="6"/>
  <c r="E52" i="6"/>
  <c r="D48" i="6"/>
  <c r="F128" i="6" s="1"/>
  <c r="C44" i="6"/>
  <c r="G124" i="6" s="1"/>
  <c r="E45" i="6"/>
  <c r="D55" i="6"/>
  <c r="F135" i="6" s="1"/>
  <c r="C51" i="6"/>
  <c r="E44" i="6"/>
  <c r="B46" i="6"/>
  <c r="B126" i="6" s="1"/>
  <c r="E55" i="6"/>
  <c r="E54" i="6"/>
  <c r="E115" i="6"/>
  <c r="E105" i="6"/>
  <c r="E78" i="6"/>
  <c r="E94" i="6"/>
  <c r="E110" i="6"/>
  <c r="E77" i="6"/>
  <c r="D122" i="6"/>
  <c r="B6" i="6"/>
  <c r="E82" i="6"/>
  <c r="E81" i="6"/>
  <c r="E116" i="6"/>
  <c r="E99" i="6"/>
  <c r="E102" i="6"/>
  <c r="E103" i="6"/>
  <c r="E104" i="6"/>
  <c r="E71" i="6"/>
  <c r="E96" i="6"/>
  <c r="E112" i="6"/>
  <c r="E79" i="6"/>
  <c r="E114" i="6"/>
  <c r="E22" i="6"/>
  <c r="F22" i="6" s="1"/>
  <c r="G22" i="6" s="1"/>
  <c r="E93" i="6"/>
  <c r="E83" i="6"/>
  <c r="E118" i="6"/>
  <c r="E88" i="6"/>
  <c r="E24" i="6"/>
  <c r="F24" i="6" s="1"/>
  <c r="G24" i="6" s="1"/>
  <c r="D38" i="6"/>
  <c r="D37" i="6"/>
  <c r="D24" i="6"/>
  <c r="F28" i="6"/>
  <c r="G28" i="6" s="1"/>
  <c r="F26" i="6" l="1"/>
  <c r="G26" i="6" s="1"/>
  <c r="F131" i="6"/>
  <c r="F132" i="6"/>
  <c r="F133" i="6"/>
  <c r="G130" i="6"/>
  <c r="F25" i="6"/>
  <c r="G25" i="6" s="1"/>
  <c r="F130" i="6"/>
  <c r="F125" i="6"/>
  <c r="G125" i="6"/>
  <c r="G126" i="6"/>
  <c r="G135" i="6"/>
  <c r="G132" i="6"/>
  <c r="F27" i="6"/>
  <c r="G27" i="6" s="1"/>
  <c r="G127" i="6"/>
  <c r="G131" i="6"/>
  <c r="F129" i="6"/>
  <c r="F124" i="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<sst xmlns="http://schemas.openxmlformats.org/spreadsheetml/2006/main" count="470" uniqueCount="362">
  <si>
    <t>Exploration Portfolio Chosen by the Optimizer</t>
  </si>
  <si>
    <t>ModelRisk example  ·  Oil and gas  ·  OG-11</t>
  </si>
  <si>
    <t>Which wells should we drill next year?  The programme with the highest expected value within the budget and the risk limit, chosen by the Optimizer.</t>
  </si>
  <si>
    <t>Next:  Inputs  ▸</t>
  </si>
  <si>
    <t>Model card</t>
  </si>
  <si>
    <t>Industry</t>
  </si>
  <si>
    <t>Oil and gas</t>
  </si>
  <si>
    <t>Difficulty</t>
  </si>
  <si>
    <t>★★★★★   Shared play risk across eight prospects; the drilling programme chosen by the ModelRisk Optimizer from 256 possible programmes, for the highest EMV within a budget and a limit on the chance of a dry year.</t>
  </si>
  <si>
    <t>Business question</t>
  </si>
  <si>
    <t>With a budget of US$270 million and eight drill-ready prospects in three plays, which wells give the highest expected value while keeping the chance of finding nothing at 20% or less — and how much better is that than the balanced programme chosen from four candidates?</t>
  </si>
  <si>
    <t>Who it is for</t>
  </si>
  <si>
    <t>Exploration managers, portfolio and planning teams, and geoscientists who risk prospects.</t>
  </si>
  <si>
    <t>Main outputs</t>
  </si>
  <si>
    <t>The Optimizer's drilling programme against a starting plan (OG-06's Balanced programme, the one it recommends) · for both: the expected value (EMV), the expected cost, the chance of finding nothing, the chance of losing money and the range of programme NPV · the chance of a dry year with and without shared play risk · what drives the value of the plan in use.</t>
  </si>
  <si>
    <t>ModelRisk techniques</t>
  </si>
  <si>
    <t>The ModelRisk Optimizer: eight yes/no decisions, the mean programme NPV maximised, a limit on a value (the expected cost) and a probability limit (the chance of a dry year) · shared play risk through one Bernoulli trial per play and one per prospect · PERT well costs and Lognormal values from P90 and P10 · both programmes on the same simulated outcomes.</t>
  </si>
  <si>
    <t>File</t>
  </si>
  <si>
    <t>OG-11 Exploration portfolio chosen by the Optimizer  ·  Version 1.0  ·  October 2026  ·  built with ModelRisk 10</t>
  </si>
  <si>
    <t>The business question</t>
  </si>
  <si>
    <t>The exploration team has eight drill-ready prospects in three plays and US$270 million for next year's wells. Prospects in a play share its risk: if the play fails, all of them are dry. OG-06 compared four programmes and recommended the balanced one. Here the ModelRisk Optimizer searches all 256 combinations of wells for the highest expected value that fits the budget with at most a 20% chance of finding nothing.</t>
  </si>
  <si>
    <t>How the model works</t>
  </si>
  <si>
    <t>Five sheets after this one, read from left to right. Each one feeds the next.</t>
  </si>
  <si>
    <t>1  Inputs</t>
  </si>
  <si>
    <t>The exploration budget, the largest acceptable chance that the programme finds nothing, and for each play the chance that it works at all.</t>
  </si>
  <si>
    <t>2  Decisions</t>
  </si>
  <si>
    <t>Eight yes/no cells, one per prospect: 1 drills it. The Optimizer changes them; beside them is the starting plan, OG-06's Balanced programme. Below are the goal (the highest mean programme NPV) and the limits (the expected cost within the budget, the chance of finding nothing at most the limit).</t>
  </si>
  <si>
    <t>3  Prospects</t>
  </si>
  <si>
    <t>Each prospect's chance of success if its play works, its well cost (PERT) and its value if it finds oil (Lognormal from P90 and P10). In every iteration one Bernoulli trial per play decides whether the play works and one per prospect the local outcome; a prospect is a discovery only if both succeed.</t>
  </si>
  <si>
    <t>4  Programmes</t>
  </si>
  <si>
    <t>For both plans: the expected cost, the expected value and the chance of finding nothing, calculated exactly; and for this iteration the discoveries, the programme NPV and whether it finds nothing, on the same simulated outcomes.</t>
  </si>
  <si>
    <t>5  Results</t>
  </si>
  <si>
    <t>Both plans side by side: EMV, expected cost, the chance of finding nothing and of losing money, the range of NPV; the chance of a dry year with and without shared play risk; what drives the plan's value.</t>
  </si>
  <si>
    <t>How to use it</t>
  </si>
  <si>
    <t>Step 1</t>
  </si>
  <si>
    <t>Review the plays and set the budget and the acceptable chance of finding nothing on the Inputs sheet; the prospects are on the Prospects sheet.</t>
  </si>
  <si>
    <t>Step 2</t>
  </si>
  <si>
    <t>On the ModelRisk ribbon, open the Optimizer: the task is saved in this workbook. Press Start. When it finishes, apply the best solution: the 1s and 0s on the Decisions sheet change.</t>
  </si>
  <si>
    <t>Step 3</t>
  </si>
  <si>
    <t>Run a simulation from the ModelRisk ribbon (10,000 samples with a fixed seed are set) to compare the new programme with the starting plan on the Results sheet.</t>
  </si>
  <si>
    <t>Step 4</t>
  </si>
  <si>
    <t>To watch the search from the beginning, copy the starting plan onto the plan in use first.</t>
  </si>
  <si>
    <t>Workbook map</t>
  </si>
  <si>
    <t>Inputs</t>
  </si>
  <si>
    <t>Budget, the risk limit, and the chance that each play works.</t>
  </si>
  <si>
    <t>Decisions</t>
  </si>
  <si>
    <t>The plan in use, the starting plan, the goal and limits, and the Optimizer's last run.</t>
  </si>
  <si>
    <t>Prospects</t>
  </si>
  <si>
    <t>The prospect inventory and which plan drills each; this iteration's outcome per prospect; exact expected values.</t>
  </si>
  <si>
    <t>Programmes</t>
  </si>
  <si>
    <t>Both plans' cost, expected value and chance of finding nothing; this iteration's discoveries and NPV; checks.</t>
  </si>
  <si>
    <t>Results</t>
  </si>
  <si>
    <t>The plan in use against the starting plan; shared play risk and a dry year; value drivers.</t>
  </si>
  <si>
    <t>Colour key</t>
  </si>
  <si>
    <t>Input</t>
  </si>
  <si>
    <t>An assumption you may change. Only these cells are inputs.</t>
  </si>
  <si>
    <t>Uncertain variable</t>
  </si>
  <si>
    <t>A ModelRisk distribution: a new random value is drawn at every recalculation (F9) and every simulation sample.</t>
  </si>
  <si>
    <t>Decision</t>
  </si>
  <si>
    <t>A cell the ModelRisk Optimizer changes: it tries values within the bounds and keeps the best plan found.</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</si>
  <si>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</si>
  <si>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</si>
  <si>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</si>
  <si>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</si>
  <si>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</si>
  <si>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</si>
  <si>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</si>
  <si>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Money</t>
  </si>
  <si>
    <t>US$ million (US$m), present values at the time of the drilling decision.</t>
  </si>
  <si>
    <t>Value if discovered</t>
  </si>
  <si>
    <t>NPV of developing a discovery, after development costs and tax, before the cost of the exploration well.</t>
  </si>
  <si>
    <t>P90 / P10</t>
  </si>
  <si>
    <t>Petroleum convention for prospect values: P90 is the low estimate (90% chance of being exceeded), P10 the high one.</t>
  </si>
  <si>
    <t>EMV</t>
  </si>
  <si>
    <t>Expected monetary value: the average programme NPV over all simulated outcomes, dry holes included.</t>
  </si>
  <si>
    <t>Drill</t>
  </si>
  <si>
    <t>1 drills the prospect next year, 0 leaves it for later.</t>
  </si>
  <si>
    <t>Key assumptions and limitations</t>
  </si>
  <si>
    <t>Dependence</t>
  </si>
  <si>
    <t>Prospects in the same play share the play's risk; once the play works, their local risks are independent. The plays are independent of each other.</t>
  </si>
  <si>
    <t>Values</t>
  </si>
  <si>
    <t>A discovery's value does not depend on other discoveries: no shared facilities and no capacity limits.</t>
  </si>
  <si>
    <t>Budget</t>
  </si>
  <si>
    <t>As in OG-06, the budget limits the expected cost of the wells drilled (the sum of their mean costs); in a given year the wells may cost more or less.</t>
  </si>
  <si>
    <t>Optimizer</t>
  </si>
  <si>
    <t>Each programme the Optimizer tries is judged on the same 10,000 simulated outcomes (common random numbers, seed 1) as the simulation on the Results sheet, so programmes are compared fairly and the limits met in the run hold on the Results sheet too.</t>
  </si>
  <si>
    <t>Data</t>
  </si>
  <si>
    <t>Prospects, chances and values are invented for this example.</t>
  </si>
  <si>
    <t>ModelRisk functions used</t>
  </si>
  <si>
    <t>ModelRisk Optimizer</t>
  </si>
  <si>
    <t>Chooses the wells: the highest mean programme NPV, with the expected cost within the budget and the chance of finding nothing at most the limit.</t>
  </si>
  <si>
    <t>VoseBernoulli</t>
  </si>
  <si>
    <t>Whether each play works and whether each prospect succeeds locally: one trial per play and one per prospect.</t>
  </si>
  <si>
    <t>VosePERT, VoseLognormalAlt</t>
  </si>
  <si>
    <t>Well cost from low, most likely and high; value if discovered from its P90 and P10. VoseMean of the Lognormal gives the mean value for the exact EMV.</t>
  </si>
  <si>
    <t>VoseSimMean, VoseSimProbability, VoseSimPercentile</t>
  </si>
  <si>
    <t>EMV, chances and percentiles of both plans on the Results sheet.</t>
  </si>
  <si>
    <t>VoseSimSensitivityMean</t>
  </si>
  <si>
    <t>The tornado chart: the inputs that move the mean NPV of the plan in use most.</t>
  </si>
  <si>
    <t>Further reading</t>
  </si>
  <si>
    <t>Prospect risking</t>
  </si>
  <si>
    <t>Rose, P. R. (2001). Risk Analysis and Management of Petroleum Exploration Ventures. AAPG Methods in Exploration 12.</t>
  </si>
  <si>
    <t>Companion model</t>
  </si>
  <si>
    <t>OG-06 Exploration portfolio with shared play risk: the same prospects, with four drilling programmes compared side by side.</t>
  </si>
  <si>
    <t>© 2026 Vose Software   ·   www.vosesoftware.com   ·   An illustrative example: the figures are invented for teaching and do not describe a real company, project or asset.</t>
  </si>
  <si>
    <t>INPUTS   ·   The budget, the risk limit and the plays. The prospects are on the Prospects sheet, the wells drilled on the Decisions sheet. Change only the yellow cells.</t>
  </si>
  <si>
    <t>◂  About</t>
  </si>
  <si>
    <t>Next:  Decisions  ▸</t>
  </si>
  <si>
    <t>How to read this sheet:  yellow cells are inputs.</t>
  </si>
  <si>
    <t>1   Budget and risk appetite</t>
  </si>
  <si>
    <t>The limits the Optimizer must respect.</t>
  </si>
  <si>
    <t>Assumption</t>
  </si>
  <si>
    <t>Unit</t>
  </si>
  <si>
    <t>Value in model</t>
  </si>
  <si>
    <t>Uncertainty</t>
  </si>
  <si>
    <t>Basis / source (illustrative)</t>
  </si>
  <si>
    <t>Exploration budget</t>
  </si>
  <si>
    <t>US$m</t>
  </si>
  <si>
    <t>Fixed</t>
  </si>
  <si>
    <t>The expected cost of the wells drilled may not exceed this.</t>
  </si>
  <si>
    <t>Largest acceptable chance of finding nothing</t>
  </si>
  <si>
    <t>probability</t>
  </si>
  <si>
    <t>The chance that the whole programme finds nothing may not exceed this.</t>
  </si>
  <si>
    <t>2   Plays</t>
  </si>
  <si>
    <t>The chance that each play works at all: source rock charge, regional reservoir and seal. Shared by every prospect in the play.</t>
  </si>
  <si>
    <t>Chance that play A works</t>
  </si>
  <si>
    <t>Upper Jurassic sandstones  (proven). Six discoveries in the play to date: the play works; the risk left is local.</t>
  </si>
  <si>
    <t>Chance that play B works</t>
  </si>
  <si>
    <t>Lower Cretaceous turbidites  (emerging). One discovery so far; whether the reservoir extends away from it is uncertain.</t>
  </si>
  <si>
    <t>Chance that play C works</t>
  </si>
  <si>
    <t>Pre-salt carbonates  (frontier). No wells yet; charge and seal inferred from analogues on the conjugate margin.</t>
  </si>
  <si>
    <t>DECISIONS   ·   The cells the ModelRisk Optimizer changes, the plan they are compared with, and what the Optimizer is asked to do.</t>
  </si>
  <si>
    <t>◂  Inputs</t>
  </si>
  <si>
    <t>Next:  Prospects  ▸</t>
  </si>
  <si>
    <t>How to read this sheet:  the blue cells are the plan in use — the cells the Optimizer changes. The yellow Starting plan is the plan it is compared with on the Results sheet; Lowest and Highest bound the search.  To watch the Optimizer search from the starting plan, copy the Starting plan column onto Plan in use (Paste Values), then ModelRisk ▸ Optimizer ▸ Start.</t>
  </si>
  <si>
    <t>1   The drilling programme</t>
  </si>
  <si>
    <t>A 1 drills the prospect next year, a 0 leaves it for later. The starting plan is OG-06's Balanced programme, the one it recommends.</t>
  </si>
  <si>
    <t>Plan in use</t>
  </si>
  <si>
    <t>Starting plan</t>
  </si>
  <si>
    <t>Lowest</t>
  </si>
  <si>
    <t>Highest</t>
  </si>
  <si>
    <t>Kind</t>
  </si>
  <si>
    <t>Notes</t>
  </si>
  <si>
    <t>Drill Alder  (play A, proven)</t>
  </si>
  <si>
    <t>1 = drill</t>
  </si>
  <si>
    <t>Yes (1) / no (0)</t>
  </si>
  <si>
    <t>Four-way dip closure next to the 2019 discovery</t>
  </si>
  <si>
    <t>Drill Birch  (play A, proven)</t>
  </si>
  <si>
    <t>Fault-bounded trap; seal across the fault is the local risk</t>
  </si>
  <si>
    <t>Drill Cedar  (play A, proven)</t>
  </si>
  <si>
    <t>Stratigraphic pinch-out; trap definition is the local risk</t>
  </si>
  <si>
    <t>Drill Dogwood  (play B, emerging)</t>
  </si>
  <si>
    <t>Channel complex mapped on new 3D seismic</t>
  </si>
  <si>
    <t>Drill Elm  (play B, emerging)</t>
  </si>
  <si>
    <t>Lobe system down-dip of the play-opening discovery</t>
  </si>
  <si>
    <t>Drill Fir  (play B, emerging)</t>
  </si>
  <si>
    <t>Largest closure in the play; deeper, so reservoir quality is a risk</t>
  </si>
  <si>
    <t>Drill Ginkgo  (play C, frontier)</t>
  </si>
  <si>
    <t>Carbonate build-up below the salt; the play test</t>
  </si>
  <si>
    <t>Drill Hazel  (play C, frontier)</t>
  </si>
  <si>
    <t>Second build-up, 20 km from Ginkgo; larger but deeper</t>
  </si>
  <si>
    <t>2   Goal and limits</t>
  </si>
  <si>
    <t>What the Optimizer is asked to do. It judges every plan it tries by these statistics of a simulation of that plan.</t>
  </si>
  <si>
    <t>Statistic</t>
  </si>
  <si>
    <t>Limit</t>
  </si>
  <si>
    <t>Output cell</t>
  </si>
  <si>
    <t>Maximise:  Programme NPV of the plan in use</t>
  </si>
  <si>
    <t>the mean</t>
  </si>
  <si>
    <t>Programmes!D28</t>
  </si>
  <si>
    <t>Keep:  Expected cost of the wells  at most</t>
  </si>
  <si>
    <t>the value  ·  the input Exploration budget</t>
  </si>
  <si>
    <t>Programmes!D10</t>
  </si>
  <si>
    <t>Keep:  Chance of finding nothing  at most</t>
  </si>
  <si>
    <t>the chance of a dry year  ·  the input Largest acceptable chance</t>
  </si>
  <si>
    <t>Programmes!D29</t>
  </si>
  <si>
    <t>3   The Optimizer's run</t>
  </si>
  <si>
    <t>Recorded when this workbook was built: the run that chose the plan in use. A run of your own shows its results in the Optimizer window instead.</t>
  </si>
  <si>
    <t>Run on</t>
  </si>
  <si>
    <t>Method the Optimizer chose</t>
  </si>
  <si>
    <t>Plans tried  (one simulation each)</t>
  </si>
  <si>
    <t>Samples in each trial</t>
  </si>
  <si>
    <t>Run time, seconds</t>
  </si>
  <si>
    <t>Why it stopped</t>
  </si>
  <si>
    <t>Every limit met by the best plan</t>
  </si>
  <si>
    <t>Goal at the best plan, during the run</t>
  </si>
  <si>
    <t>PROSPECTS   ·   Eight drill-ready prospects, which plan drills them, and what happens to each in this iteration.</t>
  </si>
  <si>
    <t>◂  Decisions</t>
  </si>
  <si>
    <t>Next:  Programmes  ▸</t>
  </si>
  <si>
    <t>1   Prospect inventory</t>
  </si>
  <si>
    <t>Yellow cells are inputs. The Drilled columns come from the Decisions sheet: 1 means the plan drills the prospect.</t>
  </si>
  <si>
    <t>No.</t>
  </si>
  <si>
    <t>Prospect</t>
  </si>
  <si>
    <t>Play</t>
  </si>
  <si>
    <t>Chance of success</t>
  </si>
  <si>
    <t>Well cost  (US$m)</t>
  </si>
  <si>
    <t>Value if discovered  (US$m)</t>
  </si>
  <si>
    <t>Drilled</t>
  </si>
  <si>
    <t>Note</t>
  </si>
  <si>
    <t>if the play works</t>
  </si>
  <si>
    <t>Low</t>
  </si>
  <si>
    <t>Most likely</t>
  </si>
  <si>
    <t>High</t>
  </si>
  <si>
    <t>P90 (low)</t>
  </si>
  <si>
    <t>P10 (high)</t>
  </si>
  <si>
    <t>Start</t>
  </si>
  <si>
    <t>In use</t>
  </si>
  <si>
    <t>Alder</t>
  </si>
  <si>
    <t>A</t>
  </si>
  <si>
    <t>Birch</t>
  </si>
  <si>
    <t>Cedar</t>
  </si>
  <si>
    <t>Dogwood</t>
  </si>
  <si>
    <t>B</t>
  </si>
  <si>
    <t>Elm</t>
  </si>
  <si>
    <t>Fir</t>
  </si>
  <si>
    <t>Ginkgo</t>
  </si>
  <si>
    <t>C</t>
  </si>
  <si>
    <t>Hazel</t>
  </si>
  <si>
    <t>2   The plays in this iteration</t>
  </si>
  <si>
    <t>One Bernoulli trial per play: if a play fails, every prospect in it is dry.</t>
  </si>
  <si>
    <t>Description</t>
  </si>
  <si>
    <t>Chance</t>
  </si>
  <si>
    <t>Works?</t>
  </si>
  <si>
    <t>How it is calculated</t>
  </si>
  <si>
    <t>Upper Jurassic sandstones  (proven)</t>
  </si>
  <si>
    <t>VoseBernoulli(Chance_PlayA): 1 if the play works in this iteration</t>
  </si>
  <si>
    <t>Lower Cretaceous turbidites  (emerging)</t>
  </si>
  <si>
    <t>VoseBernoulli(Chance_PlayB): 1 if the play works in this iteration</t>
  </si>
  <si>
    <t>Pre-salt carbonates  (frontier)</t>
  </si>
  <si>
    <t>VoseBernoulli(Chance_PlayC): 1 if the play works in this iteration</t>
  </si>
  <si>
    <t>3   Each prospect in this iteration</t>
  </si>
  <si>
    <t>A discovery needs both its play and the prospect itself to succeed. Money in US$m; costs are paid either way.</t>
  </si>
  <si>
    <t>Discovery</t>
  </si>
  <si>
    <t>Well cost</t>
  </si>
  <si>
    <t>Value if</t>
  </si>
  <si>
    <t>NPV if</t>
  </si>
  <si>
    <t>works?</t>
  </si>
  <si>
    <t>succeeds?</t>
  </si>
  <si>
    <t>1 = yes</t>
  </si>
  <si>
    <t>discovered</t>
  </si>
  <si>
    <t>drilled</t>
  </si>
  <si>
    <t>Discovery = play works × prospect succeeds;  NPV if drilled = discovery × value − well cost</t>
  </si>
  <si>
    <t>4   Expected values, calculated exactly</t>
  </si>
  <si>
    <t>What the simulation should reproduce on average: a check, and a quick ranking of the prospects.</t>
  </si>
  <si>
    <t>Chance of</t>
  </si>
  <si>
    <t>Mean</t>
  </si>
  <si>
    <t>Mean value</t>
  </si>
  <si>
    <t>EMV of</t>
  </si>
  <si>
    <t>ln(chance it</t>
  </si>
  <si>
    <t>ln(chance</t>
  </si>
  <si>
    <t>discovery</t>
  </si>
  <si>
    <t>well cost</t>
  </si>
  <si>
    <t>if discovered</t>
  </si>
  <si>
    <t>drilling</t>
  </si>
  <si>
    <t>fails locally)</t>
  </si>
  <si>
    <t>of none)</t>
  </si>
  <si>
    <t>Chance of discovery = chance the play works × chance of success</t>
  </si>
  <si>
    <t>Mean well cost = the PERT's mean, (low + 4 × most likely + high) ÷ 6</t>
  </si>
  <si>
    <t>Mean value: VoseMean of the Lognormal with this P90 and P10</t>
  </si>
  <si>
    <t>EMV = chance of discovery × mean value − mean well cost</t>
  </si>
  <si>
    <t>Logs turn a product of chances into a sum that SUMIFS can add up</t>
  </si>
  <si>
    <t>ln(chance it fails locally) = LN(1 − chance of success)</t>
  </si>
  <si>
    <t>ln(chance of none) = LN(1 − chance of discovery)</t>
  </si>
  <si>
    <t>PROGRAMMES   ·   The starting plan and the plan in use: what each costs and is worth, and what it finds in this iteration.</t>
  </si>
  <si>
    <t>◂  Prospects</t>
  </si>
  <si>
    <t>Next:  Results  ▸</t>
  </si>
  <si>
    <t>1   What each plan costs and is worth</t>
  </si>
  <si>
    <t>Calculated exactly from the inputs: no simulation needed.</t>
  </si>
  <si>
    <t>Wells drilled</t>
  </si>
  <si>
    <t>Number of prospects the plan drills.</t>
  </si>
  <si>
    <t>Expected cost of the wells</t>
  </si>
  <si>
    <t>Sum of the mean well costs, to US$0.01m: the figure the budget limits.</t>
  </si>
  <si>
    <t>Within the budget?</t>
  </si>
  <si>
    <t>Expected cost against the budget on the Inputs sheet.</t>
  </si>
  <si>
    <t>Expected value, EMV</t>
  </si>
  <si>
    <t>Sum of the prospects' EMVs: expected values add up whatever the dependence.</t>
  </si>
  <si>
    <t>Play A: every prospect drilled in it fails locally</t>
  </si>
  <si>
    <t>The product of their chances of failing locally: EXP of the sum of the logs.</t>
  </si>
  <si>
    <t>Play A: finds nothing</t>
  </si>
  <si>
    <t>The play fails, or it works and every drilled prospect in it fails locally.</t>
  </si>
  <si>
    <t>Play B: every prospect drilled in it fails locally</t>
  </si>
  <si>
    <t>Play B: finds nothing</t>
  </si>
  <si>
    <t>Play C: every prospect drilled in it fails locally</t>
  </si>
  <si>
    <t>Play C: finds nothing</t>
  </si>
  <si>
    <t>Chance of finding nothing, with shared play risk</t>
  </si>
  <si>
    <t>The three plays are independent: multiply their chances of finding nothing.</t>
  </si>
  <si>
    <t>Chance of finding nothing, if prospects were independent</t>
  </si>
  <si>
    <t>The usual shortcut: multiply each drilled prospect's chance of no discovery.</t>
  </si>
  <si>
    <t>Shared play risk adds</t>
  </si>
  <si>
    <t>Percentage points of dry-year risk that the shortcut misses.</t>
  </si>
  <si>
    <t>2   This iteration</t>
  </si>
  <si>
    <t>Both plans are evaluated on the same simulated outcomes of the prospects.</t>
  </si>
  <si>
    <t>Discoveries</t>
  </si>
  <si>
    <t>Wells that find oil.</t>
  </si>
  <si>
    <t>Cost of the wells</t>
  </si>
  <si>
    <t>Paid whatever the wells find.</t>
  </si>
  <si>
    <t>Programme NPV</t>
  </si>
  <si>
    <t>Discoveries' value minus the cost of all the wells; its mean is the EMV the Optimizer maximises.</t>
  </si>
  <si>
    <t>Finds nothing  (1 = yes)</t>
  </si>
  <si>
    <t>Its mean is the chance of a dry year, which the Optimizer keeps within the limit.</t>
  </si>
  <si>
    <t>3   Model checks</t>
  </si>
  <si>
    <t>Should all read OK. A CHECK means an input has been set outside the range the model is built for.</t>
  </si>
  <si>
    <t>Every prospect's play is A, B or C</t>
  </si>
  <si>
    <t>The drill cells of both plans hold only 1 or 0</t>
  </si>
  <si>
    <t>Both plans drill at least one well</t>
  </si>
  <si>
    <t>RESULTS   ·   Filled in automatically from the last simulation. Run a simulation after changing any input.</t>
  </si>
  <si>
    <t>◂  Programmes</t>
  </si>
  <si>
    <t>1   The plan in use against the starting plan</t>
  </si>
  <si>
    <t>Programme NPV — cumulative probability</t>
  </si>
  <si>
    <t>The two drilling programmes, and how each performs on the same simulated outcomes.</t>
  </si>
  <si>
    <t>Change</t>
  </si>
  <si>
    <t>Measure</t>
  </si>
  <si>
    <t>Chance of finding nothing</t>
  </si>
  <si>
    <t>chance</t>
  </si>
  <si>
    <t>Chance of losing money</t>
  </si>
  <si>
    <t>Programme NPV, 10th percentile</t>
  </si>
  <si>
    <t>Programme NPV, 90th percentile</t>
  </si>
  <si>
    <t>Discoveries, mean</t>
  </si>
  <si>
    <t>wells</t>
  </si>
  <si>
    <t>Losing money: a programme NPV of zero or less. Expected cost: the sum of the mean well costs.</t>
  </si>
  <si>
    <t>2   Shared play risk and the chance of a dry year</t>
  </si>
  <si>
    <t>Simulated, calculated exactly, and as the independent shortcut would have it.</t>
  </si>
  <si>
    <t>Plan</t>
  </si>
  <si>
    <t>Simulated</t>
  </si>
  <si>
    <t>Exact</t>
  </si>
  <si>
    <t>Shortcut</t>
  </si>
  <si>
    <t>Understated</t>
  </si>
  <si>
    <t>shared risk</t>
  </si>
  <si>
    <t>if independent</t>
  </si>
  <si>
    <t>by, points</t>
  </si>
  <si>
    <t>The simulated and exact chances agree to within the precision of 10,000 samples (about ±1 point).</t>
  </si>
  <si>
    <t>3   What drives the value of the plan in use</t>
  </si>
  <si>
    <t>What drives the value of the plan in use  (US$m)</t>
  </si>
  <si>
    <t>Lowest and highest mean programme NPV over ten equal groups of each input (VoseSimSensitivityMean), drawn from the overall mean.</t>
  </si>
  <si>
    <t>Input (ranked by influence)</t>
  </si>
  <si>
    <t>Lowest mean</t>
  </si>
  <si>
    <t>Highest mean</t>
  </si>
  <si>
    <t>Rank</t>
  </si>
  <si>
    <t>4   How to read these results</t>
  </si>
  <si>
    <t>•  The starting plan, OG-06's Balanced programme, meets both limits with room to spare: its wells are expected to cost about US$246m, and it finds nothing in about one year in six.</t>
  </si>
  <si>
    <t>•  The Optimizer drops play B and drills both frontier prospects with all three in the proven play. The EMV rises by about US$10m, almost a fifth, for about US$17m more in expected well costs; the chance of a dry year barely changes and stays under 20%.</t>
  </si>
  <si>
    <t>•  Birch is worth about nothing on its own, yet it earns its place: play A almost always works, so a third well there makes a dry year less likely. Without the risk limit, Alder, Dogwood, Ginkgo and Hazel would give a higher EMV but find nothing in more than one year in four.</t>
  </si>
  <si>
    <t>•  The best few programmes lie within a few million dollars of EMV of each other, about the precision of 10,000 samples of so uncertain an NPV: a different seed may rank them differently. All of them meet both limits.</t>
  </si>
  <si>
    <t>•  The Optimizer was not asked about losing money. The plan in use loses money more often, in about two years in three against about one in two, for a much higher upside. Add a limit on the chance of losing money if that matters.</t>
  </si>
  <si>
    <t>•  Ignoring shared play risk would not change the choice at a 20% limit, but it understates the plan's chance of a dry year by about 3 points. At a 17% limit it would: the shortcut would keep this programme, which in fact breaks that limit.</t>
  </si>
  <si>
    <t>Chart data</t>
  </si>
  <si>
    <t>Statistics of the last simulation behind the charts and the ranking above. Grouped: click + in the left margin to show them.</t>
  </si>
  <si>
    <t>Cumulative probability</t>
  </si>
  <si>
    <t>Exceedance</t>
  </si>
  <si>
    <t>Out_NPV_Start</t>
  </si>
  <si>
    <t>Out_NPV_Plan</t>
  </si>
  <si>
    <t>Overall mean of Out_NPV_Plan</t>
  </si>
  <si>
    <t>Ranked input (chart)</t>
  </si>
  <si>
    <t>Highest − mean</t>
  </si>
  <si>
    <t>Lowest − mean</t>
  </si>
  <si>
    <t>MROPTREPO/2.0</t>
  </si>
  <si>
    <t>{"format_version":"1.0","model":"Exploration portfolio: which prospects to drill","settings":{"engineKind":0,"optimizationType":0,"useTurboSimulation":true,"gaPopulation":0,"gaProbCrossover":0.8,"gaProbMutation":0.1,"gaSelection":0,"gaTournamentSize":3,"gaElitism":2,"cmaSigma":0.3,"cmaPopulation":0,"cmaUseIPOP":true,"cmaPolishDampStart":0.7,"cmaPolishDampGrowth":0.15,"nelderMeadTol":1e-06,"nelderMeadInitStep":0.05,"bfgsGradH":1e-06,"bfgsStepConvergence":true,"brentTol":1e-13,"projGradConvergenceTol":0.0001,"projGradConvergenceWindow":5,"useCRN":true,"crnSeed":1,"useRandomSeed":false,"useFixedTwister":false,"finalFullMcConfirm":false,"gaProjectLinearConstraints":false,"pathfinderRobust":false,"pathfinderSurrogate":true,"pathfinderGradient":true,"pathfinderCheapExplore":false,"pathfinderFeasGate":true,"pathfinderLeanDescent":true,"pathfinderSoftConstraint":false,"adaptScheme":2,"repMin":200,"repMax":5000,"repFinalTopN":5,"varianceTrancheEpsPct":0.02,"varianceTrancheThreshold":0.8,"varianceTrancheMinK":5,"preFlightEnabled":true,"deterministicSamples":1,"samplingType":3,"userSamples":10000,"conDefType":0,"conDefPenaltyKind":0,"conDefWeight":1.0,"conDefEvalTime":0,"conDefPrecision":0.0,"macroAtOptStart":"","macroBeforeTrial":"","macroAfterTrial":"","macroAtOptEnd":"","useMacroAtOptStart":false,"useMacroBeforeTrial":false,"useMacroAfterTrial":false,"useMacroAtOptEnd":false},"stop":{"maxIterations":400,"maxTimeSeconds":900.0,"parameterTolerance":1.0,"toleranceUnit":1,"stagnationTrials":150,"stagnationDeviation":1e-06,"stagnationUnit":0,"stopOnError":false,"stopFormulaEnabled":false,"stopFormulaRef":""},"adj":{"variables":[{"cell":{"sheet":"Decisions","row":10,"col":3},"type":3,"min":0.0,"max":1.0,"groupIndex":-1,"label":"Drill Alder  (play A, proven)","discreteSet":[]},{"cell":{"sheet":"Decisions","row":11,"col":3},"type":3,"min":0.0,"max":1.0,"groupIndex":-1,"label":"Drill Birch  (play A, proven)","discreteSet":[]},{"cell":{"sheet":"Decisions","row":12,"col":3},"type":3,"min":0.0,"max":1.0,"groupIndex":-1,"label":"Drill Cedar  (play A, proven)","discreteSet":[]},{"cell":{"sheet":"Decisions","row":13,"col":3},"type":3,"min":0.0,"max":1.0,"groupIndex":-1,"label":"Drill Dogwood  (play B, emerging)","discreteSet":[]},{"cell":{"sheet":"Decisions","row":14,"col":3},"type":3,"min":0.0,"max":1.0,"groupIndex":-1,"label":"Drill Elm  (play B, emerging)","discreteSet":[]},{"cell":{"sheet":"Decisions","row":15,"col":3},"type":3,"min":0.0,"max":1.0,"groupIndex":-1,"label":"Drill Fir  (play B, emerging)","discreteSet":[]},{"cell":{"sheet":"Decisions","row":16,"col":3},"type":3,"min":0.0,"max":1.0,"groupIndex":-1,"label":"Drill Ginkgo  (play C, frontier)","discreteSet":[]},{"cell":{"sheet":"Decisions","row":17,"col":3},"type":3,"min":0.0,"max":1.0,"groupIndex":-1,"label":"Drill Hazel  (play C, frontier)","discreteSet":[]}],"groups":[]},"objectives":[{"name":"Programme NPV of the plan in use","cell":{"sheet":"Programmes","row":27,"col":3},"stat":{"kind":0,"param1":0.0,"param2":0.0},"mode":0,"targetValue":0.0}],"constraints":[{"name":"Expected cost of the wells","cell":{"sheet":"Programmes","row":9,"col":3},"type":0,"softWeight":1.0,"penaltyKind":0,"sixSigma":0,"precision":0.0,"stat":{"kind":22,"param1":0.0,"param2":0.0},"op":0,"rhsA":270.0,"rhsB":0.0,"formulaCellRef":"","evalTime":2,"rhsACell":{"sheet":"Inputs","row":10,"col":3}},{"name":"Chance of finding nothing","cell":{"sheet":"Programmes","row":28,"col":3},"type":0,"softWeight":1.0,"penaltyKind":0,"sixSigma":0,"precision":0.0,"stat":{"kind":23,"param1":0.5,"param2":0.0},"op":0,"rhsA":0.2,"rhsB":0.0,"formulaCellRef":"","evalTime":2,"rhsACell":{"sheet":"Inputs","row":11,"col":3}}],"frontier":{"sweptIndex":-1,"lo":0.0,"hi":0.0,"nPoints":5}}</t>
  </si>
  <si>
    <t>Base scenario</t>
  </si>
  <si>
    <t>trial budget used</t>
  </si>
  <si>
    <t>Yes</t>
  </si>
  <si>
    <t>Vertex Detector</t>
  </si>
  <si>
    <t>2026-10-13</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</si>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</sst>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0_);\(#,##0.0\);&quot;–&quot;_)"/>
    <numFmt numFmtId="165" formatCode="#,##0.0"/>
    <numFmt numFmtId="166" formatCode="#,##0_);\(#,##0\);&quot;–&quot;_)"/>
    <numFmt numFmtId="167" formatCode="0.0%"/>
    <numFmt numFmtId="168" formatCode="0.000"/>
    <numFmt numFmtId="169" formatCode="\+0.0%;\-0.0%;0.0%"/>
    <numFmt numFmtId="170" formatCode="0;\-0;0;&quot;–&quot;"/>
    <numFmt numFmtId="171" formatCode="&quot;drill&quot;;;&quot;–&quot;"/>
    <numFmt numFmtId="172" formatCode="&quot;added&quot;;&quot;dropped&quot;;&quot;–&quot;"/>
    <numFmt numFmtId="173" formatCode="#,##0.0_);\(#,##0.0\);&quot;–&quot;_);&quot;–&quot;"/>
    <numFmt numFmtId="174" formatCode="0.0%;\-0.0%;0.0%;&quot;–&quot;"/>
    <numFmt numFmtId="175" formatCode="#,##0.00_);\(#,##0.00\);&quot;–&quot;_);&quot;–&quot;"/>
  </numFmts>
  <fonts count="24" x14ac:knownFonts="1">
    <font>
      <sz val="11"/>
      <color theme="1"/>
      <name val="Calibri"/>
      <family val="2"/>
      <scheme val="minor"/>
    </font>
    <font>
      <sz val="10"/>
      <color rgb="FF0E4F92"/>
      <name val="Calibri"/>
      <family val="2"/>
      <charset val="204"/>
    </font>
    <font>
      <sz val="10"/>
      <color rgb="FF9A3412"/>
      <name val="Calibri"/>
      <family val="2"/>
      <charset val="204"/>
    </font>
    <font>
      <sz val="10"/>
      <color rgb="FF0F2A47"/>
      <name val="Calibri"/>
      <family val="2"/>
      <charset val="204"/>
    </font>
    <font>
      <b/>
      <sz val="10"/>
      <color rgb="FF14532D"/>
      <name val="Calibri"/>
      <family val="2"/>
      <charset val="204"/>
    </font>
    <font>
      <b/>
      <sz val="10"/>
      <color rgb="FF0E4F92"/>
      <name val="Calibri"/>
      <family val="2"/>
      <charset val="204"/>
    </font>
    <font>
      <b/>
      <sz val="16"/>
      <color rgb="FFFFFFFF"/>
      <name val="Calibri"/>
      <family val="2"/>
      <charset val="204"/>
    </font>
    <font>
      <sz val="10"/>
      <color rgb="FFD6E2F0"/>
      <name val="Calibri"/>
      <family val="2"/>
      <charset val="204"/>
    </font>
    <font>
      <sz val="9"/>
      <color rgb="FFD6E2F0"/>
      <name val="Calibri"/>
      <family val="2"/>
      <charset val="204"/>
    </font>
    <font>
      <u/>
      <sz val="9"/>
      <color rgb="FF0E4F92"/>
      <name val="Calibri"/>
      <family val="2"/>
      <charset val="204"/>
    </font>
    <font>
      <b/>
      <sz val="20"/>
      <color rgb="FFFFFFFF"/>
      <name val="Calibri"/>
      <family val="2"/>
      <charset val="204"/>
    </font>
    <font>
      <b/>
      <sz val="12"/>
      <color rgb="FF0E4F92"/>
      <name val="Calibri"/>
      <family val="2"/>
      <charset val="204"/>
    </font>
    <font>
      <b/>
      <sz val="10"/>
      <color rgb="FF3F5876"/>
      <name val="Calibri"/>
      <family val="2"/>
      <charset val="204"/>
    </font>
    <font>
      <b/>
      <sz val="10"/>
      <color rgb="FF0F2A47"/>
      <name val="Calibri"/>
      <family val="2"/>
      <charset val="204"/>
    </font>
    <font>
      <i/>
      <sz val="9"/>
      <color rgb="FF3F5876"/>
      <name val="Calibri"/>
      <family val="2"/>
      <charset val="204"/>
    </font>
    <font>
      <u/>
      <sz val="10"/>
      <color rgb="FF0E4F92"/>
      <name val="Calibri"/>
      <family val="2"/>
      <charset val="204"/>
    </font>
    <font>
      <i/>
      <sz val="9"/>
      <color rgb="FF8AA0BA"/>
      <name val="Calibri"/>
      <family val="2"/>
      <charset val="204"/>
    </font>
    <font>
      <b/>
      <sz val="9"/>
      <color rgb="FF3F5876"/>
      <name val="Calibri"/>
      <family val="2"/>
      <charset val="204"/>
    </font>
    <font>
      <sz val="9"/>
      <color rgb="FF3F5876"/>
      <name val="Calibri"/>
      <family val="2"/>
      <charset val="204"/>
    </font>
    <font>
      <sz val="8"/>
      <color rgb="FF3F5876"/>
      <name val="Calibri"/>
      <family val="2"/>
      <charset val="204"/>
    </font>
    <font>
      <b/>
      <sz val="10"/>
      <color rgb="FF15803D"/>
      <name val="Calibri"/>
      <family val="2"/>
      <charset val="204"/>
    </font>
    <font>
      <b/>
      <sz val="9"/>
      <color rgb="FF15803D"/>
      <name val="Calibri"/>
      <family val="2"/>
      <charset val="204"/>
    </font>
    <font>
      <sz val="10"/>
      <color rgb="FF3F5876"/>
      <name val="Calibri"/>
      <family val="2"/>
      <charset val="204"/>
    </font>
    <font>
      <b/>
      <sz val="11"/>
      <color rgb="FF0E4F92"/>
      <name val="Calibri"/>
      <family val="2"/>
      <charset val="204"/>
    </font>
  </fonts>
  <fills count="9">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DBEAFE"/>
        <bgColor rgb="FFDBEAFE"/>
      </patternFill>
    </fill>
    <fill>
      <patternFill patternType="solid">
        <fgColor rgb="FF0E4F92"/>
        <bgColor rgb="FF0E4F92"/>
      </patternFill>
    </fill>
    <fill>
      <patternFill patternType="solid">
        <fgColor rgb="FFEEF1F5"/>
        <bgColor rgb="FFEEF1F5"/>
      </patternFill>
    </fill>
  </fills>
  <borders count="13">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style="thin">
        <color rgb="FF0E4F92"/>
      </left>
      <right style="thin">
        <color rgb="FF0E4F92"/>
      </right>
      <top style="thin">
        <color rgb="FF0E4F92"/>
      </top>
      <bottom style="thin">
        <color rgb="FF0E4F92"/>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style="thin">
        <color rgb="FF0E4F92"/>
      </left>
      <right style="thin">
        <color rgb="FF0E4F92"/>
      </right>
      <top style="thin">
        <color rgb="FF0E4F92"/>
      </top>
      <bottom style="thin">
        <color rgb="FFE4E9F0"/>
      </bottom>
      <diagonal/>
    </border>
    <border>
      <left/>
      <right/>
      <top/>
      <bottom style="thin">
        <color rgb="FFE4E9F0"/>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s>
  <cellStyleXfs count="7">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xf numFmtId="0" fontId="5" fillId="6" borderId="4">
      <alignment horizontal="right" vertical="center"/>
    </xf>
  </cellStyleXfs>
  <cellXfs count="97">
    <xf numFmtId="0" fontId="0" fillId="0" borderId="0" xfId="0"/>
    <xf numFmtId="0" fontId="0" fillId="7" borderId="0" xfId="0" applyFill="1"/>
    <xf numFmtId="0" fontId="10" fillId="7" borderId="0" xfId="0" applyFont="1" applyFill="1" applyAlignment="1">
      <alignment vertical="center"/>
    </xf>
    <xf numFmtId="0" fontId="8" fillId="7" borderId="0" xfId="0" applyFont="1" applyFill="1" applyAlignment="1">
      <alignment horizontal="right" vertical="center"/>
    </xf>
    <xf numFmtId="0" fontId="7" fillId="7" borderId="0" xfId="0" applyFont="1" applyFill="1" applyAlignment="1">
      <alignment vertical="center"/>
    </xf>
    <xf numFmtId="0" fontId="0" fillId="8" borderId="5" xfId="0" applyFill="1" applyBorder="1"/>
    <xf numFmtId="0" fontId="9" fillId="8" borderId="5" xfId="0" applyFont="1" applyFill="1" applyBorder="1" applyAlignment="1">
      <alignment horizontal="right" vertical="center"/>
    </xf>
    <xf numFmtId="0" fontId="11" fillId="0" borderId="6" xfId="0" applyFont="1" applyBorder="1"/>
    <xf numFmtId="0" fontId="0" fillId="0" borderId="6" xfId="0" applyBorder="1"/>
    <xf numFmtId="0" fontId="12" fillId="0" borderId="7" xfId="0" applyFont="1" applyBorder="1" applyAlignment="1">
      <alignment horizontal="left" vertical="top" indent="1"/>
    </xf>
    <xf numFmtId="0" fontId="3" fillId="0" borderId="7" xfId="0" applyFont="1" applyBorder="1" applyAlignment="1">
      <alignment horizontal="left" vertical="top" wrapText="1" indent="1"/>
    </xf>
    <xf numFmtId="0" fontId="13" fillId="0" borderId="7" xfId="0" applyFont="1" applyBorder="1" applyAlignment="1">
      <alignment horizontal="left" vertical="top" wrapText="1" indent="1"/>
    </xf>
    <xf numFmtId="0" fontId="3" fillId="0" borderId="0" xfId="0" applyFont="1" applyAlignment="1">
      <alignment horizontal="left" vertical="top" wrapText="1" indent="1"/>
    </xf>
    <xf numFmtId="0" fontId="14" fillId="0" borderId="0" xfId="0" applyFont="1" applyAlignment="1">
      <alignment vertical="center"/>
    </xf>
    <xf numFmtId="0" fontId="15" fillId="0" borderId="7"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5" fillId="6" borderId="4" xfId="6"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5" fillId="0" borderId="7" xfId="0" applyFont="1" applyBorder="1" applyAlignment="1">
      <alignment horizontal="left" vertical="top" wrapText="1" indent="1"/>
    </xf>
    <xf numFmtId="0" fontId="6" fillId="7" borderId="0" xfId="0" applyFont="1" applyFill="1" applyAlignment="1">
      <alignment vertical="center"/>
    </xf>
    <xf numFmtId="0" fontId="9" fillId="8" borderId="5" xfId="0" applyFont="1" applyFill="1" applyBorder="1" applyAlignment="1">
      <alignment vertical="center"/>
    </xf>
    <xf numFmtId="0" fontId="17" fillId="8" borderId="5" xfId="0" applyFont="1" applyFill="1" applyBorder="1" applyAlignment="1">
      <alignment horizontal="left" vertical="center" wrapText="1" indent="1"/>
    </xf>
    <xf numFmtId="0" fontId="17" fillId="8" borderId="5" xfId="0" applyFont="1" applyFill="1" applyBorder="1" applyAlignment="1">
      <alignment horizontal="right" vertical="center" wrapText="1"/>
    </xf>
    <xf numFmtId="0" fontId="3" fillId="0" borderId="7" xfId="0" applyFont="1" applyBorder="1" applyAlignment="1">
      <alignment horizontal="left" vertical="center" indent="1"/>
    </xf>
    <xf numFmtId="0" fontId="18" fillId="0" borderId="7" xfId="0" applyFont="1" applyBorder="1" applyAlignment="1">
      <alignment horizontal="left" vertical="center" indent="1"/>
    </xf>
    <xf numFmtId="164" fontId="1" fillId="2" borderId="8" xfId="1" applyNumberFormat="1" applyBorder="1">
      <alignment horizontal="right" vertical="center"/>
    </xf>
    <xf numFmtId="0" fontId="0" fillId="0" borderId="7" xfId="0" applyBorder="1"/>
    <xf numFmtId="0" fontId="18" fillId="0" borderId="7" xfId="0" applyFont="1" applyBorder="1" applyAlignment="1">
      <alignment horizontal="left" vertical="center" wrapText="1" indent="1"/>
    </xf>
    <xf numFmtId="9" fontId="1" fillId="2" borderId="8" xfId="1" applyNumberFormat="1" applyBorder="1">
      <alignment horizontal="right" vertical="center"/>
    </xf>
    <xf numFmtId="0" fontId="17" fillId="8" borderId="5" xfId="0" applyFont="1" applyFill="1" applyBorder="1" applyAlignment="1">
      <alignment horizontal="left" vertical="center" indent="1"/>
    </xf>
    <xf numFmtId="0" fontId="17" fillId="8" borderId="5" xfId="0" applyFont="1" applyFill="1" applyBorder="1" applyAlignment="1">
      <alignment horizontal="right" vertical="center"/>
    </xf>
    <xf numFmtId="1" fontId="5" fillId="6" borderId="9" xfId="6" applyNumberFormat="1" applyBorder="1">
      <alignment horizontal="right" vertical="center"/>
    </xf>
    <xf numFmtId="1" fontId="1" fillId="2" borderId="8" xfId="1" applyNumberFormat="1" applyBorder="1">
      <alignment horizontal="right" vertical="center"/>
    </xf>
    <xf numFmtId="1" fontId="3" fillId="0" borderId="10" xfId="3" applyNumberFormat="1" applyBorder="1">
      <alignment horizontal="right" vertical="center"/>
    </xf>
    <xf numFmtId="0" fontId="13" fillId="0" borderId="7" xfId="0" applyFont="1" applyBorder="1" applyAlignment="1">
      <alignment horizontal="left" vertical="center" indent="1"/>
    </xf>
    <xf numFmtId="164" fontId="3" fillId="0" borderId="10" xfId="3" applyNumberFormat="1" applyBorder="1">
      <alignment horizontal="right" vertical="center"/>
    </xf>
    <xf numFmtId="9" fontId="3" fillId="0" borderId="10" xfId="3" applyNumberFormat="1" applyBorder="1">
      <alignment horizontal="right" vertical="center"/>
    </xf>
    <xf numFmtId="0" fontId="3" fillId="0" borderId="10" xfId="3" applyBorder="1">
      <alignment horizontal="right" vertical="center"/>
    </xf>
    <xf numFmtId="3" fontId="3" fillId="0" borderId="10" xfId="3" applyNumberFormat="1" applyBorder="1">
      <alignment horizontal="right" vertical="center"/>
    </xf>
    <xf numFmtId="165" fontId="3" fillId="0" borderId="10" xfId="3" applyNumberFormat="1" applyBorder="1">
      <alignment horizontal="right" vertical="center"/>
    </xf>
    <xf numFmtId="4" fontId="3" fillId="0" borderId="10" xfId="3" applyNumberFormat="1" applyBorder="1">
      <alignment horizontal="right" vertical="center"/>
    </xf>
    <xf numFmtId="0" fontId="17" fillId="8" borderId="2" xfId="0" applyFont="1" applyFill="1" applyBorder="1" applyAlignment="1">
      <alignment horizontal="right" vertical="center"/>
    </xf>
    <xf numFmtId="0" fontId="17" fillId="8" borderId="2" xfId="0" applyFont="1" applyFill="1" applyBorder="1" applyAlignment="1">
      <alignment horizontal="left" vertical="center" indent="1"/>
    </xf>
    <xf numFmtId="0" fontId="17" fillId="8" borderId="2" xfId="0" applyFont="1" applyFill="1" applyBorder="1" applyAlignment="1">
      <alignment horizontal="center" vertical="center"/>
    </xf>
    <xf numFmtId="0" fontId="0" fillId="8" borderId="2" xfId="0" applyFill="1" applyBorder="1"/>
    <xf numFmtId="0" fontId="19" fillId="8" borderId="5" xfId="0" applyFont="1" applyFill="1" applyBorder="1" applyAlignment="1">
      <alignment horizontal="right" vertical="center"/>
    </xf>
    <xf numFmtId="0" fontId="19" fillId="8" borderId="5" xfId="0" applyFont="1" applyFill="1" applyBorder="1" applyAlignment="1">
      <alignment horizontal="center" vertical="center"/>
    </xf>
    <xf numFmtId="0" fontId="1" fillId="2" borderId="8" xfId="1" applyBorder="1" applyAlignment="1">
      <alignment horizontal="center" vertical="center"/>
    </xf>
    <xf numFmtId="166" fontId="1" fillId="2" borderId="8" xfId="1" applyNumberFormat="1" applyBorder="1">
      <alignment horizontal="right" vertical="center"/>
    </xf>
    <xf numFmtId="1" fontId="3" fillId="0" borderId="10" xfId="3" applyNumberFormat="1" applyBorder="1" applyAlignment="1">
      <alignment horizontal="center" vertical="center"/>
    </xf>
    <xf numFmtId="0" fontId="17" fillId="8" borderId="5" xfId="0" applyFont="1" applyFill="1" applyBorder="1" applyAlignment="1">
      <alignment horizontal="center" vertical="center"/>
    </xf>
    <xf numFmtId="0" fontId="3" fillId="0" borderId="10" xfId="3" applyBorder="1" applyAlignment="1">
      <alignment horizontal="center" vertical="center"/>
    </xf>
    <xf numFmtId="1" fontId="2" fillId="3" borderId="8" xfId="2" applyNumberFormat="1" applyBorder="1">
      <alignment horizontal="right" vertical="center"/>
    </xf>
    <xf numFmtId="164" fontId="2" fillId="3" borderId="8" xfId="2" applyNumberFormat="1" applyBorder="1">
      <alignment horizontal="right" vertical="center"/>
    </xf>
    <xf numFmtId="167" fontId="3" fillId="0" borderId="10" xfId="3" applyNumberFormat="1" applyBorder="1">
      <alignment horizontal="right" vertical="center"/>
    </xf>
    <xf numFmtId="168" fontId="3" fillId="0" borderId="10" xfId="3" applyNumberFormat="1" applyBorder="1">
      <alignment horizontal="right" vertical="center"/>
    </xf>
    <xf numFmtId="164" fontId="4" fillId="4" borderId="11" xfId="4" applyNumberFormat="1" applyBorder="1">
      <alignment horizontal="right" vertical="center"/>
    </xf>
    <xf numFmtId="169" fontId="3" fillId="0" borderId="10" xfId="3" applyNumberFormat="1" applyBorder="1">
      <alignment horizontal="right" vertical="center"/>
    </xf>
    <xf numFmtId="1" fontId="4" fillId="4" borderId="11" xfId="4" applyNumberFormat="1" applyBorder="1">
      <alignment horizontal="right" vertical="center"/>
    </xf>
    <xf numFmtId="0" fontId="20" fillId="0" borderId="7" xfId="0" applyFont="1" applyBorder="1" applyAlignment="1">
      <alignment horizontal="center" vertical="center"/>
    </xf>
    <xf numFmtId="0" fontId="5" fillId="5" borderId="12" xfId="0" applyFont="1" applyFill="1" applyBorder="1" applyAlignment="1">
      <alignment horizontal="left" vertical="center" indent="1"/>
    </xf>
    <xf numFmtId="0" fontId="0" fillId="5" borderId="12" xfId="0" applyFill="1" applyBorder="1"/>
    <xf numFmtId="0" fontId="18" fillId="0" borderId="0" xfId="0" applyFont="1" applyAlignment="1">
      <alignment horizontal="left" vertical="center" indent="1"/>
    </xf>
    <xf numFmtId="0" fontId="23" fillId="0" borderId="6" xfId="0" applyFont="1" applyBorder="1"/>
    <xf numFmtId="171" fontId="3" fillId="0" borderId="10" xfId="3" applyNumberFormat="1" applyBorder="1">
      <alignment horizontal="right" vertical="center"/>
    </xf>
    <xf numFmtId="171" fontId="5" fillId="0" borderId="10" xfId="3" applyNumberFormat="1" applyFont="1" applyBorder="1">
      <alignment horizontal="right" vertical="center"/>
    </xf>
    <xf numFmtId="172" fontId="3" fillId="0" borderId="10" xfId="3" applyNumberFormat="1" applyBorder="1">
      <alignment horizontal="right" vertical="center"/>
    </xf>
    <xf numFmtId="173" fontId="1" fillId="5" borderId="8" xfId="5" applyNumberFormat="1" applyBorder="1">
      <alignment horizontal="right" vertical="center"/>
    </xf>
    <xf numFmtId="173" fontId="3" fillId="0" borderId="10" xfId="3" applyNumberFormat="1" applyBorder="1">
      <alignment horizontal="right" vertical="center"/>
    </xf>
    <xf numFmtId="0" fontId="21" fillId="0" borderId="7" xfId="0" applyFont="1" applyBorder="1" applyAlignment="1">
      <alignment horizontal="right" vertical="center"/>
    </xf>
    <xf numFmtId="174" fontId="1" fillId="5" borderId="8" xfId="5" applyNumberFormat="1" applyBorder="1">
      <alignment horizontal="right" vertical="center"/>
    </xf>
    <xf numFmtId="174" fontId="3" fillId="0" borderId="10" xfId="3" applyNumberFormat="1" applyBorder="1">
      <alignment horizontal="right" vertical="center"/>
    </xf>
    <xf numFmtId="175" fontId="1" fillId="5" borderId="8" xfId="5" applyNumberFormat="1" applyBorder="1">
      <alignment horizontal="right" vertical="center"/>
    </xf>
    <xf numFmtId="175" fontId="3" fillId="0" borderId="10" xfId="3" applyNumberFormat="1" applyBorder="1">
      <alignment horizontal="right" vertical="center"/>
    </xf>
    <xf numFmtId="0" fontId="14" fillId="0" borderId="0" xfId="0" applyFont="1" applyAlignment="1">
      <alignment horizontal="left" vertical="center" indent="1"/>
    </xf>
    <xf numFmtId="0" fontId="17" fillId="8" borderId="2" xfId="0" applyFont="1" applyFill="1" applyBorder="1" applyAlignment="1">
      <alignment horizontal="left" vertical="center" wrapText="1" indent="1"/>
    </xf>
    <xf numFmtId="0" fontId="17" fillId="8" borderId="2" xfId="0" applyFont="1" applyFill="1" applyBorder="1" applyAlignment="1">
      <alignment horizontal="right" vertical="center" wrapText="1"/>
    </xf>
    <xf numFmtId="0" fontId="17" fillId="8" borderId="5" xfId="0" applyFont="1" applyFill="1" applyBorder="1" applyAlignment="1">
      <alignment horizontal="center" vertical="center" wrapText="1"/>
    </xf>
    <xf numFmtId="170" fontId="1" fillId="5" borderId="8" xfId="5" applyNumberFormat="1" applyBorder="1" applyAlignment="1">
      <alignment horizontal="center" vertical="center"/>
    </xf>
    <xf numFmtId="9" fontId="3" fillId="0" borderId="2" xfId="3" applyNumberFormat="1">
      <alignment horizontal="right" vertical="center"/>
    </xf>
    <xf numFmtId="4" fontId="3" fillId="0" borderId="2" xfId="3" applyNumberFormat="1">
      <alignment horizontal="right" vertical="center"/>
    </xf>
    <xf numFmtId="0" fontId="3" fillId="0" borderId="0" xfId="0" applyFont="1" applyAlignment="1">
      <alignment horizontal="left" vertical="center" indent="1"/>
    </xf>
    <xf numFmtId="173" fontId="1" fillId="5" borderId="1" xfId="5" applyNumberFormat="1">
      <alignment horizontal="right" vertical="center"/>
    </xf>
    <xf numFmtId="0" fontId="22" fillId="0" borderId="0" xfId="0" applyFont="1" applyAlignment="1">
      <alignment horizontal="left" vertical="center" indent="1"/>
    </xf>
    <xf numFmtId="164" fontId="3" fillId="0" borderId="2" xfId="3" applyNumberFormat="1">
      <alignment horizontal="right" vertical="center"/>
    </xf>
    <xf numFmtId="49" fontId="0" fillId="0" borderId="0" xfId="0" applyNumberFormat="1"/>
    <xf numFmtId="0" fontId="16" fillId="0" borderId="0" xfId="0" applyFont="1"/>
    <xf numFmtId="0" fontId="0" fillId="0" borderId="0" xfId="0"/>
    <xf numFmtId="0" fontId="3" fillId="0" borderId="0" xfId="0" applyFont="1" applyAlignment="1">
      <alignment horizontal="left" vertical="top" wrapText="1" indent="1"/>
    </xf>
    <xf numFmtId="0" fontId="14" fillId="0" borderId="0" xfId="0" applyFont="1" applyAlignment="1">
      <alignment horizontal="left" vertical="center" wrapText="1" indent="1"/>
    </xf>
    <xf numFmtId="0" fontId="18" fillId="0" borderId="7" xfId="0" applyFont="1" applyBorder="1" applyAlignment="1">
      <alignment horizontal="left" vertical="center" indent="1"/>
    </xf>
    <xf numFmtId="0" fontId="0" fillId="0" borderId="7" xfId="0" applyBorder="1"/>
    <xf numFmtId="0" fontId="3" fillId="0" borderId="10" xfId="3" quotePrefix="1" applyBorder="1">
      <alignment horizontal="right" vertical="center"/>
    </xf>
    <xf numFmtId="0" fontId="0" fillId="0" borderId="0" xfId="0" applyAlignment="1"/>
  </cellXfs>
  <cellStyles count="7">
    <cellStyle name="Normal" xfId="0" builtinId="0"/>
    <cellStyle name="Vose Calculation" xfId="3" xr:uid="{00000000-0005-0000-0000-000003000000}"/>
    <cellStyle name="Vose Decision" xfId="6" xr:uid="{00000000-0005-0000-0000-000006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9">
    <dxf>
      <font>
        <color rgb="FF8AA0BA"/>
      </font>
    </dxf>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
      <font>
        <b/>
        <color rgb="FFB91C1C"/>
      </font>
      <fill>
        <patternFill patternType="solid">
          <fgColor rgb="FFFEE2E2"/>
          <bgColor rgb="FFFEE2E2"/>
        </patternFill>
      </fill>
    </dxf>
    <dxf>
      <font>
        <b/>
        <color rgb="FF15803D"/>
      </font>
      <fill>
        <patternFill patternType="solid">
          <fgColor rgb="FFDCFCE7"/>
          <bgColor rgb="FFDCFCE7"/>
        </patternFill>
      </fill>
    </dxf>
    <dxf>
      <font>
        <color rgb="FFB91C1C"/>
      </font>
    </dxf>
    <dxf>
      <font>
        <b/>
        <color rgb="FF15803D"/>
      </font>
      <fill>
        <patternFill patternType="solid">
          <fgColor rgb="FFDCFCE7"/>
          <bgColor rgb="FFDCFCE7"/>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Starting plan</c:v>
          </c:tx>
          <c:spPr>
            <a:ln w="25400">
              <a:solidFill>
                <a:srgbClr val="0E4F92"/>
              </a:solidFill>
              <a:prstDash val="solid"/>
            </a:ln>
          </c:spPr>
          <c:marker>
            <c:symbol val="none"/>
          </c:marker>
          <c:xVal>
            <c:numRef>
              <c:f>Results!$D$71:$D$118</c:f>
              <c:numCache>
                <c:formatCode>#,##0.00</c:formatCode>
                <c:ptCount val="48"/>
                <c:pt idx="0">
                  <c:v>-261.39988248611195</c:v>
                </c:pt>
                <c:pt idx="1">
                  <c:v>-255.17197230189248</c:v>
                </c:pt>
                <c:pt idx="2">
                  <c:v>-251.43716240854229</c:v>
                </c:pt>
                <c:pt idx="3">
                  <c:v>-248.33296410762387</c:v>
                </c:pt>
                <c:pt idx="4">
                  <c:v>-245.49392555201624</c:v>
                </c:pt>
                <c:pt idx="5">
                  <c:v>-242.48973252546801</c:v>
                </c:pt>
                <c:pt idx="6">
                  <c:v>-239.1495178072133</c:v>
                </c:pt>
                <c:pt idx="7">
                  <c:v>-235.44891437596311</c:v>
                </c:pt>
                <c:pt idx="8">
                  <c:v>-229.49473331344305</c:v>
                </c:pt>
                <c:pt idx="9">
                  <c:v>-206.45349389222932</c:v>
                </c:pt>
                <c:pt idx="10">
                  <c:v>-191.61045459271344</c:v>
                </c:pt>
                <c:pt idx="11">
                  <c:v>-179.67083900020964</c:v>
                </c:pt>
                <c:pt idx="12">
                  <c:v>-169.59321693995705</c:v>
                </c:pt>
                <c:pt idx="13">
                  <c:v>-159.72828646691539</c:v>
                </c:pt>
                <c:pt idx="14">
                  <c:v>-149.5287506484143</c:v>
                </c:pt>
                <c:pt idx="15">
                  <c:v>-139.22346505130656</c:v>
                </c:pt>
                <c:pt idx="16">
                  <c:v>-129.3940562912895</c:v>
                </c:pt>
                <c:pt idx="17">
                  <c:v>-119.75950237602103</c:v>
                </c:pt>
                <c:pt idx="18">
                  <c:v>-108.17074376751555</c:v>
                </c:pt>
                <c:pt idx="19">
                  <c:v>-96.25716530347259</c:v>
                </c:pt>
                <c:pt idx="20">
                  <c:v>-84.381055670370841</c:v>
                </c:pt>
                <c:pt idx="21">
                  <c:v>-72.871421407997957</c:v>
                </c:pt>
                <c:pt idx="22">
                  <c:v>-60.327115308792543</c:v>
                </c:pt>
                <c:pt idx="23">
                  <c:v>-46.873216621679028</c:v>
                </c:pt>
                <c:pt idx="24">
                  <c:v>-34.469572716945521</c:v>
                </c:pt>
                <c:pt idx="25">
                  <c:v>-22.213799475906768</c:v>
                </c:pt>
                <c:pt idx="26">
                  <c:v>-7.8172137577353169</c:v>
                </c:pt>
                <c:pt idx="27">
                  <c:v>5.9768934685223769</c:v>
                </c:pt>
                <c:pt idx="28">
                  <c:v>22.624863531728749</c:v>
                </c:pt>
                <c:pt idx="29">
                  <c:v>37.292861191212467</c:v>
                </c:pt>
                <c:pt idx="30">
                  <c:v>55.266823842129398</c:v>
                </c:pt>
                <c:pt idx="31">
                  <c:v>72.528960111460435</c:v>
                </c:pt>
                <c:pt idx="32">
                  <c:v>88.748828889385834</c:v>
                </c:pt>
                <c:pt idx="33">
                  <c:v>108.71967457434333</c:v>
                </c:pt>
                <c:pt idx="34">
                  <c:v>127.55644760082144</c:v>
                </c:pt>
                <c:pt idx="35">
                  <c:v>148.08712845073865</c:v>
                </c:pt>
                <c:pt idx="36">
                  <c:v>171.81764691592252</c:v>
                </c:pt>
                <c:pt idx="37">
                  <c:v>194.92645668046504</c:v>
                </c:pt>
                <c:pt idx="38">
                  <c:v>219.44780976437181</c:v>
                </c:pt>
                <c:pt idx="39">
                  <c:v>246.00086782087843</c:v>
                </c:pt>
                <c:pt idx="40">
                  <c:v>276.27009986552656</c:v>
                </c:pt>
                <c:pt idx="41">
                  <c:v>308.80673701533203</c:v>
                </c:pt>
                <c:pt idx="42">
                  <c:v>345.67364852820367</c:v>
                </c:pt>
                <c:pt idx="43">
                  <c:v>387.00516703738163</c:v>
                </c:pt>
                <c:pt idx="44">
                  <c:v>440.16899432777819</c:v>
                </c:pt>
                <c:pt idx="45">
                  <c:v>495.57104421092669</c:v>
                </c:pt>
                <c:pt idx="46">
                  <c:v>575.43061791435935</c:v>
                </c:pt>
                <c:pt idx="47">
                  <c:v>672.20737620592377</c:v>
                </c:pt>
              </c:numCache>
            </c:numRef>
          </c:xVal>
          <c:yVal>
            <c:numRef>
              <c:f>Results!$B$71:$B$118</c:f>
              <c:numCache>
                <c:formatCode>0%</c:formatCode>
                <c:ptCount val="48"/>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numCache>
            </c:numRef>
          </c:yVal>
          <c:smooth val="1"/>
          <c:extLst>
            <c:ext xmlns:c16="http://schemas.microsoft.com/office/drawing/2014/chart" uri="{C3380CC4-5D6E-409C-BE32-E72D297353CC}">
              <c16:uniqueId val="{00000000-A0A7-40EA-8E26-491EE55B345C}"/>
            </c:ext>
          </c:extLst>
        </c:ser>
        <c:ser>
          <c:idx val="1"/>
          <c:order val="1"/>
          <c:tx>
            <c:v>Plan in use</c:v>
          </c:tx>
          <c:spPr>
            <a:ln w="25400">
              <a:solidFill>
                <a:srgbClr val="B45309"/>
              </a:solidFill>
              <a:prstDash val="dash"/>
            </a:ln>
          </c:spPr>
          <c:marker>
            <c:symbol val="none"/>
          </c:marker>
          <c:xVal>
            <c:numRef>
              <c:f>Results!$E$71:$E$118</c:f>
              <c:numCache>
                <c:formatCode>#,##0.00</c:formatCode>
                <c:ptCount val="48"/>
                <c:pt idx="0">
                  <c:v>-280.64759142551827</c:v>
                </c:pt>
                <c:pt idx="1">
                  <c:v>-274.12489059992919</c:v>
                </c:pt>
                <c:pt idx="2">
                  <c:v>-269.54989504330501</c:v>
                </c:pt>
                <c:pt idx="3">
                  <c:v>-266.1872027717925</c:v>
                </c:pt>
                <c:pt idx="4">
                  <c:v>-263.09090804953257</c:v>
                </c:pt>
                <c:pt idx="5">
                  <c:v>-259.91044367231279</c:v>
                </c:pt>
                <c:pt idx="6">
                  <c:v>-256.70575399207291</c:v>
                </c:pt>
                <c:pt idx="7">
                  <c:v>-252.1743266307185</c:v>
                </c:pt>
                <c:pt idx="8">
                  <c:v>-246.76485631361112</c:v>
                </c:pt>
                <c:pt idx="9">
                  <c:v>-233.55544214366819</c:v>
                </c:pt>
                <c:pt idx="10">
                  <c:v>-219.71968232716563</c:v>
                </c:pt>
                <c:pt idx="11">
                  <c:v>-210.7018756940991</c:v>
                </c:pt>
                <c:pt idx="12">
                  <c:v>-202.80099734311557</c:v>
                </c:pt>
                <c:pt idx="13">
                  <c:v>-196.08725125870529</c:v>
                </c:pt>
                <c:pt idx="14">
                  <c:v>-188.03507266537403</c:v>
                </c:pt>
                <c:pt idx="15">
                  <c:v>-181.573740367325</c:v>
                </c:pt>
                <c:pt idx="16">
                  <c:v>-174.04100769441294</c:v>
                </c:pt>
                <c:pt idx="17">
                  <c:v>-165.40978892459918</c:v>
                </c:pt>
                <c:pt idx="18">
                  <c:v>-158.05321818350217</c:v>
                </c:pt>
                <c:pt idx="19">
                  <c:v>-149.95377128590434</c:v>
                </c:pt>
                <c:pt idx="20">
                  <c:v>-140.66381554553288</c:v>
                </c:pt>
                <c:pt idx="21">
                  <c:v>-132.31504074248451</c:v>
                </c:pt>
                <c:pt idx="22">
                  <c:v>-124.68737827767148</c:v>
                </c:pt>
                <c:pt idx="23">
                  <c:v>-114.65326912157849</c:v>
                </c:pt>
                <c:pt idx="24">
                  <c:v>-105.40866822749325</c:v>
                </c:pt>
                <c:pt idx="25">
                  <c:v>-94.898975849677484</c:v>
                </c:pt>
                <c:pt idx="26">
                  <c:v>-84.046486709491802</c:v>
                </c:pt>
                <c:pt idx="27">
                  <c:v>-71.125617269600568</c:v>
                </c:pt>
                <c:pt idx="28">
                  <c:v>-60.260884981920768</c:v>
                </c:pt>
                <c:pt idx="29">
                  <c:v>-46.253174041759124</c:v>
                </c:pt>
                <c:pt idx="30">
                  <c:v>-29.640707612525986</c:v>
                </c:pt>
                <c:pt idx="31">
                  <c:v>-12.238941050898092</c:v>
                </c:pt>
                <c:pt idx="32">
                  <c:v>5.454719318208376</c:v>
                </c:pt>
                <c:pt idx="33">
                  <c:v>23.008632347782751</c:v>
                </c:pt>
                <c:pt idx="34">
                  <c:v>48.699071360294397</c:v>
                </c:pt>
                <c:pt idx="35">
                  <c:v>72.597440336167381</c:v>
                </c:pt>
                <c:pt idx="36">
                  <c:v>107.55481964378102</c:v>
                </c:pt>
                <c:pt idx="37">
                  <c:v>147.9663857346099</c:v>
                </c:pt>
                <c:pt idx="38">
                  <c:v>191.68856918425786</c:v>
                </c:pt>
                <c:pt idx="39">
                  <c:v>246.59495291247998</c:v>
                </c:pt>
                <c:pt idx="40">
                  <c:v>311.42968273155174</c:v>
                </c:pt>
                <c:pt idx="41">
                  <c:v>380.31877993512501</c:v>
                </c:pt>
                <c:pt idx="42">
                  <c:v>463.27009894137649</c:v>
                </c:pt>
                <c:pt idx="43">
                  <c:v>538.3816986761841</c:v>
                </c:pt>
                <c:pt idx="44">
                  <c:v>627.58795923311595</c:v>
                </c:pt>
                <c:pt idx="45">
                  <c:v>718.20683128419432</c:v>
                </c:pt>
                <c:pt idx="46">
                  <c:v>843.15278738755194</c:v>
                </c:pt>
                <c:pt idx="47">
                  <c:v>990.34251299988432</c:v>
                </c:pt>
              </c:numCache>
            </c:numRef>
          </c:xVal>
          <c:yVal>
            <c:numRef>
              <c:f>Results!$B$71:$B$118</c:f>
              <c:numCache>
                <c:formatCode>0%</c:formatCode>
                <c:ptCount val="48"/>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numCache>
            </c:numRef>
          </c:yVal>
          <c:smooth val="1"/>
          <c:extLst>
            <c:ext xmlns:c16="http://schemas.microsoft.com/office/drawing/2014/chart" uri="{C3380CC4-5D6E-409C-BE32-E72D297353CC}">
              <c16:uniqueId val="{00000001-A0A7-40EA-8E26-491EE55B345C}"/>
            </c:ext>
          </c:extLst>
        </c:ser>
        <c:dLbls>
          <c:showLegendKey val="0"/>
          <c:showVal val="0"/>
          <c:showCatName val="0"/>
          <c:showSerName val="0"/>
          <c:showPercent val="0"/>
          <c:showBubbleSize val="0"/>
        </c:dLbls>
        <c:axId val="10"/>
        <c:axId val="20"/>
      </c:scatterChart>
      <c:valAx>
        <c:axId val="10"/>
        <c:scaling>
          <c:orientation val="minMax"/>
        </c:scaling>
        <c:delete val="0"/>
        <c:axPos val="b"/>
        <c:title>
          <c:tx>
            <c:rich>
              <a:bodyPr/>
              <a:lstStyle/>
              <a:p>
                <a:pPr>
                  <a:defRPr/>
                </a:pPr>
                <a:r>
                  <a:rPr lang="en-US"/>
                  <a:t>Programme NPV (US$m)</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bar"/>
        <c:grouping val="clustered"/>
        <c:varyColors val="0"/>
        <c:ser>
          <c:idx val="0"/>
          <c:order val="0"/>
          <c:tx>
            <c:v>Highest group mean</c:v>
          </c:tx>
          <c:spPr>
            <a:solidFill>
              <a:srgbClr val="0E4F92"/>
            </a:solidFill>
            <a:ln>
              <a:noFill/>
              <a:prstDash val="solid"/>
            </a:ln>
          </c:spPr>
          <c:invertIfNegative val="0"/>
          <c:cat>
            <c:strRef>
              <c:f>Results!$B$124:$B$135</c:f>
              <c:strCache>
                <c:ptCount val="12"/>
                <c:pt idx="0">
                  <c:v>Play C works</c:v>
                </c:pt>
                <c:pt idx="1">
                  <c:v>Hazel value if discovered</c:v>
                </c:pt>
                <c:pt idx="2">
                  <c:v>Hazel succeeds</c:v>
                </c:pt>
                <c:pt idx="3">
                  <c:v>Ginkgo value if discovered</c:v>
                </c:pt>
                <c:pt idx="4">
                  <c:v>Ginkgo succeeds</c:v>
                </c:pt>
                <c:pt idx="5">
                  <c:v>Cedar succeeds</c:v>
                </c:pt>
                <c:pt idx="6">
                  <c:v>Alder value if discovered</c:v>
                </c:pt>
                <c:pt idx="7">
                  <c:v>Birch succeeds</c:v>
                </c:pt>
                <c:pt idx="8">
                  <c:v>Alder succeeds</c:v>
                </c:pt>
                <c:pt idx="9">
                  <c:v>Cedar value if discovered</c:v>
                </c:pt>
                <c:pt idx="10">
                  <c:v>Birch value if discovered</c:v>
                </c:pt>
                <c:pt idx="11">
                  <c:v>Fir well cost</c:v>
                </c:pt>
              </c:strCache>
            </c:strRef>
          </c:cat>
          <c:val>
            <c:numRef>
              <c:f>Results!$F$124:$F$135</c:f>
              <c:numCache>
                <c:formatCode>#,##0.0_);\(#,##0.0\);"–"_)</c:formatCode>
                <c:ptCount val="12"/>
                <c:pt idx="0">
                  <c:v>377.76443918852607</c:v>
                </c:pt>
                <c:pt idx="1">
                  <c:v>172.58282075791323</c:v>
                </c:pt>
                <c:pt idx="2">
                  <c:v>102.63081578776827</c:v>
                </c:pt>
                <c:pt idx="3">
                  <c:v>130.26842439156712</c:v>
                </c:pt>
                <c:pt idx="4">
                  <c:v>73.66730205627799</c:v>
                </c:pt>
                <c:pt idx="5">
                  <c:v>73.236528211209148</c:v>
                </c:pt>
                <c:pt idx="6">
                  <c:v>68.550486974676701</c:v>
                </c:pt>
                <c:pt idx="7">
                  <c:v>63.221299340534912</c:v>
                </c:pt>
                <c:pt idx="8">
                  <c:v>51.887698916826636</c:v>
                </c:pt>
                <c:pt idx="9">
                  <c:v>63.231912425145666</c:v>
                </c:pt>
                <c:pt idx="10">
                  <c:v>50.5414544316438</c:v>
                </c:pt>
                <c:pt idx="11">
                  <c:v>27.474997250454138</c:v>
                </c:pt>
              </c:numCache>
            </c:numRef>
          </c:val>
          <c:extLst>
            <c:ext xmlns:c16="http://schemas.microsoft.com/office/drawing/2014/chart" uri="{C3380CC4-5D6E-409C-BE32-E72D297353CC}">
              <c16:uniqueId val="{00000000-0123-4ABA-A66F-B4642580994F}"/>
            </c:ext>
          </c:extLst>
        </c:ser>
        <c:ser>
          <c:idx val="1"/>
          <c:order val="1"/>
          <c:tx>
            <c:v>Lowest group mean</c:v>
          </c:tx>
          <c:spPr>
            <a:solidFill>
              <a:srgbClr val="B91C1C"/>
            </a:solidFill>
            <a:ln>
              <a:noFill/>
              <a:prstDash val="solid"/>
            </a:ln>
          </c:spPr>
          <c:invertIfNegative val="0"/>
          <c:cat>
            <c:strRef>
              <c:f>Results!$B$124:$B$135</c:f>
              <c:strCache>
                <c:ptCount val="12"/>
                <c:pt idx="0">
                  <c:v>Play C works</c:v>
                </c:pt>
                <c:pt idx="1">
                  <c:v>Hazel value if discovered</c:v>
                </c:pt>
                <c:pt idx="2">
                  <c:v>Hazel succeeds</c:v>
                </c:pt>
                <c:pt idx="3">
                  <c:v>Ginkgo value if discovered</c:v>
                </c:pt>
                <c:pt idx="4">
                  <c:v>Ginkgo succeeds</c:v>
                </c:pt>
                <c:pt idx="5">
                  <c:v>Cedar succeeds</c:v>
                </c:pt>
                <c:pt idx="6">
                  <c:v>Alder value if discovered</c:v>
                </c:pt>
                <c:pt idx="7">
                  <c:v>Birch succeeds</c:v>
                </c:pt>
                <c:pt idx="8">
                  <c:v>Alder succeeds</c:v>
                </c:pt>
                <c:pt idx="9">
                  <c:v>Cedar value if discovered</c:v>
                </c:pt>
                <c:pt idx="10">
                  <c:v>Birch value if discovered</c:v>
                </c:pt>
                <c:pt idx="11">
                  <c:v>Fir well cost</c:v>
                </c:pt>
              </c:strCache>
            </c:strRef>
          </c:cat>
          <c:val>
            <c:numRef>
              <c:f>Results!$G$124:$G$135</c:f>
              <c:numCache>
                <c:formatCode>#,##0.0_);\(#,##0.0\);"–"_)</c:formatCode>
                <c:ptCount val="12"/>
                <c:pt idx="0">
                  <c:v>-204.93560583465177</c:v>
                </c:pt>
                <c:pt idx="1">
                  <c:v>-66.522071175578247</c:v>
                </c:pt>
                <c:pt idx="2">
                  <c:v>-104.95578572470859</c:v>
                </c:pt>
                <c:pt idx="3">
                  <c:v>-46.80897584119667</c:v>
                </c:pt>
                <c:pt idx="4">
                  <c:v>-90.365879988429981</c:v>
                </c:pt>
                <c:pt idx="5">
                  <c:v>-40.910180347409323</c:v>
                </c:pt>
                <c:pt idx="6">
                  <c:v>-39.370718224039848</c:v>
                </c:pt>
                <c:pt idx="7">
                  <c:v>-42.641559568600115</c:v>
                </c:pt>
                <c:pt idx="8">
                  <c:v>-44.076234718880912</c:v>
                </c:pt>
                <c:pt idx="9">
                  <c:v>-30.520996445854188</c:v>
                </c:pt>
                <c:pt idx="10">
                  <c:v>-41.710462119169449</c:v>
                </c:pt>
                <c:pt idx="11">
                  <c:v>-43.981636497412936</c:v>
                </c:pt>
              </c:numCache>
            </c:numRef>
          </c:val>
          <c:extLst>
            <c:ext xmlns:c16="http://schemas.microsoft.com/office/drawing/2014/chart" uri="{C3380CC4-5D6E-409C-BE32-E72D297353CC}">
              <c16:uniqueId val="{00000001-0123-4ABA-A66F-B4642580994F}"/>
            </c:ext>
          </c:extLst>
        </c:ser>
        <c:dLbls>
          <c:showLegendKey val="0"/>
          <c:showVal val="0"/>
          <c:showCatName val="0"/>
          <c:showSerName val="0"/>
          <c:showPercent val="0"/>
          <c:showBubbleSize val="0"/>
        </c:dLbls>
        <c:gapWidth val="35"/>
        <c:overlap val="100"/>
        <c:axId val="10"/>
        <c:axId val="100"/>
      </c:barChart>
      <c:catAx>
        <c:axId val="10"/>
        <c:scaling>
          <c:orientation val="maxMin"/>
        </c:scaling>
        <c:delete val="0"/>
        <c:axPos val="l"/>
        <c:numFmt formatCode="General" sourceLinked="1"/>
        <c:majorTickMark val="none"/>
        <c:minorTickMark val="none"/>
        <c:tickLblPos val="low"/>
        <c:crossAx val="100"/>
        <c:crosses val="autoZero"/>
        <c:auto val="1"/>
        <c:lblAlgn val="ctr"/>
        <c:lblOffset val="100"/>
        <c:noMultiLvlLbl val="1"/>
      </c:catAx>
      <c:valAx>
        <c:axId val="100"/>
        <c:scaling>
          <c:orientation val="minMax"/>
        </c:scaling>
        <c:delete val="0"/>
        <c:axPos val="b"/>
        <c:majorGridlines>
          <c:spPr>
            <a:ln>
              <a:solidFill>
                <a:srgbClr val="E4E9F0"/>
              </a:solidFill>
              <a:prstDash val="solid"/>
            </a:ln>
          </c:spPr>
        </c:majorGridlines>
        <c:numFmt formatCode="#,##0" sourceLinked="0"/>
        <c:majorTickMark val="none"/>
        <c:minorTickMark val="none"/>
        <c:tickLblPos val="nextTo"/>
        <c:crossAx val="10"/>
        <c:crosses val="max"/>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664000"/>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41</xdr:row>
      <xdr:rowOff>0</xdr:rowOff>
    </xdr:from>
    <xdr:ext cx="6263999" cy="2808000"/>
    <xdr:graphicFrame macro="">
      <xdr:nvGraphicFramePr>
        <xdr:cNvPr id="3" name="Chart 2">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80"/>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ht="26.25" x14ac:dyDescent="0.45">
      <c r="B8" s="9" t="s">
        <v>7</v>
      </c>
      <c r="C8" s="10" t="s">
        <v>8</v>
      </c>
    </row>
    <row r="9" spans="1:4" ht="26.25" x14ac:dyDescent="0.45">
      <c r="B9" s="9" t="s">
        <v>9</v>
      </c>
      <c r="C9" s="11" t="s">
        <v>10</v>
      </c>
    </row>
    <row r="10" spans="1:4" x14ac:dyDescent="0.45">
      <c r="B10" s="9" t="s">
        <v>11</v>
      </c>
      <c r="C10" s="10" t="s">
        <v>12</v>
      </c>
    </row>
    <row r="11" spans="1:4" ht="39.4" x14ac:dyDescent="0.45">
      <c r="B11" s="9" t="s">
        <v>13</v>
      </c>
      <c r="C11" s="10" t="s">
        <v>14</v>
      </c>
    </row>
    <row r="12" spans="1:4" ht="39.4" x14ac:dyDescent="0.45">
      <c r="B12" s="9" t="s">
        <v>15</v>
      </c>
      <c r="C12" s="10" t="s">
        <v>16</v>
      </c>
    </row>
    <row r="13" spans="1:4" x14ac:dyDescent="0.45">
      <c r="B13" s="9" t="s">
        <v>17</v>
      </c>
      <c r="C13" s="10" t="s">
        <v>18</v>
      </c>
    </row>
    <row r="14" spans="1:4" ht="12" customHeight="1" x14ac:dyDescent="0.45"/>
    <row r="15" spans="1:4" ht="22.05" customHeight="1" x14ac:dyDescent="0.5">
      <c r="B15" s="7" t="s">
        <v>19</v>
      </c>
      <c r="C15" s="8"/>
    </row>
    <row r="16" spans="1:4" ht="44" customHeight="1" x14ac:dyDescent="0.45">
      <c r="B16" s="91" t="s">
        <v>20</v>
      </c>
      <c r="C16" s="90"/>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x14ac:dyDescent="0.45">
      <c r="B28" s="9" t="s">
        <v>23</v>
      </c>
      <c r="C28" s="10" t="s">
        <v>24</v>
      </c>
    </row>
    <row r="29" spans="2:3" ht="26.25" x14ac:dyDescent="0.45">
      <c r="B29" s="9" t="s">
        <v>25</v>
      </c>
      <c r="C29" s="10" t="s">
        <v>26</v>
      </c>
    </row>
    <row r="30" spans="2:3" ht="26.25" x14ac:dyDescent="0.45">
      <c r="B30" s="9" t="s">
        <v>27</v>
      </c>
      <c r="C30" s="10" t="s">
        <v>28</v>
      </c>
    </row>
    <row r="31" spans="2:3" ht="26.25" x14ac:dyDescent="0.45">
      <c r="B31" s="9" t="s">
        <v>29</v>
      </c>
      <c r="C31" s="10" t="s">
        <v>30</v>
      </c>
    </row>
    <row r="32" spans="2:3" ht="26.25" x14ac:dyDescent="0.45">
      <c r="B32" s="9" t="s">
        <v>31</v>
      </c>
      <c r="C32" s="10" t="s">
        <v>32</v>
      </c>
    </row>
    <row r="33" spans="2:3" ht="12" customHeight="1" x14ac:dyDescent="0.45"/>
    <row r="34" spans="2:3" ht="22.05" customHeight="1" x14ac:dyDescent="0.5">
      <c r="B34" s="7" t="s">
        <v>33</v>
      </c>
      <c r="C34" s="8"/>
    </row>
    <row r="35" spans="2:3" x14ac:dyDescent="0.45">
      <c r="B35" s="9" t="s">
        <v>34</v>
      </c>
      <c r="C35" s="10" t="s">
        <v>35</v>
      </c>
    </row>
    <row r="36" spans="2:3" ht="26.25" x14ac:dyDescent="0.45">
      <c r="B36" s="9" t="s">
        <v>36</v>
      </c>
      <c r="C36" s="10" t="s">
        <v>37</v>
      </c>
    </row>
    <row r="37" spans="2:3" ht="26.25" x14ac:dyDescent="0.45">
      <c r="B37" s="9" t="s">
        <v>38</v>
      </c>
      <c r="C37" s="10" t="s">
        <v>39</v>
      </c>
    </row>
    <row r="38" spans="2:3" x14ac:dyDescent="0.45">
      <c r="B38" s="9" t="s">
        <v>40</v>
      </c>
      <c r="C38" s="10" t="s">
        <v>41</v>
      </c>
    </row>
    <row r="39" spans="2:3" ht="12" customHeight="1" x14ac:dyDescent="0.45"/>
    <row r="40" spans="2:3" ht="22.05" customHeight="1" x14ac:dyDescent="0.5">
      <c r="B40" s="7" t="s">
        <v>42</v>
      </c>
      <c r="C40" s="8"/>
    </row>
    <row r="41" spans="2:3" x14ac:dyDescent="0.45">
      <c r="B41" s="14" t="s">
        <v>43</v>
      </c>
      <c r="C41" s="10" t="s">
        <v>44</v>
      </c>
    </row>
    <row r="42" spans="2:3" x14ac:dyDescent="0.45">
      <c r="B42" s="14" t="s">
        <v>45</v>
      </c>
      <c r="C42" s="10" t="s">
        <v>46</v>
      </c>
    </row>
    <row r="43" spans="2:3" x14ac:dyDescent="0.45">
      <c r="B43" s="14" t="s">
        <v>47</v>
      </c>
      <c r="C43" s="10" t="s">
        <v>48</v>
      </c>
    </row>
    <row r="44" spans="2:3" x14ac:dyDescent="0.45">
      <c r="B44" s="14" t="s">
        <v>49</v>
      </c>
      <c r="C44" s="10" t="s">
        <v>50</v>
      </c>
    </row>
    <row r="45" spans="2:3" x14ac:dyDescent="0.45">
      <c r="B45" s="14" t="s">
        <v>51</v>
      </c>
      <c r="C45" s="10" t="s">
        <v>52</v>
      </c>
    </row>
    <row r="46" spans="2:3" ht="12" customHeight="1" x14ac:dyDescent="0.45"/>
    <row r="47" spans="2:3" ht="22.05" customHeight="1" x14ac:dyDescent="0.5">
      <c r="B47" s="7" t="s">
        <v>53</v>
      </c>
      <c r="C47" s="8"/>
    </row>
    <row r="48" spans="2:3" x14ac:dyDescent="0.45">
      <c r="B48" s="15" t="s">
        <v>54</v>
      </c>
      <c r="C48" s="12" t="s">
        <v>55</v>
      </c>
    </row>
    <row r="49" spans="2:3" x14ac:dyDescent="0.45">
      <c r="B49" s="16" t="s">
        <v>56</v>
      </c>
      <c r="C49" s="12" t="s">
        <v>57</v>
      </c>
    </row>
    <row r="50" spans="2:3" x14ac:dyDescent="0.45">
      <c r="B50" s="17" t="s">
        <v>58</v>
      </c>
      <c r="C50" s="12" t="s">
        <v>59</v>
      </c>
    </row>
    <row r="51" spans="2:3" x14ac:dyDescent="0.45">
      <c r="B51" s="18" t="s">
        <v>60</v>
      </c>
      <c r="C51" s="12" t="s">
        <v>61</v>
      </c>
    </row>
    <row r="52" spans="2:3" x14ac:dyDescent="0.45">
      <c r="B52" s="19" t="s">
        <v>62</v>
      </c>
      <c r="C52" s="12" t="s">
        <v>63</v>
      </c>
    </row>
    <row r="53" spans="2:3" x14ac:dyDescent="0.45">
      <c r="B53" s="20" t="s">
        <v>64</v>
      </c>
      <c r="C53" s="12" t="s">
        <v>65</v>
      </c>
    </row>
    <row r="54" spans="2:3" ht="12" customHeight="1" x14ac:dyDescent="0.45"/>
    <row r="55" spans="2:3" ht="22.05" customHeight="1" x14ac:dyDescent="0.5">
      <c r="B55" s="7" t="s">
        <v>66</v>
      </c>
      <c r="C55" s="8"/>
    </row>
    <row r="56" spans="2:3" x14ac:dyDescent="0.45">
      <c r="B56" s="9" t="s">
        <v>67</v>
      </c>
      <c r="C56" s="10" t="s">
        <v>68</v>
      </c>
    </row>
    <row r="57" spans="2:3" x14ac:dyDescent="0.45">
      <c r="B57" s="9" t="s">
        <v>69</v>
      </c>
      <c r="C57" s="10" t="s">
        <v>70</v>
      </c>
    </row>
    <row r="58" spans="2:3" x14ac:dyDescent="0.45">
      <c r="B58" s="9" t="s">
        <v>71</v>
      </c>
      <c r="C58" s="10" t="s">
        <v>72</v>
      </c>
    </row>
    <row r="59" spans="2:3" x14ac:dyDescent="0.45">
      <c r="B59" s="9" t="s">
        <v>73</v>
      </c>
      <c r="C59" s="10" t="s">
        <v>74</v>
      </c>
    </row>
    <row r="60" spans="2:3" x14ac:dyDescent="0.45">
      <c r="B60" s="9" t="s">
        <v>75</v>
      </c>
      <c r="C60" s="10" t="s">
        <v>76</v>
      </c>
    </row>
    <row r="61" spans="2:3" ht="12" customHeight="1" x14ac:dyDescent="0.45"/>
    <row r="62" spans="2:3" ht="22.05" customHeight="1" x14ac:dyDescent="0.5">
      <c r="B62" s="7" t="s">
        <v>77</v>
      </c>
      <c r="C62" s="8"/>
    </row>
    <row r="63" spans="2:3" x14ac:dyDescent="0.45">
      <c r="B63" s="9" t="s">
        <v>78</v>
      </c>
      <c r="C63" s="10" t="s">
        <v>79</v>
      </c>
    </row>
    <row r="64" spans="2:3" x14ac:dyDescent="0.45">
      <c r="B64" s="9" t="s">
        <v>80</v>
      </c>
      <c r="C64" s="10" t="s">
        <v>81</v>
      </c>
    </row>
    <row r="65" spans="2:3" x14ac:dyDescent="0.45">
      <c r="B65" s="9" t="s">
        <v>82</v>
      </c>
      <c r="C65" s="10" t="s">
        <v>83</v>
      </c>
    </row>
    <row r="66" spans="2:3" ht="26.25" x14ac:dyDescent="0.45">
      <c r="B66" s="9" t="s">
        <v>84</v>
      </c>
      <c r="C66" s="10" t="s">
        <v>85</v>
      </c>
    </row>
    <row r="67" spans="2:3" x14ac:dyDescent="0.45">
      <c r="B67" s="9" t="s">
        <v>86</v>
      </c>
      <c r="C67" s="10" t="s">
        <v>87</v>
      </c>
    </row>
    <row r="68" spans="2:3" ht="12" customHeight="1" x14ac:dyDescent="0.45"/>
    <row r="69" spans="2:3" ht="22.05" customHeight="1" x14ac:dyDescent="0.5">
      <c r="B69" s="7" t="s">
        <v>88</v>
      </c>
      <c r="C69" s="8"/>
    </row>
    <row r="70" spans="2:3" x14ac:dyDescent="0.45">
      <c r="B70" s="21" t="s">
        <v>89</v>
      </c>
      <c r="C70" s="10" t="s">
        <v>90</v>
      </c>
    </row>
    <row r="71" spans="2:3" x14ac:dyDescent="0.45">
      <c r="B71" s="21" t="s">
        <v>91</v>
      </c>
      <c r="C71" s="10" t="s">
        <v>92</v>
      </c>
    </row>
    <row r="72" spans="2:3" ht="26.25" x14ac:dyDescent="0.45">
      <c r="B72" s="21" t="s">
        <v>93</v>
      </c>
      <c r="C72" s="10" t="s">
        <v>94</v>
      </c>
    </row>
    <row r="73" spans="2:3" ht="39.4" x14ac:dyDescent="0.45">
      <c r="B73" s="21" t="s">
        <v>95</v>
      </c>
      <c r="C73" s="10" t="s">
        <v>96</v>
      </c>
    </row>
    <row r="74" spans="2:3" x14ac:dyDescent="0.45">
      <c r="B74" s="21" t="s">
        <v>97</v>
      </c>
      <c r="C74" s="10" t="s">
        <v>98</v>
      </c>
    </row>
    <row r="75" spans="2:3" ht="12" customHeight="1" x14ac:dyDescent="0.45"/>
    <row r="76" spans="2:3" ht="22.05" customHeight="1" x14ac:dyDescent="0.5">
      <c r="B76" s="7" t="s">
        <v>99</v>
      </c>
      <c r="C76" s="8"/>
    </row>
    <row r="77" spans="2:3" x14ac:dyDescent="0.45">
      <c r="B77" s="9" t="s">
        <v>100</v>
      </c>
      <c r="C77" s="10" t="s">
        <v>101</v>
      </c>
    </row>
    <row r="78" spans="2:3" x14ac:dyDescent="0.45">
      <c r="B78" s="9" t="s">
        <v>102</v>
      </c>
      <c r="C78" s="10" t="s">
        <v>103</v>
      </c>
    </row>
    <row r="79" spans="2:3" ht="16.05" customHeight="1" x14ac:dyDescent="0.45"/>
    <row r="80" spans="2:3" x14ac:dyDescent="0.45">
      <c r="B80" s="89" t="s">
        <v>104</v>
      </c>
      <c r="C80" s="90"/>
    </row>
  </sheetData>
  <mergeCells count="2">
    <mergeCell ref="B80:C80"/>
    <mergeCell ref="B16:C16"/>
  </mergeCells>
  <hyperlinks>
    <hyperlink ref="D4" location="'Inputs'!A1" display="Next:  Inputs  ▸" xr:uid="{00000000-0004-0000-0000-000000000000}"/>
    <hyperlink ref="B41" location="'Inputs'!A1" display="Inputs" xr:uid="{00000000-0004-0000-0000-000001000000}"/>
    <hyperlink ref="B42" location="'Decisions'!A1" display="Decisions" xr:uid="{00000000-0004-0000-0000-000002000000}"/>
    <hyperlink ref="B43" location="'Prospects'!A1" display="Prospects" xr:uid="{00000000-0004-0000-0000-000003000000}"/>
    <hyperlink ref="B44" location="'Programmes'!A1" display="Programmes" xr:uid="{00000000-0004-0000-0000-000004000000}"/>
    <hyperlink ref="B45" location="'Results'!A1" display="Results" xr:uid="{00000000-0004-0000-0000-000005000000}"/>
  </hyperlinks>
  <printOptions horizontalCentered="1"/>
  <pageMargins left="0.4" right="0.4" top="0.5" bottom="0.6" header="0.25" footer="0.25"/>
  <pageSetup paperSize="9" fitToHeight="0" orientation="portrait"/>
  <headerFooter>
    <oddFooter>&amp;L&amp;K3F5876&amp;8&amp;F · &amp;A&amp;R&amp;K3F5876&amp;8Page &amp;P of &amp;N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20"/>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2" t="s">
        <v>0</v>
      </c>
      <c r="C2" s="1"/>
      <c r="D2" s="1"/>
      <c r="E2" s="1"/>
      <c r="F2" s="1"/>
      <c r="G2" s="1"/>
      <c r="H2" s="1"/>
      <c r="I2" s="1"/>
      <c r="J2" s="3" t="s">
        <v>1</v>
      </c>
    </row>
    <row r="3" spans="1:10" ht="20" customHeight="1" x14ac:dyDescent="0.45">
      <c r="A3" s="1"/>
      <c r="B3" s="4" t="s">
        <v>105</v>
      </c>
      <c r="C3" s="1"/>
      <c r="D3" s="1"/>
      <c r="E3" s="1"/>
      <c r="F3" s="1"/>
      <c r="G3" s="1"/>
      <c r="H3" s="1"/>
      <c r="I3" s="1"/>
      <c r="J3" s="1"/>
    </row>
    <row r="4" spans="1:10" ht="20" customHeight="1" x14ac:dyDescent="0.45">
      <c r="A4" s="5"/>
      <c r="B4" s="23" t="s">
        <v>106</v>
      </c>
      <c r="C4" s="5"/>
      <c r="D4" s="5"/>
      <c r="E4" s="5"/>
      <c r="F4" s="5"/>
      <c r="G4" s="5"/>
      <c r="H4" s="5"/>
      <c r="I4" s="5"/>
      <c r="J4" s="6" t="s">
        <v>107</v>
      </c>
    </row>
    <row r="5" spans="1:10" ht="8" customHeight="1" x14ac:dyDescent="0.45"/>
    <row r="6" spans="1:10" ht="20" customHeight="1" x14ac:dyDescent="0.45">
      <c r="B6" s="92" t="s">
        <v>108</v>
      </c>
      <c r="C6" s="90"/>
      <c r="D6" s="90"/>
      <c r="E6" s="90"/>
      <c r="F6" s="90"/>
      <c r="G6" s="90"/>
      <c r="H6" s="90"/>
      <c r="I6" s="90"/>
      <c r="J6" s="90"/>
    </row>
    <row r="7" spans="1:10" ht="6" customHeight="1" x14ac:dyDescent="0.45"/>
    <row r="8" spans="1:10" ht="22.05" customHeight="1" x14ac:dyDescent="0.5">
      <c r="B8" s="7" t="s">
        <v>109</v>
      </c>
      <c r="C8" s="8"/>
      <c r="D8" s="8"/>
      <c r="E8" s="8"/>
      <c r="F8" s="8"/>
      <c r="G8" s="8"/>
      <c r="H8" s="8"/>
      <c r="I8" s="8"/>
      <c r="J8" s="8"/>
    </row>
    <row r="9" spans="1:10" ht="18" customHeight="1" x14ac:dyDescent="0.45">
      <c r="B9" s="13" t="s">
        <v>110</v>
      </c>
    </row>
    <row r="10" spans="1:10" ht="18" customHeight="1" x14ac:dyDescent="0.45">
      <c r="B10" s="24" t="s">
        <v>111</v>
      </c>
      <c r="C10" s="24" t="s">
        <v>112</v>
      </c>
      <c r="D10" s="25" t="s">
        <v>113</v>
      </c>
      <c r="E10" s="24" t="s">
        <v>114</v>
      </c>
      <c r="F10" s="5"/>
      <c r="G10" s="5"/>
      <c r="H10" s="5"/>
      <c r="I10" s="5"/>
      <c r="J10" s="24" t="s">
        <v>115</v>
      </c>
    </row>
    <row r="11" spans="1:10" x14ac:dyDescent="0.45">
      <c r="B11" s="26" t="s">
        <v>116</v>
      </c>
      <c r="C11" s="27" t="s">
        <v>117</v>
      </c>
      <c r="D11" s="28">
        <v>270</v>
      </c>
      <c r="E11" s="27" t="s">
        <v>118</v>
      </c>
      <c r="F11" s="29"/>
      <c r="G11" s="29"/>
      <c r="H11" s="29"/>
      <c r="I11" s="29"/>
      <c r="J11" s="30" t="s">
        <v>119</v>
      </c>
    </row>
    <row r="12" spans="1:10" x14ac:dyDescent="0.45">
      <c r="B12" s="26" t="s">
        <v>120</v>
      </c>
      <c r="C12" s="27" t="s">
        <v>121</v>
      </c>
      <c r="D12" s="31">
        <v>0.2</v>
      </c>
      <c r="E12" s="27" t="s">
        <v>118</v>
      </c>
      <c r="F12" s="29"/>
      <c r="G12" s="29"/>
      <c r="H12" s="29"/>
      <c r="I12" s="29"/>
      <c r="J12" s="30" t="s">
        <v>122</v>
      </c>
    </row>
    <row r="13" spans="1:10" ht="8" customHeight="1" x14ac:dyDescent="0.45"/>
    <row r="14" spans="1:10" ht="22.05" customHeight="1" x14ac:dyDescent="0.5">
      <c r="B14" s="7" t="s">
        <v>123</v>
      </c>
      <c r="C14" s="8"/>
      <c r="D14" s="8"/>
      <c r="E14" s="8"/>
      <c r="F14" s="8"/>
      <c r="G14" s="8"/>
      <c r="H14" s="8"/>
      <c r="I14" s="8"/>
      <c r="J14" s="8"/>
    </row>
    <row r="15" spans="1:10" ht="18" customHeight="1" x14ac:dyDescent="0.45">
      <c r="B15" s="13" t="s">
        <v>124</v>
      </c>
    </row>
    <row r="16" spans="1:10" ht="18" customHeight="1" x14ac:dyDescent="0.45">
      <c r="B16" s="24" t="s">
        <v>111</v>
      </c>
      <c r="C16" s="24" t="s">
        <v>112</v>
      </c>
      <c r="D16" s="25" t="s">
        <v>113</v>
      </c>
      <c r="E16" s="24" t="s">
        <v>114</v>
      </c>
      <c r="F16" s="5"/>
      <c r="G16" s="5"/>
      <c r="H16" s="5"/>
      <c r="I16" s="5"/>
      <c r="J16" s="24" t="s">
        <v>115</v>
      </c>
    </row>
    <row r="17" spans="2:10" ht="23.25" x14ac:dyDescent="0.45">
      <c r="B17" s="26" t="s">
        <v>125</v>
      </c>
      <c r="C17" s="27" t="s">
        <v>121</v>
      </c>
      <c r="D17" s="31">
        <v>0.95</v>
      </c>
      <c r="E17" s="27" t="s">
        <v>118</v>
      </c>
      <c r="F17" s="29"/>
      <c r="G17" s="29"/>
      <c r="H17" s="29"/>
      <c r="I17" s="29"/>
      <c r="J17" s="30" t="s">
        <v>126</v>
      </c>
    </row>
    <row r="18" spans="2:10" ht="23.25" x14ac:dyDescent="0.45">
      <c r="B18" s="26" t="s">
        <v>127</v>
      </c>
      <c r="C18" s="27" t="s">
        <v>121</v>
      </c>
      <c r="D18" s="31">
        <v>0.65</v>
      </c>
      <c r="E18" s="27" t="s">
        <v>118</v>
      </c>
      <c r="F18" s="29"/>
      <c r="G18" s="29"/>
      <c r="H18" s="29"/>
      <c r="I18" s="29"/>
      <c r="J18" s="30" t="s">
        <v>128</v>
      </c>
    </row>
    <row r="19" spans="2:10" ht="23.25" x14ac:dyDescent="0.45">
      <c r="B19" s="26" t="s">
        <v>129</v>
      </c>
      <c r="C19" s="27" t="s">
        <v>121</v>
      </c>
      <c r="D19" s="31">
        <v>0.35</v>
      </c>
      <c r="E19" s="27" t="s">
        <v>118</v>
      </c>
      <c r="F19" s="29"/>
      <c r="G19" s="29"/>
      <c r="H19" s="29"/>
      <c r="I19" s="29"/>
      <c r="J19" s="30" t="s">
        <v>130</v>
      </c>
    </row>
    <row r="20" spans="2:10" ht="8" customHeight="1" x14ac:dyDescent="0.45"/>
  </sheetData>
  <mergeCells count="1">
    <mergeCell ref="B6:J6"/>
  </mergeCells>
  <dataValidations count="2">
    <dataValidation type="decimal" operator="greaterThan" showErrorMessage="1" errorTitle="Positive value" error="Enter a value greater than zero." sqref="D11" xr:uid="{00000000-0002-0000-0100-000000000000}">
      <formula1>0</formula1>
    </dataValidation>
    <dataValidation type="decimal" showErrorMessage="1" errorTitle="Probability" error="Enter a value between 0% and 100%." sqref="D12 D17:D19" xr:uid="{00000000-0002-0000-0100-000001000000}">
      <formula1>0</formula1>
      <formula2>1</formula2>
    </dataValidation>
  </dataValidations>
  <hyperlinks>
    <hyperlink ref="B4" location="'About'!A1" display="◂  About" xr:uid="{00000000-0004-0000-0100-000000000000}"/>
    <hyperlink ref="J4" location="'Decisions'!A1" display="Next:  Decisions  ▸" xr:uid="{00000000-0004-0000-0100-000001000000}"/>
  </hyperlinks>
  <printOptions horizontalCentered="1"/>
  <pageMargins left="0.4" right="0.4" top="0.5" bottom="0.6" header="0.25" footer="0.25"/>
  <pageSetup paperSize="9" fitToHeight="0" orientation="landscape"/>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E0A800"/>
    <pageSetUpPr fitToPage="1"/>
  </sheetPr>
  <dimension ref="A1:I37"/>
  <sheetViews>
    <sheetView showGridLines="0" workbookViewId="0">
      <pane ySplit="5" topLeftCell="A6" activePane="bottomLeft" state="frozen"/>
      <selection pane="bottomLeft"/>
    </sheetView>
  </sheetViews>
  <sheetFormatPr defaultRowHeight="14.25" x14ac:dyDescent="0.45"/>
  <cols>
    <col min="1" max="1" width="2" customWidth="1"/>
    <col min="2" max="2" width="42" customWidth="1"/>
    <col min="3" max="3" width="16" customWidth="1"/>
    <col min="4" max="5" width="13" customWidth="1"/>
    <col min="6" max="7" width="11" customWidth="1"/>
    <col min="8" max="8" width="15" customWidth="1"/>
    <col min="9" max="9" width="52" customWidth="1"/>
    <col min="11" max="11" width="9.06640625" customWidth="1"/>
  </cols>
  <sheetData>
    <row r="1" spans="1:9" ht="6" customHeight="1" x14ac:dyDescent="0.45"/>
    <row r="2" spans="1:9" ht="30" customHeight="1" x14ac:dyDescent="0.45">
      <c r="A2" s="1"/>
      <c r="B2" s="22" t="s">
        <v>0</v>
      </c>
      <c r="C2" s="1"/>
      <c r="D2" s="1"/>
      <c r="E2" s="1"/>
      <c r="F2" s="1"/>
      <c r="G2" s="1"/>
      <c r="H2" s="1"/>
      <c r="I2" s="3" t="s">
        <v>1</v>
      </c>
    </row>
    <row r="3" spans="1:9" ht="20" customHeight="1" x14ac:dyDescent="0.45">
      <c r="A3" s="1"/>
      <c r="B3" s="4" t="s">
        <v>131</v>
      </c>
      <c r="C3" s="1"/>
      <c r="D3" s="1"/>
      <c r="E3" s="1"/>
      <c r="F3" s="1"/>
      <c r="G3" s="1"/>
      <c r="H3" s="1"/>
      <c r="I3" s="1"/>
    </row>
    <row r="4" spans="1:9" ht="20" customHeight="1" x14ac:dyDescent="0.45">
      <c r="A4" s="5"/>
      <c r="B4" s="23" t="s">
        <v>132</v>
      </c>
      <c r="C4" s="5"/>
      <c r="D4" s="5"/>
      <c r="E4" s="5"/>
      <c r="F4" s="5"/>
      <c r="G4" s="5"/>
      <c r="H4" s="5"/>
      <c r="I4" s="6" t="s">
        <v>133</v>
      </c>
    </row>
    <row r="5" spans="1:9" ht="8" customHeight="1" x14ac:dyDescent="0.45"/>
    <row r="6" spans="1:9" ht="30" customHeight="1" x14ac:dyDescent="0.45">
      <c r="B6" s="92" t="s">
        <v>134</v>
      </c>
      <c r="C6" s="90"/>
      <c r="D6" s="90"/>
      <c r="E6" s="90"/>
      <c r="F6" s="90"/>
      <c r="G6" s="90"/>
      <c r="H6" s="90"/>
      <c r="I6" s="90"/>
    </row>
    <row r="7" spans="1:9" ht="6" customHeight="1" x14ac:dyDescent="0.45"/>
    <row r="8" spans="1:9" ht="22.05" customHeight="1" x14ac:dyDescent="0.5">
      <c r="B8" s="7" t="s">
        <v>135</v>
      </c>
      <c r="C8" s="8"/>
      <c r="D8" s="8"/>
      <c r="E8" s="8"/>
      <c r="F8" s="8"/>
      <c r="G8" s="8"/>
      <c r="H8" s="8"/>
      <c r="I8" s="8"/>
    </row>
    <row r="9" spans="1:9" ht="18" customHeight="1" x14ac:dyDescent="0.45">
      <c r="B9" s="13" t="s">
        <v>136</v>
      </c>
    </row>
    <row r="10" spans="1:9" ht="18" customHeight="1" x14ac:dyDescent="0.45">
      <c r="B10" s="32" t="s">
        <v>58</v>
      </c>
      <c r="C10" s="32" t="s">
        <v>112</v>
      </c>
      <c r="D10" s="33" t="s">
        <v>137</v>
      </c>
      <c r="E10" s="33" t="s">
        <v>138</v>
      </c>
      <c r="F10" s="33" t="s">
        <v>139</v>
      </c>
      <c r="G10" s="33" t="s">
        <v>140</v>
      </c>
      <c r="H10" s="32" t="s">
        <v>141</v>
      </c>
      <c r="I10" s="32" t="s">
        <v>142</v>
      </c>
    </row>
    <row r="11" spans="1:9" x14ac:dyDescent="0.45">
      <c r="B11" s="26" t="s">
        <v>143</v>
      </c>
      <c r="C11" s="27" t="s">
        <v>144</v>
      </c>
      <c r="D11" s="34">
        <v>1</v>
      </c>
      <c r="E11" s="35">
        <v>1</v>
      </c>
      <c r="F11" s="36">
        <v>0</v>
      </c>
      <c r="G11" s="36">
        <v>1</v>
      </c>
      <c r="H11" s="27" t="s">
        <v>145</v>
      </c>
      <c r="I11" s="27" t="s">
        <v>146</v>
      </c>
    </row>
    <row r="12" spans="1:9" x14ac:dyDescent="0.45">
      <c r="B12" s="26" t="s">
        <v>147</v>
      </c>
      <c r="C12" s="27" t="s">
        <v>144</v>
      </c>
      <c r="D12" s="34">
        <v>1</v>
      </c>
      <c r="E12" s="35">
        <v>0</v>
      </c>
      <c r="F12" s="36">
        <v>0</v>
      </c>
      <c r="G12" s="36">
        <v>1</v>
      </c>
      <c r="H12" s="27" t="s">
        <v>145</v>
      </c>
      <c r="I12" s="27" t="s">
        <v>148</v>
      </c>
    </row>
    <row r="13" spans="1:9" x14ac:dyDescent="0.45">
      <c r="B13" s="26" t="s">
        <v>149</v>
      </c>
      <c r="C13" s="27" t="s">
        <v>144</v>
      </c>
      <c r="D13" s="34">
        <v>1</v>
      </c>
      <c r="E13" s="35">
        <v>1</v>
      </c>
      <c r="F13" s="36">
        <v>0</v>
      </c>
      <c r="G13" s="36">
        <v>1</v>
      </c>
      <c r="H13" s="27" t="s">
        <v>145</v>
      </c>
      <c r="I13" s="27" t="s">
        <v>150</v>
      </c>
    </row>
    <row r="14" spans="1:9" x14ac:dyDescent="0.45">
      <c r="B14" s="26" t="s">
        <v>151</v>
      </c>
      <c r="C14" s="27" t="s">
        <v>144</v>
      </c>
      <c r="D14" s="34">
        <v>0</v>
      </c>
      <c r="E14" s="35">
        <v>1</v>
      </c>
      <c r="F14" s="36">
        <v>0</v>
      </c>
      <c r="G14" s="36">
        <v>1</v>
      </c>
      <c r="H14" s="27" t="s">
        <v>145</v>
      </c>
      <c r="I14" s="27" t="s">
        <v>152</v>
      </c>
    </row>
    <row r="15" spans="1:9" x14ac:dyDescent="0.45">
      <c r="B15" s="26" t="s">
        <v>153</v>
      </c>
      <c r="C15" s="27" t="s">
        <v>144</v>
      </c>
      <c r="D15" s="34">
        <v>0</v>
      </c>
      <c r="E15" s="35">
        <v>0</v>
      </c>
      <c r="F15" s="36">
        <v>0</v>
      </c>
      <c r="G15" s="36">
        <v>1</v>
      </c>
      <c r="H15" s="27" t="s">
        <v>145</v>
      </c>
      <c r="I15" s="27" t="s">
        <v>154</v>
      </c>
    </row>
    <row r="16" spans="1:9" x14ac:dyDescent="0.45">
      <c r="B16" s="26" t="s">
        <v>155</v>
      </c>
      <c r="C16" s="27" t="s">
        <v>144</v>
      </c>
      <c r="D16" s="34">
        <v>0</v>
      </c>
      <c r="E16" s="35">
        <v>1</v>
      </c>
      <c r="F16" s="36">
        <v>0</v>
      </c>
      <c r="G16" s="36">
        <v>1</v>
      </c>
      <c r="H16" s="27" t="s">
        <v>145</v>
      </c>
      <c r="I16" s="27" t="s">
        <v>156</v>
      </c>
    </row>
    <row r="17" spans="2:9" x14ac:dyDescent="0.45">
      <c r="B17" s="26" t="s">
        <v>157</v>
      </c>
      <c r="C17" s="27" t="s">
        <v>144</v>
      </c>
      <c r="D17" s="34">
        <v>1</v>
      </c>
      <c r="E17" s="35">
        <v>1</v>
      </c>
      <c r="F17" s="36">
        <v>0</v>
      </c>
      <c r="G17" s="36">
        <v>1</v>
      </c>
      <c r="H17" s="27" t="s">
        <v>145</v>
      </c>
      <c r="I17" s="27" t="s">
        <v>158</v>
      </c>
    </row>
    <row r="18" spans="2:9" x14ac:dyDescent="0.45">
      <c r="B18" s="26" t="s">
        <v>159</v>
      </c>
      <c r="C18" s="27" t="s">
        <v>144</v>
      </c>
      <c r="D18" s="34">
        <v>1</v>
      </c>
      <c r="E18" s="35">
        <v>0</v>
      </c>
      <c r="F18" s="36">
        <v>0</v>
      </c>
      <c r="G18" s="36">
        <v>1</v>
      </c>
      <c r="H18" s="27" t="s">
        <v>145</v>
      </c>
      <c r="I18" s="27" t="s">
        <v>160</v>
      </c>
    </row>
    <row r="19" spans="2:9" ht="8" customHeight="1" x14ac:dyDescent="0.45"/>
    <row r="20" spans="2:9" ht="22.05" customHeight="1" x14ac:dyDescent="0.5">
      <c r="B20" s="7" t="s">
        <v>161</v>
      </c>
      <c r="C20" s="8"/>
      <c r="D20" s="8"/>
      <c r="E20" s="8"/>
      <c r="F20" s="8"/>
      <c r="G20" s="8"/>
      <c r="H20" s="8"/>
      <c r="I20" s="8"/>
    </row>
    <row r="21" spans="2:9" ht="18" customHeight="1" x14ac:dyDescent="0.45">
      <c r="B21" s="13" t="s">
        <v>162</v>
      </c>
    </row>
    <row r="22" spans="2:9" ht="18" customHeight="1" x14ac:dyDescent="0.45">
      <c r="B22" s="32"/>
      <c r="C22" s="32" t="s">
        <v>163</v>
      </c>
      <c r="D22" s="5"/>
      <c r="E22" s="5"/>
      <c r="F22" s="5"/>
      <c r="G22" s="33" t="s">
        <v>164</v>
      </c>
      <c r="H22" s="5"/>
      <c r="I22" s="32" t="s">
        <v>165</v>
      </c>
    </row>
    <row r="23" spans="2:9" x14ac:dyDescent="0.45">
      <c r="B23" s="37" t="s">
        <v>166</v>
      </c>
      <c r="C23" s="93" t="s">
        <v>167</v>
      </c>
      <c r="D23" s="94"/>
      <c r="E23" s="94"/>
      <c r="F23" s="94"/>
      <c r="G23" s="29"/>
      <c r="H23" s="29"/>
      <c r="I23" s="27" t="s">
        <v>168</v>
      </c>
    </row>
    <row r="24" spans="2:9" x14ac:dyDescent="0.45">
      <c r="B24" s="26" t="s">
        <v>169</v>
      </c>
      <c r="C24" s="93" t="s">
        <v>170</v>
      </c>
      <c r="D24" s="94"/>
      <c r="E24" s="94"/>
      <c r="F24" s="94"/>
      <c r="G24" s="38">
        <f>Budget</f>
        <v>270</v>
      </c>
      <c r="H24" s="29"/>
      <c r="I24" s="27" t="s">
        <v>171</v>
      </c>
    </row>
    <row r="25" spans="2:9" x14ac:dyDescent="0.45">
      <c r="B25" s="26" t="s">
        <v>172</v>
      </c>
      <c r="C25" s="93" t="s">
        <v>173</v>
      </c>
      <c r="D25" s="94"/>
      <c r="E25" s="94"/>
      <c r="F25" s="94"/>
      <c r="G25" s="39">
        <f>MaxDryChance</f>
        <v>0.2</v>
      </c>
      <c r="H25" s="29"/>
      <c r="I25" s="27" t="s">
        <v>174</v>
      </c>
    </row>
    <row r="26" spans="2:9" ht="8" customHeight="1" x14ac:dyDescent="0.45"/>
    <row r="27" spans="2:9" ht="22.05" customHeight="1" x14ac:dyDescent="0.5">
      <c r="B27" s="7" t="s">
        <v>175</v>
      </c>
      <c r="C27" s="8"/>
      <c r="D27" s="8"/>
      <c r="E27" s="8"/>
      <c r="F27" s="8"/>
      <c r="G27" s="8"/>
      <c r="H27" s="8"/>
      <c r="I27" s="8"/>
    </row>
    <row r="28" spans="2:9" ht="18" customHeight="1" x14ac:dyDescent="0.45">
      <c r="B28" s="13" t="s">
        <v>176</v>
      </c>
    </row>
    <row r="29" spans="2:9" x14ac:dyDescent="0.45">
      <c r="B29" s="26" t="s">
        <v>177</v>
      </c>
      <c r="C29" s="29"/>
      <c r="D29" s="95" t="s">
        <v>360</v>
      </c>
      <c r="E29" s="29"/>
      <c r="F29" s="29"/>
      <c r="G29" s="29"/>
      <c r="H29" s="29"/>
      <c r="I29" s="29"/>
    </row>
    <row r="30" spans="2:9" x14ac:dyDescent="0.45">
      <c r="B30" s="26" t="s">
        <v>178</v>
      </c>
      <c r="C30" s="29"/>
      <c r="D30" s="40" t="s">
        <v>359</v>
      </c>
      <c r="E30" s="29"/>
      <c r="F30" s="29"/>
      <c r="G30" s="29"/>
      <c r="H30" s="29"/>
      <c r="I30" s="29"/>
    </row>
    <row r="31" spans="2:9" x14ac:dyDescent="0.45">
      <c r="B31" s="26" t="s">
        <v>179</v>
      </c>
      <c r="C31" s="29"/>
      <c r="D31" s="41">
        <v>256</v>
      </c>
      <c r="E31" s="29"/>
      <c r="F31" s="29"/>
      <c r="G31" s="29"/>
      <c r="H31" s="29"/>
      <c r="I31" s="29"/>
    </row>
    <row r="32" spans="2:9" x14ac:dyDescent="0.45">
      <c r="B32" s="26" t="s">
        <v>180</v>
      </c>
      <c r="C32" s="29"/>
      <c r="D32" s="41">
        <v>10000</v>
      </c>
      <c r="E32" s="29"/>
      <c r="F32" s="29"/>
      <c r="G32" s="29"/>
      <c r="H32" s="29"/>
      <c r="I32" s="29"/>
    </row>
    <row r="33" spans="2:9" x14ac:dyDescent="0.45">
      <c r="B33" s="26" t="s">
        <v>181</v>
      </c>
      <c r="C33" s="29"/>
      <c r="D33" s="42">
        <v>22.4</v>
      </c>
      <c r="E33" s="29"/>
      <c r="F33" s="29"/>
      <c r="G33" s="29"/>
      <c r="H33" s="29"/>
      <c r="I33" s="29"/>
    </row>
    <row r="34" spans="2:9" x14ac:dyDescent="0.45">
      <c r="B34" s="26" t="s">
        <v>182</v>
      </c>
      <c r="C34" s="29"/>
      <c r="D34" s="40" t="s">
        <v>357</v>
      </c>
      <c r="E34" s="29"/>
      <c r="F34" s="29"/>
      <c r="G34" s="29"/>
      <c r="H34" s="29"/>
      <c r="I34" s="29"/>
    </row>
    <row r="35" spans="2:9" x14ac:dyDescent="0.45">
      <c r="B35" s="26" t="s">
        <v>183</v>
      </c>
      <c r="C35" s="29"/>
      <c r="D35" s="40" t="s">
        <v>358</v>
      </c>
      <c r="E35" s="29"/>
      <c r="F35" s="29"/>
      <c r="G35" s="29"/>
      <c r="H35" s="29"/>
      <c r="I35" s="29"/>
    </row>
    <row r="36" spans="2:9" x14ac:dyDescent="0.45">
      <c r="B36" s="26" t="s">
        <v>184</v>
      </c>
      <c r="C36" s="29"/>
      <c r="D36" s="43">
        <v>75.2591836</v>
      </c>
      <c r="E36" s="29"/>
      <c r="F36" s="29"/>
      <c r="G36" s="29"/>
      <c r="H36" s="29"/>
      <c r="I36" s="29"/>
    </row>
    <row r="37" spans="2:9" ht="14" customHeight="1" x14ac:dyDescent="0.45"/>
  </sheetData>
  <mergeCells count="4">
    <mergeCell ref="C24:F24"/>
    <mergeCell ref="B6:I6"/>
    <mergeCell ref="C23:F23"/>
    <mergeCell ref="C25:F25"/>
  </mergeCells>
  <dataValidations count="1">
    <dataValidation type="whole" showErrorMessage="1" errorTitle="Decision" error="Enter a whole number from 0 to 1." sqref="D11:E18" xr:uid="{00000000-0002-0000-0200-000000000000}">
      <formula1>0</formula1>
      <formula2>1</formula2>
    </dataValidation>
  </dataValidations>
  <hyperlinks>
    <hyperlink ref="B4" location="'Inputs'!A1" display="◂  Inputs" xr:uid="{00000000-0004-0000-0200-000000000000}"/>
    <hyperlink ref="I4" location="'Prospects'!A1" display="Next:  Prospects  ▸" xr:uid="{00000000-0004-0000-0200-000001000000}"/>
  </hyperlinks>
  <printOptions horizontalCentered="1"/>
  <pageMargins left="0.4" right="0.4" top="0.5" bottom="0.6" header="0.25" footer="0.25"/>
  <pageSetup paperSize="9" fitToHeight="0" orientation="landscape"/>
  <headerFooter>
    <oddFooter>&amp;L&amp;K3F5876&amp;8&amp;F · &amp;A&amp;R&amp;K3F5876&amp;8Page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8AA0BA"/>
    <pageSetUpPr fitToPage="1"/>
  </sheetPr>
  <dimension ref="A1:O51"/>
  <sheetViews>
    <sheetView showGridLines="0" workbookViewId="0">
      <pane ySplit="5" topLeftCell="A6" activePane="bottomLeft" state="frozen"/>
      <selection pane="bottomLeft"/>
    </sheetView>
  </sheetViews>
  <sheetFormatPr defaultRowHeight="14.25" x14ac:dyDescent="0.45"/>
  <cols>
    <col min="1" max="1" width="2" customWidth="1"/>
    <col min="2" max="2" width="5" customWidth="1"/>
    <col min="3" max="3" width="14" customWidth="1"/>
    <col min="4" max="4" width="7" customWidth="1"/>
    <col min="5" max="5" width="14" customWidth="1"/>
    <col min="6" max="8" width="10" customWidth="1"/>
    <col min="9" max="10" width="11" customWidth="1"/>
    <col min="11" max="11" width="2" customWidth="1"/>
    <col min="12" max="13" width="9" customWidth="1"/>
    <col min="14" max="14" width="2" customWidth="1"/>
    <col min="15" max="15" width="60" customWidth="1"/>
  </cols>
  <sheetData>
    <row r="1" spans="1:15" ht="6" customHeight="1" x14ac:dyDescent="0.45"/>
    <row r="2" spans="1:15" ht="30" customHeight="1" x14ac:dyDescent="0.45">
      <c r="A2" s="1"/>
      <c r="B2" s="22" t="s">
        <v>0</v>
      </c>
      <c r="C2" s="1"/>
      <c r="D2" s="1"/>
      <c r="E2" s="1"/>
      <c r="F2" s="1"/>
      <c r="G2" s="1"/>
      <c r="H2" s="1"/>
      <c r="I2" s="1"/>
      <c r="J2" s="1"/>
      <c r="K2" s="1"/>
      <c r="L2" s="1"/>
      <c r="M2" s="1"/>
      <c r="N2" s="1"/>
      <c r="O2" s="3" t="s">
        <v>1</v>
      </c>
    </row>
    <row r="3" spans="1:15" ht="20" customHeight="1" x14ac:dyDescent="0.45">
      <c r="A3" s="1"/>
      <c r="B3" s="4" t="s">
        <v>185</v>
      </c>
      <c r="C3" s="1"/>
      <c r="D3" s="1"/>
      <c r="E3" s="1"/>
      <c r="F3" s="1"/>
      <c r="G3" s="1"/>
      <c r="H3" s="1"/>
      <c r="I3" s="1"/>
      <c r="J3" s="1"/>
      <c r="K3" s="1"/>
      <c r="L3" s="1"/>
      <c r="M3" s="1"/>
      <c r="N3" s="1"/>
      <c r="O3" s="1"/>
    </row>
    <row r="4" spans="1:15" ht="20" customHeight="1" x14ac:dyDescent="0.45">
      <c r="A4" s="5"/>
      <c r="B4" s="23" t="s">
        <v>186</v>
      </c>
      <c r="C4" s="5"/>
      <c r="D4" s="5"/>
      <c r="E4" s="5"/>
      <c r="F4" s="5"/>
      <c r="G4" s="5"/>
      <c r="H4" s="5"/>
      <c r="I4" s="5"/>
      <c r="J4" s="5"/>
      <c r="K4" s="5"/>
      <c r="L4" s="5"/>
      <c r="M4" s="5"/>
      <c r="N4" s="5"/>
      <c r="O4" s="6" t="s">
        <v>187</v>
      </c>
    </row>
    <row r="5" spans="1:15" ht="8" customHeight="1" x14ac:dyDescent="0.45"/>
    <row r="6" spans="1:15" ht="22.05" customHeight="1" x14ac:dyDescent="0.5">
      <c r="B6" s="7" t="s">
        <v>188</v>
      </c>
      <c r="C6" s="8"/>
      <c r="D6" s="8"/>
      <c r="E6" s="8"/>
      <c r="F6" s="8"/>
      <c r="G6" s="8"/>
      <c r="H6" s="8"/>
      <c r="I6" s="8"/>
      <c r="J6" s="8"/>
      <c r="K6" s="8"/>
      <c r="L6" s="8"/>
      <c r="M6" s="8"/>
      <c r="N6" s="8"/>
      <c r="O6" s="8"/>
    </row>
    <row r="7" spans="1:15" ht="18" customHeight="1" x14ac:dyDescent="0.45">
      <c r="B7" s="13" t="s">
        <v>189</v>
      </c>
    </row>
    <row r="8" spans="1:15" ht="18" customHeight="1" x14ac:dyDescent="0.45">
      <c r="B8" s="44" t="s">
        <v>190</v>
      </c>
      <c r="C8" s="45" t="s">
        <v>191</v>
      </c>
      <c r="D8" s="46" t="s">
        <v>192</v>
      </c>
      <c r="E8" s="44" t="s">
        <v>193</v>
      </c>
      <c r="F8" s="45" t="s">
        <v>194</v>
      </c>
      <c r="G8" s="47"/>
      <c r="H8" s="47"/>
      <c r="I8" s="45" t="s">
        <v>195</v>
      </c>
      <c r="J8" s="47"/>
      <c r="K8" s="47"/>
      <c r="L8" s="45" t="s">
        <v>196</v>
      </c>
      <c r="M8" s="47"/>
      <c r="N8" s="47"/>
      <c r="O8" s="45" t="s">
        <v>197</v>
      </c>
    </row>
    <row r="9" spans="1:15" x14ac:dyDescent="0.45">
      <c r="B9" s="48"/>
      <c r="C9" s="48"/>
      <c r="D9" s="48"/>
      <c r="E9" s="48" t="s">
        <v>198</v>
      </c>
      <c r="F9" s="48" t="s">
        <v>199</v>
      </c>
      <c r="G9" s="48" t="s">
        <v>200</v>
      </c>
      <c r="H9" s="48" t="s">
        <v>201</v>
      </c>
      <c r="I9" s="48" t="s">
        <v>202</v>
      </c>
      <c r="J9" s="48" t="s">
        <v>203</v>
      </c>
      <c r="K9" s="48"/>
      <c r="L9" s="49" t="s">
        <v>204</v>
      </c>
      <c r="M9" s="49" t="s">
        <v>205</v>
      </c>
      <c r="N9" s="48"/>
      <c r="O9" s="48"/>
    </row>
    <row r="10" spans="1:15" x14ac:dyDescent="0.45">
      <c r="B10" s="36">
        <v>1</v>
      </c>
      <c r="C10" s="26" t="s">
        <v>206</v>
      </c>
      <c r="D10" s="50" t="s">
        <v>207</v>
      </c>
      <c r="E10" s="31">
        <v>0.45</v>
      </c>
      <c r="F10" s="51">
        <v>28</v>
      </c>
      <c r="G10" s="51">
        <v>32</v>
      </c>
      <c r="H10" s="51">
        <v>40</v>
      </c>
      <c r="I10" s="51">
        <v>45</v>
      </c>
      <c r="J10" s="51">
        <v>180</v>
      </c>
      <c r="K10" s="29"/>
      <c r="L10" s="52">
        <f>Drill_Alder_Start</f>
        <v>1</v>
      </c>
      <c r="M10" s="52">
        <f>Drill_Alder</f>
        <v>1</v>
      </c>
      <c r="N10" s="29"/>
      <c r="O10" s="27" t="s">
        <v>146</v>
      </c>
    </row>
    <row r="11" spans="1:15" x14ac:dyDescent="0.45">
      <c r="B11" s="36">
        <v>2</v>
      </c>
      <c r="C11" s="26" t="s">
        <v>208</v>
      </c>
      <c r="D11" s="50" t="s">
        <v>207</v>
      </c>
      <c r="E11" s="31">
        <v>0.4</v>
      </c>
      <c r="F11" s="51">
        <v>30</v>
      </c>
      <c r="G11" s="51">
        <v>35</v>
      </c>
      <c r="H11" s="51">
        <v>45</v>
      </c>
      <c r="I11" s="51">
        <v>40</v>
      </c>
      <c r="J11" s="51">
        <v>160</v>
      </c>
      <c r="K11" s="29"/>
      <c r="L11" s="52">
        <f>Drill_Birch_Start</f>
        <v>0</v>
      </c>
      <c r="M11" s="52">
        <f>Drill_Birch</f>
        <v>1</v>
      </c>
      <c r="N11" s="29"/>
      <c r="O11" s="27" t="s">
        <v>148</v>
      </c>
    </row>
    <row r="12" spans="1:15" x14ac:dyDescent="0.45">
      <c r="B12" s="36">
        <v>3</v>
      </c>
      <c r="C12" s="26" t="s">
        <v>209</v>
      </c>
      <c r="D12" s="50" t="s">
        <v>207</v>
      </c>
      <c r="E12" s="31">
        <v>0.35</v>
      </c>
      <c r="F12" s="51">
        <v>32</v>
      </c>
      <c r="G12" s="51">
        <v>38</v>
      </c>
      <c r="H12" s="51">
        <v>50</v>
      </c>
      <c r="I12" s="51">
        <v>55</v>
      </c>
      <c r="J12" s="51">
        <v>230</v>
      </c>
      <c r="K12" s="29"/>
      <c r="L12" s="52">
        <f>Drill_Cedar_Start</f>
        <v>1</v>
      </c>
      <c r="M12" s="52">
        <f>Drill_Cedar</f>
        <v>1</v>
      </c>
      <c r="N12" s="29"/>
      <c r="O12" s="27" t="s">
        <v>150</v>
      </c>
    </row>
    <row r="13" spans="1:15" x14ac:dyDescent="0.45">
      <c r="B13" s="36">
        <v>4</v>
      </c>
      <c r="C13" s="26" t="s">
        <v>210</v>
      </c>
      <c r="D13" s="50" t="s">
        <v>211</v>
      </c>
      <c r="E13" s="31">
        <v>0.5</v>
      </c>
      <c r="F13" s="51">
        <v>40</v>
      </c>
      <c r="G13" s="51">
        <v>48</v>
      </c>
      <c r="H13" s="51">
        <v>62</v>
      </c>
      <c r="I13" s="51">
        <v>80</v>
      </c>
      <c r="J13" s="51">
        <v>330</v>
      </c>
      <c r="K13" s="29"/>
      <c r="L13" s="52">
        <f>Drill_Dogwood_Start</f>
        <v>1</v>
      </c>
      <c r="M13" s="52">
        <f>Drill_Dogwood</f>
        <v>0</v>
      </c>
      <c r="N13" s="29"/>
      <c r="O13" s="27" t="s">
        <v>152</v>
      </c>
    </row>
    <row r="14" spans="1:15" x14ac:dyDescent="0.45">
      <c r="B14" s="36">
        <v>5</v>
      </c>
      <c r="C14" s="26" t="s">
        <v>212</v>
      </c>
      <c r="D14" s="50" t="s">
        <v>211</v>
      </c>
      <c r="E14" s="31">
        <v>0.45</v>
      </c>
      <c r="F14" s="51">
        <v>38</v>
      </c>
      <c r="G14" s="51">
        <v>45</v>
      </c>
      <c r="H14" s="51">
        <v>58</v>
      </c>
      <c r="I14" s="51">
        <v>70</v>
      </c>
      <c r="J14" s="51">
        <v>290</v>
      </c>
      <c r="K14" s="29"/>
      <c r="L14" s="52">
        <f>Drill_Elm_Start</f>
        <v>0</v>
      </c>
      <c r="M14" s="52">
        <f>Drill_Elm</f>
        <v>0</v>
      </c>
      <c r="N14" s="29"/>
      <c r="O14" s="27" t="s">
        <v>154</v>
      </c>
    </row>
    <row r="15" spans="1:15" x14ac:dyDescent="0.45">
      <c r="B15" s="36">
        <v>6</v>
      </c>
      <c r="C15" s="26" t="s">
        <v>213</v>
      </c>
      <c r="D15" s="50" t="s">
        <v>211</v>
      </c>
      <c r="E15" s="31">
        <v>0.4</v>
      </c>
      <c r="F15" s="51">
        <v>42</v>
      </c>
      <c r="G15" s="51">
        <v>50</v>
      </c>
      <c r="H15" s="51">
        <v>66</v>
      </c>
      <c r="I15" s="51">
        <v>95</v>
      </c>
      <c r="J15" s="51">
        <v>400</v>
      </c>
      <c r="K15" s="29"/>
      <c r="L15" s="52">
        <f>Drill_Fir_Start</f>
        <v>1</v>
      </c>
      <c r="M15" s="52">
        <f>Drill_Fir</f>
        <v>0</v>
      </c>
      <c r="N15" s="29"/>
      <c r="O15" s="27" t="s">
        <v>156</v>
      </c>
    </row>
    <row r="16" spans="1:15" x14ac:dyDescent="0.45">
      <c r="B16" s="36">
        <v>7</v>
      </c>
      <c r="C16" s="26" t="s">
        <v>214</v>
      </c>
      <c r="D16" s="50" t="s">
        <v>215</v>
      </c>
      <c r="E16" s="31">
        <v>0.55000000000000004</v>
      </c>
      <c r="F16" s="51">
        <v>60</v>
      </c>
      <c r="G16" s="51">
        <v>72</v>
      </c>
      <c r="H16" s="51">
        <v>95</v>
      </c>
      <c r="I16" s="51">
        <v>200</v>
      </c>
      <c r="J16" s="51">
        <v>900</v>
      </c>
      <c r="K16" s="29"/>
      <c r="L16" s="52">
        <f>Drill_Ginkgo_Start</f>
        <v>1</v>
      </c>
      <c r="M16" s="52">
        <f>Drill_Ginkgo</f>
        <v>1</v>
      </c>
      <c r="N16" s="29"/>
      <c r="O16" s="27" t="s">
        <v>158</v>
      </c>
    </row>
    <row r="17" spans="2:15" x14ac:dyDescent="0.45">
      <c r="B17" s="36">
        <v>8</v>
      </c>
      <c r="C17" s="26" t="s">
        <v>216</v>
      </c>
      <c r="D17" s="50" t="s">
        <v>215</v>
      </c>
      <c r="E17" s="31">
        <v>0.5</v>
      </c>
      <c r="F17" s="51">
        <v>65</v>
      </c>
      <c r="G17" s="51">
        <v>80</v>
      </c>
      <c r="H17" s="51">
        <v>105</v>
      </c>
      <c r="I17" s="51">
        <v>250</v>
      </c>
      <c r="J17" s="51">
        <v>1100</v>
      </c>
      <c r="K17" s="29"/>
      <c r="L17" s="52">
        <f>Drill_Hazel_Start</f>
        <v>0</v>
      </c>
      <c r="M17" s="52">
        <f>Drill_Hazel</f>
        <v>1</v>
      </c>
      <c r="N17" s="29"/>
      <c r="O17" s="27" t="s">
        <v>160</v>
      </c>
    </row>
    <row r="18" spans="2:15" ht="8" customHeight="1" x14ac:dyDescent="0.45"/>
    <row r="19" spans="2:15" ht="22.05" customHeight="1" x14ac:dyDescent="0.5">
      <c r="B19" s="7" t="s">
        <v>217</v>
      </c>
      <c r="C19" s="8"/>
      <c r="D19" s="8"/>
      <c r="E19" s="8"/>
      <c r="F19" s="8"/>
      <c r="G19" s="8"/>
      <c r="H19" s="8"/>
      <c r="I19" s="8"/>
      <c r="J19" s="8"/>
      <c r="K19" s="8"/>
      <c r="L19" s="8"/>
      <c r="M19" s="8"/>
      <c r="N19" s="8"/>
      <c r="O19" s="8"/>
    </row>
    <row r="20" spans="2:15" ht="18" customHeight="1" x14ac:dyDescent="0.45">
      <c r="B20" s="13" t="s">
        <v>218</v>
      </c>
    </row>
    <row r="21" spans="2:15" ht="18" customHeight="1" x14ac:dyDescent="0.45">
      <c r="B21" s="53" t="s">
        <v>192</v>
      </c>
      <c r="C21" s="32" t="s">
        <v>219</v>
      </c>
      <c r="D21" s="5"/>
      <c r="E21" s="5"/>
      <c r="F21" s="5"/>
      <c r="G21" s="5"/>
      <c r="H21" s="33" t="s">
        <v>220</v>
      </c>
      <c r="I21" s="33" t="s">
        <v>221</v>
      </c>
      <c r="J21" s="5"/>
      <c r="K21" s="5"/>
      <c r="L21" s="32" t="s">
        <v>222</v>
      </c>
      <c r="M21" s="5"/>
      <c r="N21" s="5"/>
      <c r="O21" s="5"/>
    </row>
    <row r="22" spans="2:15" x14ac:dyDescent="0.45">
      <c r="B22" s="54" t="s">
        <v>207</v>
      </c>
      <c r="C22" s="26" t="s">
        <v>223</v>
      </c>
      <c r="D22" s="29"/>
      <c r="E22" s="29"/>
      <c r="F22" s="29"/>
      <c r="G22" s="29"/>
      <c r="H22" s="39">
        <f>Chance_PlayA</f>
        <v>0.95</v>
      </c>
      <c r="I22" s="55" cm="1">
        <f t="array" aca="1" ref="I22" ca="1">_xll.VoseInput("Play A works","1 = yes")+_xll.VoseBernoulli(Chance_PlayA)</f>
        <v>1</v>
      </c>
      <c r="J22" s="29"/>
      <c r="K22" s="29"/>
      <c r="L22" s="27" t="s">
        <v>224</v>
      </c>
      <c r="M22" s="29"/>
      <c r="N22" s="29"/>
      <c r="O22" s="29"/>
    </row>
    <row r="23" spans="2:15" x14ac:dyDescent="0.45">
      <c r="B23" s="54" t="s">
        <v>211</v>
      </c>
      <c r="C23" s="26" t="s">
        <v>225</v>
      </c>
      <c r="D23" s="29"/>
      <c r="E23" s="29"/>
      <c r="F23" s="29"/>
      <c r="G23" s="29"/>
      <c r="H23" s="39">
        <f>Chance_PlayB</f>
        <v>0.65</v>
      </c>
      <c r="I23" s="55" cm="1">
        <f t="array" aca="1" ref="I23" ca="1">_xll.VoseInput("Play B works","1 = yes")+_xll.VoseBernoulli(Chance_PlayB)</f>
        <v>1</v>
      </c>
      <c r="J23" s="29"/>
      <c r="K23" s="29"/>
      <c r="L23" s="27" t="s">
        <v>226</v>
      </c>
      <c r="M23" s="29"/>
      <c r="N23" s="29"/>
      <c r="O23" s="29"/>
    </row>
    <row r="24" spans="2:15" x14ac:dyDescent="0.45">
      <c r="B24" s="54" t="s">
        <v>215</v>
      </c>
      <c r="C24" s="26" t="s">
        <v>227</v>
      </c>
      <c r="D24" s="29"/>
      <c r="E24" s="29"/>
      <c r="F24" s="29"/>
      <c r="G24" s="29"/>
      <c r="H24" s="39">
        <f>Chance_PlayC</f>
        <v>0.35</v>
      </c>
      <c r="I24" s="55" cm="1">
        <f t="array" aca="1" ref="I24" ca="1">_xll.VoseInput("Play C works","1 = yes")+_xll.VoseBernoulli(Chance_PlayC)</f>
        <v>0</v>
      </c>
      <c r="J24" s="29"/>
      <c r="K24" s="29"/>
      <c r="L24" s="27" t="s">
        <v>228</v>
      </c>
      <c r="M24" s="29"/>
      <c r="N24" s="29"/>
      <c r="O24" s="29"/>
    </row>
    <row r="25" spans="2:15" ht="8" customHeight="1" x14ac:dyDescent="0.45"/>
    <row r="26" spans="2:15" ht="22.05" customHeight="1" x14ac:dyDescent="0.5">
      <c r="B26" s="7" t="s">
        <v>229</v>
      </c>
      <c r="C26" s="8"/>
      <c r="D26" s="8"/>
      <c r="E26" s="8"/>
      <c r="F26" s="8"/>
      <c r="G26" s="8"/>
      <c r="H26" s="8"/>
      <c r="I26" s="8"/>
      <c r="J26" s="8"/>
      <c r="K26" s="8"/>
      <c r="L26" s="8"/>
      <c r="M26" s="8"/>
      <c r="N26" s="8"/>
      <c r="O26" s="8"/>
    </row>
    <row r="27" spans="2:15" ht="18" customHeight="1" x14ac:dyDescent="0.45">
      <c r="B27" s="13" t="s">
        <v>230</v>
      </c>
    </row>
    <row r="28" spans="2:15" ht="18" customHeight="1" x14ac:dyDescent="0.45">
      <c r="B28" s="44" t="s">
        <v>190</v>
      </c>
      <c r="C28" s="45" t="s">
        <v>191</v>
      </c>
      <c r="D28" s="44" t="s">
        <v>192</v>
      </c>
      <c r="E28" s="44" t="s">
        <v>191</v>
      </c>
      <c r="F28" s="44" t="s">
        <v>231</v>
      </c>
      <c r="G28" s="44" t="s">
        <v>232</v>
      </c>
      <c r="H28" s="44" t="s">
        <v>233</v>
      </c>
      <c r="I28" s="44" t="s">
        <v>234</v>
      </c>
      <c r="J28" s="47"/>
      <c r="K28" s="47"/>
      <c r="L28" s="45" t="s">
        <v>222</v>
      </c>
      <c r="M28" s="47"/>
      <c r="N28" s="47"/>
      <c r="O28" s="47"/>
    </row>
    <row r="29" spans="2:15" x14ac:dyDescent="0.45">
      <c r="B29" s="48"/>
      <c r="C29" s="48"/>
      <c r="D29" s="48" t="s">
        <v>235</v>
      </c>
      <c r="E29" s="48" t="s">
        <v>236</v>
      </c>
      <c r="F29" s="48" t="s">
        <v>237</v>
      </c>
      <c r="G29" s="48" t="s">
        <v>117</v>
      </c>
      <c r="H29" s="48" t="s">
        <v>238</v>
      </c>
      <c r="I29" s="48" t="s">
        <v>239</v>
      </c>
      <c r="J29" s="48"/>
      <c r="K29" s="48"/>
      <c r="L29" s="48"/>
      <c r="M29" s="48"/>
      <c r="N29" s="48"/>
      <c r="O29" s="48"/>
    </row>
    <row r="30" spans="2:15" x14ac:dyDescent="0.45">
      <c r="B30" s="36">
        <v>1</v>
      </c>
      <c r="C30" s="26" t="str">
        <f t="shared" ref="C30:C37" si="0">C10</f>
        <v>Alder</v>
      </c>
      <c r="D30" s="36">
        <f t="shared" ref="D30:D37" ca="1" si="1">INDEX(PlayWorks,MATCH(D10,PlayCodes,0))</f>
        <v>1</v>
      </c>
      <c r="E30" s="55" cm="1">
        <f t="array" aca="1" ref="E30" ca="1">_xll.VoseInput("Alder succeeds","1 = yes")+_xll.VoseBernoulli(E10)</f>
        <v>1</v>
      </c>
      <c r="F30" s="36">
        <f t="shared" ref="F30:F37" ca="1" si="2">D30*E30</f>
        <v>1</v>
      </c>
      <c r="G30" s="56" cm="1">
        <f t="array" aca="1" ref="G30" ca="1">_xll.VoseInput("Alder well cost","US$m")+_xll.VosePERT(F10,G10,H10)</f>
        <v>34.505379726326808</v>
      </c>
      <c r="H30" s="56" cm="1">
        <f t="array" aca="1" ref="H30" ca="1">_xll.VoseInput("Alder value if discovered","US$m")+_xll.VoseLognormalAlt(I10,0.1,J10,0.9,0)</f>
        <v>106.3024195446468</v>
      </c>
      <c r="I30" s="38">
        <f t="shared" ref="I30:I37" ca="1" si="3">F30*H30-G30</f>
        <v>71.797039818319988</v>
      </c>
      <c r="J30" s="29"/>
      <c r="K30" s="29"/>
      <c r="L30" s="27" t="s">
        <v>240</v>
      </c>
      <c r="M30" s="29"/>
      <c r="N30" s="29"/>
      <c r="O30" s="29"/>
    </row>
    <row r="31" spans="2:15" x14ac:dyDescent="0.45">
      <c r="B31" s="36">
        <v>2</v>
      </c>
      <c r="C31" s="26" t="str">
        <f t="shared" si="0"/>
        <v>Birch</v>
      </c>
      <c r="D31" s="36">
        <f t="shared" ca="1" si="1"/>
        <v>1</v>
      </c>
      <c r="E31" s="55" cm="1">
        <f t="array" aca="1" ref="E31" ca="1">_xll.VoseInput("Birch succeeds","1 = yes")+_xll.VoseBernoulli(E11)</f>
        <v>1</v>
      </c>
      <c r="F31" s="36">
        <f t="shared" ca="1" si="2"/>
        <v>1</v>
      </c>
      <c r="G31" s="56" cm="1">
        <f t="array" aca="1" ref="G31" ca="1">_xll.VoseInput("Birch well cost","US$m")+_xll.VosePERT(F11,G11,H11)</f>
        <v>32.201767073784595</v>
      </c>
      <c r="H31" s="56" cm="1">
        <f t="array" aca="1" ref="H31" ca="1">_xll.VoseInput("Birch value if discovered","US$m")+_xll.VoseLognormalAlt(I11,0.1,J11,0.9,0)</f>
        <v>104.84405193352056</v>
      </c>
      <c r="I31" s="38">
        <f t="shared" ca="1" si="3"/>
        <v>72.642284859735966</v>
      </c>
      <c r="J31" s="29"/>
      <c r="K31" s="29"/>
      <c r="L31" s="29"/>
      <c r="M31" s="29"/>
      <c r="N31" s="29"/>
      <c r="O31" s="29"/>
    </row>
    <row r="32" spans="2:15" x14ac:dyDescent="0.45">
      <c r="B32" s="36">
        <v>3</v>
      </c>
      <c r="C32" s="26" t="str">
        <f t="shared" si="0"/>
        <v>Cedar</v>
      </c>
      <c r="D32" s="36">
        <f t="shared" ca="1" si="1"/>
        <v>1</v>
      </c>
      <c r="E32" s="55" cm="1">
        <f t="array" aca="1" ref="E32" ca="1">_xll.VoseInput("Cedar succeeds","1 = yes")+_xll.VoseBernoulli(E12)</f>
        <v>0</v>
      </c>
      <c r="F32" s="36">
        <f t="shared" ca="1" si="2"/>
        <v>0</v>
      </c>
      <c r="G32" s="56" cm="1">
        <f t="array" aca="1" ref="G32" ca="1">_xll.VoseInput("Cedar well cost","US$m")+_xll.VosePERT(F12,G12,H12)</f>
        <v>34.427250870954872</v>
      </c>
      <c r="H32" s="56" cm="1">
        <f t="array" aca="1" ref="H32" ca="1">_xll.VoseInput("Cedar value if discovered","US$m")+_xll.VoseLognormalAlt(I12,0.1,J12,0.9,0)</f>
        <v>91.124004879758076</v>
      </c>
      <c r="I32" s="38">
        <f t="shared" ca="1" si="3"/>
        <v>-34.427250870954872</v>
      </c>
      <c r="J32" s="29"/>
      <c r="K32" s="29"/>
      <c r="L32" s="29"/>
      <c r="M32" s="29"/>
      <c r="N32" s="29"/>
      <c r="O32" s="29"/>
    </row>
    <row r="33" spans="2:15" x14ac:dyDescent="0.45">
      <c r="B33" s="36">
        <v>4</v>
      </c>
      <c r="C33" s="26" t="str">
        <f t="shared" si="0"/>
        <v>Dogwood</v>
      </c>
      <c r="D33" s="36">
        <f t="shared" ca="1" si="1"/>
        <v>1</v>
      </c>
      <c r="E33" s="55" cm="1">
        <f t="array" aca="1" ref="E33" ca="1">_xll.VoseInput("Dogwood succeeds","1 = yes")+_xll.VoseBernoulli(E13)</f>
        <v>1</v>
      </c>
      <c r="F33" s="36">
        <f t="shared" ca="1" si="2"/>
        <v>1</v>
      </c>
      <c r="G33" s="56" cm="1">
        <f t="array" aca="1" ref="G33" ca="1">_xll.VoseInput("Dogwood well cost","US$m")+_xll.VosePERT(F13,G13,H13)</f>
        <v>44.306828998531138</v>
      </c>
      <c r="H33" s="56" cm="1">
        <f t="array" aca="1" ref="H33" ca="1">_xll.VoseInput("Dogwood value if discovered","US$m")+_xll.VoseLognormalAlt(I13,0.1,J13,0.9,0)</f>
        <v>41.506045539137553</v>
      </c>
      <c r="I33" s="38">
        <f t="shared" ca="1" si="3"/>
        <v>-2.8007834593935854</v>
      </c>
      <c r="J33" s="29"/>
      <c r="K33" s="29"/>
      <c r="L33" s="29"/>
      <c r="M33" s="29"/>
      <c r="N33" s="29"/>
      <c r="O33" s="29"/>
    </row>
    <row r="34" spans="2:15" x14ac:dyDescent="0.45">
      <c r="B34" s="36">
        <v>5</v>
      </c>
      <c r="C34" s="26" t="str">
        <f t="shared" si="0"/>
        <v>Elm</v>
      </c>
      <c r="D34" s="36">
        <f t="shared" ca="1" si="1"/>
        <v>1</v>
      </c>
      <c r="E34" s="55" cm="1">
        <f t="array" aca="1" ref="E34" ca="1">_xll.VoseInput("Elm succeeds","1 = yes")+_xll.VoseBernoulli(E14)</f>
        <v>1</v>
      </c>
      <c r="F34" s="36">
        <f t="shared" ca="1" si="2"/>
        <v>1</v>
      </c>
      <c r="G34" s="56" cm="1">
        <f t="array" aca="1" ref="G34" ca="1">_xll.VoseInput("Elm well cost","US$m")+_xll.VosePERT(F14,G14,H14)</f>
        <v>45.522334957412021</v>
      </c>
      <c r="H34" s="56" cm="1">
        <f t="array" aca="1" ref="H34" ca="1">_xll.VoseInput("Elm value if discovered","US$m")+_xll.VoseLognormalAlt(I14,0.1,J14,0.9,0)</f>
        <v>142.39800064087359</v>
      </c>
      <c r="I34" s="38">
        <f t="shared" ca="1" si="3"/>
        <v>96.875665683461563</v>
      </c>
      <c r="J34" s="29"/>
      <c r="K34" s="29"/>
      <c r="L34" s="29"/>
      <c r="M34" s="29"/>
      <c r="N34" s="29"/>
      <c r="O34" s="29"/>
    </row>
    <row r="35" spans="2:15" x14ac:dyDescent="0.45">
      <c r="B35" s="36">
        <v>6</v>
      </c>
      <c r="C35" s="26" t="str">
        <f t="shared" si="0"/>
        <v>Fir</v>
      </c>
      <c r="D35" s="36">
        <f t="shared" ca="1" si="1"/>
        <v>1</v>
      </c>
      <c r="E35" s="55" cm="1">
        <f t="array" aca="1" ref="E35" ca="1">_xll.VoseInput("Fir succeeds","1 = yes")+_xll.VoseBernoulli(E15)</f>
        <v>1</v>
      </c>
      <c r="F35" s="36">
        <f t="shared" ca="1" si="2"/>
        <v>1</v>
      </c>
      <c r="G35" s="56" cm="1">
        <f t="array" aca="1" ref="G35" ca="1">_xll.VoseInput("Fir well cost","US$m")+_xll.VosePERT(F15,G15,H15)</f>
        <v>51.619025037833751</v>
      </c>
      <c r="H35" s="56" cm="1">
        <f t="array" aca="1" ref="H35" ca="1">_xll.VoseInput("Fir value if discovered","US$m")+_xll.VoseLognormalAlt(I15,0.1,J15,0.9,0)</f>
        <v>519.99443705832834</v>
      </c>
      <c r="I35" s="38">
        <f t="shared" ca="1" si="3"/>
        <v>468.37541202049459</v>
      </c>
      <c r="J35" s="29"/>
      <c r="K35" s="29"/>
      <c r="L35" s="29"/>
      <c r="M35" s="29"/>
      <c r="N35" s="29"/>
      <c r="O35" s="29"/>
    </row>
    <row r="36" spans="2:15" x14ac:dyDescent="0.45">
      <c r="B36" s="36">
        <v>7</v>
      </c>
      <c r="C36" s="26" t="str">
        <f t="shared" si="0"/>
        <v>Ginkgo</v>
      </c>
      <c r="D36" s="36">
        <f t="shared" ca="1" si="1"/>
        <v>0</v>
      </c>
      <c r="E36" s="55" cm="1">
        <f t="array" aca="1" ref="E36" ca="1">_xll.VoseInput("Ginkgo succeeds","1 = yes")+_xll.VoseBernoulli(E16)</f>
        <v>1</v>
      </c>
      <c r="F36" s="36">
        <f t="shared" ca="1" si="2"/>
        <v>0</v>
      </c>
      <c r="G36" s="56" cm="1">
        <f t="array" aca="1" ref="G36" ca="1">_xll.VoseInput("Ginkgo well cost","US$m")+_xll.VosePERT(F16,G16,H16)</f>
        <v>83.31509447417379</v>
      </c>
      <c r="H36" s="56" cm="1">
        <f t="array" aca="1" ref="H36" ca="1">_xll.VoseInput("Ginkgo value if discovered","US$m")+_xll.VoseLognormalAlt(I16,0.1,J16,0.9,0)</f>
        <v>534.92386748479532</v>
      </c>
      <c r="I36" s="38">
        <f t="shared" ca="1" si="3"/>
        <v>-83.31509447417379</v>
      </c>
      <c r="J36" s="29"/>
      <c r="K36" s="29"/>
      <c r="L36" s="29"/>
      <c r="M36" s="29"/>
      <c r="N36" s="29"/>
      <c r="O36" s="29"/>
    </row>
    <row r="37" spans="2:15" x14ac:dyDescent="0.45">
      <c r="B37" s="36">
        <v>8</v>
      </c>
      <c r="C37" s="26" t="str">
        <f t="shared" si="0"/>
        <v>Hazel</v>
      </c>
      <c r="D37" s="36">
        <f t="shared" ca="1" si="1"/>
        <v>0</v>
      </c>
      <c r="E37" s="55" cm="1">
        <f t="array" aca="1" ref="E37" ca="1">_xll.VoseInput("Hazel succeeds","1 = yes")+_xll.VoseBernoulli(E17)</f>
        <v>1</v>
      </c>
      <c r="F37" s="36">
        <f t="shared" ca="1" si="2"/>
        <v>0</v>
      </c>
      <c r="G37" s="56" cm="1">
        <f t="array" aca="1" ref="G37" ca="1">_xll.VoseInput("Hazel well cost","US$m")+_xll.VosePERT(F17,G17,H17)</f>
        <v>83.527714144487959</v>
      </c>
      <c r="H37" s="56" cm="1">
        <f t="array" aca="1" ref="H37" ca="1">_xll.VoseInput("Hazel value if discovered","US$m")+_xll.VoseLognormalAlt(I17,0.1,J17,0.9,0)</f>
        <v>501.6094650646196</v>
      </c>
      <c r="I37" s="38">
        <f t="shared" ca="1" si="3"/>
        <v>-83.527714144487959</v>
      </c>
      <c r="J37" s="29"/>
      <c r="K37" s="29"/>
      <c r="L37" s="29"/>
      <c r="M37" s="29"/>
      <c r="N37" s="29"/>
      <c r="O37" s="29"/>
    </row>
    <row r="38" spans="2:15" ht="8" customHeight="1" x14ac:dyDescent="0.45"/>
    <row r="39" spans="2:15" ht="22.05" customHeight="1" x14ac:dyDescent="0.5">
      <c r="B39" s="7" t="s">
        <v>241</v>
      </c>
      <c r="C39" s="8"/>
      <c r="D39" s="8"/>
      <c r="E39" s="8"/>
      <c r="F39" s="8"/>
      <c r="G39" s="8"/>
      <c r="H39" s="8"/>
      <c r="I39" s="8"/>
      <c r="J39" s="8"/>
      <c r="K39" s="8"/>
      <c r="L39" s="8"/>
      <c r="M39" s="8"/>
      <c r="N39" s="8"/>
      <c r="O39" s="8"/>
    </row>
    <row r="40" spans="2:15" ht="18" customHeight="1" x14ac:dyDescent="0.45">
      <c r="B40" s="13" t="s">
        <v>242</v>
      </c>
    </row>
    <row r="41" spans="2:15" ht="18" customHeight="1" x14ac:dyDescent="0.45">
      <c r="B41" s="44" t="s">
        <v>190</v>
      </c>
      <c r="C41" s="45" t="s">
        <v>191</v>
      </c>
      <c r="D41" s="47"/>
      <c r="E41" s="44" t="s">
        <v>243</v>
      </c>
      <c r="F41" s="47"/>
      <c r="G41" s="44" t="s">
        <v>244</v>
      </c>
      <c r="H41" s="44" t="s">
        <v>245</v>
      </c>
      <c r="I41" s="44" t="s">
        <v>246</v>
      </c>
      <c r="J41" s="44" t="s">
        <v>247</v>
      </c>
      <c r="K41" s="47"/>
      <c r="L41" s="44" t="s">
        <v>248</v>
      </c>
      <c r="M41" s="47"/>
      <c r="N41" s="47"/>
      <c r="O41" s="45" t="s">
        <v>222</v>
      </c>
    </row>
    <row r="42" spans="2:15" x14ac:dyDescent="0.45">
      <c r="B42" s="48"/>
      <c r="C42" s="48"/>
      <c r="D42" s="48"/>
      <c r="E42" s="48" t="s">
        <v>249</v>
      </c>
      <c r="F42" s="48"/>
      <c r="G42" s="48" t="s">
        <v>250</v>
      </c>
      <c r="H42" s="48" t="s">
        <v>251</v>
      </c>
      <c r="I42" s="48" t="s">
        <v>252</v>
      </c>
      <c r="J42" s="48" t="s">
        <v>253</v>
      </c>
      <c r="K42" s="48"/>
      <c r="L42" s="48" t="s">
        <v>254</v>
      </c>
      <c r="M42" s="48"/>
      <c r="N42" s="48"/>
      <c r="O42" s="48"/>
    </row>
    <row r="43" spans="2:15" x14ac:dyDescent="0.45">
      <c r="B43" s="36">
        <v>1</v>
      </c>
      <c r="C43" s="26" t="str">
        <f t="shared" ref="C43:C50" si="4">C10</f>
        <v>Alder</v>
      </c>
      <c r="D43" s="29"/>
      <c r="E43" s="57">
        <f t="shared" ref="E43:E50" si="5">INDEX(PlayChances,MATCH(D10,PlayCodes,0))*E10</f>
        <v>0.42749999999999999</v>
      </c>
      <c r="F43" s="29"/>
      <c r="G43" s="38">
        <f t="shared" ref="G43:G50" si="6">(F10+4*G10+H10)/6</f>
        <v>32.666666666666664</v>
      </c>
      <c r="H43" s="38" cm="1">
        <f t="array" ref="H43">_xll.VoseMean(_xll.VoseLognormalAltObject(I10,0.1,J10,0.9,0))</f>
        <v>104.17555232039108</v>
      </c>
      <c r="I43" s="38">
        <f t="shared" ref="I43:I50" si="7">E43*H43-G43</f>
        <v>11.868381950300517</v>
      </c>
      <c r="J43" s="58">
        <f t="shared" ref="J43:J50" si="8">LN(1-E10)</f>
        <v>-0.59783700075562041</v>
      </c>
      <c r="K43" s="29"/>
      <c r="L43" s="58">
        <f t="shared" ref="L43:L50" si="9">LN(1-E43)</f>
        <v>-0.55774254355374231</v>
      </c>
      <c r="M43" s="29"/>
      <c r="N43" s="29"/>
      <c r="O43" s="27" t="s">
        <v>255</v>
      </c>
    </row>
    <row r="44" spans="2:15" x14ac:dyDescent="0.45">
      <c r="B44" s="36">
        <v>2</v>
      </c>
      <c r="C44" s="26" t="str">
        <f t="shared" si="4"/>
        <v>Birch</v>
      </c>
      <c r="D44" s="29"/>
      <c r="E44" s="57">
        <f t="shared" si="5"/>
        <v>0.38</v>
      </c>
      <c r="F44" s="29"/>
      <c r="G44" s="38">
        <f t="shared" si="6"/>
        <v>35.833333333333336</v>
      </c>
      <c r="H44" s="38" cm="1">
        <f t="array" ref="H44">_xll.VoseMean(_xll.VoseLognormalAltObject(I11,0.1,J11,0.9,0))</f>
        <v>92.60049095145871</v>
      </c>
      <c r="I44" s="38">
        <f t="shared" si="7"/>
        <v>-0.64514677177902513</v>
      </c>
      <c r="J44" s="58">
        <f t="shared" si="8"/>
        <v>-0.51082562376599072</v>
      </c>
      <c r="K44" s="29"/>
      <c r="L44" s="58">
        <f t="shared" si="9"/>
        <v>-0.4780358009429998</v>
      </c>
      <c r="M44" s="29"/>
      <c r="N44" s="29"/>
      <c r="O44" s="27" t="s">
        <v>256</v>
      </c>
    </row>
    <row r="45" spans="2:15" x14ac:dyDescent="0.45">
      <c r="B45" s="36">
        <v>3</v>
      </c>
      <c r="C45" s="26" t="str">
        <f t="shared" si="4"/>
        <v>Cedar</v>
      </c>
      <c r="D45" s="29"/>
      <c r="E45" s="57">
        <f t="shared" si="5"/>
        <v>0.33249999999999996</v>
      </c>
      <c r="F45" s="29"/>
      <c r="G45" s="38">
        <f t="shared" si="6"/>
        <v>39</v>
      </c>
      <c r="H45" s="38" cm="1">
        <f t="array" ref="H45">_xll.VoseMean(_xll.VoseLognormalAltObject(I12,0.1,J12,0.9,0))</f>
        <v>131.43397690111544</v>
      </c>
      <c r="I45" s="38">
        <f t="shared" si="7"/>
        <v>4.70179731962088</v>
      </c>
      <c r="J45" s="58">
        <f t="shared" si="8"/>
        <v>-0.43078291609245423</v>
      </c>
      <c r="K45" s="29"/>
      <c r="L45" s="58">
        <f t="shared" si="9"/>
        <v>-0.40421588870773251</v>
      </c>
      <c r="M45" s="29"/>
      <c r="N45" s="29"/>
      <c r="O45" s="27" t="s">
        <v>257</v>
      </c>
    </row>
    <row r="46" spans="2:15" x14ac:dyDescent="0.45">
      <c r="B46" s="36">
        <v>4</v>
      </c>
      <c r="C46" s="26" t="str">
        <f t="shared" si="4"/>
        <v>Dogwood</v>
      </c>
      <c r="D46" s="29"/>
      <c r="E46" s="57">
        <f t="shared" si="5"/>
        <v>0.32500000000000001</v>
      </c>
      <c r="F46" s="29"/>
      <c r="G46" s="38">
        <f t="shared" si="6"/>
        <v>49</v>
      </c>
      <c r="H46" s="38" cm="1">
        <f t="array" ref="H46">_xll.VoseMean(_xll.VoseLognormalAltObject(I13,0.1,J13,0.9,0))</f>
        <v>189.31133813430895</v>
      </c>
      <c r="I46" s="38">
        <f t="shared" si="7"/>
        <v>12.526184893650409</v>
      </c>
      <c r="J46" s="58">
        <f t="shared" si="8"/>
        <v>-0.69314718055994529</v>
      </c>
      <c r="K46" s="29"/>
      <c r="L46" s="58">
        <f t="shared" si="9"/>
        <v>-0.39304258810960718</v>
      </c>
      <c r="M46" s="29"/>
      <c r="N46" s="29"/>
      <c r="O46" s="27" t="s">
        <v>258</v>
      </c>
    </row>
    <row r="47" spans="2:15" x14ac:dyDescent="0.45">
      <c r="B47" s="36">
        <v>5</v>
      </c>
      <c r="C47" s="26" t="str">
        <f t="shared" si="4"/>
        <v>Elm</v>
      </c>
      <c r="D47" s="29"/>
      <c r="E47" s="57">
        <f t="shared" si="5"/>
        <v>0.29250000000000004</v>
      </c>
      <c r="F47" s="29"/>
      <c r="G47" s="38">
        <f t="shared" si="6"/>
        <v>46</v>
      </c>
      <c r="H47" s="38" cm="1">
        <f t="array" ref="H47">_xll.VoseMean(_xll.VoseLognormalAltObject(I14,0.1,J14,0.9,0))</f>
        <v>166.16056454812724</v>
      </c>
      <c r="I47" s="38">
        <f t="shared" si="7"/>
        <v>2.6019651303272227</v>
      </c>
      <c r="J47" s="58">
        <f t="shared" si="8"/>
        <v>-0.59783700075562041</v>
      </c>
      <c r="K47" s="29"/>
      <c r="L47" s="58">
        <f t="shared" si="9"/>
        <v>-0.34601764946474434</v>
      </c>
      <c r="M47" s="29"/>
      <c r="N47" s="29"/>
      <c r="O47" s="27" t="s">
        <v>259</v>
      </c>
    </row>
    <row r="48" spans="2:15" x14ac:dyDescent="0.45">
      <c r="B48" s="36">
        <v>6</v>
      </c>
      <c r="C48" s="26" t="str">
        <f t="shared" si="4"/>
        <v>Fir</v>
      </c>
      <c r="D48" s="29"/>
      <c r="E48" s="57">
        <f t="shared" si="5"/>
        <v>0.26</v>
      </c>
      <c r="F48" s="29"/>
      <c r="G48" s="38">
        <f t="shared" si="6"/>
        <v>51.333333333333336</v>
      </c>
      <c r="H48" s="38" cm="1">
        <f t="array" ref="H48">_xll.VoseMean(_xll.VoseLognormalAltObject(I15,0.1,J15,0.9,0))</f>
        <v>228.14072987719365</v>
      </c>
      <c r="I48" s="38">
        <f t="shared" si="7"/>
        <v>7.9832564347370152</v>
      </c>
      <c r="J48" s="58">
        <f t="shared" si="8"/>
        <v>-0.51082562376599072</v>
      </c>
      <c r="K48" s="29"/>
      <c r="L48" s="58">
        <f t="shared" si="9"/>
        <v>-0.30110509278392161</v>
      </c>
      <c r="M48" s="29"/>
      <c r="N48" s="29"/>
      <c r="O48" s="27" t="s">
        <v>260</v>
      </c>
    </row>
    <row r="49" spans="2:15" x14ac:dyDescent="0.45">
      <c r="B49" s="36">
        <v>7</v>
      </c>
      <c r="C49" s="26" t="str">
        <f t="shared" si="4"/>
        <v>Ginkgo</v>
      </c>
      <c r="D49" s="29"/>
      <c r="E49" s="57">
        <f t="shared" si="5"/>
        <v>0.1925</v>
      </c>
      <c r="F49" s="29"/>
      <c r="G49" s="38">
        <f t="shared" si="6"/>
        <v>73.833333333333329</v>
      </c>
      <c r="H49" s="38" cm="1">
        <f t="array" ref="H49">_xll.VoseMean(_xll.VoseLognormalAltObject(I16,0.1,J16,0.9,0))</f>
        <v>503.97884050295403</v>
      </c>
      <c r="I49" s="38">
        <f t="shared" si="7"/>
        <v>23.182593463485318</v>
      </c>
      <c r="J49" s="58">
        <f t="shared" si="8"/>
        <v>-0.79850769621777173</v>
      </c>
      <c r="K49" s="29"/>
      <c r="L49" s="58">
        <f t="shared" si="9"/>
        <v>-0.21381222388532545</v>
      </c>
      <c r="M49" s="29"/>
      <c r="N49" s="29"/>
      <c r="O49" s="27" t="s">
        <v>261</v>
      </c>
    </row>
    <row r="50" spans="2:15" x14ac:dyDescent="0.45">
      <c r="B50" s="36">
        <v>8</v>
      </c>
      <c r="C50" s="26" t="str">
        <f t="shared" si="4"/>
        <v>Hazel</v>
      </c>
      <c r="D50" s="29"/>
      <c r="E50" s="57">
        <f t="shared" si="5"/>
        <v>0.17499999999999999</v>
      </c>
      <c r="F50" s="29"/>
      <c r="G50" s="38">
        <f t="shared" si="6"/>
        <v>81.666666666666671</v>
      </c>
      <c r="H50" s="38" cm="1">
        <f t="array" ref="H50">_xll.VoseMean(_xll.VoseLognormalAltObject(I17,0.1,J17,0.9,0))</f>
        <v>619.76149319882893</v>
      </c>
      <c r="I50" s="38">
        <f t="shared" si="7"/>
        <v>26.791594643128391</v>
      </c>
      <c r="J50" s="58">
        <f t="shared" si="8"/>
        <v>-0.69314718055994529</v>
      </c>
      <c r="K50" s="29"/>
      <c r="L50" s="58">
        <f t="shared" si="9"/>
        <v>-0.19237189264745613</v>
      </c>
      <c r="M50" s="29"/>
      <c r="N50" s="29"/>
      <c r="O50" s="29"/>
    </row>
    <row r="51" spans="2:15" ht="14" customHeight="1" x14ac:dyDescent="0.45"/>
  </sheetData>
  <conditionalFormatting sqref="F30:F37">
    <cfRule type="expression" dxfId="8" priority="2">
      <formula>F30=1</formula>
    </cfRule>
  </conditionalFormatting>
  <conditionalFormatting sqref="I43:I50">
    <cfRule type="expression" dxfId="7" priority="3">
      <formula>I43&lt;0</formula>
    </cfRule>
  </conditionalFormatting>
  <conditionalFormatting sqref="L10:M17">
    <cfRule type="expression" dxfId="6" priority="1">
      <formula>L10=1</formula>
    </cfRule>
  </conditionalFormatting>
  <dataValidations count="4">
    <dataValidation type="list" showErrorMessage="1" errorTitle="Play" error="Enter A, B or C." sqref="D10:D17" xr:uid="{00000000-0002-0000-0300-000000000000}">
      <formula1>"A,B,C"</formula1>
    </dataValidation>
    <dataValidation type="decimal" showErrorMessage="1" errorTitle="Probability" error="Enter a value between 0% and 100%." sqref="E10:E17" xr:uid="{00000000-0002-0000-0300-000001000000}">
      <formula1>0</formula1>
      <formula2>1</formula2>
    </dataValidation>
    <dataValidation type="custom" showErrorMessage="1" errorTitle="Well cost" error="Low must be below High, with Most likely between them." sqref="F10:H17" xr:uid="{00000000-0002-0000-0300-000002000000}">
      <formula1>AND($F10&lt;=$G10,$G10&lt;=$H10,$F10&lt;$H10,$F10&gt;=0)</formula1>
    </dataValidation>
    <dataValidation type="custom" showErrorMessage="1" errorTitle="Value" error="P90 (low) must be positive and below P10 (high)." sqref="I10:J17" xr:uid="{00000000-0002-0000-0300-000003000000}">
      <formula1>AND($I10&gt;0,$I10&lt;$J10)</formula1>
    </dataValidation>
  </dataValidations>
  <hyperlinks>
    <hyperlink ref="B4" location="'Decisions'!A1" display="◂  Decisions" xr:uid="{00000000-0004-0000-0300-000000000000}"/>
    <hyperlink ref="O4" location="'Programmes'!A1" display="Next:  Programmes  ▸" xr:uid="{00000000-0004-0000-0300-000001000000}"/>
  </hyperlinks>
  <printOptions horizontalCentered="1"/>
  <pageMargins left="0.4" right="0.4" top="0.5" bottom="0.6" header="0.25" footer="0.25"/>
  <pageSetup paperSize="9" fitToHeight="0" orientation="landscape"/>
  <headerFooter>
    <oddFooter>&amp;L&amp;K3F5876&amp;8&amp;F · &amp;A&amp;R&amp;K3F5876&amp;8Page &amp;P of &amp;N</oddFooter>
  </headerFooter>
  <rowBreaks count="1" manualBreakCount="1">
    <brk id="3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8AA0BA"/>
    <pageSetUpPr fitToPage="1"/>
  </sheetPr>
  <dimension ref="A1:F36"/>
  <sheetViews>
    <sheetView showGridLines="0" workbookViewId="0">
      <pane xSplit="2" ySplit="5" topLeftCell="C6" activePane="bottomRight" state="frozen"/>
      <selection pane="topRight"/>
      <selection pane="bottomLeft"/>
      <selection pane="bottomRight"/>
    </sheetView>
  </sheetViews>
  <sheetFormatPr defaultRowHeight="14.25" x14ac:dyDescent="0.45"/>
  <cols>
    <col min="1" max="1" width="2" customWidth="1"/>
    <col min="2" max="2" width="52" customWidth="1"/>
    <col min="3" max="4" width="15" customWidth="1"/>
    <col min="5" max="5" width="2" customWidth="1"/>
    <col min="6" max="6" width="66" customWidth="1"/>
  </cols>
  <sheetData>
    <row r="1" spans="1:6" ht="6" customHeight="1" x14ac:dyDescent="0.45"/>
    <row r="2" spans="1:6" ht="30" customHeight="1" x14ac:dyDescent="0.45">
      <c r="A2" s="1"/>
      <c r="B2" s="22" t="s">
        <v>0</v>
      </c>
      <c r="C2" s="1"/>
      <c r="D2" s="1"/>
      <c r="E2" s="1"/>
      <c r="F2" s="3" t="s">
        <v>1</v>
      </c>
    </row>
    <row r="3" spans="1:6" ht="20" customHeight="1" x14ac:dyDescent="0.45">
      <c r="A3" s="1"/>
      <c r="B3" s="4" t="s">
        <v>262</v>
      </c>
      <c r="C3" s="1"/>
      <c r="D3" s="1"/>
      <c r="E3" s="1"/>
      <c r="F3" s="1"/>
    </row>
    <row r="4" spans="1:6" ht="20" customHeight="1" x14ac:dyDescent="0.45">
      <c r="A4" s="5"/>
      <c r="B4" s="23" t="s">
        <v>263</v>
      </c>
      <c r="C4" s="5"/>
      <c r="D4" s="5"/>
      <c r="E4" s="5"/>
      <c r="F4" s="6" t="s">
        <v>264</v>
      </c>
    </row>
    <row r="5" spans="1:6" ht="8" customHeight="1" x14ac:dyDescent="0.45"/>
    <row r="6" spans="1:6" ht="22.05" customHeight="1" x14ac:dyDescent="0.5">
      <c r="B6" s="7" t="s">
        <v>265</v>
      </c>
      <c r="C6" s="8"/>
      <c r="D6" s="8"/>
      <c r="E6" s="8"/>
      <c r="F6" s="8"/>
    </row>
    <row r="7" spans="1:6" ht="18" customHeight="1" x14ac:dyDescent="0.45">
      <c r="B7" s="13" t="s">
        <v>266</v>
      </c>
    </row>
    <row r="8" spans="1:6" ht="18" customHeight="1" x14ac:dyDescent="0.45">
      <c r="B8" s="32"/>
      <c r="C8" s="33" t="s">
        <v>138</v>
      </c>
      <c r="D8" s="33" t="s">
        <v>137</v>
      </c>
      <c r="E8" s="5"/>
      <c r="F8" s="32" t="s">
        <v>197</v>
      </c>
    </row>
    <row r="9" spans="1:6" x14ac:dyDescent="0.45">
      <c r="B9" s="26" t="s">
        <v>267</v>
      </c>
      <c r="C9" s="36">
        <f>SUM(Sel_Start)</f>
        <v>5</v>
      </c>
      <c r="D9" s="36">
        <f>SUM(Sel_Plan)</f>
        <v>5</v>
      </c>
      <c r="E9" s="29"/>
      <c r="F9" s="27" t="s">
        <v>268</v>
      </c>
    </row>
    <row r="10" spans="1:6" x14ac:dyDescent="0.45">
      <c r="B10" s="26" t="s">
        <v>269</v>
      </c>
      <c r="C10" s="59" cm="1">
        <f t="array" ref="C10">_xll.VoseOutput("Expected cost of the wells, starting plan","US$m")+ROUND(SUMPRODUCT(Sel_Start,MeanCost),2)</f>
        <v>245.83</v>
      </c>
      <c r="D10" s="59" cm="1">
        <f t="array" ref="D10">_xll.VoseOutput("Expected cost of the wells, plan in use","US$m")+ROUND(SUMPRODUCT(Sel_Plan,MeanCost),2)</f>
        <v>263</v>
      </c>
      <c r="E10" s="29"/>
      <c r="F10" s="27" t="s">
        <v>270</v>
      </c>
    </row>
    <row r="11" spans="1:6" x14ac:dyDescent="0.45">
      <c r="B11" s="26" t="s">
        <v>271</v>
      </c>
      <c r="C11" s="40" t="str">
        <f>IF(C10&lt;=Budget,"Yes","No")</f>
        <v>Yes</v>
      </c>
      <c r="D11" s="40" t="str">
        <f>IF(D10&lt;=Budget,"Yes","No")</f>
        <v>Yes</v>
      </c>
      <c r="E11" s="29"/>
      <c r="F11" s="27" t="s">
        <v>272</v>
      </c>
    </row>
    <row r="12" spans="1:6" x14ac:dyDescent="0.45">
      <c r="B12" s="37" t="s">
        <v>273</v>
      </c>
      <c r="C12" s="38">
        <f>SUMPRODUCT(Sel_Start,EMV_Prospect)</f>
        <v>60.26221406179414</v>
      </c>
      <c r="D12" s="38">
        <f>SUMPRODUCT(Sel_Plan,EMV_Prospect)</f>
        <v>65.899220604756081</v>
      </c>
      <c r="E12" s="29"/>
      <c r="F12" s="27" t="s">
        <v>274</v>
      </c>
    </row>
    <row r="13" spans="1:6" x14ac:dyDescent="0.45">
      <c r="B13" s="26" t="s">
        <v>275</v>
      </c>
      <c r="C13" s="57">
        <f>EXP(SUMIFS(LnFailLocal,Pros_Play,Prospects!$B$22,Sel_Start,1))</f>
        <v>0.35749999999999998</v>
      </c>
      <c r="D13" s="57">
        <f>EXP(SUMIFS(LnFailLocal,Pros_Play,Prospects!$B$22,Sel_Plan,1))</f>
        <v>0.21450000000000002</v>
      </c>
      <c r="E13" s="29"/>
      <c r="F13" s="27" t="s">
        <v>276</v>
      </c>
    </row>
    <row r="14" spans="1:6" x14ac:dyDescent="0.45">
      <c r="B14" s="26" t="s">
        <v>277</v>
      </c>
      <c r="C14" s="57">
        <f>1-Chance_PlayA+Chance_PlayA*C13</f>
        <v>0.389625</v>
      </c>
      <c r="D14" s="57">
        <f>1-Chance_PlayA+Chance_PlayA*D13</f>
        <v>0.25377500000000008</v>
      </c>
      <c r="E14" s="29"/>
      <c r="F14" s="27" t="s">
        <v>278</v>
      </c>
    </row>
    <row r="15" spans="1:6" x14ac:dyDescent="0.45">
      <c r="B15" s="26" t="s">
        <v>279</v>
      </c>
      <c r="C15" s="57">
        <f>EXP(SUMIFS(LnFailLocal,Pros_Play,Prospects!$B$23,Sel_Start,1))</f>
        <v>0.30000000000000004</v>
      </c>
      <c r="D15" s="57">
        <f>EXP(SUMIFS(LnFailLocal,Pros_Play,Prospects!$B$23,Sel_Plan,1))</f>
        <v>1</v>
      </c>
      <c r="E15" s="29"/>
      <c r="F15" s="29"/>
    </row>
    <row r="16" spans="1:6" x14ac:dyDescent="0.45">
      <c r="B16" s="26" t="s">
        <v>280</v>
      </c>
      <c r="C16" s="57">
        <f>1-Chance_PlayB+Chance_PlayB*C15</f>
        <v>0.54500000000000004</v>
      </c>
      <c r="D16" s="57">
        <f>1-Chance_PlayB+Chance_PlayB*D15</f>
        <v>1</v>
      </c>
      <c r="E16" s="29"/>
      <c r="F16" s="29"/>
    </row>
    <row r="17" spans="2:6" x14ac:dyDescent="0.45">
      <c r="B17" s="26" t="s">
        <v>281</v>
      </c>
      <c r="C17" s="57">
        <f>EXP(SUMIFS(LnFailLocal,Pros_Play,Prospects!$B$24,Sel_Start,1))</f>
        <v>0.44999999999999996</v>
      </c>
      <c r="D17" s="57">
        <f>EXP(SUMIFS(LnFailLocal,Pros_Play,Prospects!$B$24,Sel_Plan,1))</f>
        <v>0.22499999999999995</v>
      </c>
      <c r="E17" s="29"/>
      <c r="F17" s="29"/>
    </row>
    <row r="18" spans="2:6" x14ac:dyDescent="0.45">
      <c r="B18" s="26" t="s">
        <v>282</v>
      </c>
      <c r="C18" s="57">
        <f>1-Chance_PlayC+Chance_PlayC*C17</f>
        <v>0.8075</v>
      </c>
      <c r="D18" s="57">
        <f>1-Chance_PlayC+Chance_PlayC*D17</f>
        <v>0.72875000000000001</v>
      </c>
      <c r="E18" s="29"/>
      <c r="F18" s="29"/>
    </row>
    <row r="19" spans="2:6" x14ac:dyDescent="0.45">
      <c r="B19" s="37" t="s">
        <v>283</v>
      </c>
      <c r="C19" s="57">
        <f>C14*C16*C18</f>
        <v>0.17146909218750001</v>
      </c>
      <c r="D19" s="57">
        <f>D14*D16*D18</f>
        <v>0.18493853125000007</v>
      </c>
      <c r="E19" s="29"/>
      <c r="F19" s="27" t="s">
        <v>284</v>
      </c>
    </row>
    <row r="20" spans="2:6" x14ac:dyDescent="0.45">
      <c r="B20" s="26" t="s">
        <v>285</v>
      </c>
      <c r="C20" s="57">
        <f>EXP(SUMIFS(LnNoDiscovery,Sel_Start,1))</f>
        <v>0.15413624852343749</v>
      </c>
      <c r="D20" s="57">
        <f>EXP(SUMIFS(LnNoDiscovery,Sel_Plan,1))</f>
        <v>0.15783922146093748</v>
      </c>
      <c r="E20" s="29"/>
      <c r="F20" s="27" t="s">
        <v>286</v>
      </c>
    </row>
    <row r="21" spans="2:6" x14ac:dyDescent="0.45">
      <c r="B21" s="26" t="s">
        <v>287</v>
      </c>
      <c r="C21" s="60">
        <f>C19-C20</f>
        <v>1.7332843664062514E-2</v>
      </c>
      <c r="D21" s="60">
        <f>D19-D20</f>
        <v>2.7099309789062581E-2</v>
      </c>
      <c r="E21" s="29"/>
      <c r="F21" s="27" t="s">
        <v>288</v>
      </c>
    </row>
    <row r="22" spans="2:6" ht="8" customHeight="1" x14ac:dyDescent="0.45"/>
    <row r="23" spans="2:6" ht="22.05" customHeight="1" x14ac:dyDescent="0.5">
      <c r="B23" s="7" t="s">
        <v>289</v>
      </c>
      <c r="C23" s="8"/>
      <c r="D23" s="8"/>
      <c r="E23" s="8"/>
      <c r="F23" s="8"/>
    </row>
    <row r="24" spans="2:6" ht="18" customHeight="1" x14ac:dyDescent="0.45">
      <c r="B24" s="13" t="s">
        <v>290</v>
      </c>
    </row>
    <row r="25" spans="2:6" ht="18" customHeight="1" x14ac:dyDescent="0.45">
      <c r="B25" s="32"/>
      <c r="C25" s="33" t="s">
        <v>138</v>
      </c>
      <c r="D25" s="33" t="s">
        <v>137</v>
      </c>
      <c r="E25" s="5"/>
      <c r="F25" s="32" t="s">
        <v>197</v>
      </c>
    </row>
    <row r="26" spans="2:6" x14ac:dyDescent="0.45">
      <c r="B26" s="26" t="s">
        <v>291</v>
      </c>
      <c r="C26" s="61" cm="1">
        <f t="array" aca="1" ref="C26" ca="1">_xll.VoseOutput("Discoveries, starting plan","wells")+SUMPRODUCT(Sel_Start,Discovery)</f>
        <v>3</v>
      </c>
      <c r="D26" s="61" cm="1">
        <f t="array" aca="1" ref="D26" ca="1">_xll.VoseOutput("Discoveries, plan in use","wells")+SUMPRODUCT(Sel_Plan,Discovery)</f>
        <v>2</v>
      </c>
      <c r="E26" s="29"/>
      <c r="F26" s="27" t="s">
        <v>292</v>
      </c>
    </row>
    <row r="27" spans="2:6" x14ac:dyDescent="0.45">
      <c r="B27" s="26" t="s">
        <v>293</v>
      </c>
      <c r="C27" s="38">
        <f ca="1">SUMPRODUCT(Sel_Start,WellCost)</f>
        <v>248.17357910782033</v>
      </c>
      <c r="D27" s="38">
        <f ca="1">SUMPRODUCT(Sel_Plan,WellCost)</f>
        <v>267.97720628972803</v>
      </c>
      <c r="E27" s="29"/>
      <c r="F27" s="27" t="s">
        <v>294</v>
      </c>
    </row>
    <row r="28" spans="2:6" x14ac:dyDescent="0.45">
      <c r="B28" s="37" t="s">
        <v>295</v>
      </c>
      <c r="C28" s="59" cm="1">
        <f t="array" aca="1" ref="C28" ca="1">_xll.VoseOutput("Programme NPV, starting plan","US$m")+SUMPRODUCT(Sel_Start,NPV_IfDrilled)</f>
        <v>419.62932303429233</v>
      </c>
      <c r="D28" s="59" cm="1">
        <f t="array" aca="1" ref="D28" ca="1">_xll.VoseOutput("Programme NPV, plan in use","US$m")+SUMPRODUCT(Sel_Plan,NPV_IfDrilled)</f>
        <v>-56.830734811560674</v>
      </c>
      <c r="E28" s="29"/>
      <c r="F28" s="27" t="s">
        <v>296</v>
      </c>
    </row>
    <row r="29" spans="2:6" x14ac:dyDescent="0.45">
      <c r="B29" s="26" t="s">
        <v>297</v>
      </c>
      <c r="C29" s="61" cm="1">
        <f t="array" aca="1" ref="C29" ca="1">_xll.VoseOutput("Finds nothing, starting plan","1 = yes")+IF(C26=0,1,0)</f>
        <v>0</v>
      </c>
      <c r="D29" s="61" cm="1">
        <f t="array" aca="1" ref="D29" ca="1">_xll.VoseOutput("Finds nothing, plan in use","1 = yes")+IF(D26=0,1,0)</f>
        <v>0</v>
      </c>
      <c r="E29" s="29"/>
      <c r="F29" s="27" t="s">
        <v>298</v>
      </c>
    </row>
    <row r="30" spans="2:6" ht="8" customHeight="1" x14ac:dyDescent="0.45"/>
    <row r="31" spans="2:6" ht="22.05" customHeight="1" x14ac:dyDescent="0.5">
      <c r="B31" s="7" t="s">
        <v>299</v>
      </c>
      <c r="C31" s="8"/>
      <c r="D31" s="8"/>
      <c r="E31" s="8"/>
      <c r="F31" s="8"/>
    </row>
    <row r="32" spans="2:6" ht="18" customHeight="1" x14ac:dyDescent="0.45">
      <c r="B32" s="13" t="s">
        <v>300</v>
      </c>
    </row>
    <row r="33" spans="2:6" x14ac:dyDescent="0.45">
      <c r="B33" s="26" t="s">
        <v>301</v>
      </c>
      <c r="C33" s="29"/>
      <c r="D33" s="62" t="str">
        <f>IF(SUMPRODUCT(--ISNUMBER(MATCH(Pros_Play,PlayCodes,0)))=8,"OK","CHECK")</f>
        <v>OK</v>
      </c>
      <c r="E33" s="29"/>
      <c r="F33" s="29"/>
    </row>
    <row r="34" spans="2:6" x14ac:dyDescent="0.45">
      <c r="B34" s="26" t="s">
        <v>302</v>
      </c>
      <c r="C34" s="29"/>
      <c r="D34" s="62" t="str">
        <f>IF(COUNTIF(Sel_Both,0)+COUNTIF(Sel_Both,1)=ROWS(Sel_Both)*COLUMNS(Sel_Both),"OK","CHECK")</f>
        <v>OK</v>
      </c>
      <c r="E34" s="29"/>
      <c r="F34" s="29"/>
    </row>
    <row r="35" spans="2:6" x14ac:dyDescent="0.45">
      <c r="B35" s="26" t="s">
        <v>303</v>
      </c>
      <c r="C35" s="29"/>
      <c r="D35" s="62" t="str">
        <f>IF(MIN(Wells_Start,Wells_Plan)&gt;=1,"OK","CHECK")</f>
        <v>OK</v>
      </c>
      <c r="E35" s="29"/>
      <c r="F35" s="29"/>
    </row>
    <row r="36" spans="2:6" ht="14" customHeight="1" x14ac:dyDescent="0.45"/>
  </sheetData>
  <conditionalFormatting sqref="C11:D11">
    <cfRule type="expression" dxfId="5" priority="1">
      <formula>C11="No"</formula>
    </cfRule>
  </conditionalFormatting>
  <conditionalFormatting sqref="D33:D35">
    <cfRule type="expression" dxfId="4" priority="2">
      <formula>D33="CHECK"</formula>
    </cfRule>
  </conditionalFormatting>
  <hyperlinks>
    <hyperlink ref="B4" location="'Prospects'!A1" display="◂  Prospects" xr:uid="{00000000-0004-0000-0400-000000000000}"/>
    <hyperlink ref="F4" location="'Results'!A1" display="Next:  Results  ▸" xr:uid="{00000000-0004-0000-0400-000001000000}"/>
  </hyperlinks>
  <printOptions horizontalCentered="1"/>
  <pageMargins left="0.4" right="0.4" top="0.5" bottom="0.6" header="0.25" footer="0.25"/>
  <pageSetup paperSize="9" fitToHeight="0" orientation="landscape"/>
  <headerFooter>
    <oddFooter>&amp;L&amp;K3F5876&amp;8&amp;F · &amp;A&amp;R&amp;K3F5876&amp;8Page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15803D"/>
    <outlinePr summaryBelow="0"/>
    <pageSetUpPr fitToPage="1"/>
  </sheetPr>
  <dimension ref="A1:R135"/>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2" t="s">
        <v>0</v>
      </c>
      <c r="C2" s="1"/>
      <c r="D2" s="1"/>
      <c r="E2" s="1"/>
      <c r="F2" s="1"/>
      <c r="G2" s="1"/>
      <c r="H2" s="1"/>
      <c r="I2" s="1"/>
      <c r="J2" s="1"/>
      <c r="K2" s="1"/>
      <c r="L2" s="1"/>
      <c r="M2" s="1"/>
      <c r="N2" s="1"/>
      <c r="O2" s="1"/>
      <c r="P2" s="1"/>
      <c r="Q2" s="1"/>
      <c r="R2" s="3" t="s">
        <v>1</v>
      </c>
    </row>
    <row r="3" spans="1:18" ht="20" customHeight="1" x14ac:dyDescent="0.45">
      <c r="A3" s="1"/>
      <c r="B3" s="4" t="s">
        <v>304</v>
      </c>
      <c r="C3" s="1"/>
      <c r="D3" s="1"/>
      <c r="E3" s="1"/>
      <c r="F3" s="1"/>
      <c r="G3" s="1"/>
      <c r="H3" s="1"/>
      <c r="I3" s="1"/>
      <c r="J3" s="1"/>
      <c r="K3" s="1"/>
      <c r="L3" s="1"/>
      <c r="M3" s="1"/>
      <c r="N3" s="1"/>
      <c r="O3" s="1"/>
      <c r="P3" s="1"/>
      <c r="Q3" s="1"/>
      <c r="R3" s="1"/>
    </row>
    <row r="4" spans="1:18" ht="20" customHeight="1" x14ac:dyDescent="0.45">
      <c r="A4" s="5"/>
      <c r="B4" s="23" t="s">
        <v>305</v>
      </c>
      <c r="C4" s="5"/>
      <c r="D4" s="5"/>
      <c r="E4" s="5"/>
      <c r="F4" s="5"/>
      <c r="G4" s="5"/>
      <c r="H4" s="5"/>
      <c r="I4" s="5"/>
      <c r="J4" s="5"/>
      <c r="K4" s="5"/>
      <c r="L4" s="5"/>
      <c r="M4" s="5"/>
      <c r="N4" s="5"/>
      <c r="O4" s="5"/>
      <c r="P4" s="5"/>
      <c r="Q4" s="5"/>
      <c r="R4" s="5"/>
    </row>
    <row r="5" spans="1:18" ht="8" customHeight="1" x14ac:dyDescent="0.45"/>
    <row r="6" spans="1:18" ht="26" customHeight="1" x14ac:dyDescent="0.45">
      <c r="B6" s="63" t="str" cm="1">
        <f t="array" aca="1" ref="B6" ca="1">IF(ISNUMBER(_xll.VoseSimMean(Out_NPV_Plan)),"✔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64"/>
      <c r="D6" s="64"/>
      <c r="E6" s="64"/>
      <c r="F6" s="64"/>
      <c r="G6" s="64"/>
    </row>
    <row r="7" spans="1:18" x14ac:dyDescent="0.45">
      <c r="B7" s="65" t="str">
        <f>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306</v>
      </c>
      <c r="C9" s="8"/>
      <c r="D9" s="8"/>
      <c r="E9" s="8"/>
      <c r="F9" s="8"/>
      <c r="G9" s="8"/>
      <c r="I9" s="66" t="s">
        <v>307</v>
      </c>
      <c r="J9" s="8"/>
      <c r="K9" s="8"/>
      <c r="L9" s="8"/>
      <c r="M9" s="8"/>
      <c r="N9" s="8"/>
      <c r="O9" s="8"/>
      <c r="P9" s="8"/>
      <c r="Q9" s="8"/>
      <c r="R9" s="8"/>
    </row>
    <row r="10" spans="1:18" ht="18" customHeight="1" x14ac:dyDescent="0.45">
      <c r="B10" s="13" t="s">
        <v>308</v>
      </c>
    </row>
    <row r="11" spans="1:18" ht="18" customHeight="1" x14ac:dyDescent="0.45">
      <c r="B11" s="24" t="s">
        <v>58</v>
      </c>
      <c r="C11" s="24" t="s">
        <v>112</v>
      </c>
      <c r="D11" s="25" t="s">
        <v>138</v>
      </c>
      <c r="E11" s="25" t="s">
        <v>137</v>
      </c>
      <c r="F11" s="25" t="s">
        <v>309</v>
      </c>
      <c r="G11" s="5"/>
    </row>
    <row r="12" spans="1:18" x14ac:dyDescent="0.45">
      <c r="B12" s="26" t="s">
        <v>143</v>
      </c>
      <c r="C12" s="27" t="s">
        <v>144</v>
      </c>
      <c r="D12" s="67">
        <f>Drill_Alder_Start</f>
        <v>1</v>
      </c>
      <c r="E12" s="68">
        <f>Drill_Alder</f>
        <v>1</v>
      </c>
      <c r="F12" s="69">
        <f t="shared" ref="F12:F19" si="0">E12-D12</f>
        <v>0</v>
      </c>
      <c r="G12" s="29"/>
    </row>
    <row r="13" spans="1:18" x14ac:dyDescent="0.45">
      <c r="B13" s="26" t="s">
        <v>147</v>
      </c>
      <c r="C13" s="27" t="s">
        <v>144</v>
      </c>
      <c r="D13" s="67">
        <f>Drill_Birch_Start</f>
        <v>0</v>
      </c>
      <c r="E13" s="68">
        <f>Drill_Birch</f>
        <v>1</v>
      </c>
      <c r="F13" s="69">
        <f t="shared" si="0"/>
        <v>1</v>
      </c>
      <c r="G13" s="29"/>
    </row>
    <row r="14" spans="1:18" x14ac:dyDescent="0.45">
      <c r="B14" s="26" t="s">
        <v>149</v>
      </c>
      <c r="C14" s="27" t="s">
        <v>144</v>
      </c>
      <c r="D14" s="67">
        <f>Drill_Cedar_Start</f>
        <v>1</v>
      </c>
      <c r="E14" s="68">
        <f>Drill_Cedar</f>
        <v>1</v>
      </c>
      <c r="F14" s="69">
        <f t="shared" si="0"/>
        <v>0</v>
      </c>
      <c r="G14" s="29"/>
    </row>
    <row r="15" spans="1:18" x14ac:dyDescent="0.45">
      <c r="B15" s="26" t="s">
        <v>151</v>
      </c>
      <c r="C15" s="27" t="s">
        <v>144</v>
      </c>
      <c r="D15" s="67">
        <f>Drill_Dogwood_Start</f>
        <v>1</v>
      </c>
      <c r="E15" s="68">
        <f>Drill_Dogwood</f>
        <v>0</v>
      </c>
      <c r="F15" s="69">
        <f t="shared" si="0"/>
        <v>-1</v>
      </c>
      <c r="G15" s="29"/>
    </row>
    <row r="16" spans="1:18" x14ac:dyDescent="0.45">
      <c r="B16" s="26" t="s">
        <v>153</v>
      </c>
      <c r="C16" s="27" t="s">
        <v>144</v>
      </c>
      <c r="D16" s="67">
        <f>Drill_Elm_Start</f>
        <v>0</v>
      </c>
      <c r="E16" s="68">
        <f>Drill_Elm</f>
        <v>0</v>
      </c>
      <c r="F16" s="69">
        <f t="shared" si="0"/>
        <v>0</v>
      </c>
      <c r="G16" s="29"/>
    </row>
    <row r="17" spans="2:7" x14ac:dyDescent="0.45">
      <c r="B17" s="26" t="s">
        <v>155</v>
      </c>
      <c r="C17" s="27" t="s">
        <v>144</v>
      </c>
      <c r="D17" s="67">
        <f>Drill_Fir_Start</f>
        <v>1</v>
      </c>
      <c r="E17" s="68">
        <f>Drill_Fir</f>
        <v>0</v>
      </c>
      <c r="F17" s="69">
        <f t="shared" si="0"/>
        <v>-1</v>
      </c>
      <c r="G17" s="29"/>
    </row>
    <row r="18" spans="2:7" x14ac:dyDescent="0.45">
      <c r="B18" s="26" t="s">
        <v>157</v>
      </c>
      <c r="C18" s="27" t="s">
        <v>144</v>
      </c>
      <c r="D18" s="67">
        <f>Drill_Ginkgo_Start</f>
        <v>1</v>
      </c>
      <c r="E18" s="68">
        <f>Drill_Ginkgo</f>
        <v>1</v>
      </c>
      <c r="F18" s="69">
        <f t="shared" si="0"/>
        <v>0</v>
      </c>
      <c r="G18" s="29"/>
    </row>
    <row r="19" spans="2:7" x14ac:dyDescent="0.45">
      <c r="B19" s="26" t="s">
        <v>159</v>
      </c>
      <c r="C19" s="27" t="s">
        <v>144</v>
      </c>
      <c r="D19" s="67">
        <f>Drill_Hazel_Start</f>
        <v>0</v>
      </c>
      <c r="E19" s="68">
        <f>Drill_Hazel</f>
        <v>1</v>
      </c>
      <c r="F19" s="69">
        <f t="shared" si="0"/>
        <v>1</v>
      </c>
      <c r="G19" s="29"/>
    </row>
    <row r="20" spans="2:7" ht="6" customHeight="1" x14ac:dyDescent="0.45"/>
    <row r="21" spans="2:7" ht="28.05" customHeight="1" x14ac:dyDescent="0.45">
      <c r="B21" s="24" t="s">
        <v>310</v>
      </c>
      <c r="C21" s="24" t="s">
        <v>112</v>
      </c>
      <c r="D21" s="25" t="s">
        <v>138</v>
      </c>
      <c r="E21" s="25" t="s">
        <v>137</v>
      </c>
      <c r="F21" s="25" t="s">
        <v>309</v>
      </c>
      <c r="G21" s="25"/>
    </row>
    <row r="22" spans="2:7" x14ac:dyDescent="0.45">
      <c r="B22" s="26" t="s">
        <v>273</v>
      </c>
      <c r="C22" s="27" t="s">
        <v>117</v>
      </c>
      <c r="D22" s="70" cm="1">
        <f t="array" aca="1" ref="D22" ca="1">_xll.VoseSimMean(Out_NPV_Start)</f>
        <v>57.150127598865552</v>
      </c>
      <c r="E22" s="70" cm="1">
        <f t="array" aca="1" ref="E22" ca="1">_xll.VoseSimMean(Out_NPV_Plan)</f>
        <v>67.438009815949883</v>
      </c>
      <c r="F22" s="71">
        <f t="shared" ref="F22:F28" ca="1" si="1">IFERROR(E22-D22,"–")</f>
        <v>10.287882217084331</v>
      </c>
      <c r="G22" s="72" t="str">
        <f ca="1">IF(ISNUMBER(F22),IF(F22&gt;0,"✔ better",IF(F22=0,"same","")),"")</f>
        <v>✔ better</v>
      </c>
    </row>
    <row r="23" spans="2:7" x14ac:dyDescent="0.45">
      <c r="B23" s="26" t="s">
        <v>269</v>
      </c>
      <c r="C23" s="27" t="s">
        <v>117</v>
      </c>
      <c r="D23" s="70">
        <f>Out_ExpCost_Start</f>
        <v>245.83</v>
      </c>
      <c r="E23" s="70">
        <f>Out_ExpCost_Plan</f>
        <v>263</v>
      </c>
      <c r="F23" s="71">
        <f t="shared" si="1"/>
        <v>17.169999999999987</v>
      </c>
      <c r="G23" s="29"/>
    </row>
    <row r="24" spans="2:7" x14ac:dyDescent="0.45">
      <c r="B24" s="26" t="s">
        <v>311</v>
      </c>
      <c r="C24" s="27" t="s">
        <v>312</v>
      </c>
      <c r="D24" s="73" cm="1">
        <f t="array" aca="1" ref="D24" ca="1">1-_xll.VoseSimProbability(Out_Dry_Start,0.5)</f>
        <v>0.17648235176482352</v>
      </c>
      <c r="E24" s="73" cm="1">
        <f t="array" aca="1" ref="E24" ca="1">1-_xll.VoseSimProbability(Out_Dry_Plan,0.5)</f>
        <v>0.17948205179482046</v>
      </c>
      <c r="F24" s="74">
        <f t="shared" ca="1" si="1"/>
        <v>2.9997000299969434E-3</v>
      </c>
      <c r="G24" s="72" t="str">
        <f ca="1">IF(ISNUMBER(F24),IF(F24&lt;0,"✔ better",IF(F24=0,"same","")),"")</f>
        <v/>
      </c>
    </row>
    <row r="25" spans="2:7" x14ac:dyDescent="0.45">
      <c r="B25" s="26" t="s">
        <v>313</v>
      </c>
      <c r="C25" s="27" t="s">
        <v>312</v>
      </c>
      <c r="D25" s="73" cm="1">
        <f t="array" aca="1" ref="D25" ca="1">_xll.VoseSimProbability(Out_NPV_Start,0)</f>
        <v>0.54144585541445855</v>
      </c>
      <c r="E25" s="73" cm="1">
        <f t="array" aca="1" ref="E25" ca="1">_xll.VoseSimProbability(Out_NPV_Plan,0)</f>
        <v>0.64303569643035696</v>
      </c>
      <c r="F25" s="74">
        <f t="shared" ca="1" si="1"/>
        <v>0.10158984101589841</v>
      </c>
      <c r="G25" s="72" t="str">
        <f ca="1">IF(ISNUMBER(F25),IF(F25&lt;0,"✔ better",IF(F25=0,"same","")),"")</f>
        <v/>
      </c>
    </row>
    <row r="26" spans="2:7" x14ac:dyDescent="0.45">
      <c r="B26" s="26" t="s">
        <v>314</v>
      </c>
      <c r="C26" s="27" t="s">
        <v>117</v>
      </c>
      <c r="D26" s="70" cm="1">
        <f t="array" aca="1" ref="D26" ca="1">_xll.VoseSimPercentile(Out_NPV_Start,0.1)</f>
        <v>-243.90162069063706</v>
      </c>
      <c r="E26" s="70" cm="1">
        <f t="array" aca="1" ref="E26" ca="1">_xll.VoseSimPercentile(Out_NPV_Plan,0.1)</f>
        <v>-261.56011885049594</v>
      </c>
      <c r="F26" s="71">
        <f t="shared" ca="1" si="1"/>
        <v>-17.65849815985888</v>
      </c>
      <c r="G26" s="72" t="str">
        <f ca="1">IF(ISNUMBER(F26),IF(F26&gt;0,"✔ better",IF(F26=0,"same","")),"")</f>
        <v/>
      </c>
    </row>
    <row r="27" spans="2:7" x14ac:dyDescent="0.45">
      <c r="B27" s="26" t="s">
        <v>315</v>
      </c>
      <c r="C27" s="27" t="s">
        <v>117</v>
      </c>
      <c r="D27" s="70" cm="1">
        <f t="array" aca="1" ref="D27" ca="1">_xll.VoseSimPercentile(Out_NPV_Start,0.9)</f>
        <v>465.25002740735033</v>
      </c>
      <c r="E27" s="70" cm="1">
        <f t="array" aca="1" ref="E27" ca="1">_xll.VoseSimPercentile(Out_NPV_Plan,0.9)</f>
        <v>673.03334023305365</v>
      </c>
      <c r="F27" s="71">
        <f t="shared" ca="1" si="1"/>
        <v>207.78331282570332</v>
      </c>
      <c r="G27" s="72" t="str">
        <f ca="1">IF(ISNUMBER(F27),IF(F27&gt;0,"✔ better",IF(F27=0,"same","")),"")</f>
        <v>✔ better</v>
      </c>
    </row>
    <row r="28" spans="2:7" x14ac:dyDescent="0.45">
      <c r="B28" s="26" t="s">
        <v>316</v>
      </c>
      <c r="C28" s="27" t="s">
        <v>317</v>
      </c>
      <c r="D28" s="75" cm="1">
        <f t="array" aca="1" ref="D28" ca="1">_xll.VoseSimMean(Out_Disc_Start)</f>
        <v>1.5358000000000001</v>
      </c>
      <c r="E28" s="75" cm="1">
        <f t="array" aca="1" ref="E28" ca="1">_xll.VoseSimMean(Out_Disc_Plan)</f>
        <v>1.5270999999999999</v>
      </c>
      <c r="F28" s="76">
        <f t="shared" ca="1" si="1"/>
        <v>-8.7000000000001521E-3</v>
      </c>
      <c r="G28" s="72" t="str">
        <f ca="1">IF(ISNUMBER(F28),IF(F28&gt;0,"✔ better",IF(F28=0,"same","")),"")</f>
        <v/>
      </c>
    </row>
    <row r="29" spans="2:7" x14ac:dyDescent="0.45">
      <c r="B29" s="26" t="s">
        <v>116</v>
      </c>
      <c r="C29" s="27" t="s">
        <v>117</v>
      </c>
      <c r="D29" s="38">
        <f>Budget</f>
        <v>270</v>
      </c>
      <c r="E29" s="38">
        <f>Budget</f>
        <v>270</v>
      </c>
      <c r="F29" s="29"/>
      <c r="G29" s="29"/>
    </row>
    <row r="30" spans="2:7" x14ac:dyDescent="0.45">
      <c r="B30" s="26" t="s">
        <v>120</v>
      </c>
      <c r="C30" s="27" t="s">
        <v>312</v>
      </c>
      <c r="D30" s="57">
        <f>MaxDryChance</f>
        <v>0.2</v>
      </c>
      <c r="E30" s="57">
        <f>MaxDryChance</f>
        <v>0.2</v>
      </c>
      <c r="F30" s="29"/>
      <c r="G30" s="29"/>
    </row>
    <row r="31" spans="2:7" x14ac:dyDescent="0.45">
      <c r="B31" s="77" t="s">
        <v>318</v>
      </c>
    </row>
    <row r="32" spans="2:7" ht="8" customHeight="1" x14ac:dyDescent="0.45"/>
    <row r="33" spans="2:18" ht="22.05" customHeight="1" x14ac:dyDescent="0.5">
      <c r="B33" s="7" t="s">
        <v>319</v>
      </c>
      <c r="C33" s="8"/>
      <c r="D33" s="8"/>
      <c r="E33" s="8"/>
      <c r="F33" s="8"/>
      <c r="G33" s="8"/>
    </row>
    <row r="34" spans="2:18" ht="18" customHeight="1" x14ac:dyDescent="0.45">
      <c r="B34" s="13" t="s">
        <v>320</v>
      </c>
    </row>
    <row r="35" spans="2:18" ht="18" customHeight="1" x14ac:dyDescent="0.45">
      <c r="B35" s="78" t="s">
        <v>321</v>
      </c>
      <c r="C35" s="79"/>
      <c r="D35" s="79" t="s">
        <v>322</v>
      </c>
      <c r="E35" s="79" t="s">
        <v>323</v>
      </c>
      <c r="F35" s="79" t="s">
        <v>324</v>
      </c>
      <c r="G35" s="79" t="s">
        <v>325</v>
      </c>
    </row>
    <row r="36" spans="2:18" x14ac:dyDescent="0.45">
      <c r="B36" s="48"/>
      <c r="C36" s="48"/>
      <c r="D36" s="48" t="s">
        <v>326</v>
      </c>
      <c r="E36" s="48" t="s">
        <v>326</v>
      </c>
      <c r="F36" s="48" t="s">
        <v>327</v>
      </c>
      <c r="G36" s="48" t="s">
        <v>328</v>
      </c>
    </row>
    <row r="37" spans="2:18" x14ac:dyDescent="0.45">
      <c r="B37" s="26" t="s">
        <v>138</v>
      </c>
      <c r="C37" s="29"/>
      <c r="D37" s="73" cm="1">
        <f t="array" aca="1" ref="D37" ca="1">_xll.VoseSimMean(Out_Dry_Start)</f>
        <v>0.1764</v>
      </c>
      <c r="E37" s="57">
        <f>PNoneShared_Start</f>
        <v>0.17146909218750001</v>
      </c>
      <c r="F37" s="57">
        <f>PNoneIndep_Start</f>
        <v>0.15413624852343749</v>
      </c>
      <c r="G37" s="60">
        <f>SharedEffect_Start</f>
        <v>1.7332843664062514E-2</v>
      </c>
    </row>
    <row r="38" spans="2:18" x14ac:dyDescent="0.45">
      <c r="B38" s="26" t="s">
        <v>137</v>
      </c>
      <c r="C38" s="29"/>
      <c r="D38" s="73" cm="1">
        <f t="array" aca="1" ref="D38" ca="1">_xll.VoseSimMean(Out_Dry_Plan)</f>
        <v>0.1794</v>
      </c>
      <c r="E38" s="57">
        <f>PNoneShared_Plan</f>
        <v>0.18493853125000007</v>
      </c>
      <c r="F38" s="57">
        <f>PNoneIndep_Plan</f>
        <v>0.15783922146093748</v>
      </c>
      <c r="G38" s="60">
        <f>SharedEffect_Plan</f>
        <v>2.7099309789062581E-2</v>
      </c>
    </row>
    <row r="39" spans="2:18" x14ac:dyDescent="0.45">
      <c r="B39" s="77" t="s">
        <v>329</v>
      </c>
    </row>
    <row r="40" spans="2:18" ht="8" customHeight="1" x14ac:dyDescent="0.45"/>
    <row r="41" spans="2:18" ht="22.05" customHeight="1" x14ac:dyDescent="0.5">
      <c r="B41" s="7" t="s">
        <v>330</v>
      </c>
      <c r="C41" s="8"/>
      <c r="D41" s="8"/>
      <c r="E41" s="8"/>
      <c r="F41" s="8"/>
      <c r="G41" s="8"/>
      <c r="I41" s="66" t="s">
        <v>331</v>
      </c>
      <c r="J41" s="8"/>
      <c r="K41" s="8"/>
      <c r="L41" s="8"/>
      <c r="M41" s="8"/>
      <c r="N41" s="8"/>
      <c r="O41" s="8"/>
      <c r="P41" s="8"/>
      <c r="Q41" s="8"/>
      <c r="R41" s="8"/>
    </row>
    <row r="42" spans="2:18" ht="18" customHeight="1" x14ac:dyDescent="0.45">
      <c r="B42" s="13" t="s">
        <v>332</v>
      </c>
    </row>
    <row r="43" spans="2:18" ht="18" customHeight="1" x14ac:dyDescent="0.45">
      <c r="B43" s="24" t="s">
        <v>333</v>
      </c>
      <c r="C43" s="25" t="s">
        <v>334</v>
      </c>
      <c r="D43" s="25" t="s">
        <v>335</v>
      </c>
      <c r="E43" s="80" t="s">
        <v>336</v>
      </c>
      <c r="F43" s="5"/>
      <c r="G43" s="5"/>
    </row>
    <row r="44" spans="2:18" x14ac:dyDescent="0.45">
      <c r="B44" s="26" t="str">
        <f t="array" aca="1" ref="B44:E55" ca="1">_xll.VoseSimSensitivityMean(Out_NPV_Plan,10,1,FALSE)</f>
        <v>Play C works</v>
      </c>
      <c r="C44" s="70">
        <f ca="1"/>
        <v>-137.4975960187019</v>
      </c>
      <c r="D44" s="70">
        <f ca="1"/>
        <v>445.20244900447597</v>
      </c>
      <c r="E44" s="81">
        <f ca="1"/>
        <v>1</v>
      </c>
      <c r="F44" s="29"/>
      <c r="G44" s="29"/>
    </row>
    <row r="45" spans="2:18" x14ac:dyDescent="0.45">
      <c r="B45" s="26" t="str">
        <f ca="1"/>
        <v>Hazel value if discovered</v>
      </c>
      <c r="C45" s="70">
        <f ca="1"/>
        <v>0.91593864037163597</v>
      </c>
      <c r="D45" s="70">
        <f ca="1"/>
        <v>240.02083057386309</v>
      </c>
      <c r="E45" s="81">
        <f ca="1"/>
        <v>2</v>
      </c>
      <c r="F45" s="29"/>
      <c r="G45" s="29"/>
    </row>
    <row r="46" spans="2:18" x14ac:dyDescent="0.45">
      <c r="B46" s="26" t="str">
        <f ca="1"/>
        <v>Hazel succeeds</v>
      </c>
      <c r="C46" s="70">
        <f ca="1"/>
        <v>-37.517775908758708</v>
      </c>
      <c r="D46" s="70">
        <f ca="1"/>
        <v>170.06882560371815</v>
      </c>
      <c r="E46" s="81">
        <f ca="1"/>
        <v>3</v>
      </c>
      <c r="F46" s="29"/>
      <c r="G46" s="29"/>
    </row>
    <row r="47" spans="2:18" x14ac:dyDescent="0.45">
      <c r="B47" s="26" t="str">
        <f ca="1"/>
        <v>Ginkgo value if discovered</v>
      </c>
      <c r="C47" s="70">
        <f ca="1"/>
        <v>20.629033974753217</v>
      </c>
      <c r="D47" s="70">
        <f ca="1"/>
        <v>197.70643420751699</v>
      </c>
      <c r="E47" s="81">
        <f ca="1"/>
        <v>4</v>
      </c>
      <c r="F47" s="29"/>
      <c r="G47" s="29"/>
    </row>
    <row r="48" spans="2:18" x14ac:dyDescent="0.45">
      <c r="B48" s="26" t="str">
        <f ca="1"/>
        <v>Ginkgo succeeds</v>
      </c>
      <c r="C48" s="70">
        <f ca="1"/>
        <v>-22.927870172480102</v>
      </c>
      <c r="D48" s="70">
        <f ca="1"/>
        <v>141.10531187222787</v>
      </c>
      <c r="E48" s="81">
        <f ca="1"/>
        <v>5</v>
      </c>
      <c r="F48" s="29"/>
      <c r="G48" s="29"/>
    </row>
    <row r="49" spans="2:7" x14ac:dyDescent="0.45">
      <c r="B49" s="26" t="str">
        <f ca="1"/>
        <v>Cedar succeeds</v>
      </c>
      <c r="C49" s="70">
        <f ca="1"/>
        <v>26.527829468540556</v>
      </c>
      <c r="D49" s="70">
        <f ca="1"/>
        <v>140.67453802715903</v>
      </c>
      <c r="E49" s="81">
        <f ca="1"/>
        <v>6</v>
      </c>
      <c r="F49" s="29"/>
      <c r="G49" s="29"/>
    </row>
    <row r="50" spans="2:7" x14ac:dyDescent="0.45">
      <c r="B50" s="26" t="str">
        <f ca="1"/>
        <v>Alder value if discovered</v>
      </c>
      <c r="C50" s="70">
        <f ca="1"/>
        <v>28.067291591910038</v>
      </c>
      <c r="D50" s="70">
        <f ca="1"/>
        <v>135.98849679062658</v>
      </c>
      <c r="E50" s="81">
        <f ca="1"/>
        <v>7</v>
      </c>
      <c r="F50" s="29"/>
      <c r="G50" s="29"/>
    </row>
    <row r="51" spans="2:7" x14ac:dyDescent="0.45">
      <c r="B51" s="26" t="str">
        <f ca="1"/>
        <v>Birch succeeds</v>
      </c>
      <c r="C51" s="70">
        <f ca="1"/>
        <v>24.796450247349764</v>
      </c>
      <c r="D51" s="70">
        <f ca="1"/>
        <v>130.6593091564848</v>
      </c>
      <c r="E51" s="81">
        <f ca="1"/>
        <v>8</v>
      </c>
      <c r="F51" s="29"/>
      <c r="G51" s="29"/>
    </row>
    <row r="52" spans="2:7" x14ac:dyDescent="0.45">
      <c r="B52" s="26" t="str">
        <f ca="1"/>
        <v>Alder succeeds</v>
      </c>
      <c r="C52" s="70">
        <f ca="1"/>
        <v>23.361775097068968</v>
      </c>
      <c r="D52" s="70">
        <f ca="1"/>
        <v>119.32570873277652</v>
      </c>
      <c r="E52" s="81">
        <f ca="1"/>
        <v>9</v>
      </c>
      <c r="F52" s="29"/>
      <c r="G52" s="29"/>
    </row>
    <row r="53" spans="2:7" x14ac:dyDescent="0.45">
      <c r="B53" s="26" t="str">
        <f ca="1"/>
        <v>Cedar value if discovered</v>
      </c>
      <c r="C53" s="70">
        <f ca="1"/>
        <v>36.917013370095695</v>
      </c>
      <c r="D53" s="70">
        <f ca="1"/>
        <v>130.66992224109555</v>
      </c>
      <c r="E53" s="81">
        <f ca="1"/>
        <v>10</v>
      </c>
      <c r="F53" s="29"/>
      <c r="G53" s="29"/>
    </row>
    <row r="54" spans="2:7" x14ac:dyDescent="0.45">
      <c r="B54" s="26" t="str">
        <f ca="1"/>
        <v>Birch value if discovered</v>
      </c>
      <c r="C54" s="70">
        <f ca="1"/>
        <v>25.727547696780434</v>
      </c>
      <c r="D54" s="70">
        <f ca="1"/>
        <v>117.97946424759368</v>
      </c>
      <c r="E54" s="81">
        <f ca="1"/>
        <v>11</v>
      </c>
      <c r="F54" s="29"/>
      <c r="G54" s="29"/>
    </row>
    <row r="55" spans="2:7" x14ac:dyDescent="0.45">
      <c r="B55" s="26" t="str">
        <f ca="1"/>
        <v>Fir well cost</v>
      </c>
      <c r="C55" s="70">
        <f ca="1"/>
        <v>23.456373318536944</v>
      </c>
      <c r="D55" s="70">
        <f ca="1"/>
        <v>94.91300706640402</v>
      </c>
      <c r="E55" s="81">
        <f ca="1"/>
        <v>12</v>
      </c>
      <c r="F55" s="29"/>
      <c r="G55" s="29"/>
    </row>
    <row r="58" spans="2:7" ht="8" customHeight="1" x14ac:dyDescent="0.45"/>
    <row r="59" spans="2:7" ht="22.05" customHeight="1" x14ac:dyDescent="0.5">
      <c r="B59" s="7" t="s">
        <v>337</v>
      </c>
      <c r="C59" s="8"/>
      <c r="D59" s="8"/>
      <c r="E59" s="8"/>
      <c r="F59" s="8"/>
      <c r="G59" s="8"/>
    </row>
    <row r="60" spans="2:7" ht="32" customHeight="1" x14ac:dyDescent="0.45">
      <c r="B60" s="91" t="s">
        <v>338</v>
      </c>
      <c r="C60" s="90"/>
      <c r="D60" s="90"/>
      <c r="E60" s="90"/>
      <c r="F60" s="90"/>
      <c r="G60" s="90"/>
    </row>
    <row r="61" spans="2:7" ht="32" customHeight="1" x14ac:dyDescent="0.45">
      <c r="B61" s="91" t="s">
        <v>339</v>
      </c>
      <c r="C61" s="90"/>
      <c r="D61" s="90"/>
      <c r="E61" s="90"/>
      <c r="F61" s="90"/>
      <c r="G61" s="90"/>
    </row>
    <row r="62" spans="2:7" ht="45" customHeight="1" x14ac:dyDescent="0.45">
      <c r="B62" s="91" t="s">
        <v>340</v>
      </c>
      <c r="C62" s="90"/>
      <c r="D62" s="90"/>
      <c r="E62" s="90"/>
      <c r="F62" s="90"/>
      <c r="G62" s="90"/>
    </row>
    <row r="63" spans="2:7" ht="32" customHeight="1" x14ac:dyDescent="0.45">
      <c r="B63" s="91" t="s">
        <v>341</v>
      </c>
      <c r="C63" s="90"/>
      <c r="D63" s="90"/>
      <c r="E63" s="90"/>
      <c r="F63" s="90"/>
      <c r="G63" s="90"/>
    </row>
    <row r="64" spans="2:7" ht="32" customHeight="1" x14ac:dyDescent="0.45">
      <c r="B64" s="91" t="s">
        <v>342</v>
      </c>
      <c r="C64" s="90"/>
      <c r="D64" s="90"/>
      <c r="E64" s="90"/>
      <c r="F64" s="90"/>
      <c r="G64" s="90"/>
    </row>
    <row r="65" spans="2:7" ht="32" customHeight="1" x14ac:dyDescent="0.45">
      <c r="B65" s="91" t="s">
        <v>343</v>
      </c>
      <c r="C65" s="90"/>
      <c r="D65" s="90"/>
      <c r="E65" s="90"/>
      <c r="F65" s="90"/>
      <c r="G65" s="90"/>
    </row>
    <row r="66" spans="2:7" ht="14" customHeight="1" x14ac:dyDescent="0.45"/>
    <row r="67" spans="2:7" ht="14" customHeight="1" x14ac:dyDescent="0.45"/>
    <row r="68" spans="2:7" ht="22.05" customHeight="1" x14ac:dyDescent="0.5">
      <c r="B68" s="7" t="s">
        <v>344</v>
      </c>
      <c r="C68" s="8"/>
      <c r="D68" s="8"/>
      <c r="E68" s="8"/>
      <c r="F68" s="8"/>
      <c r="G68" s="8"/>
    </row>
    <row r="69" spans="2:7" ht="18" customHeight="1" x14ac:dyDescent="0.45">
      <c r="B69" s="13" t="s">
        <v>345</v>
      </c>
    </row>
    <row r="70" spans="2:7" ht="28.05" hidden="1" customHeight="1" outlineLevel="1" x14ac:dyDescent="0.45">
      <c r="B70" s="25" t="s">
        <v>346</v>
      </c>
      <c r="C70" s="25" t="s">
        <v>347</v>
      </c>
      <c r="D70" s="25" t="s">
        <v>348</v>
      </c>
      <c r="E70" s="25" t="s">
        <v>349</v>
      </c>
      <c r="F70" s="5"/>
      <c r="G70" s="5"/>
    </row>
    <row r="71" spans="2:7" hidden="1" outlineLevel="1" x14ac:dyDescent="0.45">
      <c r="B71" s="82">
        <v>0.01</v>
      </c>
      <c r="C71" s="82">
        <f t="shared" ref="C71:C102" si="2">1-B71</f>
        <v>0.99</v>
      </c>
      <c r="D71" s="83" cm="1">
        <f t="array" aca="1" ref="D71" ca="1">IF(ISNUMBER(_xll.VoseSimPercentile(Out_NPV_Start,$B71)),_xll.VoseSimPercentile(Out_NPV_Start,$B71),NA())</f>
        <v>-261.39988248611195</v>
      </c>
      <c r="E71" s="83" cm="1">
        <f t="array" aca="1" ref="E71" ca="1">IF(ISNUMBER(_xll.VoseSimPercentile(Out_NPV_Plan,$B71)),_xll.VoseSimPercentile(Out_NPV_Plan,$B71),NA())</f>
        <v>-280.64759142551827</v>
      </c>
    </row>
    <row r="72" spans="2:7" hidden="1" outlineLevel="1" x14ac:dyDescent="0.45">
      <c r="B72" s="82">
        <v>0.03</v>
      </c>
      <c r="C72" s="82">
        <f t="shared" si="2"/>
        <v>0.97</v>
      </c>
      <c r="D72" s="83" cm="1">
        <f t="array" aca="1" ref="D72" ca="1">IF(ISNUMBER(_xll.VoseSimPercentile(Out_NPV_Start,$B72)),_xll.VoseSimPercentile(Out_NPV_Start,$B72),NA())</f>
        <v>-255.17197230189248</v>
      </c>
      <c r="E72" s="83" cm="1">
        <f t="array" aca="1" ref="E72" ca="1">IF(ISNUMBER(_xll.VoseSimPercentile(Out_NPV_Plan,$B72)),_xll.VoseSimPercentile(Out_NPV_Plan,$B72),NA())</f>
        <v>-274.12489059992919</v>
      </c>
    </row>
    <row r="73" spans="2:7" hidden="1" outlineLevel="1" x14ac:dyDescent="0.45">
      <c r="B73" s="82">
        <v>0.05</v>
      </c>
      <c r="C73" s="82">
        <f t="shared" si="2"/>
        <v>0.95</v>
      </c>
      <c r="D73" s="83" cm="1">
        <f t="array" aca="1" ref="D73" ca="1">IF(ISNUMBER(_xll.VoseSimPercentile(Out_NPV_Start,$B73)),_xll.VoseSimPercentile(Out_NPV_Start,$B73),NA())</f>
        <v>-251.43716240854229</v>
      </c>
      <c r="E73" s="83" cm="1">
        <f t="array" aca="1" ref="E73" ca="1">IF(ISNUMBER(_xll.VoseSimPercentile(Out_NPV_Plan,$B73)),_xll.VoseSimPercentile(Out_NPV_Plan,$B73),NA())</f>
        <v>-269.54989504330501</v>
      </c>
    </row>
    <row r="74" spans="2:7" hidden="1" outlineLevel="1" x14ac:dyDescent="0.45">
      <c r="B74" s="82">
        <v>7.0000000000000007E-2</v>
      </c>
      <c r="C74" s="82">
        <f t="shared" si="2"/>
        <v>0.92999999999999994</v>
      </c>
      <c r="D74" s="83" cm="1">
        <f t="array" aca="1" ref="D74" ca="1">IF(ISNUMBER(_xll.VoseSimPercentile(Out_NPV_Start,$B74)),_xll.VoseSimPercentile(Out_NPV_Start,$B74),NA())</f>
        <v>-248.33296410762387</v>
      </c>
      <c r="E74" s="83" cm="1">
        <f t="array" aca="1" ref="E74" ca="1">IF(ISNUMBER(_xll.VoseSimPercentile(Out_NPV_Plan,$B74)),_xll.VoseSimPercentile(Out_NPV_Plan,$B74),NA())</f>
        <v>-266.1872027717925</v>
      </c>
    </row>
    <row r="75" spans="2:7" hidden="1" outlineLevel="1" x14ac:dyDescent="0.45">
      <c r="B75" s="82">
        <v>0.09</v>
      </c>
      <c r="C75" s="82">
        <f t="shared" si="2"/>
        <v>0.91</v>
      </c>
      <c r="D75" s="83" cm="1">
        <f t="array" aca="1" ref="D75" ca="1">IF(ISNUMBER(_xll.VoseSimPercentile(Out_NPV_Start,$B75)),_xll.VoseSimPercentile(Out_NPV_Start,$B75),NA())</f>
        <v>-245.49392555201624</v>
      </c>
      <c r="E75" s="83" cm="1">
        <f t="array" aca="1" ref="E75" ca="1">IF(ISNUMBER(_xll.VoseSimPercentile(Out_NPV_Plan,$B75)),_xll.VoseSimPercentile(Out_NPV_Plan,$B75),NA())</f>
        <v>-263.09090804953257</v>
      </c>
    </row>
    <row r="76" spans="2:7" hidden="1" outlineLevel="1" x14ac:dyDescent="0.45">
      <c r="B76" s="82">
        <v>0.11</v>
      </c>
      <c r="C76" s="82">
        <f t="shared" si="2"/>
        <v>0.89</v>
      </c>
      <c r="D76" s="83" cm="1">
        <f t="array" aca="1" ref="D76" ca="1">IF(ISNUMBER(_xll.VoseSimPercentile(Out_NPV_Start,$B76)),_xll.VoseSimPercentile(Out_NPV_Start,$B76),NA())</f>
        <v>-242.48973252546801</v>
      </c>
      <c r="E76" s="83" cm="1">
        <f t="array" aca="1" ref="E76" ca="1">IF(ISNUMBER(_xll.VoseSimPercentile(Out_NPV_Plan,$B76)),_xll.VoseSimPercentile(Out_NPV_Plan,$B76),NA())</f>
        <v>-259.91044367231279</v>
      </c>
    </row>
    <row r="77" spans="2:7" hidden="1" outlineLevel="1" x14ac:dyDescent="0.45">
      <c r="B77" s="82">
        <v>0.13</v>
      </c>
      <c r="C77" s="82">
        <f t="shared" si="2"/>
        <v>0.87</v>
      </c>
      <c r="D77" s="83" cm="1">
        <f t="array" aca="1" ref="D77" ca="1">IF(ISNUMBER(_xll.VoseSimPercentile(Out_NPV_Start,$B77)),_xll.VoseSimPercentile(Out_NPV_Start,$B77),NA())</f>
        <v>-239.1495178072133</v>
      </c>
      <c r="E77" s="83" cm="1">
        <f t="array" aca="1" ref="E77" ca="1">IF(ISNUMBER(_xll.VoseSimPercentile(Out_NPV_Plan,$B77)),_xll.VoseSimPercentile(Out_NPV_Plan,$B77),NA())</f>
        <v>-256.70575399207291</v>
      </c>
    </row>
    <row r="78" spans="2:7" hidden="1" outlineLevel="1" x14ac:dyDescent="0.45">
      <c r="B78" s="82">
        <v>0.15</v>
      </c>
      <c r="C78" s="82">
        <f t="shared" si="2"/>
        <v>0.85</v>
      </c>
      <c r="D78" s="83" cm="1">
        <f t="array" aca="1" ref="D78" ca="1">IF(ISNUMBER(_xll.VoseSimPercentile(Out_NPV_Start,$B78)),_xll.VoseSimPercentile(Out_NPV_Start,$B78),NA())</f>
        <v>-235.44891437596311</v>
      </c>
      <c r="E78" s="83" cm="1">
        <f t="array" aca="1" ref="E78" ca="1">IF(ISNUMBER(_xll.VoseSimPercentile(Out_NPV_Plan,$B78)),_xll.VoseSimPercentile(Out_NPV_Plan,$B78),NA())</f>
        <v>-252.1743266307185</v>
      </c>
    </row>
    <row r="79" spans="2:7" hidden="1" outlineLevel="1" x14ac:dyDescent="0.45">
      <c r="B79" s="82">
        <v>0.17</v>
      </c>
      <c r="C79" s="82">
        <f t="shared" si="2"/>
        <v>0.83</v>
      </c>
      <c r="D79" s="83" cm="1">
        <f t="array" aca="1" ref="D79" ca="1">IF(ISNUMBER(_xll.VoseSimPercentile(Out_NPV_Start,$B79)),_xll.VoseSimPercentile(Out_NPV_Start,$B79),NA())</f>
        <v>-229.49473331344305</v>
      </c>
      <c r="E79" s="83" cm="1">
        <f t="array" aca="1" ref="E79" ca="1">IF(ISNUMBER(_xll.VoseSimPercentile(Out_NPV_Plan,$B79)),_xll.VoseSimPercentile(Out_NPV_Plan,$B79),NA())</f>
        <v>-246.76485631361112</v>
      </c>
    </row>
    <row r="80" spans="2:7" hidden="1" outlineLevel="1" x14ac:dyDescent="0.45">
      <c r="B80" s="82">
        <v>0.19</v>
      </c>
      <c r="C80" s="82">
        <f t="shared" si="2"/>
        <v>0.81</v>
      </c>
      <c r="D80" s="83" cm="1">
        <f t="array" aca="1" ref="D80" ca="1">IF(ISNUMBER(_xll.VoseSimPercentile(Out_NPV_Start,$B80)),_xll.VoseSimPercentile(Out_NPV_Start,$B80),NA())</f>
        <v>-206.45349389222932</v>
      </c>
      <c r="E80" s="83" cm="1">
        <f t="array" aca="1" ref="E80" ca="1">IF(ISNUMBER(_xll.VoseSimPercentile(Out_NPV_Plan,$B80)),_xll.VoseSimPercentile(Out_NPV_Plan,$B80),NA())</f>
        <v>-233.55544214366819</v>
      </c>
    </row>
    <row r="81" spans="2:5" hidden="1" outlineLevel="1" x14ac:dyDescent="0.45">
      <c r="B81" s="82">
        <v>0.21</v>
      </c>
      <c r="C81" s="82">
        <f t="shared" si="2"/>
        <v>0.79</v>
      </c>
      <c r="D81" s="83" cm="1">
        <f t="array" aca="1" ref="D81" ca="1">IF(ISNUMBER(_xll.VoseSimPercentile(Out_NPV_Start,$B81)),_xll.VoseSimPercentile(Out_NPV_Start,$B81),NA())</f>
        <v>-191.61045459271344</v>
      </c>
      <c r="E81" s="83" cm="1">
        <f t="array" aca="1" ref="E81" ca="1">IF(ISNUMBER(_xll.VoseSimPercentile(Out_NPV_Plan,$B81)),_xll.VoseSimPercentile(Out_NPV_Plan,$B81),NA())</f>
        <v>-219.71968232716563</v>
      </c>
    </row>
    <row r="82" spans="2:5" hidden="1" outlineLevel="1" x14ac:dyDescent="0.45">
      <c r="B82" s="82">
        <v>0.23</v>
      </c>
      <c r="C82" s="82">
        <f t="shared" si="2"/>
        <v>0.77</v>
      </c>
      <c r="D82" s="83" cm="1">
        <f t="array" aca="1" ref="D82" ca="1">IF(ISNUMBER(_xll.VoseSimPercentile(Out_NPV_Start,$B82)),_xll.VoseSimPercentile(Out_NPV_Start,$B82),NA())</f>
        <v>-179.67083900020964</v>
      </c>
      <c r="E82" s="83" cm="1">
        <f t="array" aca="1" ref="E82" ca="1">IF(ISNUMBER(_xll.VoseSimPercentile(Out_NPV_Plan,$B82)),_xll.VoseSimPercentile(Out_NPV_Plan,$B82),NA())</f>
        <v>-210.7018756940991</v>
      </c>
    </row>
    <row r="83" spans="2:5" hidden="1" outlineLevel="1" x14ac:dyDescent="0.45">
      <c r="B83" s="82">
        <v>0.25</v>
      </c>
      <c r="C83" s="82">
        <f t="shared" si="2"/>
        <v>0.75</v>
      </c>
      <c r="D83" s="83" cm="1">
        <f t="array" aca="1" ref="D83" ca="1">IF(ISNUMBER(_xll.VoseSimPercentile(Out_NPV_Start,$B83)),_xll.VoseSimPercentile(Out_NPV_Start,$B83),NA())</f>
        <v>-169.59321693995705</v>
      </c>
      <c r="E83" s="83" cm="1">
        <f t="array" aca="1" ref="E83" ca="1">IF(ISNUMBER(_xll.VoseSimPercentile(Out_NPV_Plan,$B83)),_xll.VoseSimPercentile(Out_NPV_Plan,$B83),NA())</f>
        <v>-202.80099734311557</v>
      </c>
    </row>
    <row r="84" spans="2:5" hidden="1" outlineLevel="1" x14ac:dyDescent="0.45">
      <c r="B84" s="82">
        <v>0.27</v>
      </c>
      <c r="C84" s="82">
        <f t="shared" si="2"/>
        <v>0.73</v>
      </c>
      <c r="D84" s="83" cm="1">
        <f t="array" aca="1" ref="D84" ca="1">IF(ISNUMBER(_xll.VoseSimPercentile(Out_NPV_Start,$B84)),_xll.VoseSimPercentile(Out_NPV_Start,$B84),NA())</f>
        <v>-159.72828646691539</v>
      </c>
      <c r="E84" s="83" cm="1">
        <f t="array" aca="1" ref="E84" ca="1">IF(ISNUMBER(_xll.VoseSimPercentile(Out_NPV_Plan,$B84)),_xll.VoseSimPercentile(Out_NPV_Plan,$B84),NA())</f>
        <v>-196.08725125870529</v>
      </c>
    </row>
    <row r="85" spans="2:5" hidden="1" outlineLevel="1" x14ac:dyDescent="0.45">
      <c r="B85" s="82">
        <v>0.28999999999999998</v>
      </c>
      <c r="C85" s="82">
        <f t="shared" si="2"/>
        <v>0.71</v>
      </c>
      <c r="D85" s="83" cm="1">
        <f t="array" aca="1" ref="D85" ca="1">IF(ISNUMBER(_xll.VoseSimPercentile(Out_NPV_Start,$B85)),_xll.VoseSimPercentile(Out_NPV_Start,$B85),NA())</f>
        <v>-149.5287506484143</v>
      </c>
      <c r="E85" s="83" cm="1">
        <f t="array" aca="1" ref="E85" ca="1">IF(ISNUMBER(_xll.VoseSimPercentile(Out_NPV_Plan,$B85)),_xll.VoseSimPercentile(Out_NPV_Plan,$B85),NA())</f>
        <v>-188.03507266537403</v>
      </c>
    </row>
    <row r="86" spans="2:5" hidden="1" outlineLevel="1" x14ac:dyDescent="0.45">
      <c r="B86" s="82">
        <v>0.31</v>
      </c>
      <c r="C86" s="82">
        <f t="shared" si="2"/>
        <v>0.69</v>
      </c>
      <c r="D86" s="83" cm="1">
        <f t="array" aca="1" ref="D86" ca="1">IF(ISNUMBER(_xll.VoseSimPercentile(Out_NPV_Start,$B86)),_xll.VoseSimPercentile(Out_NPV_Start,$B86),NA())</f>
        <v>-139.22346505130656</v>
      </c>
      <c r="E86" s="83" cm="1">
        <f t="array" aca="1" ref="E86" ca="1">IF(ISNUMBER(_xll.VoseSimPercentile(Out_NPV_Plan,$B86)),_xll.VoseSimPercentile(Out_NPV_Plan,$B86),NA())</f>
        <v>-181.573740367325</v>
      </c>
    </row>
    <row r="87" spans="2:5" hidden="1" outlineLevel="1" x14ac:dyDescent="0.45">
      <c r="B87" s="82">
        <v>0.33</v>
      </c>
      <c r="C87" s="82">
        <f t="shared" si="2"/>
        <v>0.66999999999999993</v>
      </c>
      <c r="D87" s="83" cm="1">
        <f t="array" aca="1" ref="D87" ca="1">IF(ISNUMBER(_xll.VoseSimPercentile(Out_NPV_Start,$B87)),_xll.VoseSimPercentile(Out_NPV_Start,$B87),NA())</f>
        <v>-129.3940562912895</v>
      </c>
      <c r="E87" s="83" cm="1">
        <f t="array" aca="1" ref="E87" ca="1">IF(ISNUMBER(_xll.VoseSimPercentile(Out_NPV_Plan,$B87)),_xll.VoseSimPercentile(Out_NPV_Plan,$B87),NA())</f>
        <v>-174.04100769441294</v>
      </c>
    </row>
    <row r="88" spans="2:5" hidden="1" outlineLevel="1" x14ac:dyDescent="0.45">
      <c r="B88" s="82">
        <v>0.35</v>
      </c>
      <c r="C88" s="82">
        <f t="shared" si="2"/>
        <v>0.65</v>
      </c>
      <c r="D88" s="83" cm="1">
        <f t="array" aca="1" ref="D88" ca="1">IF(ISNUMBER(_xll.VoseSimPercentile(Out_NPV_Start,$B88)),_xll.VoseSimPercentile(Out_NPV_Start,$B88),NA())</f>
        <v>-119.75950237602103</v>
      </c>
      <c r="E88" s="83" cm="1">
        <f t="array" aca="1" ref="E88" ca="1">IF(ISNUMBER(_xll.VoseSimPercentile(Out_NPV_Plan,$B88)),_xll.VoseSimPercentile(Out_NPV_Plan,$B88),NA())</f>
        <v>-165.40978892459918</v>
      </c>
    </row>
    <row r="89" spans="2:5" hidden="1" outlineLevel="1" x14ac:dyDescent="0.45">
      <c r="B89" s="82">
        <v>0.37</v>
      </c>
      <c r="C89" s="82">
        <f t="shared" si="2"/>
        <v>0.63</v>
      </c>
      <c r="D89" s="83" cm="1">
        <f t="array" aca="1" ref="D89" ca="1">IF(ISNUMBER(_xll.VoseSimPercentile(Out_NPV_Start,$B89)),_xll.VoseSimPercentile(Out_NPV_Start,$B89),NA())</f>
        <v>-108.17074376751555</v>
      </c>
      <c r="E89" s="83" cm="1">
        <f t="array" aca="1" ref="E89" ca="1">IF(ISNUMBER(_xll.VoseSimPercentile(Out_NPV_Plan,$B89)),_xll.VoseSimPercentile(Out_NPV_Plan,$B89),NA())</f>
        <v>-158.05321818350217</v>
      </c>
    </row>
    <row r="90" spans="2:5" hidden="1" outlineLevel="1" x14ac:dyDescent="0.45">
      <c r="B90" s="82">
        <v>0.39</v>
      </c>
      <c r="C90" s="82">
        <f t="shared" si="2"/>
        <v>0.61</v>
      </c>
      <c r="D90" s="83" cm="1">
        <f t="array" aca="1" ref="D90" ca="1">IF(ISNUMBER(_xll.VoseSimPercentile(Out_NPV_Start,$B90)),_xll.VoseSimPercentile(Out_NPV_Start,$B90),NA())</f>
        <v>-96.25716530347259</v>
      </c>
      <c r="E90" s="83" cm="1">
        <f t="array" aca="1" ref="E90" ca="1">IF(ISNUMBER(_xll.VoseSimPercentile(Out_NPV_Plan,$B90)),_xll.VoseSimPercentile(Out_NPV_Plan,$B90),NA())</f>
        <v>-149.95377128590434</v>
      </c>
    </row>
    <row r="91" spans="2:5" hidden="1" outlineLevel="1" x14ac:dyDescent="0.45">
      <c r="B91" s="82">
        <v>0.41</v>
      </c>
      <c r="C91" s="82">
        <f t="shared" si="2"/>
        <v>0.59000000000000008</v>
      </c>
      <c r="D91" s="83" cm="1">
        <f t="array" aca="1" ref="D91" ca="1">IF(ISNUMBER(_xll.VoseSimPercentile(Out_NPV_Start,$B91)),_xll.VoseSimPercentile(Out_NPV_Start,$B91),NA())</f>
        <v>-84.381055670370841</v>
      </c>
      <c r="E91" s="83" cm="1">
        <f t="array" aca="1" ref="E91" ca="1">IF(ISNUMBER(_xll.VoseSimPercentile(Out_NPV_Plan,$B91)),_xll.VoseSimPercentile(Out_NPV_Plan,$B91),NA())</f>
        <v>-140.66381554553288</v>
      </c>
    </row>
    <row r="92" spans="2:5" hidden="1" outlineLevel="1" x14ac:dyDescent="0.45">
      <c r="B92" s="82">
        <v>0.43</v>
      </c>
      <c r="C92" s="82">
        <f t="shared" si="2"/>
        <v>0.57000000000000006</v>
      </c>
      <c r="D92" s="83" cm="1">
        <f t="array" aca="1" ref="D92" ca="1">IF(ISNUMBER(_xll.VoseSimPercentile(Out_NPV_Start,$B92)),_xll.VoseSimPercentile(Out_NPV_Start,$B92),NA())</f>
        <v>-72.871421407997957</v>
      </c>
      <c r="E92" s="83" cm="1">
        <f t="array" aca="1" ref="E92" ca="1">IF(ISNUMBER(_xll.VoseSimPercentile(Out_NPV_Plan,$B92)),_xll.VoseSimPercentile(Out_NPV_Plan,$B92),NA())</f>
        <v>-132.31504074248451</v>
      </c>
    </row>
    <row r="93" spans="2:5" hidden="1" outlineLevel="1" x14ac:dyDescent="0.45">
      <c r="B93" s="82">
        <v>0.45</v>
      </c>
      <c r="C93" s="82">
        <f t="shared" si="2"/>
        <v>0.55000000000000004</v>
      </c>
      <c r="D93" s="83" cm="1">
        <f t="array" aca="1" ref="D93" ca="1">IF(ISNUMBER(_xll.VoseSimPercentile(Out_NPV_Start,$B93)),_xll.VoseSimPercentile(Out_NPV_Start,$B93),NA())</f>
        <v>-60.327115308792543</v>
      </c>
      <c r="E93" s="83" cm="1">
        <f t="array" aca="1" ref="E93" ca="1">IF(ISNUMBER(_xll.VoseSimPercentile(Out_NPV_Plan,$B93)),_xll.VoseSimPercentile(Out_NPV_Plan,$B93),NA())</f>
        <v>-124.68737827767148</v>
      </c>
    </row>
    <row r="94" spans="2:5" hidden="1" outlineLevel="1" x14ac:dyDescent="0.45">
      <c r="B94" s="82">
        <v>0.47</v>
      </c>
      <c r="C94" s="82">
        <f t="shared" si="2"/>
        <v>0.53</v>
      </c>
      <c r="D94" s="83" cm="1">
        <f t="array" aca="1" ref="D94" ca="1">IF(ISNUMBER(_xll.VoseSimPercentile(Out_NPV_Start,$B94)),_xll.VoseSimPercentile(Out_NPV_Start,$B94),NA())</f>
        <v>-46.873216621679028</v>
      </c>
      <c r="E94" s="83" cm="1">
        <f t="array" aca="1" ref="E94" ca="1">IF(ISNUMBER(_xll.VoseSimPercentile(Out_NPV_Plan,$B94)),_xll.VoseSimPercentile(Out_NPV_Plan,$B94),NA())</f>
        <v>-114.65326912157849</v>
      </c>
    </row>
    <row r="95" spans="2:5" hidden="1" outlineLevel="1" x14ac:dyDescent="0.45">
      <c r="B95" s="82">
        <v>0.49</v>
      </c>
      <c r="C95" s="82">
        <f t="shared" si="2"/>
        <v>0.51</v>
      </c>
      <c r="D95" s="83" cm="1">
        <f t="array" aca="1" ref="D95" ca="1">IF(ISNUMBER(_xll.VoseSimPercentile(Out_NPV_Start,$B95)),_xll.VoseSimPercentile(Out_NPV_Start,$B95),NA())</f>
        <v>-34.469572716945521</v>
      </c>
      <c r="E95" s="83" cm="1">
        <f t="array" aca="1" ref="E95" ca="1">IF(ISNUMBER(_xll.VoseSimPercentile(Out_NPV_Plan,$B95)),_xll.VoseSimPercentile(Out_NPV_Plan,$B95),NA())</f>
        <v>-105.40866822749325</v>
      </c>
    </row>
    <row r="96" spans="2:5" hidden="1" outlineLevel="1" x14ac:dyDescent="0.45">
      <c r="B96" s="82">
        <v>0.51</v>
      </c>
      <c r="C96" s="82">
        <f t="shared" si="2"/>
        <v>0.49</v>
      </c>
      <c r="D96" s="83" cm="1">
        <f t="array" aca="1" ref="D96" ca="1">IF(ISNUMBER(_xll.VoseSimPercentile(Out_NPV_Start,$B96)),_xll.VoseSimPercentile(Out_NPV_Start,$B96),NA())</f>
        <v>-22.213799475906768</v>
      </c>
      <c r="E96" s="83" cm="1">
        <f t="array" aca="1" ref="E96" ca="1">IF(ISNUMBER(_xll.VoseSimPercentile(Out_NPV_Plan,$B96)),_xll.VoseSimPercentile(Out_NPV_Plan,$B96),NA())</f>
        <v>-94.898975849677484</v>
      </c>
    </row>
    <row r="97" spans="2:5" hidden="1" outlineLevel="1" x14ac:dyDescent="0.45">
      <c r="B97" s="82">
        <v>0.53</v>
      </c>
      <c r="C97" s="82">
        <f t="shared" si="2"/>
        <v>0.47</v>
      </c>
      <c r="D97" s="83" cm="1">
        <f t="array" aca="1" ref="D97" ca="1">IF(ISNUMBER(_xll.VoseSimPercentile(Out_NPV_Start,$B97)),_xll.VoseSimPercentile(Out_NPV_Start,$B97),NA())</f>
        <v>-7.8172137577353169</v>
      </c>
      <c r="E97" s="83" cm="1">
        <f t="array" aca="1" ref="E97" ca="1">IF(ISNUMBER(_xll.VoseSimPercentile(Out_NPV_Plan,$B97)),_xll.VoseSimPercentile(Out_NPV_Plan,$B97),NA())</f>
        <v>-84.046486709491802</v>
      </c>
    </row>
    <row r="98" spans="2:5" hidden="1" outlineLevel="1" x14ac:dyDescent="0.45">
      <c r="B98" s="82">
        <v>0.55000000000000004</v>
      </c>
      <c r="C98" s="82">
        <f t="shared" si="2"/>
        <v>0.44999999999999996</v>
      </c>
      <c r="D98" s="83" cm="1">
        <f t="array" aca="1" ref="D98" ca="1">IF(ISNUMBER(_xll.VoseSimPercentile(Out_NPV_Start,$B98)),_xll.VoseSimPercentile(Out_NPV_Start,$B98),NA())</f>
        <v>5.9768934685223769</v>
      </c>
      <c r="E98" s="83" cm="1">
        <f t="array" aca="1" ref="E98" ca="1">IF(ISNUMBER(_xll.VoseSimPercentile(Out_NPV_Plan,$B98)),_xll.VoseSimPercentile(Out_NPV_Plan,$B98),NA())</f>
        <v>-71.125617269600568</v>
      </c>
    </row>
    <row r="99" spans="2:5" hidden="1" outlineLevel="1" x14ac:dyDescent="0.45">
      <c r="B99" s="82">
        <v>0.56999999999999995</v>
      </c>
      <c r="C99" s="82">
        <f t="shared" si="2"/>
        <v>0.43000000000000005</v>
      </c>
      <c r="D99" s="83" cm="1">
        <f t="array" aca="1" ref="D99" ca="1">IF(ISNUMBER(_xll.VoseSimPercentile(Out_NPV_Start,$B99)),_xll.VoseSimPercentile(Out_NPV_Start,$B99),NA())</f>
        <v>22.624863531728749</v>
      </c>
      <c r="E99" s="83" cm="1">
        <f t="array" aca="1" ref="E99" ca="1">IF(ISNUMBER(_xll.VoseSimPercentile(Out_NPV_Plan,$B99)),_xll.VoseSimPercentile(Out_NPV_Plan,$B99),NA())</f>
        <v>-60.260884981920768</v>
      </c>
    </row>
    <row r="100" spans="2:5" hidden="1" outlineLevel="1" x14ac:dyDescent="0.45">
      <c r="B100" s="82">
        <v>0.59</v>
      </c>
      <c r="C100" s="82">
        <f t="shared" si="2"/>
        <v>0.41000000000000003</v>
      </c>
      <c r="D100" s="83" cm="1">
        <f t="array" aca="1" ref="D100" ca="1">IF(ISNUMBER(_xll.VoseSimPercentile(Out_NPV_Start,$B100)),_xll.VoseSimPercentile(Out_NPV_Start,$B100),NA())</f>
        <v>37.292861191212467</v>
      </c>
      <c r="E100" s="83" cm="1">
        <f t="array" aca="1" ref="E100" ca="1">IF(ISNUMBER(_xll.VoseSimPercentile(Out_NPV_Plan,$B100)),_xll.VoseSimPercentile(Out_NPV_Plan,$B100),NA())</f>
        <v>-46.253174041759124</v>
      </c>
    </row>
    <row r="101" spans="2:5" hidden="1" outlineLevel="1" x14ac:dyDescent="0.45">
      <c r="B101" s="82">
        <v>0.61</v>
      </c>
      <c r="C101" s="82">
        <f t="shared" si="2"/>
        <v>0.39</v>
      </c>
      <c r="D101" s="83" cm="1">
        <f t="array" aca="1" ref="D101" ca="1">IF(ISNUMBER(_xll.VoseSimPercentile(Out_NPV_Start,$B101)),_xll.VoseSimPercentile(Out_NPV_Start,$B101),NA())</f>
        <v>55.266823842129398</v>
      </c>
      <c r="E101" s="83" cm="1">
        <f t="array" aca="1" ref="E101" ca="1">IF(ISNUMBER(_xll.VoseSimPercentile(Out_NPV_Plan,$B101)),_xll.VoseSimPercentile(Out_NPV_Plan,$B101),NA())</f>
        <v>-29.640707612525986</v>
      </c>
    </row>
    <row r="102" spans="2:5" hidden="1" outlineLevel="1" x14ac:dyDescent="0.45">
      <c r="B102" s="82">
        <v>0.63</v>
      </c>
      <c r="C102" s="82">
        <f t="shared" si="2"/>
        <v>0.37</v>
      </c>
      <c r="D102" s="83" cm="1">
        <f t="array" aca="1" ref="D102" ca="1">IF(ISNUMBER(_xll.VoseSimPercentile(Out_NPV_Start,$B102)),_xll.VoseSimPercentile(Out_NPV_Start,$B102),NA())</f>
        <v>72.528960111460435</v>
      </c>
      <c r="E102" s="83" cm="1">
        <f t="array" aca="1" ref="E102" ca="1">IF(ISNUMBER(_xll.VoseSimPercentile(Out_NPV_Plan,$B102)),_xll.VoseSimPercentile(Out_NPV_Plan,$B102),NA())</f>
        <v>-12.238941050898092</v>
      </c>
    </row>
    <row r="103" spans="2:5" hidden="1" outlineLevel="1" x14ac:dyDescent="0.45">
      <c r="B103" s="82">
        <v>0.65</v>
      </c>
      <c r="C103" s="82">
        <f t="shared" ref="C103:C134" si="3">1-B103</f>
        <v>0.35</v>
      </c>
      <c r="D103" s="83" cm="1">
        <f t="array" aca="1" ref="D103" ca="1">IF(ISNUMBER(_xll.VoseSimPercentile(Out_NPV_Start,$B103)),_xll.VoseSimPercentile(Out_NPV_Start,$B103),NA())</f>
        <v>88.748828889385834</v>
      </c>
      <c r="E103" s="83" cm="1">
        <f t="array" aca="1" ref="E103" ca="1">IF(ISNUMBER(_xll.VoseSimPercentile(Out_NPV_Plan,$B103)),_xll.VoseSimPercentile(Out_NPV_Plan,$B103),NA())</f>
        <v>5.454719318208376</v>
      </c>
    </row>
    <row r="104" spans="2:5" hidden="1" outlineLevel="1" x14ac:dyDescent="0.45">
      <c r="B104" s="82">
        <v>0.67</v>
      </c>
      <c r="C104" s="82">
        <f t="shared" si="3"/>
        <v>0.32999999999999996</v>
      </c>
      <c r="D104" s="83" cm="1">
        <f t="array" aca="1" ref="D104" ca="1">IF(ISNUMBER(_xll.VoseSimPercentile(Out_NPV_Start,$B104)),_xll.VoseSimPercentile(Out_NPV_Start,$B104),NA())</f>
        <v>108.71967457434333</v>
      </c>
      <c r="E104" s="83" cm="1">
        <f t="array" aca="1" ref="E104" ca="1">IF(ISNUMBER(_xll.VoseSimPercentile(Out_NPV_Plan,$B104)),_xll.VoseSimPercentile(Out_NPV_Plan,$B104),NA())</f>
        <v>23.008632347782751</v>
      </c>
    </row>
    <row r="105" spans="2:5" hidden="1" outlineLevel="1" x14ac:dyDescent="0.45">
      <c r="B105" s="82">
        <v>0.69</v>
      </c>
      <c r="C105" s="82">
        <f t="shared" si="3"/>
        <v>0.31000000000000005</v>
      </c>
      <c r="D105" s="83" cm="1">
        <f t="array" aca="1" ref="D105" ca="1">IF(ISNUMBER(_xll.VoseSimPercentile(Out_NPV_Start,$B105)),_xll.VoseSimPercentile(Out_NPV_Start,$B105),NA())</f>
        <v>127.55644760082144</v>
      </c>
      <c r="E105" s="83" cm="1">
        <f t="array" aca="1" ref="E105" ca="1">IF(ISNUMBER(_xll.VoseSimPercentile(Out_NPV_Plan,$B105)),_xll.VoseSimPercentile(Out_NPV_Plan,$B105),NA())</f>
        <v>48.699071360294397</v>
      </c>
    </row>
    <row r="106" spans="2:5" hidden="1" outlineLevel="1" x14ac:dyDescent="0.45">
      <c r="B106" s="82">
        <v>0.71</v>
      </c>
      <c r="C106" s="82">
        <f t="shared" si="3"/>
        <v>0.29000000000000004</v>
      </c>
      <c r="D106" s="83" cm="1">
        <f t="array" aca="1" ref="D106" ca="1">IF(ISNUMBER(_xll.VoseSimPercentile(Out_NPV_Start,$B106)),_xll.VoseSimPercentile(Out_NPV_Start,$B106),NA())</f>
        <v>148.08712845073865</v>
      </c>
      <c r="E106" s="83" cm="1">
        <f t="array" aca="1" ref="E106" ca="1">IF(ISNUMBER(_xll.VoseSimPercentile(Out_NPV_Plan,$B106)),_xll.VoseSimPercentile(Out_NPV_Plan,$B106),NA())</f>
        <v>72.597440336167381</v>
      </c>
    </row>
    <row r="107" spans="2:5" hidden="1" outlineLevel="1" x14ac:dyDescent="0.45">
      <c r="B107" s="82">
        <v>0.73</v>
      </c>
      <c r="C107" s="82">
        <f t="shared" si="3"/>
        <v>0.27</v>
      </c>
      <c r="D107" s="83" cm="1">
        <f t="array" aca="1" ref="D107" ca="1">IF(ISNUMBER(_xll.VoseSimPercentile(Out_NPV_Start,$B107)),_xll.VoseSimPercentile(Out_NPV_Start,$B107),NA())</f>
        <v>171.81764691592252</v>
      </c>
      <c r="E107" s="83" cm="1">
        <f t="array" aca="1" ref="E107" ca="1">IF(ISNUMBER(_xll.VoseSimPercentile(Out_NPV_Plan,$B107)),_xll.VoseSimPercentile(Out_NPV_Plan,$B107),NA())</f>
        <v>107.55481964378102</v>
      </c>
    </row>
    <row r="108" spans="2:5" hidden="1" outlineLevel="1" x14ac:dyDescent="0.45">
      <c r="B108" s="82">
        <v>0.75</v>
      </c>
      <c r="C108" s="82">
        <f t="shared" si="3"/>
        <v>0.25</v>
      </c>
      <c r="D108" s="83" cm="1">
        <f t="array" aca="1" ref="D108" ca="1">IF(ISNUMBER(_xll.VoseSimPercentile(Out_NPV_Start,$B108)),_xll.VoseSimPercentile(Out_NPV_Start,$B108),NA())</f>
        <v>194.92645668046504</v>
      </c>
      <c r="E108" s="83" cm="1">
        <f t="array" aca="1" ref="E108" ca="1">IF(ISNUMBER(_xll.VoseSimPercentile(Out_NPV_Plan,$B108)),_xll.VoseSimPercentile(Out_NPV_Plan,$B108),NA())</f>
        <v>147.9663857346099</v>
      </c>
    </row>
    <row r="109" spans="2:5" hidden="1" outlineLevel="1" x14ac:dyDescent="0.45">
      <c r="B109" s="82">
        <v>0.77</v>
      </c>
      <c r="C109" s="82">
        <f t="shared" si="3"/>
        <v>0.22999999999999998</v>
      </c>
      <c r="D109" s="83" cm="1">
        <f t="array" aca="1" ref="D109" ca="1">IF(ISNUMBER(_xll.VoseSimPercentile(Out_NPV_Start,$B109)),_xll.VoseSimPercentile(Out_NPV_Start,$B109),NA())</f>
        <v>219.44780976437181</v>
      </c>
      <c r="E109" s="83" cm="1">
        <f t="array" aca="1" ref="E109" ca="1">IF(ISNUMBER(_xll.VoseSimPercentile(Out_NPV_Plan,$B109)),_xll.VoseSimPercentile(Out_NPV_Plan,$B109),NA())</f>
        <v>191.68856918425786</v>
      </c>
    </row>
    <row r="110" spans="2:5" hidden="1" outlineLevel="1" x14ac:dyDescent="0.45">
      <c r="B110" s="82">
        <v>0.79</v>
      </c>
      <c r="C110" s="82">
        <f t="shared" si="3"/>
        <v>0.20999999999999996</v>
      </c>
      <c r="D110" s="83" cm="1">
        <f t="array" aca="1" ref="D110" ca="1">IF(ISNUMBER(_xll.VoseSimPercentile(Out_NPV_Start,$B110)),_xll.VoseSimPercentile(Out_NPV_Start,$B110),NA())</f>
        <v>246.00086782087843</v>
      </c>
      <c r="E110" s="83" cm="1">
        <f t="array" aca="1" ref="E110" ca="1">IF(ISNUMBER(_xll.VoseSimPercentile(Out_NPV_Plan,$B110)),_xll.VoseSimPercentile(Out_NPV_Plan,$B110),NA())</f>
        <v>246.59495291247998</v>
      </c>
    </row>
    <row r="111" spans="2:5" hidden="1" outlineLevel="1" x14ac:dyDescent="0.45">
      <c r="B111" s="82">
        <v>0.81</v>
      </c>
      <c r="C111" s="82">
        <f t="shared" si="3"/>
        <v>0.18999999999999995</v>
      </c>
      <c r="D111" s="83" cm="1">
        <f t="array" aca="1" ref="D111" ca="1">IF(ISNUMBER(_xll.VoseSimPercentile(Out_NPV_Start,$B111)),_xll.VoseSimPercentile(Out_NPV_Start,$B111),NA())</f>
        <v>276.27009986552656</v>
      </c>
      <c r="E111" s="83" cm="1">
        <f t="array" aca="1" ref="E111" ca="1">IF(ISNUMBER(_xll.VoseSimPercentile(Out_NPV_Plan,$B111)),_xll.VoseSimPercentile(Out_NPV_Plan,$B111),NA())</f>
        <v>311.42968273155174</v>
      </c>
    </row>
    <row r="112" spans="2:5" hidden="1" outlineLevel="1" x14ac:dyDescent="0.45">
      <c r="B112" s="82">
        <v>0.83</v>
      </c>
      <c r="C112" s="82">
        <f t="shared" si="3"/>
        <v>0.17000000000000004</v>
      </c>
      <c r="D112" s="83" cm="1">
        <f t="array" aca="1" ref="D112" ca="1">IF(ISNUMBER(_xll.VoseSimPercentile(Out_NPV_Start,$B112)),_xll.VoseSimPercentile(Out_NPV_Start,$B112),NA())</f>
        <v>308.80673701533203</v>
      </c>
      <c r="E112" s="83" cm="1">
        <f t="array" aca="1" ref="E112" ca="1">IF(ISNUMBER(_xll.VoseSimPercentile(Out_NPV_Plan,$B112)),_xll.VoseSimPercentile(Out_NPV_Plan,$B112),NA())</f>
        <v>380.31877993512501</v>
      </c>
    </row>
    <row r="113" spans="2:7" hidden="1" outlineLevel="1" x14ac:dyDescent="0.45">
      <c r="B113" s="82">
        <v>0.85</v>
      </c>
      <c r="C113" s="82">
        <f t="shared" si="3"/>
        <v>0.15000000000000002</v>
      </c>
      <c r="D113" s="83" cm="1">
        <f t="array" aca="1" ref="D113" ca="1">IF(ISNUMBER(_xll.VoseSimPercentile(Out_NPV_Start,$B113)),_xll.VoseSimPercentile(Out_NPV_Start,$B113),NA())</f>
        <v>345.67364852820367</v>
      </c>
      <c r="E113" s="83" cm="1">
        <f t="array" aca="1" ref="E113" ca="1">IF(ISNUMBER(_xll.VoseSimPercentile(Out_NPV_Plan,$B113)),_xll.VoseSimPercentile(Out_NPV_Plan,$B113),NA())</f>
        <v>463.27009894137649</v>
      </c>
    </row>
    <row r="114" spans="2:7" hidden="1" outlineLevel="1" x14ac:dyDescent="0.45">
      <c r="B114" s="82">
        <v>0.87</v>
      </c>
      <c r="C114" s="82">
        <f t="shared" si="3"/>
        <v>0.13</v>
      </c>
      <c r="D114" s="83" cm="1">
        <f t="array" aca="1" ref="D114" ca="1">IF(ISNUMBER(_xll.VoseSimPercentile(Out_NPV_Start,$B114)),_xll.VoseSimPercentile(Out_NPV_Start,$B114),NA())</f>
        <v>387.00516703738163</v>
      </c>
      <c r="E114" s="83" cm="1">
        <f t="array" aca="1" ref="E114" ca="1">IF(ISNUMBER(_xll.VoseSimPercentile(Out_NPV_Plan,$B114)),_xll.VoseSimPercentile(Out_NPV_Plan,$B114),NA())</f>
        <v>538.3816986761841</v>
      </c>
    </row>
    <row r="115" spans="2:7" hidden="1" outlineLevel="1" x14ac:dyDescent="0.45">
      <c r="B115" s="82">
        <v>0.89</v>
      </c>
      <c r="C115" s="82">
        <f t="shared" si="3"/>
        <v>0.10999999999999999</v>
      </c>
      <c r="D115" s="83" cm="1">
        <f t="array" aca="1" ref="D115" ca="1">IF(ISNUMBER(_xll.VoseSimPercentile(Out_NPV_Start,$B115)),_xll.VoseSimPercentile(Out_NPV_Start,$B115),NA())</f>
        <v>440.16899432777819</v>
      </c>
      <c r="E115" s="83" cm="1">
        <f t="array" aca="1" ref="E115" ca="1">IF(ISNUMBER(_xll.VoseSimPercentile(Out_NPV_Plan,$B115)),_xll.VoseSimPercentile(Out_NPV_Plan,$B115),NA())</f>
        <v>627.58795923311595</v>
      </c>
    </row>
    <row r="116" spans="2:7" hidden="1" outlineLevel="1" x14ac:dyDescent="0.45">
      <c r="B116" s="82">
        <v>0.91</v>
      </c>
      <c r="C116" s="82">
        <f t="shared" si="3"/>
        <v>8.9999999999999969E-2</v>
      </c>
      <c r="D116" s="83" cm="1">
        <f t="array" aca="1" ref="D116" ca="1">IF(ISNUMBER(_xll.VoseSimPercentile(Out_NPV_Start,$B116)),_xll.VoseSimPercentile(Out_NPV_Start,$B116),NA())</f>
        <v>495.57104421092669</v>
      </c>
      <c r="E116" s="83" cm="1">
        <f t="array" aca="1" ref="E116" ca="1">IF(ISNUMBER(_xll.VoseSimPercentile(Out_NPV_Plan,$B116)),_xll.VoseSimPercentile(Out_NPV_Plan,$B116),NA())</f>
        <v>718.20683128419432</v>
      </c>
    </row>
    <row r="117" spans="2:7" hidden="1" outlineLevel="1" x14ac:dyDescent="0.45">
      <c r="B117" s="82">
        <v>0.93</v>
      </c>
      <c r="C117" s="82">
        <f t="shared" si="3"/>
        <v>6.9999999999999951E-2</v>
      </c>
      <c r="D117" s="83" cm="1">
        <f t="array" aca="1" ref="D117" ca="1">IF(ISNUMBER(_xll.VoseSimPercentile(Out_NPV_Start,$B117)),_xll.VoseSimPercentile(Out_NPV_Start,$B117),NA())</f>
        <v>575.43061791435935</v>
      </c>
      <c r="E117" s="83" cm="1">
        <f t="array" aca="1" ref="E117" ca="1">IF(ISNUMBER(_xll.VoseSimPercentile(Out_NPV_Plan,$B117)),_xll.VoseSimPercentile(Out_NPV_Plan,$B117),NA())</f>
        <v>843.15278738755194</v>
      </c>
    </row>
    <row r="118" spans="2:7" hidden="1" outlineLevel="1" x14ac:dyDescent="0.45">
      <c r="B118" s="82">
        <v>0.95</v>
      </c>
      <c r="C118" s="82">
        <f t="shared" si="3"/>
        <v>5.0000000000000044E-2</v>
      </c>
      <c r="D118" s="83" cm="1">
        <f t="array" aca="1" ref="D118" ca="1">IF(ISNUMBER(_xll.VoseSimPercentile(Out_NPV_Start,$B118)),_xll.VoseSimPercentile(Out_NPV_Start,$B118),NA())</f>
        <v>672.20737620592377</v>
      </c>
      <c r="E118" s="83" cm="1">
        <f t="array" aca="1" ref="E118" ca="1">IF(ISNUMBER(_xll.VoseSimPercentile(Out_NPV_Plan,$B118)),_xll.VoseSimPercentile(Out_NPV_Plan,$B118),NA())</f>
        <v>990.34251299988432</v>
      </c>
    </row>
    <row r="119" spans="2:7" hidden="1" outlineLevel="1" x14ac:dyDescent="0.45">
      <c r="B119" s="82">
        <v>0.97</v>
      </c>
      <c r="C119" s="82">
        <f t="shared" si="3"/>
        <v>3.0000000000000027E-2</v>
      </c>
      <c r="D119" s="83" cm="1">
        <f t="array" aca="1" ref="D119" ca="1">IF(ISNUMBER(_xll.VoseSimPercentile(Out_NPV_Start,$B119)),_xll.VoseSimPercentile(Out_NPV_Start,$B119),NA())</f>
        <v>812.9992785021085</v>
      </c>
      <c r="E119" s="83" cm="1">
        <f t="array" aca="1" ref="E119" ca="1">IF(ISNUMBER(_xll.VoseSimPercentile(Out_NPV_Plan,$B119)),_xll.VoseSimPercentile(Out_NPV_Plan,$B119),NA())</f>
        <v>1235.8846590732846</v>
      </c>
    </row>
    <row r="120" spans="2:7" hidden="1" outlineLevel="1" x14ac:dyDescent="0.45">
      <c r="B120" s="82">
        <v>0.99</v>
      </c>
      <c r="C120" s="82">
        <f t="shared" si="3"/>
        <v>1.0000000000000009E-2</v>
      </c>
      <c r="D120" s="83" cm="1">
        <f t="array" aca="1" ref="D120" ca="1">IF(ISNUMBER(_xll.VoseSimPercentile(Out_NPV_Start,$B120)),_xll.VoseSimPercentile(Out_NPV_Start,$B120),NA())</f>
        <v>1158.4590171131877</v>
      </c>
      <c r="E120" s="83" cm="1">
        <f t="array" aca="1" ref="E120" ca="1">IF(ISNUMBER(_xll.VoseSimPercentile(Out_NPV_Plan,$B120)),_xll.VoseSimPercentile(Out_NPV_Plan,$B120),NA())</f>
        <v>1705.2143232226069</v>
      </c>
    </row>
    <row r="121" spans="2:7" hidden="1" outlineLevel="1" x14ac:dyDescent="0.45"/>
    <row r="122" spans="2:7" hidden="1" outlineLevel="1" x14ac:dyDescent="0.45">
      <c r="B122" s="84" t="s">
        <v>350</v>
      </c>
      <c r="D122" s="85" cm="1">
        <f t="array" aca="1" ref="D122" ca="1">_xll.VoseSimMean(Out_NPV_Plan)</f>
        <v>67.438009815949883</v>
      </c>
    </row>
    <row r="123" spans="2:7" ht="18" hidden="1" customHeight="1" outlineLevel="1" x14ac:dyDescent="0.45">
      <c r="B123" s="24" t="s">
        <v>351</v>
      </c>
      <c r="C123" s="5"/>
      <c r="D123" s="5"/>
      <c r="E123" s="5"/>
      <c r="F123" s="25" t="s">
        <v>352</v>
      </c>
      <c r="G123" s="25" t="s">
        <v>353</v>
      </c>
    </row>
    <row r="124" spans="2:7" hidden="1" outlineLevel="1" x14ac:dyDescent="0.45">
      <c r="B124" s="86" t="str">
        <f t="shared" ref="B124:B135" ca="1" si="4">B44</f>
        <v>Play C works</v>
      </c>
      <c r="F124" s="87">
        <f t="shared" ref="F124:F135" ca="1" si="5">IFERROR(D44-$D$122,NA())</f>
        <v>377.76443918852607</v>
      </c>
      <c r="G124" s="87">
        <f t="shared" ref="G124:G135" ca="1" si="6">IFERROR(C44-$D$122,NA())</f>
        <v>-204.93560583465177</v>
      </c>
    </row>
    <row r="125" spans="2:7" hidden="1" outlineLevel="1" x14ac:dyDescent="0.45">
      <c r="B125" s="86" t="str">
        <f t="shared" ca="1" si="4"/>
        <v>Hazel value if discovered</v>
      </c>
      <c r="F125" s="87">
        <f t="shared" ca="1" si="5"/>
        <v>172.58282075791323</v>
      </c>
      <c r="G125" s="87">
        <f t="shared" ca="1" si="6"/>
        <v>-66.522071175578247</v>
      </c>
    </row>
    <row r="126" spans="2:7" hidden="1" outlineLevel="1" x14ac:dyDescent="0.45">
      <c r="B126" s="86" t="str">
        <f t="shared" ca="1" si="4"/>
        <v>Hazel succeeds</v>
      </c>
      <c r="F126" s="87">
        <f t="shared" ca="1" si="5"/>
        <v>102.63081578776827</v>
      </c>
      <c r="G126" s="87">
        <f t="shared" ca="1" si="6"/>
        <v>-104.95578572470859</v>
      </c>
    </row>
    <row r="127" spans="2:7" hidden="1" outlineLevel="1" x14ac:dyDescent="0.45">
      <c r="B127" s="86" t="str">
        <f t="shared" ca="1" si="4"/>
        <v>Ginkgo value if discovered</v>
      </c>
      <c r="F127" s="87">
        <f t="shared" ca="1" si="5"/>
        <v>130.26842439156712</v>
      </c>
      <c r="G127" s="87">
        <f t="shared" ca="1" si="6"/>
        <v>-46.80897584119667</v>
      </c>
    </row>
    <row r="128" spans="2:7" hidden="1" outlineLevel="1" x14ac:dyDescent="0.45">
      <c r="B128" s="86" t="str">
        <f t="shared" ca="1" si="4"/>
        <v>Ginkgo succeeds</v>
      </c>
      <c r="F128" s="87">
        <f t="shared" ca="1" si="5"/>
        <v>73.66730205627799</v>
      </c>
      <c r="G128" s="87">
        <f t="shared" ca="1" si="6"/>
        <v>-90.365879988429981</v>
      </c>
    </row>
    <row r="129" spans="2:7" hidden="1" outlineLevel="1" x14ac:dyDescent="0.45">
      <c r="B129" s="86" t="str">
        <f t="shared" ca="1" si="4"/>
        <v>Cedar succeeds</v>
      </c>
      <c r="F129" s="87">
        <f t="shared" ca="1" si="5"/>
        <v>73.236528211209148</v>
      </c>
      <c r="G129" s="87">
        <f t="shared" ca="1" si="6"/>
        <v>-40.910180347409323</v>
      </c>
    </row>
    <row r="130" spans="2:7" hidden="1" outlineLevel="1" x14ac:dyDescent="0.45">
      <c r="B130" s="86" t="str">
        <f t="shared" ca="1" si="4"/>
        <v>Alder value if discovered</v>
      </c>
      <c r="F130" s="87">
        <f t="shared" ca="1" si="5"/>
        <v>68.550486974676701</v>
      </c>
      <c r="G130" s="87">
        <f t="shared" ca="1" si="6"/>
        <v>-39.370718224039848</v>
      </c>
    </row>
    <row r="131" spans="2:7" hidden="1" outlineLevel="1" x14ac:dyDescent="0.45">
      <c r="B131" s="86" t="str">
        <f t="shared" ca="1" si="4"/>
        <v>Birch succeeds</v>
      </c>
      <c r="F131" s="87">
        <f t="shared" ca="1" si="5"/>
        <v>63.221299340534912</v>
      </c>
      <c r="G131" s="87">
        <f t="shared" ca="1" si="6"/>
        <v>-42.641559568600115</v>
      </c>
    </row>
    <row r="132" spans="2:7" hidden="1" outlineLevel="1" x14ac:dyDescent="0.45">
      <c r="B132" s="86" t="str">
        <f t="shared" ca="1" si="4"/>
        <v>Alder succeeds</v>
      </c>
      <c r="F132" s="87">
        <f t="shared" ca="1" si="5"/>
        <v>51.887698916826636</v>
      </c>
      <c r="G132" s="87">
        <f t="shared" ca="1" si="6"/>
        <v>-44.076234718880912</v>
      </c>
    </row>
    <row r="133" spans="2:7" hidden="1" outlineLevel="1" x14ac:dyDescent="0.45">
      <c r="B133" s="86" t="str">
        <f t="shared" ca="1" si="4"/>
        <v>Cedar value if discovered</v>
      </c>
      <c r="F133" s="87">
        <f t="shared" ca="1" si="5"/>
        <v>63.231912425145666</v>
      </c>
      <c r="G133" s="87">
        <f t="shared" ca="1" si="6"/>
        <v>-30.520996445854188</v>
      </c>
    </row>
    <row r="134" spans="2:7" hidden="1" outlineLevel="1" x14ac:dyDescent="0.45">
      <c r="B134" s="86" t="str">
        <f t="shared" ca="1" si="4"/>
        <v>Birch value if discovered</v>
      </c>
      <c r="F134" s="87">
        <f t="shared" ca="1" si="5"/>
        <v>50.5414544316438</v>
      </c>
      <c r="G134" s="87">
        <f t="shared" ca="1" si="6"/>
        <v>-41.710462119169449</v>
      </c>
    </row>
    <row r="135" spans="2:7" hidden="1" outlineLevel="1" x14ac:dyDescent="0.45">
      <c r="B135" s="86" t="str">
        <f t="shared" ca="1" si="4"/>
        <v>Fir well cost</v>
      </c>
      <c r="F135" s="87">
        <f t="shared" ca="1" si="5"/>
        <v>27.474997250454138</v>
      </c>
      <c r="G135" s="87">
        <f t="shared" ca="1" si="6"/>
        <v>-43.981636497412936</v>
      </c>
    </row>
  </sheetData>
  <mergeCells count="6">
    <mergeCell ref="B60:G60"/>
    <mergeCell ref="B63:G63"/>
    <mergeCell ref="B61:G61"/>
    <mergeCell ref="B65:G65"/>
    <mergeCell ref="B62:G62"/>
    <mergeCell ref="B64:G64"/>
  </mergeCells>
  <conditionalFormatting sqref="B7">
    <cfRule type="expression" dxfId="3" priority="2">
      <formula>LEFT($B$7,1)="✗"</formula>
    </cfRule>
  </conditionalFormatting>
  <conditionalFormatting sqref="B6:G6">
    <cfRule type="expression" dxfId="2" priority="1">
      <formula>LEFT($B$6,1)&lt;&gt;"✔"</formula>
    </cfRule>
  </conditionalFormatting>
  <conditionalFormatting sqref="D71:E120">
    <cfRule type="expression" dxfId="1" priority="3">
      <formula>ISNA(D71)</formula>
    </cfRule>
  </conditionalFormatting>
  <conditionalFormatting sqref="F124:G135">
    <cfRule type="expression" dxfId="0" priority="4">
      <formula>ISNA(F124)</formula>
    </cfRule>
  </conditionalFormatting>
  <hyperlinks>
    <hyperlink ref="B4" location="'Programmes'!A1" display="◂  Programmes" xr:uid="{00000000-0004-0000-0500-000000000000}"/>
  </hyperlinks>
  <printOptions horizontalCentered="1"/>
  <pageMargins left="0.4" right="0.4" top="0.5" bottom="0.6" header="0.25" footer="0.25"/>
  <pageSetup paperSize="9" fitToHeight="0" orientation="landscape"/>
  <headerFooter>
    <oddFooter>&amp;L&amp;K3F5876&amp;8&amp;F · &amp;A&amp;R&amp;K3F5876&amp;8Page &amp;P of &amp;N</oddFooter>
  </headerFooter>
  <rowBreaks count="1" manualBreakCount="1">
    <brk id="40" max="16383" man="1"/>
  </rowBreaks>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2"/>
  <sheetViews>
    <sheetView workbookViewId="0"/>
  </sheetViews>
  <sheetFormatPr defaultRowHeight="14.25" x14ac:dyDescent="0.45"/>
  <sheetData>
    <row r="1" spans="1:5" x14ac:dyDescent="0.45">
      <c r="A1" s="88" t="s">
        <v>354</v>
      </c>
      <c r="B1">
        <v>0</v>
      </c>
      <c r="C1">
        <v>1</v>
      </c>
      <c r="D1">
        <v>1</v>
      </c>
      <c r="E1" s="88" t="s">
        <v>355</v>
      </c>
    </row>
    <row r="2" spans="1:5" x14ac:dyDescent="0.45">
      <c r="A2">
        <v>1</v>
      </c>
      <c r="B2" s="88" t="s">
        <v>356</v>
      </c>
      <c r="C2">
        <v>1</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91128-CD66-4162-9ACA-1D9C9D14BCC9}">
  <dimension ref="A1:B1"/>
  <sheetViews>
    <sheetView workbookViewId="0"/>
  </sheetViews>
  <sheetFormatPr defaultRowHeight="14.25" x14ac:dyDescent="0.45"/>
  <sheetData>
    <row r="1" spans="1:2" x14ac:dyDescent="0.45">
      <c r="A1" s="96" t="s">
        <v>361</v>
      </c>
      <c r="B1">
        <v>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78974-21C6-4DD1-90B4-2F27F663A535}">
  <dimension ref="A1"/>
  <sheetViews>
    <sheetView workbookViewId="0"/>
  </sheetViews>
  <sheetFormatPr defaultRowHeight="14.25" x14ac:dyDescent="0.4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D0B08-E05D-42C3-A8D0-211E55453E18}">
  <dimension ref="B3:B352"/>
  <sheetViews>
    <sheetView workbookViewId="0"/>
  </sheetViews>
  <sheetFormatPr defaultRowHeight="14.25" x14ac:dyDescent="0.45"/>
  <sheetData>
    <row r="3" spans="2:2" x14ac:dyDescent="0.45">
      <c r="B3">
        <v>0</v>
      </c>
    </row>
    <row r="4" spans="2:2" x14ac:dyDescent="0.45">
      <c r="B4">
        <v>0</v>
      </c>
    </row>
    <row r="5" spans="2:2" x14ac:dyDescent="0.45">
      <c r="B5">
        <v>0</v>
      </c>
    </row>
    <row r="6" spans="2:2" x14ac:dyDescent="0.45">
      <c r="B6">
        <v>0</v>
      </c>
    </row>
    <row r="7" spans="2:2" x14ac:dyDescent="0.45">
      <c r="B7">
        <v>0</v>
      </c>
    </row>
    <row r="8" spans="2:2" x14ac:dyDescent="0.45">
      <c r="B8">
        <v>2000</v>
      </c>
    </row>
    <row r="9" spans="2:2" x14ac:dyDescent="0.45">
      <c r="B9">
        <v>0</v>
      </c>
    </row>
    <row r="10" spans="2:2" x14ac:dyDescent="0.45">
      <c r="B10">
        <v>0</v>
      </c>
    </row>
    <row r="11" spans="2:2" x14ac:dyDescent="0.45">
      <c r="B11">
        <v>0</v>
      </c>
    </row>
    <row r="12" spans="2:2" x14ac:dyDescent="0.45">
      <c r="B12">
        <v>0</v>
      </c>
    </row>
    <row r="13" spans="2:2" x14ac:dyDescent="0.45">
      <c r="B13">
        <v>0</v>
      </c>
    </row>
    <row r="14" spans="2:2" x14ac:dyDescent="0.45">
      <c r="B14">
        <v>0</v>
      </c>
    </row>
    <row r="15" spans="2:2" x14ac:dyDescent="0.45">
      <c r="B15">
        <v>0</v>
      </c>
    </row>
    <row r="16" spans="2:2" x14ac:dyDescent="0.45">
      <c r="B16">
        <v>0</v>
      </c>
    </row>
    <row r="17" spans="2:2" x14ac:dyDescent="0.45">
      <c r="B17">
        <v>0</v>
      </c>
    </row>
    <row r="18" spans="2:2" x14ac:dyDescent="0.45">
      <c r="B18">
        <v>2000</v>
      </c>
    </row>
    <row r="19" spans="2:2" x14ac:dyDescent="0.45">
      <c r="B19">
        <v>0</v>
      </c>
    </row>
    <row r="20" spans="2:2" x14ac:dyDescent="0.45">
      <c r="B20">
        <v>0</v>
      </c>
    </row>
    <row r="21" spans="2:2" x14ac:dyDescent="0.45">
      <c r="B21">
        <v>0</v>
      </c>
    </row>
    <row r="22" spans="2:2" x14ac:dyDescent="0.45">
      <c r="B22">
        <v>0</v>
      </c>
    </row>
    <row r="23" spans="2:2" x14ac:dyDescent="0.45">
      <c r="B23">
        <v>352</v>
      </c>
    </row>
    <row r="24" spans="2:2" x14ac:dyDescent="0.45">
      <c r="B24">
        <v>669</v>
      </c>
    </row>
    <row r="25" spans="2:2" x14ac:dyDescent="0.45">
      <c r="B25">
        <v>0</v>
      </c>
    </row>
    <row r="26" spans="2:2" x14ac:dyDescent="0.45">
      <c r="B26">
        <v>605</v>
      </c>
    </row>
    <row r="27" spans="2:2" x14ac:dyDescent="0.45">
      <c r="B27">
        <v>0</v>
      </c>
    </row>
    <row r="28" spans="2:2" x14ac:dyDescent="0.45">
      <c r="B28">
        <v>294</v>
      </c>
    </row>
    <row r="29" spans="2:2" x14ac:dyDescent="0.45">
      <c r="B29">
        <v>0</v>
      </c>
    </row>
    <row r="30" spans="2:2" x14ac:dyDescent="0.45">
      <c r="B30">
        <v>73</v>
      </c>
    </row>
    <row r="31" spans="2:2" x14ac:dyDescent="0.45">
      <c r="B31">
        <v>0</v>
      </c>
    </row>
    <row r="32" spans="2:2" x14ac:dyDescent="0.45">
      <c r="B32">
        <v>7</v>
      </c>
    </row>
    <row r="33" spans="2:2" x14ac:dyDescent="0.45">
      <c r="B33">
        <v>345</v>
      </c>
    </row>
    <row r="34" spans="2:2" x14ac:dyDescent="0.45">
      <c r="B34">
        <v>720</v>
      </c>
    </row>
    <row r="35" spans="2:2" x14ac:dyDescent="0.45">
      <c r="B35">
        <v>0</v>
      </c>
    </row>
    <row r="36" spans="2:2" x14ac:dyDescent="0.45">
      <c r="B36">
        <v>585</v>
      </c>
    </row>
    <row r="37" spans="2:2" x14ac:dyDescent="0.45">
      <c r="B37">
        <v>0</v>
      </c>
    </row>
    <row r="38" spans="2:2" x14ac:dyDescent="0.45">
      <c r="B38">
        <v>267</v>
      </c>
    </row>
    <row r="39" spans="2:2" x14ac:dyDescent="0.45">
      <c r="B39">
        <v>0</v>
      </c>
    </row>
    <row r="40" spans="2:2" x14ac:dyDescent="0.45">
      <c r="B40">
        <v>69</v>
      </c>
    </row>
    <row r="41" spans="2:2" x14ac:dyDescent="0.45">
      <c r="B41">
        <v>0</v>
      </c>
    </row>
    <row r="42" spans="2:2" x14ac:dyDescent="0.45">
      <c r="B42">
        <v>14</v>
      </c>
    </row>
    <row r="43" spans="2:2" x14ac:dyDescent="0.45">
      <c r="B43">
        <v>854</v>
      </c>
    </row>
    <row r="44" spans="2:2" x14ac:dyDescent="0.45">
      <c r="B44">
        <v>526</v>
      </c>
    </row>
    <row r="45" spans="2:2" x14ac:dyDescent="0.45">
      <c r="B45">
        <v>299</v>
      </c>
    </row>
    <row r="46" spans="2:2" x14ac:dyDescent="0.45">
      <c r="B46">
        <v>172</v>
      </c>
    </row>
    <row r="47" spans="2:2" x14ac:dyDescent="0.45">
      <c r="B47">
        <v>81</v>
      </c>
    </row>
    <row r="48" spans="2:2" x14ac:dyDescent="0.45">
      <c r="B48">
        <v>36</v>
      </c>
    </row>
    <row r="49" spans="2:2" x14ac:dyDescent="0.45">
      <c r="B49">
        <v>17</v>
      </c>
    </row>
    <row r="50" spans="2:2" x14ac:dyDescent="0.45">
      <c r="B50">
        <v>9</v>
      </c>
    </row>
    <row r="51" spans="2:2" x14ac:dyDescent="0.45">
      <c r="B51">
        <v>4</v>
      </c>
    </row>
    <row r="52" spans="2:2" x14ac:dyDescent="0.45">
      <c r="B52">
        <v>2</v>
      </c>
    </row>
    <row r="53" spans="2:2" x14ac:dyDescent="0.45">
      <c r="B53">
        <v>1325</v>
      </c>
    </row>
    <row r="54" spans="2:2" x14ac:dyDescent="0.45">
      <c r="B54">
        <v>314</v>
      </c>
    </row>
    <row r="55" spans="2:2" x14ac:dyDescent="0.45">
      <c r="B55">
        <v>151</v>
      </c>
    </row>
    <row r="56" spans="2:2" x14ac:dyDescent="0.45">
      <c r="B56">
        <v>103</v>
      </c>
    </row>
    <row r="57" spans="2:2" x14ac:dyDescent="0.45">
      <c r="B57">
        <v>49</v>
      </c>
    </row>
    <row r="58" spans="2:2" x14ac:dyDescent="0.45">
      <c r="B58">
        <v>30</v>
      </c>
    </row>
    <row r="59" spans="2:2" x14ac:dyDescent="0.45">
      <c r="B59">
        <v>13</v>
      </c>
    </row>
    <row r="60" spans="2:2" x14ac:dyDescent="0.45">
      <c r="B60">
        <v>7</v>
      </c>
    </row>
    <row r="61" spans="2:2" x14ac:dyDescent="0.45">
      <c r="B61">
        <v>5</v>
      </c>
    </row>
    <row r="62" spans="2:2" x14ac:dyDescent="0.45">
      <c r="B62">
        <v>3</v>
      </c>
    </row>
    <row r="63" spans="2:2" x14ac:dyDescent="0.45">
      <c r="B63">
        <v>1648</v>
      </c>
    </row>
    <row r="64" spans="2:2" x14ac:dyDescent="0.45">
      <c r="B64">
        <v>0</v>
      </c>
    </row>
    <row r="65" spans="2:2" x14ac:dyDescent="0.45">
      <c r="B65">
        <v>0</v>
      </c>
    </row>
    <row r="66" spans="2:2" x14ac:dyDescent="0.45">
      <c r="B66">
        <v>0</v>
      </c>
    </row>
    <row r="67" spans="2:2" x14ac:dyDescent="0.45">
      <c r="B67">
        <v>0</v>
      </c>
    </row>
    <row r="68" spans="2:2" x14ac:dyDescent="0.45">
      <c r="B68">
        <v>0</v>
      </c>
    </row>
    <row r="69" spans="2:2" x14ac:dyDescent="0.45">
      <c r="B69">
        <v>0</v>
      </c>
    </row>
    <row r="70" spans="2:2" x14ac:dyDescent="0.45">
      <c r="B70">
        <v>0</v>
      </c>
    </row>
    <row r="71" spans="2:2" x14ac:dyDescent="0.45">
      <c r="B71">
        <v>0</v>
      </c>
    </row>
    <row r="72" spans="2:2" x14ac:dyDescent="0.45">
      <c r="B72">
        <v>352</v>
      </c>
    </row>
    <row r="73" spans="2:2" x14ac:dyDescent="0.45">
      <c r="B73">
        <v>1655</v>
      </c>
    </row>
    <row r="74" spans="2:2" x14ac:dyDescent="0.45">
      <c r="B74">
        <v>0</v>
      </c>
    </row>
    <row r="75" spans="2:2" x14ac:dyDescent="0.45">
      <c r="B75">
        <v>0</v>
      </c>
    </row>
    <row r="76" spans="2:2" x14ac:dyDescent="0.45">
      <c r="B76">
        <v>0</v>
      </c>
    </row>
    <row r="77" spans="2:2" x14ac:dyDescent="0.45">
      <c r="B77">
        <v>0</v>
      </c>
    </row>
    <row r="78" spans="2:2" x14ac:dyDescent="0.45">
      <c r="B78">
        <v>0</v>
      </c>
    </row>
    <row r="79" spans="2:2" x14ac:dyDescent="0.45">
      <c r="B79">
        <v>0</v>
      </c>
    </row>
    <row r="80" spans="2:2" x14ac:dyDescent="0.45">
      <c r="B80">
        <v>0</v>
      </c>
    </row>
    <row r="81" spans="2:2" x14ac:dyDescent="0.45">
      <c r="B81">
        <v>0</v>
      </c>
    </row>
    <row r="82" spans="2:2" x14ac:dyDescent="0.45">
      <c r="B82">
        <v>345</v>
      </c>
    </row>
    <row r="83" spans="2:2" x14ac:dyDescent="0.45">
      <c r="B83">
        <v>82</v>
      </c>
    </row>
    <row r="84" spans="2:2" x14ac:dyDescent="0.45">
      <c r="B84">
        <v>0</v>
      </c>
    </row>
    <row r="85" spans="2:2" x14ac:dyDescent="0.45">
      <c r="B85">
        <v>0</v>
      </c>
    </row>
    <row r="86" spans="2:2" x14ac:dyDescent="0.45">
      <c r="B86">
        <v>0</v>
      </c>
    </row>
    <row r="87" spans="2:2" x14ac:dyDescent="0.45">
      <c r="B87">
        <v>0</v>
      </c>
    </row>
    <row r="88" spans="2:2" x14ac:dyDescent="0.45">
      <c r="B88">
        <v>0</v>
      </c>
    </row>
    <row r="89" spans="2:2" x14ac:dyDescent="0.45">
      <c r="B89">
        <v>0</v>
      </c>
    </row>
    <row r="90" spans="2:2" x14ac:dyDescent="0.45">
      <c r="B90">
        <v>0</v>
      </c>
    </row>
    <row r="91" spans="2:2" x14ac:dyDescent="0.45">
      <c r="B91">
        <v>0</v>
      </c>
    </row>
    <row r="92" spans="2:2" x14ac:dyDescent="0.45">
      <c r="B92">
        <v>1918</v>
      </c>
    </row>
    <row r="93" spans="2:2" x14ac:dyDescent="0.45">
      <c r="B93">
        <v>718</v>
      </c>
    </row>
    <row r="94" spans="2:2" x14ac:dyDescent="0.45">
      <c r="B94">
        <v>0</v>
      </c>
    </row>
    <row r="95" spans="2:2" x14ac:dyDescent="0.45">
      <c r="B95">
        <v>0</v>
      </c>
    </row>
    <row r="96" spans="2:2" x14ac:dyDescent="0.45">
      <c r="B96">
        <v>0</v>
      </c>
    </row>
    <row r="97" spans="2:2" x14ac:dyDescent="0.45">
      <c r="B97">
        <v>0</v>
      </c>
    </row>
    <row r="98" spans="2:2" x14ac:dyDescent="0.45">
      <c r="B98">
        <v>0</v>
      </c>
    </row>
    <row r="99" spans="2:2" x14ac:dyDescent="0.45">
      <c r="B99">
        <v>0</v>
      </c>
    </row>
    <row r="100" spans="2:2" x14ac:dyDescent="0.45">
      <c r="B100">
        <v>0</v>
      </c>
    </row>
    <row r="101" spans="2:2" x14ac:dyDescent="0.45">
      <c r="B101">
        <v>0</v>
      </c>
    </row>
    <row r="102" spans="2:2" x14ac:dyDescent="0.45">
      <c r="B102">
        <v>1282</v>
      </c>
    </row>
    <row r="103" spans="2:2" x14ac:dyDescent="0.45">
      <c r="B103">
        <v>1324</v>
      </c>
    </row>
    <row r="104" spans="2:2" x14ac:dyDescent="0.45">
      <c r="B104">
        <v>0</v>
      </c>
    </row>
    <row r="105" spans="2:2" x14ac:dyDescent="0.45">
      <c r="B105">
        <v>0</v>
      </c>
    </row>
    <row r="106" spans="2:2" x14ac:dyDescent="0.45">
      <c r="B106">
        <v>0</v>
      </c>
    </row>
    <row r="107" spans="2:2" x14ac:dyDescent="0.45">
      <c r="B107">
        <v>0</v>
      </c>
    </row>
    <row r="108" spans="2:2" x14ac:dyDescent="0.45">
      <c r="B108">
        <v>0</v>
      </c>
    </row>
    <row r="109" spans="2:2" x14ac:dyDescent="0.45">
      <c r="B109">
        <v>0</v>
      </c>
    </row>
    <row r="110" spans="2:2" x14ac:dyDescent="0.45">
      <c r="B110">
        <v>0</v>
      </c>
    </row>
    <row r="111" spans="2:2" x14ac:dyDescent="0.45">
      <c r="B111">
        <v>0</v>
      </c>
    </row>
    <row r="112" spans="2:2" x14ac:dyDescent="0.45">
      <c r="B112">
        <v>676</v>
      </c>
    </row>
    <row r="113" spans="2:2" x14ac:dyDescent="0.45">
      <c r="B113">
        <v>1046</v>
      </c>
    </row>
    <row r="114" spans="2:2" x14ac:dyDescent="0.45">
      <c r="B114">
        <v>0</v>
      </c>
    </row>
    <row r="115" spans="2:2" x14ac:dyDescent="0.45">
      <c r="B115">
        <v>0</v>
      </c>
    </row>
    <row r="116" spans="2:2" x14ac:dyDescent="0.45">
      <c r="B116">
        <v>0</v>
      </c>
    </row>
    <row r="117" spans="2:2" x14ac:dyDescent="0.45">
      <c r="B117">
        <v>0</v>
      </c>
    </row>
    <row r="118" spans="2:2" x14ac:dyDescent="0.45">
      <c r="B118">
        <v>0</v>
      </c>
    </row>
    <row r="119" spans="2:2" x14ac:dyDescent="0.45">
      <c r="B119">
        <v>0</v>
      </c>
    </row>
    <row r="120" spans="2:2" x14ac:dyDescent="0.45">
      <c r="B120">
        <v>0</v>
      </c>
    </row>
    <row r="121" spans="2:2" x14ac:dyDescent="0.45">
      <c r="B121">
        <v>0</v>
      </c>
    </row>
    <row r="122" spans="2:2" x14ac:dyDescent="0.45">
      <c r="B122">
        <v>954</v>
      </c>
    </row>
    <row r="123" spans="2:2" x14ac:dyDescent="0.45">
      <c r="B123">
        <v>93</v>
      </c>
    </row>
    <row r="124" spans="2:2" x14ac:dyDescent="0.45">
      <c r="B124">
        <v>233</v>
      </c>
    </row>
    <row r="125" spans="2:2" x14ac:dyDescent="0.45">
      <c r="B125">
        <v>357</v>
      </c>
    </row>
    <row r="126" spans="2:2" x14ac:dyDescent="0.45">
      <c r="B126">
        <v>363</v>
      </c>
    </row>
    <row r="127" spans="2:2" x14ac:dyDescent="0.45">
      <c r="B127">
        <v>314</v>
      </c>
    </row>
    <row r="128" spans="2:2" x14ac:dyDescent="0.45">
      <c r="B128">
        <v>268</v>
      </c>
    </row>
    <row r="129" spans="2:2" x14ac:dyDescent="0.45">
      <c r="B129">
        <v>195</v>
      </c>
    </row>
    <row r="130" spans="2:2" x14ac:dyDescent="0.45">
      <c r="B130">
        <v>120</v>
      </c>
    </row>
    <row r="131" spans="2:2" x14ac:dyDescent="0.45">
      <c r="B131">
        <v>45</v>
      </c>
    </row>
    <row r="132" spans="2:2" x14ac:dyDescent="0.45">
      <c r="B132">
        <v>12</v>
      </c>
    </row>
    <row r="133" spans="2:2" x14ac:dyDescent="0.45">
      <c r="B133">
        <v>714</v>
      </c>
    </row>
    <row r="134" spans="2:2" x14ac:dyDescent="0.45">
      <c r="B134">
        <v>841</v>
      </c>
    </row>
    <row r="135" spans="2:2" x14ac:dyDescent="0.45">
      <c r="B135">
        <v>286</v>
      </c>
    </row>
    <row r="136" spans="2:2" x14ac:dyDescent="0.45">
      <c r="B136">
        <v>94</v>
      </c>
    </row>
    <row r="137" spans="2:2" x14ac:dyDescent="0.45">
      <c r="B137">
        <v>39</v>
      </c>
    </row>
    <row r="138" spans="2:2" x14ac:dyDescent="0.45">
      <c r="B138">
        <v>18</v>
      </c>
    </row>
    <row r="139" spans="2:2" x14ac:dyDescent="0.45">
      <c r="B139">
        <v>1</v>
      </c>
    </row>
    <row r="140" spans="2:2" x14ac:dyDescent="0.45">
      <c r="B140">
        <v>2</v>
      </c>
    </row>
    <row r="141" spans="2:2" x14ac:dyDescent="0.45">
      <c r="B141">
        <v>3</v>
      </c>
    </row>
    <row r="142" spans="2:2" x14ac:dyDescent="0.45">
      <c r="B142">
        <v>2</v>
      </c>
    </row>
    <row r="143" spans="2:2" x14ac:dyDescent="0.45">
      <c r="B143">
        <v>1208</v>
      </c>
    </row>
    <row r="144" spans="2:2" x14ac:dyDescent="0.45">
      <c r="B144">
        <v>0</v>
      </c>
    </row>
    <row r="145" spans="2:2" x14ac:dyDescent="0.45">
      <c r="B145">
        <v>0</v>
      </c>
    </row>
    <row r="146" spans="2:2" x14ac:dyDescent="0.45">
      <c r="B146">
        <v>0</v>
      </c>
    </row>
    <row r="147" spans="2:2" x14ac:dyDescent="0.45">
      <c r="B147">
        <v>0</v>
      </c>
    </row>
    <row r="148" spans="2:2" x14ac:dyDescent="0.45">
      <c r="B148">
        <v>0</v>
      </c>
    </row>
    <row r="149" spans="2:2" x14ac:dyDescent="0.45">
      <c r="B149">
        <v>0</v>
      </c>
    </row>
    <row r="150" spans="2:2" x14ac:dyDescent="0.45">
      <c r="B150">
        <v>0</v>
      </c>
    </row>
    <row r="151" spans="2:2" x14ac:dyDescent="0.45">
      <c r="B151">
        <v>0</v>
      </c>
    </row>
    <row r="152" spans="2:2" x14ac:dyDescent="0.45">
      <c r="B152">
        <v>792</v>
      </c>
    </row>
    <row r="153" spans="2:2" x14ac:dyDescent="0.45">
      <c r="B153">
        <v>86</v>
      </c>
    </row>
    <row r="154" spans="2:2" x14ac:dyDescent="0.45">
      <c r="B154">
        <v>228</v>
      </c>
    </row>
    <row r="155" spans="2:2" x14ac:dyDescent="0.45">
      <c r="B155">
        <v>324</v>
      </c>
    </row>
    <row r="156" spans="2:2" x14ac:dyDescent="0.45">
      <c r="B156">
        <v>338</v>
      </c>
    </row>
    <row r="157" spans="2:2" x14ac:dyDescent="0.45">
      <c r="B157">
        <v>346</v>
      </c>
    </row>
    <row r="158" spans="2:2" x14ac:dyDescent="0.45">
      <c r="B158">
        <v>282</v>
      </c>
    </row>
    <row r="159" spans="2:2" x14ac:dyDescent="0.45">
      <c r="B159">
        <v>212</v>
      </c>
    </row>
    <row r="160" spans="2:2" x14ac:dyDescent="0.45">
      <c r="B160">
        <v>120</v>
      </c>
    </row>
    <row r="161" spans="2:2" x14ac:dyDescent="0.45">
      <c r="B161">
        <v>56</v>
      </c>
    </row>
    <row r="162" spans="2:2" x14ac:dyDescent="0.45">
      <c r="B162">
        <v>8</v>
      </c>
    </row>
    <row r="163" spans="2:2" x14ac:dyDescent="0.45">
      <c r="B163">
        <v>858</v>
      </c>
    </row>
    <row r="164" spans="2:2" x14ac:dyDescent="0.45">
      <c r="B164">
        <v>806</v>
      </c>
    </row>
    <row r="165" spans="2:2" x14ac:dyDescent="0.45">
      <c r="B165">
        <v>238</v>
      </c>
    </row>
    <row r="166" spans="2:2" x14ac:dyDescent="0.45">
      <c r="B166">
        <v>68</v>
      </c>
    </row>
    <row r="167" spans="2:2" x14ac:dyDescent="0.45">
      <c r="B167">
        <v>17</v>
      </c>
    </row>
    <row r="168" spans="2:2" x14ac:dyDescent="0.45">
      <c r="B168">
        <v>9</v>
      </c>
    </row>
    <row r="169" spans="2:2" x14ac:dyDescent="0.45">
      <c r="B169">
        <v>1</v>
      </c>
    </row>
    <row r="170" spans="2:2" x14ac:dyDescent="0.45">
      <c r="B170">
        <v>0</v>
      </c>
    </row>
    <row r="171" spans="2:2" x14ac:dyDescent="0.45">
      <c r="B171">
        <v>1</v>
      </c>
    </row>
    <row r="172" spans="2:2" x14ac:dyDescent="0.45">
      <c r="B172">
        <v>2</v>
      </c>
    </row>
    <row r="173" spans="2:2" x14ac:dyDescent="0.45">
      <c r="B173">
        <v>1298</v>
      </c>
    </row>
    <row r="174" spans="2:2" x14ac:dyDescent="0.45">
      <c r="B174">
        <v>0</v>
      </c>
    </row>
    <row r="175" spans="2:2" x14ac:dyDescent="0.45">
      <c r="B175">
        <v>0</v>
      </c>
    </row>
    <row r="176" spans="2:2" x14ac:dyDescent="0.45">
      <c r="B176">
        <v>0</v>
      </c>
    </row>
    <row r="177" spans="2:2" x14ac:dyDescent="0.45">
      <c r="B177">
        <v>0</v>
      </c>
    </row>
    <row r="178" spans="2:2" x14ac:dyDescent="0.45">
      <c r="B178">
        <v>0</v>
      </c>
    </row>
    <row r="179" spans="2:2" x14ac:dyDescent="0.45">
      <c r="B179">
        <v>0</v>
      </c>
    </row>
    <row r="180" spans="2:2" x14ac:dyDescent="0.45">
      <c r="B180">
        <v>0</v>
      </c>
    </row>
    <row r="181" spans="2:2" x14ac:dyDescent="0.45">
      <c r="B181">
        <v>0</v>
      </c>
    </row>
    <row r="182" spans="2:2" x14ac:dyDescent="0.45">
      <c r="B182">
        <v>702</v>
      </c>
    </row>
    <row r="183" spans="2:2" x14ac:dyDescent="0.45">
      <c r="B183">
        <v>85</v>
      </c>
    </row>
    <row r="184" spans="2:2" x14ac:dyDescent="0.45">
      <c r="B184">
        <v>228</v>
      </c>
    </row>
    <row r="185" spans="2:2" x14ac:dyDescent="0.45">
      <c r="B185">
        <v>292</v>
      </c>
    </row>
    <row r="186" spans="2:2" x14ac:dyDescent="0.45">
      <c r="B186">
        <v>361</v>
      </c>
    </row>
    <row r="187" spans="2:2" x14ac:dyDescent="0.45">
      <c r="B187">
        <v>317</v>
      </c>
    </row>
    <row r="188" spans="2:2" x14ac:dyDescent="0.45">
      <c r="B188">
        <v>279</v>
      </c>
    </row>
    <row r="189" spans="2:2" x14ac:dyDescent="0.45">
      <c r="B189">
        <v>224</v>
      </c>
    </row>
    <row r="190" spans="2:2" x14ac:dyDescent="0.45">
      <c r="B190">
        <v>124</v>
      </c>
    </row>
    <row r="191" spans="2:2" x14ac:dyDescent="0.45">
      <c r="B191">
        <v>71</v>
      </c>
    </row>
    <row r="192" spans="2:2" x14ac:dyDescent="0.45">
      <c r="B192">
        <v>19</v>
      </c>
    </row>
    <row r="193" spans="2:2" x14ac:dyDescent="0.45">
      <c r="B193">
        <v>515</v>
      </c>
    </row>
    <row r="194" spans="2:2" x14ac:dyDescent="0.45">
      <c r="B194">
        <v>801</v>
      </c>
    </row>
    <row r="195" spans="2:2" x14ac:dyDescent="0.45">
      <c r="B195">
        <v>407</v>
      </c>
    </row>
    <row r="196" spans="2:2" x14ac:dyDescent="0.45">
      <c r="B196">
        <v>172</v>
      </c>
    </row>
    <row r="197" spans="2:2" x14ac:dyDescent="0.45">
      <c r="B197">
        <v>61</v>
      </c>
    </row>
    <row r="198" spans="2:2" x14ac:dyDescent="0.45">
      <c r="B198">
        <v>18</v>
      </c>
    </row>
    <row r="199" spans="2:2" x14ac:dyDescent="0.45">
      <c r="B199">
        <v>18</v>
      </c>
    </row>
    <row r="200" spans="2:2" x14ac:dyDescent="0.45">
      <c r="B200">
        <v>5</v>
      </c>
    </row>
    <row r="201" spans="2:2" x14ac:dyDescent="0.45">
      <c r="B201">
        <v>2</v>
      </c>
    </row>
    <row r="202" spans="2:2" x14ac:dyDescent="0.45">
      <c r="B202">
        <v>1</v>
      </c>
    </row>
    <row r="203" spans="2:2" x14ac:dyDescent="0.45">
      <c r="B203">
        <v>1025</v>
      </c>
    </row>
    <row r="204" spans="2:2" x14ac:dyDescent="0.45">
      <c r="B204">
        <v>0</v>
      </c>
    </row>
    <row r="205" spans="2:2" x14ac:dyDescent="0.45">
      <c r="B205">
        <v>0</v>
      </c>
    </row>
    <row r="206" spans="2:2" x14ac:dyDescent="0.45">
      <c r="B206">
        <v>0</v>
      </c>
    </row>
    <row r="207" spans="2:2" x14ac:dyDescent="0.45">
      <c r="B207">
        <v>0</v>
      </c>
    </row>
    <row r="208" spans="2:2" x14ac:dyDescent="0.45">
      <c r="B208">
        <v>0</v>
      </c>
    </row>
    <row r="209" spans="2:2" x14ac:dyDescent="0.45">
      <c r="B209">
        <v>0</v>
      </c>
    </row>
    <row r="210" spans="2:2" x14ac:dyDescent="0.45">
      <c r="B210">
        <v>0</v>
      </c>
    </row>
    <row r="211" spans="2:2" x14ac:dyDescent="0.45">
      <c r="B211">
        <v>0</v>
      </c>
    </row>
    <row r="212" spans="2:2" x14ac:dyDescent="0.45">
      <c r="B212">
        <v>975</v>
      </c>
    </row>
    <row r="213" spans="2:2" x14ac:dyDescent="0.45">
      <c r="B213">
        <v>103</v>
      </c>
    </row>
    <row r="214" spans="2:2" x14ac:dyDescent="0.45">
      <c r="B214">
        <v>237</v>
      </c>
    </row>
    <row r="215" spans="2:2" x14ac:dyDescent="0.45">
      <c r="B215">
        <v>310</v>
      </c>
    </row>
    <row r="216" spans="2:2" x14ac:dyDescent="0.45">
      <c r="B216">
        <v>351</v>
      </c>
    </row>
    <row r="217" spans="2:2" x14ac:dyDescent="0.45">
      <c r="B217">
        <v>349</v>
      </c>
    </row>
    <row r="218" spans="2:2" x14ac:dyDescent="0.45">
      <c r="B218">
        <v>270</v>
      </c>
    </row>
    <row r="219" spans="2:2" x14ac:dyDescent="0.45">
      <c r="B219">
        <v>195</v>
      </c>
    </row>
    <row r="220" spans="2:2" x14ac:dyDescent="0.45">
      <c r="B220">
        <v>112</v>
      </c>
    </row>
    <row r="221" spans="2:2" x14ac:dyDescent="0.45">
      <c r="B221">
        <v>60</v>
      </c>
    </row>
    <row r="222" spans="2:2" x14ac:dyDescent="0.45">
      <c r="B222">
        <v>13</v>
      </c>
    </row>
    <row r="223" spans="2:2" x14ac:dyDescent="0.45">
      <c r="B223">
        <v>477</v>
      </c>
    </row>
    <row r="224" spans="2:2" x14ac:dyDescent="0.45">
      <c r="B224">
        <v>817</v>
      </c>
    </row>
    <row r="225" spans="2:2" x14ac:dyDescent="0.45">
      <c r="B225">
        <v>426</v>
      </c>
    </row>
    <row r="226" spans="2:2" x14ac:dyDescent="0.45">
      <c r="B226">
        <v>161</v>
      </c>
    </row>
    <row r="227" spans="2:2" x14ac:dyDescent="0.45">
      <c r="B227">
        <v>70</v>
      </c>
    </row>
    <row r="228" spans="2:2" x14ac:dyDescent="0.45">
      <c r="B228">
        <v>25</v>
      </c>
    </row>
    <row r="229" spans="2:2" x14ac:dyDescent="0.45">
      <c r="B229">
        <v>11</v>
      </c>
    </row>
    <row r="230" spans="2:2" x14ac:dyDescent="0.45">
      <c r="B230">
        <v>4</v>
      </c>
    </row>
    <row r="231" spans="2:2" x14ac:dyDescent="0.45">
      <c r="B231">
        <v>7</v>
      </c>
    </row>
    <row r="232" spans="2:2" x14ac:dyDescent="0.45">
      <c r="B232">
        <v>2</v>
      </c>
    </row>
    <row r="233" spans="2:2" x14ac:dyDescent="0.45">
      <c r="B233">
        <v>1105</v>
      </c>
    </row>
    <row r="234" spans="2:2" x14ac:dyDescent="0.45">
      <c r="B234">
        <v>0</v>
      </c>
    </row>
    <row r="235" spans="2:2" x14ac:dyDescent="0.45">
      <c r="B235">
        <v>0</v>
      </c>
    </row>
    <row r="236" spans="2:2" x14ac:dyDescent="0.45">
      <c r="B236">
        <v>0</v>
      </c>
    </row>
    <row r="237" spans="2:2" x14ac:dyDescent="0.45">
      <c r="B237">
        <v>0</v>
      </c>
    </row>
    <row r="238" spans="2:2" x14ac:dyDescent="0.45">
      <c r="B238">
        <v>0</v>
      </c>
    </row>
    <row r="239" spans="2:2" x14ac:dyDescent="0.45">
      <c r="B239">
        <v>0</v>
      </c>
    </row>
    <row r="240" spans="2:2" x14ac:dyDescent="0.45">
      <c r="B240">
        <v>0</v>
      </c>
    </row>
    <row r="241" spans="2:2" x14ac:dyDescent="0.45">
      <c r="B241">
        <v>0</v>
      </c>
    </row>
    <row r="242" spans="2:2" x14ac:dyDescent="0.45">
      <c r="B242">
        <v>895</v>
      </c>
    </row>
    <row r="243" spans="2:2" x14ac:dyDescent="0.45">
      <c r="B243">
        <v>86</v>
      </c>
    </row>
    <row r="244" spans="2:2" x14ac:dyDescent="0.45">
      <c r="B244">
        <v>219</v>
      </c>
    </row>
    <row r="245" spans="2:2" x14ac:dyDescent="0.45">
      <c r="B245">
        <v>310</v>
      </c>
    </row>
    <row r="246" spans="2:2" x14ac:dyDescent="0.45">
      <c r="B246">
        <v>352</v>
      </c>
    </row>
    <row r="247" spans="2:2" x14ac:dyDescent="0.45">
      <c r="B247">
        <v>336</v>
      </c>
    </row>
    <row r="248" spans="2:2" x14ac:dyDescent="0.45">
      <c r="B248">
        <v>274</v>
      </c>
    </row>
    <row r="249" spans="2:2" x14ac:dyDescent="0.45">
      <c r="B249">
        <v>206</v>
      </c>
    </row>
    <row r="250" spans="2:2" x14ac:dyDescent="0.45">
      <c r="B250">
        <v>133</v>
      </c>
    </row>
    <row r="251" spans="2:2" x14ac:dyDescent="0.45">
      <c r="B251">
        <v>63</v>
      </c>
    </row>
    <row r="252" spans="2:2" x14ac:dyDescent="0.45">
      <c r="B252">
        <v>21</v>
      </c>
    </row>
    <row r="253" spans="2:2" x14ac:dyDescent="0.45">
      <c r="B253">
        <v>684</v>
      </c>
    </row>
    <row r="254" spans="2:2" x14ac:dyDescent="0.45">
      <c r="B254">
        <v>794</v>
      </c>
    </row>
    <row r="255" spans="2:2" x14ac:dyDescent="0.45">
      <c r="B255">
        <v>323</v>
      </c>
    </row>
    <row r="256" spans="2:2" x14ac:dyDescent="0.45">
      <c r="B256">
        <v>117</v>
      </c>
    </row>
    <row r="257" spans="2:2" x14ac:dyDescent="0.45">
      <c r="B257">
        <v>45</v>
      </c>
    </row>
    <row r="258" spans="2:2" x14ac:dyDescent="0.45">
      <c r="B258">
        <v>23</v>
      </c>
    </row>
    <row r="259" spans="2:2" x14ac:dyDescent="0.45">
      <c r="B259">
        <v>9</v>
      </c>
    </row>
    <row r="260" spans="2:2" x14ac:dyDescent="0.45">
      <c r="B260">
        <v>0</v>
      </c>
    </row>
    <row r="261" spans="2:2" x14ac:dyDescent="0.45">
      <c r="B261">
        <v>1</v>
      </c>
    </row>
    <row r="262" spans="2:2" x14ac:dyDescent="0.45">
      <c r="B262">
        <v>4</v>
      </c>
    </row>
    <row r="263" spans="2:2" x14ac:dyDescent="0.45">
      <c r="B263">
        <v>1200</v>
      </c>
    </row>
    <row r="264" spans="2:2" x14ac:dyDescent="0.45">
      <c r="B264">
        <v>0</v>
      </c>
    </row>
    <row r="265" spans="2:2" x14ac:dyDescent="0.45">
      <c r="B265">
        <v>0</v>
      </c>
    </row>
    <row r="266" spans="2:2" x14ac:dyDescent="0.45">
      <c r="B266">
        <v>0</v>
      </c>
    </row>
    <row r="267" spans="2:2" x14ac:dyDescent="0.45">
      <c r="B267">
        <v>0</v>
      </c>
    </row>
    <row r="268" spans="2:2" x14ac:dyDescent="0.45">
      <c r="B268">
        <v>0</v>
      </c>
    </row>
    <row r="269" spans="2:2" x14ac:dyDescent="0.45">
      <c r="B269">
        <v>0</v>
      </c>
    </row>
    <row r="270" spans="2:2" x14ac:dyDescent="0.45">
      <c r="B270">
        <v>0</v>
      </c>
    </row>
    <row r="271" spans="2:2" x14ac:dyDescent="0.45">
      <c r="B271">
        <v>0</v>
      </c>
    </row>
    <row r="272" spans="2:2" x14ac:dyDescent="0.45">
      <c r="B272">
        <v>800</v>
      </c>
    </row>
    <row r="273" spans="2:2" x14ac:dyDescent="0.45">
      <c r="B273">
        <v>83</v>
      </c>
    </row>
    <row r="274" spans="2:2" x14ac:dyDescent="0.45">
      <c r="B274">
        <v>246</v>
      </c>
    </row>
    <row r="275" spans="2:2" x14ac:dyDescent="0.45">
      <c r="B275">
        <v>287</v>
      </c>
    </row>
    <row r="276" spans="2:2" x14ac:dyDescent="0.45">
      <c r="B276">
        <v>336</v>
      </c>
    </row>
    <row r="277" spans="2:2" x14ac:dyDescent="0.45">
      <c r="B277">
        <v>331</v>
      </c>
    </row>
    <row r="278" spans="2:2" x14ac:dyDescent="0.45">
      <c r="B278">
        <v>279</v>
      </c>
    </row>
    <row r="279" spans="2:2" x14ac:dyDescent="0.45">
      <c r="B279">
        <v>217</v>
      </c>
    </row>
    <row r="280" spans="2:2" x14ac:dyDescent="0.45">
      <c r="B280">
        <v>146</v>
      </c>
    </row>
    <row r="281" spans="2:2" x14ac:dyDescent="0.45">
      <c r="B281">
        <v>53</v>
      </c>
    </row>
    <row r="282" spans="2:2" x14ac:dyDescent="0.45">
      <c r="B282">
        <v>22</v>
      </c>
    </row>
    <row r="283" spans="2:2" x14ac:dyDescent="0.45">
      <c r="B283">
        <v>549</v>
      </c>
    </row>
    <row r="284" spans="2:2" x14ac:dyDescent="0.45">
      <c r="B284">
        <v>801</v>
      </c>
    </row>
    <row r="285" spans="2:2" x14ac:dyDescent="0.45">
      <c r="B285">
        <v>366</v>
      </c>
    </row>
    <row r="286" spans="2:2" x14ac:dyDescent="0.45">
      <c r="B286">
        <v>165</v>
      </c>
    </row>
    <row r="287" spans="2:2" x14ac:dyDescent="0.45">
      <c r="B287">
        <v>69</v>
      </c>
    </row>
    <row r="288" spans="2:2" x14ac:dyDescent="0.45">
      <c r="B288">
        <v>23</v>
      </c>
    </row>
    <row r="289" spans="2:2" x14ac:dyDescent="0.45">
      <c r="B289">
        <v>7</v>
      </c>
    </row>
    <row r="290" spans="2:2" x14ac:dyDescent="0.45">
      <c r="B290">
        <v>11</v>
      </c>
    </row>
    <row r="291" spans="2:2" x14ac:dyDescent="0.45">
      <c r="B291">
        <v>6</v>
      </c>
    </row>
    <row r="292" spans="2:2" x14ac:dyDescent="0.45">
      <c r="B292">
        <v>3</v>
      </c>
    </row>
    <row r="293" spans="2:2" x14ac:dyDescent="0.45">
      <c r="B293">
        <v>928</v>
      </c>
    </row>
    <row r="294" spans="2:2" x14ac:dyDescent="0.45">
      <c r="B294">
        <v>0</v>
      </c>
    </row>
    <row r="295" spans="2:2" x14ac:dyDescent="0.45">
      <c r="B295">
        <v>0</v>
      </c>
    </row>
    <row r="296" spans="2:2" x14ac:dyDescent="0.45">
      <c r="B296">
        <v>0</v>
      </c>
    </row>
    <row r="297" spans="2:2" x14ac:dyDescent="0.45">
      <c r="B297">
        <v>0</v>
      </c>
    </row>
    <row r="298" spans="2:2" x14ac:dyDescent="0.45">
      <c r="B298">
        <v>0</v>
      </c>
    </row>
    <row r="299" spans="2:2" x14ac:dyDescent="0.45">
      <c r="B299">
        <v>0</v>
      </c>
    </row>
    <row r="300" spans="2:2" x14ac:dyDescent="0.45">
      <c r="B300">
        <v>0</v>
      </c>
    </row>
    <row r="301" spans="2:2" x14ac:dyDescent="0.45">
      <c r="B301">
        <v>0</v>
      </c>
    </row>
    <row r="302" spans="2:2" x14ac:dyDescent="0.45">
      <c r="B302">
        <v>1072</v>
      </c>
    </row>
    <row r="303" spans="2:2" x14ac:dyDescent="0.45">
      <c r="B303">
        <v>98</v>
      </c>
    </row>
    <row r="304" spans="2:2" x14ac:dyDescent="0.45">
      <c r="B304">
        <v>223</v>
      </c>
    </row>
    <row r="305" spans="2:2" x14ac:dyDescent="0.45">
      <c r="B305">
        <v>331</v>
      </c>
    </row>
    <row r="306" spans="2:2" x14ac:dyDescent="0.45">
      <c r="B306">
        <v>346</v>
      </c>
    </row>
    <row r="307" spans="2:2" x14ac:dyDescent="0.45">
      <c r="B307">
        <v>359</v>
      </c>
    </row>
    <row r="308" spans="2:2" x14ac:dyDescent="0.45">
      <c r="B308">
        <v>279</v>
      </c>
    </row>
    <row r="309" spans="2:2" x14ac:dyDescent="0.45">
      <c r="B309">
        <v>193</v>
      </c>
    </row>
    <row r="310" spans="2:2" x14ac:dyDescent="0.45">
      <c r="B310">
        <v>120</v>
      </c>
    </row>
    <row r="311" spans="2:2" x14ac:dyDescent="0.45">
      <c r="B311">
        <v>39</v>
      </c>
    </row>
    <row r="312" spans="2:2" x14ac:dyDescent="0.45">
      <c r="B312">
        <v>12</v>
      </c>
    </row>
    <row r="313" spans="2:2" x14ac:dyDescent="0.45">
      <c r="B313">
        <v>757</v>
      </c>
    </row>
    <row r="314" spans="2:2" x14ac:dyDescent="0.45">
      <c r="B314">
        <v>792</v>
      </c>
    </row>
    <row r="315" spans="2:2" x14ac:dyDescent="0.45">
      <c r="B315">
        <v>297</v>
      </c>
    </row>
    <row r="316" spans="2:2" x14ac:dyDescent="0.45">
      <c r="B316">
        <v>98</v>
      </c>
    </row>
    <row r="317" spans="2:2" x14ac:dyDescent="0.45">
      <c r="B317">
        <v>29</v>
      </c>
    </row>
    <row r="318" spans="2:2" x14ac:dyDescent="0.45">
      <c r="B318">
        <v>14</v>
      </c>
    </row>
    <row r="319" spans="2:2" x14ac:dyDescent="0.45">
      <c r="B319">
        <v>4</v>
      </c>
    </row>
    <row r="320" spans="2:2" x14ac:dyDescent="0.45">
      <c r="B320">
        <v>5</v>
      </c>
    </row>
    <row r="321" spans="2:2" x14ac:dyDescent="0.45">
      <c r="B321">
        <v>3</v>
      </c>
    </row>
    <row r="322" spans="2:2" x14ac:dyDescent="0.45">
      <c r="B322">
        <v>1</v>
      </c>
    </row>
    <row r="323" spans="2:2" x14ac:dyDescent="0.45">
      <c r="B323">
        <v>968</v>
      </c>
    </row>
    <row r="324" spans="2:2" x14ac:dyDescent="0.45">
      <c r="B324">
        <v>0</v>
      </c>
    </row>
    <row r="325" spans="2:2" x14ac:dyDescent="0.45">
      <c r="B325">
        <v>0</v>
      </c>
    </row>
    <row r="326" spans="2:2" x14ac:dyDescent="0.45">
      <c r="B326">
        <v>0</v>
      </c>
    </row>
    <row r="327" spans="2:2" x14ac:dyDescent="0.45">
      <c r="B327">
        <v>0</v>
      </c>
    </row>
    <row r="328" spans="2:2" x14ac:dyDescent="0.45">
      <c r="B328">
        <v>0</v>
      </c>
    </row>
    <row r="329" spans="2:2" x14ac:dyDescent="0.45">
      <c r="B329">
        <v>0</v>
      </c>
    </row>
    <row r="330" spans="2:2" x14ac:dyDescent="0.45">
      <c r="B330">
        <v>0</v>
      </c>
    </row>
    <row r="331" spans="2:2" x14ac:dyDescent="0.45">
      <c r="B331">
        <v>0</v>
      </c>
    </row>
    <row r="332" spans="2:2" x14ac:dyDescent="0.45">
      <c r="B332">
        <v>1032</v>
      </c>
    </row>
    <row r="333" spans="2:2" x14ac:dyDescent="0.45">
      <c r="B333">
        <v>48</v>
      </c>
    </row>
    <row r="334" spans="2:2" x14ac:dyDescent="0.45">
      <c r="B334">
        <v>184</v>
      </c>
    </row>
    <row r="335" spans="2:2" x14ac:dyDescent="0.45">
      <c r="B335">
        <v>312</v>
      </c>
    </row>
    <row r="336" spans="2:2" x14ac:dyDescent="0.45">
      <c r="B336">
        <v>328</v>
      </c>
    </row>
    <row r="337" spans="2:2" x14ac:dyDescent="0.45">
      <c r="B337">
        <v>341</v>
      </c>
    </row>
    <row r="338" spans="2:2" x14ac:dyDescent="0.45">
      <c r="B338">
        <v>278</v>
      </c>
    </row>
    <row r="339" spans="2:2" x14ac:dyDescent="0.45">
      <c r="B339">
        <v>253</v>
      </c>
    </row>
    <row r="340" spans="2:2" x14ac:dyDescent="0.45">
      <c r="B340">
        <v>142</v>
      </c>
    </row>
    <row r="341" spans="2:2" x14ac:dyDescent="0.45">
      <c r="B341">
        <v>83</v>
      </c>
    </row>
    <row r="342" spans="2:2" x14ac:dyDescent="0.45">
      <c r="B342">
        <v>31</v>
      </c>
    </row>
    <row r="343" spans="2:2" x14ac:dyDescent="0.45">
      <c r="B343">
        <v>608</v>
      </c>
    </row>
    <row r="344" spans="2:2" x14ac:dyDescent="0.45">
      <c r="B344">
        <v>789</v>
      </c>
    </row>
    <row r="345" spans="2:2" x14ac:dyDescent="0.45">
      <c r="B345">
        <v>344</v>
      </c>
    </row>
    <row r="346" spans="2:2" x14ac:dyDescent="0.45">
      <c r="B346">
        <v>138</v>
      </c>
    </row>
    <row r="347" spans="2:2" x14ac:dyDescent="0.45">
      <c r="B347">
        <v>78</v>
      </c>
    </row>
    <row r="348" spans="2:2" x14ac:dyDescent="0.45">
      <c r="B348">
        <v>21</v>
      </c>
    </row>
    <row r="349" spans="2:2" x14ac:dyDescent="0.45">
      <c r="B349">
        <v>11</v>
      </c>
    </row>
    <row r="350" spans="2:2" x14ac:dyDescent="0.45">
      <c r="B350">
        <v>7</v>
      </c>
    </row>
    <row r="351" spans="2:2" x14ac:dyDescent="0.45">
      <c r="B351">
        <v>2</v>
      </c>
    </row>
    <row r="352" spans="2:2" x14ac:dyDescent="0.45">
      <c r="B352">
        <v>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716">PABGAEkATABUAEUAUgBTAD4ADQAKADwALwBDAE4AVAA6ADAADQAKAEYASQBMAFQARQBSAFMAPgANAAoAPABQAEEARwBFAFMAPgANAAoAQwBOAFQAOgAx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PAAvAFAAQQBHAEUAUwA+AA0ACgA=</mr:Charts>
</mr:ModelRisk>
</file>

<file path=customXml/itemProps1.xml><?xml version="1.0" encoding="utf-8"?>
<ds:datastoreItem xmlns:ds="http://schemas.openxmlformats.org/officeDocument/2006/customXml" ds:itemID="{4BE6E511-2545-4BE1-9A12-65E2AE1F36E7}">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83</vt:i4>
      </vt:variant>
    </vt:vector>
  </HeadingPairs>
  <TitlesOfParts>
    <vt:vector size="92" baseType="lpstr">
      <vt:lpstr>About</vt:lpstr>
      <vt:lpstr>Inputs</vt:lpstr>
      <vt:lpstr>Decisions</vt:lpstr>
      <vt:lpstr>Prospects</vt:lpstr>
      <vt:lpstr>Programmes</vt:lpstr>
      <vt:lpstr>Results</vt:lpstr>
      <vt:lpstr>ModelRiskDSN</vt:lpstr>
      <vt:lpstr>ModelRiskSYS1</vt:lpstr>
      <vt:lpstr>ModelRiskCharts</vt:lpstr>
      <vt:lpstr>Budget</vt:lpstr>
      <vt:lpstr>Chance_PlayA</vt:lpstr>
      <vt:lpstr>Chance_PlayB</vt:lpstr>
      <vt:lpstr>Chance_PlayC</vt:lpstr>
      <vt:lpstr>Checks</vt:lpstr>
      <vt:lpstr>Cost_Hi</vt:lpstr>
      <vt:lpstr>Cost_Lo</vt:lpstr>
      <vt:lpstr>Cost_ML</vt:lpstr>
      <vt:lpstr>Discovery</vt:lpstr>
      <vt:lpstr>Drill_Alder</vt:lpstr>
      <vt:lpstr>Drill_Alder_Start</vt:lpstr>
      <vt:lpstr>Drill_Birch</vt:lpstr>
      <vt:lpstr>Drill_Birch_Start</vt:lpstr>
      <vt:lpstr>Drill_Cedar</vt:lpstr>
      <vt:lpstr>Drill_Cedar_Start</vt:lpstr>
      <vt:lpstr>Drill_Dogwood</vt:lpstr>
      <vt:lpstr>Drill_Dogwood_Start</vt:lpstr>
      <vt:lpstr>Drill_Elm</vt:lpstr>
      <vt:lpstr>Drill_Elm_Start</vt:lpstr>
      <vt:lpstr>Drill_Fir</vt:lpstr>
      <vt:lpstr>Drill_Fir_Start</vt:lpstr>
      <vt:lpstr>Drill_Ginkgo</vt:lpstr>
      <vt:lpstr>Drill_Ginkgo_Start</vt:lpstr>
      <vt:lpstr>Drill_Hazel</vt:lpstr>
      <vt:lpstr>Drill_Hazel_Start</vt:lpstr>
      <vt:lpstr>EMV_Prospect</vt:lpstr>
      <vt:lpstr>ExpEMV_Plan</vt:lpstr>
      <vt:lpstr>ExpEMV_Start</vt:lpstr>
      <vt:lpstr>LnFailLocal</vt:lpstr>
      <vt:lpstr>LnNoDiscovery</vt:lpstr>
      <vt:lpstr>MaxDryChance</vt:lpstr>
      <vt:lpstr>MeanCost</vt:lpstr>
      <vt:lpstr>MeanValue_Alder</vt:lpstr>
      <vt:lpstr>MeanValue_Birch</vt:lpstr>
      <vt:lpstr>MeanValue_Cedar</vt:lpstr>
      <vt:lpstr>MeanValue_Dogwood</vt:lpstr>
      <vt:lpstr>MeanValue_Elm</vt:lpstr>
      <vt:lpstr>MeanValue_Fir</vt:lpstr>
      <vt:lpstr>MeanValue_Ginkgo</vt:lpstr>
      <vt:lpstr>MeanValue_Hazel</vt:lpstr>
      <vt:lpstr>NPV_IfDrilled</vt:lpstr>
      <vt:lpstr>OptRun_Best</vt:lpstr>
      <vt:lpstr>OptRun_Date</vt:lpstr>
      <vt:lpstr>OptRun_Engine</vt:lpstr>
      <vt:lpstr>OptRun_Feasible</vt:lpstr>
      <vt:lpstr>OptRun_Samples</vt:lpstr>
      <vt:lpstr>OptRun_Seconds</vt:lpstr>
      <vt:lpstr>OptRun_Stop</vt:lpstr>
      <vt:lpstr>OptRun_Trials</vt:lpstr>
      <vt:lpstr>Out_Disc_Plan</vt:lpstr>
      <vt:lpstr>Out_Disc_Start</vt:lpstr>
      <vt:lpstr>Out_Dry_Plan</vt:lpstr>
      <vt:lpstr>Out_Dry_Start</vt:lpstr>
      <vt:lpstr>Out_ExpCost_Plan</vt:lpstr>
      <vt:lpstr>Out_ExpCost_Start</vt:lpstr>
      <vt:lpstr>Out_NPV_Plan</vt:lpstr>
      <vt:lpstr>Out_NPV_Start</vt:lpstr>
      <vt:lpstr>PDiscovery</vt:lpstr>
      <vt:lpstr>PlayChances</vt:lpstr>
      <vt:lpstr>PlayCodes</vt:lpstr>
      <vt:lpstr>PlayWorks</vt:lpstr>
      <vt:lpstr>PNoneIndep_Plan</vt:lpstr>
      <vt:lpstr>PNoneIndep_Start</vt:lpstr>
      <vt:lpstr>PNoneShared_Plan</vt:lpstr>
      <vt:lpstr>PNoneShared_Start</vt:lpstr>
      <vt:lpstr>Results!Print_Area</vt:lpstr>
      <vt:lpstr>Decisions!Print_Titles</vt:lpstr>
      <vt:lpstr>Inputs!Print_Titles</vt:lpstr>
      <vt:lpstr>Prospects!Print_Titles</vt:lpstr>
      <vt:lpstr>Results!Print_Titles</vt:lpstr>
      <vt:lpstr>Pros_Chance</vt:lpstr>
      <vt:lpstr>Pros_Name</vt:lpstr>
      <vt:lpstr>Pros_Play</vt:lpstr>
      <vt:lpstr>Sel_Both</vt:lpstr>
      <vt:lpstr>Sel_Plan</vt:lpstr>
      <vt:lpstr>Sel_Start</vt:lpstr>
      <vt:lpstr>SharedEffect_Plan</vt:lpstr>
      <vt:lpstr>SharedEffect_Start</vt:lpstr>
      <vt:lpstr>Value_P10</vt:lpstr>
      <vt:lpstr>Value_P90</vt:lpstr>
      <vt:lpstr>WellCost</vt:lpstr>
      <vt:lpstr>Wells_Plan</vt:lpstr>
      <vt:lpstr>Wells_Start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OG-11 Exploration Portfolio Chosen by the Optimizer</dc:title>
  <dc:subject>ModelRisk industry example library — Oil and gas</dc:subject>
  <dc:creator>Vose Software</dc:creator>
  <cp:keywords>ModelRisk; Monte Carlo; Oil and gas</cp:keywords>
  <dc:description>The exploration drilling programme chosen by the ModelRisk Optimizer from eight prospects in three plays: the highest EMV within a budget and a limit on the chance of a dry year.</dc:description>
  <cp:lastModifiedBy>Timour Koupeev</cp:lastModifiedBy>
  <dcterms:created xsi:type="dcterms:W3CDTF">2026-10-13T13:16:59Z</dcterms:created>
  <dcterms:modified xsi:type="dcterms:W3CDTF">2026-10-13T13:24:29Z</dcterms:modified>
</cp:coreProperties>
</file>