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Oil and gas\"/>
    </mc:Choice>
  </mc:AlternateContent>
  <xr:revisionPtr revIDLastSave="0" documentId="8_{AEEE4CB6-E535-4CA4-BBD5-64808A37EC1C}"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Losses" sheetId="3" r:id="rId3"/>
    <sheet name="Results" sheetId="4" r:id="rId4"/>
    <sheet name="ModelRiskDSN" sheetId="5" state="hidden" r:id="rId5"/>
    <sheet name="ModelRiskSYS1" sheetId="6" state="hidden" r:id="rId6"/>
    <sheet name="ModelRiskCharts" sheetId="7" state="hidden" r:id="rId7"/>
  </sheets>
  <definedNames>
    <definedName name="Checks">Losses!$E$57:$E$59</definedName>
    <definedName name="Cost_A">Losses!$E$50</definedName>
    <definedName name="Cost_B">Losses!$E$51</definedName>
    <definedName name="Cost_C">Losses!$E$52</definedName>
    <definedName name="Ded_B">Inputs!$D$32</definedName>
    <definedName name="Ded_C">Inputs!$D$34</definedName>
    <definedName name="ExpRec_B">Losses!$E$41</definedName>
    <definedName name="ExpRec_C">Losses!$F$41</definedName>
    <definedName name="Gross">Losses!$E$47</definedName>
    <definedName name="Lim_B">Inputs!$D$33</definedName>
    <definedName name="Lim_C">Inputs!$D$35</definedName>
    <definedName name="Loading">Inputs!$D$36</definedName>
    <definedName name="Maj_Mean">Inputs!$D$26</definedName>
    <definedName name="Maj_N">Losses!$E$29</definedName>
    <definedName name="Maj_Rate">Inputs!$D$25</definedName>
    <definedName name="Maj_SD">Inputs!$D$27</definedName>
    <definedName name="Maj_Sev">Losses!$E$28</definedName>
    <definedName name="MajorHappens">Losses!$E$53</definedName>
    <definedName name="Minor_Mean">Inputs!$D$12</definedName>
    <definedName name="Minor_Rate">Inputs!$D$11</definedName>
    <definedName name="Minor_SD">Inputs!$D$13</definedName>
    <definedName name="Minor_Sev">Losses!$E$9</definedName>
    <definedName name="Minor_Total">Losses!$E$10</definedName>
    <definedName name="Prem_B">Losses!$E$42</definedName>
    <definedName name="Prem_C">Losses!$F$42</definedName>
    <definedName name="_xlnm.Print_Area" localSheetId="3">Results!$A$1:$R$63</definedName>
    <definedName name="_xlnm.Print_Titles" localSheetId="1">Inputs!$1:$4</definedName>
    <definedName name="_xlnm.Print_Titles" localSheetId="3">Results!$1:$4</definedName>
    <definedName name="Rec_B">Losses!$E$48</definedName>
    <definedName name="Rec_C">Losses!$E$49</definedName>
    <definedName name="Sig_Mean">Inputs!$D$19</definedName>
    <definedName name="Sig_N">Losses!$E$15</definedName>
    <definedName name="Sig_Rate">Inputs!$D$18</definedName>
    <definedName name="Sig_SD">Inputs!$D$20</definedName>
    <definedName name="Sig_Sev">Losses!$E$14</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3" l="1" a="1"/>
  <c r="E28" i="3" s="1"/>
  <c r="E14" i="3" a="1"/>
  <c r="E14" i="3" s="1"/>
  <c r="E9" i="3" a="1"/>
  <c r="E9" i="3" s="1"/>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44" i="4"/>
  <c r="C43" i="4"/>
  <c r="C42" i="4"/>
  <c r="C41" i="4"/>
  <c r="C40" i="4"/>
  <c r="C39" i="4"/>
  <c r="B32" i="4"/>
  <c r="B31" i="4"/>
  <c r="B25" i="4"/>
  <c r="B24" i="4"/>
  <c r="C23" i="4"/>
  <c r="E59" i="3"/>
  <c r="E58" i="3"/>
  <c r="E57" i="3"/>
  <c r="B7" i="4" s="1"/>
  <c r="E15" i="3" a="1"/>
  <c r="E10" i="3" a="1"/>
  <c r="E29" i="3" a="1"/>
  <c r="E29" i="3" l="1"/>
  <c r="E10" i="3"/>
  <c r="E15" i="3"/>
  <c r="E40" i="3" a="1"/>
  <c r="E39" i="3" a="1"/>
  <c r="F39" i="3" a="1"/>
  <c r="F40" i="3" a="1"/>
  <c r="F40" i="3" l="1"/>
  <c r="F39" i="3"/>
  <c r="E39" i="3"/>
  <c r="E40" i="3"/>
  <c r="D23" i="3"/>
  <c r="D19" i="3"/>
  <c r="D22" i="3"/>
  <c r="D21" i="3"/>
  <c r="D18" i="3"/>
  <c r="D20" i="3"/>
  <c r="E53" i="3" a="1"/>
  <c r="E53" i="3" s="1"/>
  <c r="D32" i="3"/>
  <c r="D33" i="3"/>
  <c r="D17" i="4" a="1"/>
  <c r="D17" i="4" l="1"/>
  <c r="E41" i="3"/>
  <c r="F41" i="3"/>
  <c r="E18" i="3" a="1"/>
  <c r="E20" i="3" a="1"/>
  <c r="E22" i="3" a="1"/>
  <c r="E33" i="3" a="1"/>
  <c r="E23" i="3" a="1"/>
  <c r="E32" i="3" a="1"/>
  <c r="E19" i="3" a="1"/>
  <c r="E21" i="3" a="1"/>
  <c r="F42" i="3" l="1"/>
  <c r="D53" i="4"/>
  <c r="E42" i="3"/>
  <c r="D50" i="4"/>
  <c r="E21" i="3"/>
  <c r="E19" i="3"/>
  <c r="E32" i="3"/>
  <c r="E23" i="3"/>
  <c r="E33" i="3"/>
  <c r="E22" i="3"/>
  <c r="E20" i="3"/>
  <c r="E18" i="3"/>
  <c r="C24" i="4" l="1"/>
  <c r="D52" i="4"/>
  <c r="D51" i="4"/>
  <c r="C25" i="4"/>
  <c r="D55" i="4"/>
  <c r="D54" i="4"/>
  <c r="E24" i="3"/>
  <c r="G18" i="3"/>
  <c r="F18" i="3"/>
  <c r="G22" i="3"/>
  <c r="F22" i="3"/>
  <c r="E34" i="3"/>
  <c r="G32" i="3"/>
  <c r="F32" i="3"/>
  <c r="F34" i="3" s="1"/>
  <c r="G20" i="3"/>
  <c r="F20" i="3"/>
  <c r="G33" i="3"/>
  <c r="F33" i="3"/>
  <c r="F23" i="3"/>
  <c r="G23" i="3"/>
  <c r="G19" i="3"/>
  <c r="F19" i="3"/>
  <c r="G21" i="3"/>
  <c r="F21" i="3"/>
  <c r="G24" i="3" l="1"/>
  <c r="G34" i="3"/>
  <c r="F24" i="3"/>
  <c r="E48" i="3" s="1" a="1"/>
  <c r="E48" i="3" s="1"/>
  <c r="E49" i="3" a="1"/>
  <c r="E49" i="3" s="1"/>
  <c r="E47" i="3" a="1"/>
  <c r="E47" i="3" s="1"/>
  <c r="D56" i="4" a="1"/>
  <c r="D73" i="4" a="1"/>
  <c r="D100" i="4" a="1"/>
  <c r="D78" i="4" a="1"/>
  <c r="D16" i="4" a="1"/>
  <c r="D79" i="4" a="1"/>
  <c r="D101" i="4" a="1"/>
  <c r="D116" i="4" a="1"/>
  <c r="D93" i="4" a="1"/>
  <c r="D83" i="4" a="1"/>
  <c r="D108" i="4" a="1"/>
  <c r="D76" i="4" a="1"/>
  <c r="D117" i="4" a="1"/>
  <c r="D92" i="4" a="1"/>
  <c r="D123" i="4" a="1"/>
  <c r="D87" i="4" a="1"/>
  <c r="D109" i="4" a="1"/>
  <c r="D85" i="4" a="1"/>
  <c r="D80" i="4" a="1"/>
  <c r="D102" i="4" a="1"/>
  <c r="D118" i="4" a="1"/>
  <c r="D69" i="4" a="1"/>
  <c r="D95" i="4" a="1"/>
  <c r="D71" i="4" a="1"/>
  <c r="D14" i="4" a="1"/>
  <c r="D84" i="4" a="1"/>
  <c r="D96" i="4" a="1"/>
  <c r="D104" i="4" a="1"/>
  <c r="D112" i="4" a="1"/>
  <c r="B6" i="4" a="1"/>
  <c r="D82" i="4" a="1"/>
  <c r="D111" i="4" a="1"/>
  <c r="D75" i="4" a="1"/>
  <c r="D70" i="4" a="1"/>
  <c r="D86" i="4" a="1"/>
  <c r="D97" i="4" a="1"/>
  <c r="D105" i="4" a="1"/>
  <c r="D113" i="4" a="1"/>
  <c r="D15" i="4" a="1"/>
  <c r="D77" i="4" a="1"/>
  <c r="D72" i="4" a="1"/>
  <c r="D88" i="4" a="1"/>
  <c r="D98" i="4" a="1"/>
  <c r="D106" i="4" a="1"/>
  <c r="D114" i="4" a="1"/>
  <c r="D122" i="4" a="1"/>
  <c r="D89" i="4" a="1"/>
  <c r="D94" i="4" a="1"/>
  <c r="D110" i="4" a="1"/>
  <c r="D91" i="4" a="1"/>
  <c r="D103" i="4" a="1"/>
  <c r="D121" i="4" a="1"/>
  <c r="D13" i="4" a="1"/>
  <c r="D81" i="4" a="1"/>
  <c r="D74" i="4" a="1"/>
  <c r="D90" i="4" a="1"/>
  <c r="D99" i="4" a="1"/>
  <c r="D107" i="4" a="1"/>
  <c r="D115" i="4" a="1"/>
  <c r="D12" i="4" a="1"/>
  <c r="D57" i="4" a="1"/>
  <c r="D56" i="4" l="1"/>
  <c r="D57" i="4"/>
  <c r="D12" i="4"/>
  <c r="D115" i="4"/>
  <c r="D107" i="4"/>
  <c r="D99" i="4"/>
  <c r="D90" i="4"/>
  <c r="D74" i="4"/>
  <c r="D81" i="4"/>
  <c r="D13" i="4"/>
  <c r="D121" i="4"/>
  <c r="D103" i="4"/>
  <c r="D91" i="4"/>
  <c r="D110" i="4"/>
  <c r="D94" i="4"/>
  <c r="D89" i="4"/>
  <c r="D122" i="4"/>
  <c r="D114" i="4"/>
  <c r="D106" i="4"/>
  <c r="D98" i="4"/>
  <c r="D88" i="4"/>
  <c r="D72" i="4"/>
  <c r="D77" i="4"/>
  <c r="D15" i="4"/>
  <c r="D113" i="4"/>
  <c r="D105" i="4"/>
  <c r="D97" i="4"/>
  <c r="D86" i="4"/>
  <c r="D70" i="4"/>
  <c r="D75" i="4"/>
  <c r="D111" i="4"/>
  <c r="D82" i="4"/>
  <c r="B6" i="4"/>
  <c r="D112" i="4"/>
  <c r="D104" i="4"/>
  <c r="D96" i="4"/>
  <c r="D84" i="4"/>
  <c r="D14" i="4"/>
  <c r="D71" i="4"/>
  <c r="D95" i="4"/>
  <c r="D69" i="4"/>
  <c r="D118" i="4"/>
  <c r="D102" i="4"/>
  <c r="D80" i="4"/>
  <c r="D85" i="4"/>
  <c r="D109" i="4"/>
  <c r="D87" i="4"/>
  <c r="D123" i="4"/>
  <c r="D92" i="4"/>
  <c r="D117" i="4"/>
  <c r="D76" i="4"/>
  <c r="D108" i="4"/>
  <c r="D83" i="4"/>
  <c r="D93" i="4"/>
  <c r="D116" i="4"/>
  <c r="D101" i="4"/>
  <c r="D79" i="4"/>
  <c r="D16" i="4"/>
  <c r="D78" i="4"/>
  <c r="D100" i="4"/>
  <c r="D73" i="4"/>
  <c r="E52" i="3" a="1"/>
  <c r="E52" i="3" s="1"/>
  <c r="E50" i="3" a="1"/>
  <c r="E50" i="3" s="1"/>
  <c r="E51" i="3" a="1"/>
  <c r="E51" i="3" s="1"/>
  <c r="G102" i="4" a="1"/>
  <c r="G73" i="4" a="1"/>
  <c r="F25" i="4" a="1"/>
  <c r="G89" i="4" a="1"/>
  <c r="G87" i="4" a="1"/>
  <c r="D25" i="4" a="1"/>
  <c r="G116" i="4" a="1"/>
  <c r="G71" i="4" a="1"/>
  <c r="G111" i="4" a="1"/>
  <c r="G84" i="4" a="1"/>
  <c r="G70" i="4" a="1"/>
  <c r="G99" i="4" a="1"/>
  <c r="F44" i="4" a="1"/>
  <c r="G110" i="4" a="1"/>
  <c r="G82" i="4" a="1"/>
  <c r="F42" i="4" a="1"/>
  <c r="G108" i="4" a="1"/>
  <c r="G85" i="4" a="1"/>
  <c r="F41" i="4" a="1"/>
  <c r="G95" i="4" a="1"/>
  <c r="G25" i="4" a="1"/>
  <c r="G93" i="4" a="1"/>
  <c r="G112" i="4" a="1"/>
  <c r="G81" i="4" a="1"/>
  <c r="G100" i="4" a="1"/>
  <c r="G83" i="4" a="1"/>
  <c r="G113" i="4" a="1"/>
  <c r="G74" i="4" a="1"/>
  <c r="G105" i="4" a="1"/>
  <c r="G114" i="4" a="1"/>
  <c r="G90" i="4" a="1"/>
  <c r="G72" i="4" a="1"/>
  <c r="G104" i="4" a="1"/>
  <c r="G79" i="4" a="1"/>
  <c r="G109" i="4" a="1"/>
  <c r="G94" i="4" a="1"/>
  <c r="G103" i="4" a="1"/>
  <c r="G69" i="4" a="1"/>
  <c r="G117" i="4" a="1"/>
  <c r="F43" i="4" a="1"/>
  <c r="G97" i="4" a="1"/>
  <c r="G106" i="4" a="1"/>
  <c r="G88" i="4" a="1"/>
  <c r="G115" i="4" a="1"/>
  <c r="G96" i="4" a="1"/>
  <c r="G77" i="4" a="1"/>
  <c r="G101" i="4" a="1"/>
  <c r="F40" i="4" a="1"/>
  <c r="G80" i="4" a="1"/>
  <c r="E25" i="4" a="1"/>
  <c r="G76" i="4" a="1"/>
  <c r="G92" i="4" a="1"/>
  <c r="F39" i="4" a="1"/>
  <c r="G118" i="4" a="1"/>
  <c r="G98" i="4" a="1"/>
  <c r="G86" i="4" a="1"/>
  <c r="G107" i="4" a="1"/>
  <c r="G91" i="4" a="1"/>
  <c r="G75" i="4" a="1"/>
  <c r="G78" i="4" a="1"/>
  <c r="F99" i="4" a="1"/>
  <c r="G24" i="4" a="1"/>
  <c r="F107" i="4" a="1"/>
  <c r="F69" i="4" a="1"/>
  <c r="F100" i="4" a="1"/>
  <c r="F77" i="4" a="1"/>
  <c r="E41" i="4" a="1"/>
  <c r="F83" i="4" a="1"/>
  <c r="F108" i="4" a="1"/>
  <c r="F91" i="4" a="1"/>
  <c r="F92" i="4" a="1"/>
  <c r="F75" i="4" a="1"/>
  <c r="F84" i="4" a="1"/>
  <c r="E42" i="4" a="1"/>
  <c r="F76" i="4" a="1"/>
  <c r="E40" i="4" a="1"/>
  <c r="F115" i="4" a="1"/>
  <c r="F24" i="4" a="1"/>
  <c r="F85" i="4" a="1"/>
  <c r="F116" i="4" a="1"/>
  <c r="F93" i="4" a="1"/>
  <c r="F109" i="4" a="1"/>
  <c r="D24" i="4" a="1"/>
  <c r="F86" i="4" a="1"/>
  <c r="F110" i="4" a="1"/>
  <c r="F71" i="4" a="1"/>
  <c r="F111" i="4" a="1"/>
  <c r="F70" i="4" a="1"/>
  <c r="F94" i="4" a="1"/>
  <c r="F118" i="4" a="1"/>
  <c r="E44" i="4" a="1"/>
  <c r="F87" i="4" a="1"/>
  <c r="E24" i="4" a="1"/>
  <c r="F72" i="4" a="1"/>
  <c r="F80" i="4" a="1"/>
  <c r="F88" i="4" a="1"/>
  <c r="F96" i="4" a="1"/>
  <c r="F104" i="4" a="1"/>
  <c r="F112" i="4" a="1"/>
  <c r="F101" i="4" a="1"/>
  <c r="F95" i="4" a="1"/>
  <c r="E39" i="4" a="1"/>
  <c r="F73" i="4" a="1"/>
  <c r="F81" i="4" a="1"/>
  <c r="F89" i="4" a="1"/>
  <c r="F97" i="4" a="1"/>
  <c r="F105" i="4" a="1"/>
  <c r="F113" i="4" a="1"/>
  <c r="F117" i="4" a="1"/>
  <c r="F78" i="4" a="1"/>
  <c r="F102" i="4" a="1"/>
  <c r="F79" i="4" a="1"/>
  <c r="F103" i="4" a="1"/>
  <c r="E43" i="4" a="1"/>
  <c r="F74" i="4" a="1"/>
  <c r="F82" i="4" a="1"/>
  <c r="F90" i="4" a="1"/>
  <c r="F98" i="4" a="1"/>
  <c r="F106" i="4" a="1"/>
  <c r="F114" i="4" a="1"/>
  <c r="E100" i="4" a="1"/>
  <c r="D39" i="4" a="1"/>
  <c r="E92" i="4" a="1"/>
  <c r="E76" i="4" a="1"/>
  <c r="E107" i="4" a="1"/>
  <c r="E99" i="4" a="1"/>
  <c r="E91" i="4" a="1"/>
  <c r="E108" i="4" a="1"/>
  <c r="E75" i="4" a="1"/>
  <c r="E23" i="4" a="1"/>
  <c r="E116" i="4" a="1"/>
  <c r="E84" i="4" a="1"/>
  <c r="E115" i="4" a="1"/>
  <c r="E83" i="4" a="1"/>
  <c r="E114" i="4" a="1"/>
  <c r="E98" i="4" a="1"/>
  <c r="E82" i="4" a="1"/>
  <c r="E105" i="4" a="1"/>
  <c r="E81" i="4" a="1"/>
  <c r="F23" i="4" a="1"/>
  <c r="E112" i="4" a="1"/>
  <c r="E104" i="4" a="1"/>
  <c r="E96" i="4" a="1"/>
  <c r="E88" i="4" a="1"/>
  <c r="E80" i="4" a="1"/>
  <c r="E72" i="4" a="1"/>
  <c r="D23" i="4" a="1"/>
  <c r="D41" i="4" a="1"/>
  <c r="E97" i="4" a="1"/>
  <c r="E73" i="4" a="1"/>
  <c r="D42" i="4" a="1"/>
  <c r="E111" i="4" a="1"/>
  <c r="E103" i="4" a="1"/>
  <c r="E95" i="4" a="1"/>
  <c r="E87" i="4" a="1"/>
  <c r="E79" i="4" a="1"/>
  <c r="E71" i="4" a="1"/>
  <c r="D44" i="4" a="1"/>
  <c r="D43" i="4" a="1"/>
  <c r="E118" i="4" a="1"/>
  <c r="E110" i="4" a="1"/>
  <c r="E102" i="4" a="1"/>
  <c r="E94" i="4" a="1"/>
  <c r="E86" i="4" a="1"/>
  <c r="E78" i="4" a="1"/>
  <c r="E70" i="4" a="1"/>
  <c r="G23" i="4" a="1"/>
  <c r="E106" i="4" a="1"/>
  <c r="E90" i="4" a="1"/>
  <c r="E74" i="4" a="1"/>
  <c r="E113" i="4" a="1"/>
  <c r="E89" i="4" a="1"/>
  <c r="D40" i="4" a="1"/>
  <c r="E117" i="4" a="1"/>
  <c r="E109" i="4" a="1"/>
  <c r="E101" i="4" a="1"/>
  <c r="E93" i="4" a="1"/>
  <c r="E85" i="4" a="1"/>
  <c r="E77" i="4" a="1"/>
  <c r="E69" i="4" a="1"/>
  <c r="E69" i="4" l="1"/>
  <c r="E77" i="4"/>
  <c r="E85" i="4"/>
  <c r="E93" i="4"/>
  <c r="E101" i="4"/>
  <c r="E109" i="4"/>
  <c r="E117" i="4"/>
  <c r="D40" i="4"/>
  <c r="E89" i="4"/>
  <c r="E113" i="4"/>
  <c r="E74" i="4"/>
  <c r="E90" i="4"/>
  <c r="E106" i="4"/>
  <c r="G23" i="4"/>
  <c r="E70" i="4"/>
  <c r="E78" i="4"/>
  <c r="E86" i="4"/>
  <c r="E94" i="4"/>
  <c r="E102" i="4"/>
  <c r="E110" i="4"/>
  <c r="E118" i="4"/>
  <c r="D43" i="4"/>
  <c r="D44" i="4"/>
  <c r="E71" i="4"/>
  <c r="E79" i="4"/>
  <c r="E87" i="4"/>
  <c r="E95" i="4"/>
  <c r="E103" i="4"/>
  <c r="E111" i="4"/>
  <c r="D42" i="4"/>
  <c r="E73" i="4"/>
  <c r="E97" i="4"/>
  <c r="D41" i="4"/>
  <c r="D23" i="4"/>
  <c r="E72" i="4"/>
  <c r="E80" i="4"/>
  <c r="E88" i="4"/>
  <c r="E96" i="4"/>
  <c r="E104" i="4"/>
  <c r="E112" i="4"/>
  <c r="F23" i="4"/>
  <c r="E81" i="4"/>
  <c r="E105" i="4"/>
  <c r="E82" i="4"/>
  <c r="E98" i="4"/>
  <c r="E114" i="4"/>
  <c r="E83" i="4"/>
  <c r="E115" i="4"/>
  <c r="E84" i="4"/>
  <c r="E116" i="4"/>
  <c r="E23" i="4"/>
  <c r="E75" i="4"/>
  <c r="E108" i="4"/>
  <c r="E91" i="4"/>
  <c r="E99" i="4"/>
  <c r="E107" i="4"/>
  <c r="E76" i="4"/>
  <c r="E92" i="4"/>
  <c r="D39" i="4"/>
  <c r="E100" i="4"/>
  <c r="F114" i="4"/>
  <c r="F106" i="4"/>
  <c r="F98" i="4"/>
  <c r="F90" i="4"/>
  <c r="F82" i="4"/>
  <c r="F74" i="4"/>
  <c r="E43" i="4"/>
  <c r="F103" i="4"/>
  <c r="F79" i="4"/>
  <c r="F102" i="4"/>
  <c r="F78" i="4"/>
  <c r="F117" i="4"/>
  <c r="F113" i="4"/>
  <c r="F105" i="4"/>
  <c r="F97" i="4"/>
  <c r="F89" i="4"/>
  <c r="F81" i="4"/>
  <c r="F73" i="4"/>
  <c r="E39" i="4"/>
  <c r="F95" i="4"/>
  <c r="F101" i="4"/>
  <c r="F112" i="4"/>
  <c r="F104" i="4"/>
  <c r="F96" i="4"/>
  <c r="F88" i="4"/>
  <c r="F80" i="4"/>
  <c r="F72" i="4"/>
  <c r="E24" i="4"/>
  <c r="F87" i="4"/>
  <c r="E44" i="4"/>
  <c r="F118" i="4"/>
  <c r="F94" i="4"/>
  <c r="F70" i="4"/>
  <c r="F111" i="4"/>
  <c r="F71" i="4"/>
  <c r="F110" i="4"/>
  <c r="F86" i="4"/>
  <c r="D24" i="4"/>
  <c r="C31" i="4" s="1"/>
  <c r="F109" i="4"/>
  <c r="F93" i="4"/>
  <c r="F116" i="4"/>
  <c r="F85" i="4"/>
  <c r="F24" i="4"/>
  <c r="F115" i="4"/>
  <c r="E40" i="4"/>
  <c r="F76" i="4"/>
  <c r="E42" i="4"/>
  <c r="F84" i="4"/>
  <c r="F75" i="4"/>
  <c r="F92" i="4"/>
  <c r="F91" i="4"/>
  <c r="F108" i="4"/>
  <c r="F83" i="4"/>
  <c r="E41" i="4"/>
  <c r="F77" i="4"/>
  <c r="F100" i="4"/>
  <c r="F69" i="4"/>
  <c r="F107" i="4"/>
  <c r="G24" i="4"/>
  <c r="F99" i="4"/>
  <c r="G78" i="4"/>
  <c r="G75" i="4"/>
  <c r="G91" i="4"/>
  <c r="G107" i="4"/>
  <c r="G86" i="4"/>
  <c r="G98" i="4"/>
  <c r="G118" i="4"/>
  <c r="F39" i="4"/>
  <c r="G92" i="4"/>
  <c r="G76" i="4"/>
  <c r="E25" i="4"/>
  <c r="D32" i="4" s="1"/>
  <c r="G80" i="4"/>
  <c r="F40" i="4"/>
  <c r="G101" i="4"/>
  <c r="G77" i="4"/>
  <c r="G96" i="4"/>
  <c r="G115" i="4"/>
  <c r="G88" i="4"/>
  <c r="G106" i="4"/>
  <c r="G97" i="4"/>
  <c r="F43" i="4"/>
  <c r="G117" i="4"/>
  <c r="G69" i="4"/>
  <c r="G103" i="4"/>
  <c r="G94" i="4"/>
  <c r="G109" i="4"/>
  <c r="G79" i="4"/>
  <c r="G104" i="4"/>
  <c r="G72" i="4"/>
  <c r="G90" i="4"/>
  <c r="G114" i="4"/>
  <c r="G105" i="4"/>
  <c r="G74" i="4"/>
  <c r="G113" i="4"/>
  <c r="G83" i="4"/>
  <c r="G100" i="4"/>
  <c r="G81" i="4"/>
  <c r="G112" i="4"/>
  <c r="G93" i="4"/>
  <c r="G25" i="4"/>
  <c r="G95" i="4"/>
  <c r="F41" i="4"/>
  <c r="G85" i="4"/>
  <c r="G108" i="4"/>
  <c r="F42" i="4"/>
  <c r="G82" i="4"/>
  <c r="G110" i="4"/>
  <c r="F44" i="4"/>
  <c r="G99" i="4"/>
  <c r="G70" i="4"/>
  <c r="G84" i="4"/>
  <c r="G111" i="4"/>
  <c r="G71" i="4"/>
  <c r="G116" i="4"/>
  <c r="D25" i="4"/>
  <c r="G87" i="4"/>
  <c r="G89" i="4"/>
  <c r="F25" i="4"/>
  <c r="G73" i="4"/>
  <c r="G102" i="4"/>
  <c r="F32" i="4" l="1"/>
  <c r="D31" i="4"/>
  <c r="C32" i="4"/>
  <c r="F31" i="4"/>
  <c r="E31" i="4"/>
  <c r="E32"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<sst xmlns="http://schemas.openxmlformats.org/spreadsheetml/2006/main" count="389" uniqueCount="257">
  <si>
    <t>Major Accident and Operational Loss Exposure</t>
  </si>
  <si>
    <t>ModelRisk example  ·  Oil and gas  ·  OG-10</t>
  </si>
  <si>
    <t>What could our operations lose in a year, and which insurance programme is worth its premium?</t>
  </si>
  <si>
    <t>Next:  Inputs  ▸</t>
  </si>
  <si>
    <t>Model card</t>
  </si>
  <si>
    <t>Industry</t>
  </si>
  <si>
    <t>Oil and gas</t>
  </si>
  <si>
    <t>Difficulty</t>
  </si>
  <si>
    <t>★★★☆☆   Frequency × severity losses from frequent small incidents to a rare major accident, and insurance per occurrence.</t>
  </si>
  <si>
    <t>Business question</t>
  </si>
  <si>
    <t>How large are the annual losses from operational incidents on our offshore assets — from frequent small incidents to a rare major accident — what are the 1-in-100 and 1-in-200-year losses, and which insurance programme gives the best protection for its premium?</t>
  </si>
  <si>
    <t>Who it is for</t>
  </si>
  <si>
    <t>Risk and insurance managers, HSE and asset integrity teams, CFOs and boards.</t>
  </si>
  <si>
    <t>Main outputs</t>
  </si>
  <si>
    <t>Annual loss before insurance: mean, median, 1-in-10, 1-in-100 and 1-in-200-year values, chance of a major accident · for each insurance programme: premium, mean annual cost, cost by return period, average of the worst 1% · what insurance costs.</t>
  </si>
  <si>
    <t>ModelRisk techniques</t>
  </si>
  <si>
    <t>Frequency × severity: VoseAggregateFFT for many small losses; a Poisson number of individually simulated events for larger ones · per-occurrence deductible and limit · expected insured loss from VoseMean of a VoseDeductObject · return periods from percentiles · VoseSimCVARp for the worst 1%.</t>
  </si>
  <si>
    <t>File</t>
  </si>
  <si>
    <t>OG-10 Major accident and operational loss exposure  ·  Version 1.0  ·  October 2026  ·  built with ModelRisk 10</t>
  </si>
  <si>
    <t>The business question</t>
  </si>
  <si>
    <t>An offshore operator suffers a steady stream of minor incidents every year — equipment damage, small leaks, short shutdowns — a significant incident such as a fire or a large spill every year or two, and faces the small chance of a major accident that could cost billions. The board asks two questions: how bad could a year be, and what insurance should the company buy? Insurance pays per occurrence above a deductible and up to a limit, so it does little for the stream of small losses but can transform the tail. The model simulates each class of loss with a frequency and a severity: the many minor incidents as an aggregate distribution, the rarer significant incidents and major accidents event by event, so that the deductible and the limit can be applied to every occurrence. It then compares no insurance with two programmes, priced from their expected recoveries plus the insurers' loading, by mean cost and by the cost of a bad year.</t>
  </si>
  <si>
    <t>How the model works</t>
  </si>
  <si>
    <t>Three sheets after this one, read from left to right. Each one feeds the next.</t>
  </si>
  <si>
    <t>1  Inputs</t>
  </si>
  <si>
    <t>For each class of loss, the expected number of events per year and the mean and spread of an event's cost (Lognormal). For each insurance programme, the deductible and limit per occurrence, and the insurers' loading.</t>
  </si>
  <si>
    <t>2  Losses</t>
  </si>
  <si>
    <t>Minor incidents: VoseAggregateFFT adds a Poisson number of Lognormal losses in one function. Significant incidents and major accidents: a Poisson number of events, each simulated in its own row, so that each occurrence can be split between the company and the insurer. The premium is the loading times the expected recoveries, calculated with VoseMean of a VoseDeductObject.</t>
  </si>
  <si>
    <t>3  Results</t>
  </si>
  <si>
    <t>Percentiles of the annual loss read as return periods (the 99th percentile is the 1-in-100-year loss), the mean and tail cost of each programme, the average of the worst 1% of years, and what each programme costs and buys.</t>
  </si>
  <si>
    <t>How to use it</t>
  </si>
  <si>
    <t>Step 1</t>
  </si>
  <si>
    <t>Calibrate the frequencies and severities on the Inputs sheet from your incident records and from industry data for major accidents.</t>
  </si>
  <si>
    <t>Step 2</t>
  </si>
  <si>
    <t>Enter the insurance quotes you are comparing: deductible, limit and the loading implied by the premium.</t>
  </si>
  <si>
    <t>Step 3</t>
  </si>
  <si>
    <t>Run a simulation from the ModelRisk ribbon (10,000 samples with a fixed seed are set; use more for the 1-in-200-year values).</t>
  </si>
  <si>
    <t>Step 4</t>
  </si>
  <si>
    <t>Compare the programmes by the return period that matters to the board, and by the cost of the insurance.</t>
  </si>
  <si>
    <t>Workbook map</t>
  </si>
  <si>
    <t>Inputs</t>
  </si>
  <si>
    <t>Frequency and severity of each class of loss; deductible, limit and loading of each programme.</t>
  </si>
  <si>
    <t>Losses</t>
  </si>
  <si>
    <t>This year's minor-incident total, significant incidents and major accidents event by event, recoveries, premiums and totals.</t>
  </si>
  <si>
    <t>Results</t>
  </si>
  <si>
    <t>Loss exposure by return period, the programmes compared, and what insurance costs.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</si>
  <si>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</si>
  <si>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</si>
  <si>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</si>
  <si>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</si>
  <si>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</si>
  <si>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</si>
  <si>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</si>
  <si>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</si>
  <si>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</si>
  <si>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</si>
  <si>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</si>
  <si>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</si>
  <si>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</si>
  <si>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cost to the company in the year of the loss.</t>
  </si>
  <si>
    <t>Return period</t>
  </si>
  <si>
    <t>A 1-in-100-year loss is exceeded with a 1% chance in any year: the 99th percentile of the annual loss.</t>
  </si>
  <si>
    <t>Per occurrence</t>
  </si>
  <si>
    <t>The deductible and the limit apply to each event separately, not to the year's total.</t>
  </si>
  <si>
    <t>Worst 1%</t>
  </si>
  <si>
    <t>The average annual cost in the worst 1% of years (conditional value at risk, VoseSimCVARp).</t>
  </si>
  <si>
    <t>Key assumptions and limitations</t>
  </si>
  <si>
    <t>Independence</t>
  </si>
  <si>
    <t>Events occur independently (Poisson) and their sizes are independent of each other and of their number.</t>
  </si>
  <si>
    <t>Minor incidents</t>
  </si>
  <si>
    <t>Every minor incident is below every deductible, so all of them are retained.</t>
  </si>
  <si>
    <t>Slots</t>
  </si>
  <si>
    <t>At most six significant incidents and two major accidents in a year are simulated; the checks show that more is practically impossible with these rates.</t>
  </si>
  <si>
    <t>Insurance</t>
  </si>
  <si>
    <t>Premiums are the insurers' loading times the expected recoveries; no aggregate limits, reinstatements or credit risk. Data are invented for this example.</t>
  </si>
  <si>
    <t>ModelRisk functions used</t>
  </si>
  <si>
    <t>VoseAggregateFFT, VosePoissonObject, VoseLognormalObject</t>
  </si>
  <si>
    <t>The year's total of minor-incident losses, computed by fast Fourier transform.</t>
  </si>
  <si>
    <t>VosePoisson, VoseLognormal</t>
  </si>
  <si>
    <t>Number of significant incidents and major accidents, and the cost of each.</t>
  </si>
  <si>
    <t>VoseDeductObject, VoseMean</t>
  </si>
  <si>
    <t>The insurer's payment per event after the deductible and the limit, and its mean, for the premium.</t>
  </si>
  <si>
    <t>VoseInput, VoseOutput</t>
  </si>
  <si>
    <t>Name the uncertain inputs and the annual outputs.</t>
  </si>
  <si>
    <t>VoseSimMean, VoseSimPercentile, VoseSimCVARp</t>
  </si>
  <si>
    <t>Statistics of the simulation for the tables and charts on the Results sheet.</t>
  </si>
  <si>
    <t>Further reading</t>
  </si>
  <si>
    <t>Aggregate losses</t>
  </si>
  <si>
    <t>Klugman, S. A., Panjer, H. H. and Willmot, G. E. (2019). Loss Models: From Data to Decisions, 5th edition. Wiley.</t>
  </si>
  <si>
    <t>Risk analysis</t>
  </si>
  <si>
    <t>Vose, D. (2008). Risk Analysis: A Quantitative Guide, 3rd edition. Wiley — chapter on aggregate distributions.</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</si>
  <si>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</si>
  <si>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</si>
  <si>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</si>
  <si>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Losses  ▸</t>
  </si>
  <si>
    <t>How to read this sheet:  yellow cells are inputs.</t>
  </si>
  <si>
    <t>1   Minor incidents</t>
  </si>
  <si>
    <t>Equipment damage, small leaks, short shutdowns: frequent and individually small.</t>
  </si>
  <si>
    <t>Assumption</t>
  </si>
  <si>
    <t>Unit</t>
  </si>
  <si>
    <t>Value in model</t>
  </si>
  <si>
    <t>Uncertainty</t>
  </si>
  <si>
    <t>Basis / source (illustrative)</t>
  </si>
  <si>
    <t>Expected number per year</t>
  </si>
  <si>
    <t>events</t>
  </si>
  <si>
    <t>Fixed</t>
  </si>
  <si>
    <t>Incident register, last five years.</t>
  </si>
  <si>
    <t>Mean cost of an event</t>
  </si>
  <si>
    <t>US$m</t>
  </si>
  <si>
    <t>Repair, clean-up and lost production.</t>
  </si>
  <si>
    <t>Standard deviation of the cost</t>
  </si>
  <si>
    <t>Lognormal: most are small, a few cost a few million.</t>
  </si>
  <si>
    <t>2   Significant incidents</t>
  </si>
  <si>
    <t>Fires, large leaks, structural damage, extended shutdowns.</t>
  </si>
  <si>
    <t>Seven in the last nine years across the company's assets.</t>
  </si>
  <si>
    <t>Including business interruption.</t>
  </si>
  <si>
    <t>Lognormal, wide.</t>
  </si>
  <si>
    <t>3   Major accident</t>
  </si>
  <si>
    <t>Blowout, explosion or major spill: rare, catastrophic.</t>
  </si>
  <si>
    <t>Industry frequency for an operator of this size: about 1 in 50 years.</t>
  </si>
  <si>
    <t>Well control, clean-up, third-party liability, fines, lost production.</t>
  </si>
  <si>
    <t>Lognormal: the worst cases cost several billion.</t>
  </si>
  <si>
    <t>4   Insurance programmes</t>
  </si>
  <si>
    <t>Per-occurrence cover for significant incidents and major accidents. Premium = loading × expected recoveries.</t>
  </si>
  <si>
    <t>Programme B: deductible per occurrence</t>
  </si>
  <si>
    <t>Quote 1.</t>
  </si>
  <si>
    <t>Programme B: limit per occurrence</t>
  </si>
  <si>
    <t>Programme C: deductible per occurrence</t>
  </si>
  <si>
    <t>Quote 2: higher retention, much higher limit.</t>
  </si>
  <si>
    <t>Programme C: limit per occurrence</t>
  </si>
  <si>
    <t>Quote 2.</t>
  </si>
  <si>
    <t>Insurers' loading</t>
  </si>
  <si>
    <t>× expected recoveries</t>
  </si>
  <si>
    <t>Expenses, capital cost and profit of the insurers; implied by the quotes.</t>
  </si>
  <si>
    <t>LOSSES   ·   This year's losses class by class and event by event, what the insurers pay, and the cost of each programme.</t>
  </si>
  <si>
    <t>◂  Inputs</t>
  </si>
  <si>
    <t>Next:  Results  ▸</t>
  </si>
  <si>
    <t>All retained: every minor incident is below the deductibles.</t>
  </si>
  <si>
    <t>Quantity</t>
  </si>
  <si>
    <t>Value</t>
  </si>
  <si>
    <t>How it is calculated</t>
  </si>
  <si>
    <t>Cost of one event  (distribution object)</t>
  </si>
  <si>
    <t>VoseLognormalObject with the mean and standard deviation on the Inputs sheet</t>
  </si>
  <si>
    <t>Minor-incident losses this year</t>
  </si>
  <si>
    <t>VoseAggregateFFT: the sum of a Poisson number of Lognormal losses, in one function</t>
  </si>
  <si>
    <t>2   Significant incidents, event by event</t>
  </si>
  <si>
    <t>A Poisson number of events, each with a Lognormal cost; the insurance is applied to each occurrence. At most 6 per year are simulated.</t>
  </si>
  <si>
    <t>Number of events this year</t>
  </si>
  <si>
    <t>VosePoisson(Sig_Rate)</t>
  </si>
  <si>
    <t>Event</t>
  </si>
  <si>
    <t>Happens?</t>
  </si>
  <si>
    <t>Cost</t>
  </si>
  <si>
    <t>Paid by B</t>
  </si>
  <si>
    <t>Paid by C</t>
  </si>
  <si>
    <t>1 = yes</t>
  </si>
  <si>
    <t>Happens if the event number is within this year's count</t>
  </si>
  <si>
    <t>Cost: VoseSimulate draws one cost from the class's distribution object</t>
  </si>
  <si>
    <t>Paid by the insurer: the part above the deductible, up to the limit</t>
  </si>
  <si>
    <t>Total</t>
  </si>
  <si>
    <t>3   Major accident, event by event</t>
  </si>
  <si>
    <t>A Poisson number of events, each with a Lognormal cost; the insurance is applied to each occurrence. At most 2 per year are simulated.</t>
  </si>
  <si>
    <t>VosePoisson(Maj_Rate)</t>
  </si>
  <si>
    <t>4   Insurance premiums</t>
  </si>
  <si>
    <t>Loading × expected recoveries per year, from the mean of each programme's per-event payment (VoseDeductObject).</t>
  </si>
  <si>
    <t>Programme B</t>
  </si>
  <si>
    <t>Programme C</t>
  </si>
  <si>
    <t>Expected recoveries: significant incidents</t>
  </si>
  <si>
    <t>US$m per year</t>
  </si>
  <si>
    <t>Rate × mean payment per event (the deduct object includes the zeros below the deductible)</t>
  </si>
  <si>
    <t>Expected recoveries: major accident</t>
  </si>
  <si>
    <t>Expected recoveries</t>
  </si>
  <si>
    <t>Premium</t>
  </si>
  <si>
    <t>Loading × expected recoveries</t>
  </si>
  <si>
    <t>5   Value in this iteration</t>
  </si>
  <si>
    <t>Key outputs, recorded by ModelRisk at every sample (VoseOutput). Their statistics appear on the Results sheet.</t>
  </si>
  <si>
    <t>Output</t>
  </si>
  <si>
    <t>Meaning</t>
  </si>
  <si>
    <t>Total loss before insurance</t>
  </si>
  <si>
    <t>Minor + significant + major.</t>
  </si>
  <si>
    <t>Recoveries under programme B</t>
  </si>
  <si>
    <t>Paid by the insurers.</t>
  </si>
  <si>
    <t>Recoveries under programme C</t>
  </si>
  <si>
    <t>Annual cost, no insurance</t>
  </si>
  <si>
    <t>Everything is retained.</t>
  </si>
  <si>
    <t>Annual cost, programme B</t>
  </si>
  <si>
    <t>Retained losses plus the premium.</t>
  </si>
  <si>
    <t>Annual cost, programme C</t>
  </si>
  <si>
    <t>A major accident this year?  (1 = yes)</t>
  </si>
  <si>
    <t>1 / 0</t>
  </si>
  <si>
    <t>6   Model checks</t>
  </si>
  <si>
    <t>Should all read OK. A CHECK means an input has been set outside the range the model is built for.</t>
  </si>
  <si>
    <t>Chance of more significant incidents than simulated is negligible</t>
  </si>
  <si>
    <t>Chance of more major accidents than simulated is negligible</t>
  </si>
  <si>
    <t>Deductibles are below the limits</t>
  </si>
  <si>
    <t>RESULTS   ·   Filled in automatically from the last simulation. Run a simulation after changing any input.</t>
  </si>
  <si>
    <t>◂  Losses</t>
  </si>
  <si>
    <t>1   Annual loss before insurance</t>
  </si>
  <si>
    <t>Annual loss before insurance — exceedance curve</t>
  </si>
  <si>
    <t>A 1-in-100-year loss is exceeded with a 1% chance in any year (the 99th percentile).</t>
  </si>
  <si>
    <t>Measure</t>
  </si>
  <si>
    <t>Mean annual loss</t>
  </si>
  <si>
    <t>Median annual loss  (a typical year)</t>
  </si>
  <si>
    <t>1-in-10-year loss</t>
  </si>
  <si>
    <t>1-in-100-year loss</t>
  </si>
  <si>
    <t>1-in-200-year loss</t>
  </si>
  <si>
    <t>Chance of a major accident in a year</t>
  </si>
  <si>
    <t>probability</t>
  </si>
  <si>
    <t>2   The insurance programmes compared</t>
  </si>
  <si>
    <t>Annual cost to the company: retained losses plus the premium.</t>
  </si>
  <si>
    <t>Programme</t>
  </si>
  <si>
    <t>Mean cost</t>
  </si>
  <si>
    <t>1-in-20</t>
  </si>
  <si>
    <t>1-in-100</t>
  </si>
  <si>
    <t>year, US$m</t>
  </si>
  <si>
    <t>average</t>
  </si>
  <si>
    <t>A  No insurance</t>
  </si>
  <si>
    <t>Annual cost with each programme — cumulative probability</t>
  </si>
  <si>
    <t>3   What the premium buys</t>
  </si>
  <si>
    <t>Each programme's annual cost minus the cost with no insurance (A): what the cover adds on average and saves in bad years.</t>
  </si>
  <si>
    <t>change, US$m</t>
  </si>
  <si>
    <t>change</t>
  </si>
  <si>
    <t>Rows of the table above minus row A: a positive change costs more than no insurance, a negative one saves.</t>
  </si>
  <si>
    <t>4   Cost by return period</t>
  </si>
  <si>
    <t>The annual cost that is exceeded once in so many years, with each programme.</t>
  </si>
  <si>
    <t>Percentile</t>
  </si>
  <si>
    <t>A</t>
  </si>
  <si>
    <t>B</t>
  </si>
  <si>
    <t>C</t>
  </si>
  <si>
    <t>1 − 1 ÷ years</t>
  </si>
  <si>
    <t>1 in 2 years is the median, a typical year. Change a return period and the row follows: the percentile is 1 − 1 ÷ the years.</t>
  </si>
  <si>
    <t>5   What the insurance costs and buys</t>
  </si>
  <si>
    <t>The premium buys the expected recoveries plus the insurers' loading; what it buys is a smaller tail.</t>
  </si>
  <si>
    <t>Programme B: expected recoveries per year</t>
  </si>
  <si>
    <t>Programme B: premium</t>
  </si>
  <si>
    <t>Programme B: premium − expected recoveries</t>
  </si>
  <si>
    <t>Programme C: expected recoveries per year</t>
  </si>
  <si>
    <t>Programme C: premium</t>
  </si>
  <si>
    <t>Programme C: premium − expected recoveries</t>
  </si>
  <si>
    <t>Simulated mean recoveries, B  (check)</t>
  </si>
  <si>
    <t>Simulated mean recoveries, C  (check)</t>
  </si>
  <si>
    <t>6   How to read these results</t>
  </si>
  <si>
    <t>•  A typical year costs much less than the average year: the average is pulled up by rare large losses. Insurance decisions are about those rare years, so compare the programmes by their 1-in-100 and 1-in-200-year costs and by the worst 1%, not by the mean.</t>
  </si>
  <si>
    <t>•  Insurance raises the mean annual cost by the insurers' loading — that is its price — and in exchange cuts the tail. Programme B's low deductible absorbs more of the significant incidents, but its limit is too low for a major accident; programme C keeps more of the small losses and protects the company against the catastrophe.</t>
  </si>
  <si>
    <t>•  The expected recoveries are calculated exactly with VoseMean of a VoseDeductObject, and the simulated mean recoveries agree with them within the sampling error — which is large, because a major accident drives most of the recoveries and happens in only about 200 of the 10,000 samples. For the same reason, simulate more samples before relying on the 1-in-200-year values.</t>
  </si>
  <si>
    <t>•  Minor incidents are frequent but individually small; together they make up much of the typical year, and no per-occurrence insurance with a meaningful deductible covers them.</t>
  </si>
  <si>
    <t>Chart data</t>
  </si>
  <si>
    <t>Statistics of the last simulation behind the charts and the ranking above. Grouped: click + in the left margin to show them.</t>
  </si>
  <si>
    <t>Cumulative probability</t>
  </si>
  <si>
    <t>Exceedance</t>
  </si>
  <si>
    <t>Gross</t>
  </si>
  <si>
    <t>Cost_A</t>
  </si>
  <si>
    <t>Cost_B</t>
  </si>
  <si>
    <t>Cost_C</t>
  </si>
  <si>
    <t>Marker</t>
  </si>
  <si>
    <t>90% chance of more</t>
  </si>
  <si>
    <t>Median</t>
  </si>
  <si>
    <t>10% chance of more</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</si>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</sst>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_);\(#,##0.0\);&quot;–&quot;_)"/>
    <numFmt numFmtId="165" formatCode="#,##0.00_);\(#,##0.00\);&quot;–&quot;_)"/>
    <numFmt numFmtId="166" formatCode="0.000"/>
    <numFmt numFmtId="167" formatCode="#,##0_);\(#,##0\);&quot;–&quot;_)"/>
    <numFmt numFmtId="168" formatCode="#,##0.0_);\(#,##0.0\);&quot;–&quot;_);&quot;–&quot;"/>
    <numFmt numFmtId="169" formatCode="#,##0_);\(#,##0\);&quot;–&quot;_);&quot;–&quot;"/>
    <numFmt numFmtId="170" formatCode="0.0%;\-0.0%;0.0%;&quot;–&quot;"/>
    <numFmt numFmtId="171" formatCode="\+#,##0.0;\-#,##0.0;0.0;&quot;–&quot;"/>
    <numFmt numFmtId="172" formatCode="&quot;1 in &quot;#,##0&quot; years&quot;"/>
    <numFmt numFmtId="173" formatCode="0.0%"/>
    <numFmt numFmtId="174" formatCode="#,##0.00_);\(#,##0.00\);&quot;–&quot;_);&quot;–&quot;"/>
  </numFmts>
  <fonts count="24"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10"/>
      <color rgb="FF15803D"/>
      <name val="Calibri"/>
    </font>
    <font>
      <b/>
      <sz val="13"/>
      <color rgb="FF0E4F92"/>
      <name val="Calibri"/>
    </font>
    <font>
      <sz val="10"/>
      <color rgb="FF3F5876"/>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right/>
      <top style="thin">
        <color rgb="FF3F5876"/>
      </top>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8">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65" fontId="1" fillId="2" borderId="7" xfId="1" applyNumberFormat="1" applyBorder="1">
      <alignment horizontal="right" vertical="center"/>
    </xf>
    <xf numFmtId="166" fontId="1" fillId="2" borderId="7" xfId="1" applyNumberFormat="1" applyBorder="1">
      <alignment horizontal="right" vertical="center"/>
    </xf>
    <xf numFmtId="167" fontId="1" fillId="2" borderId="7" xfId="1" applyNumberFormat="1" applyBorder="1">
      <alignment horizontal="right" vertical="center"/>
    </xf>
    <xf numFmtId="2" fontId="1" fillId="2" borderId="7" xfId="1"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0" fontId="19" fillId="0" borderId="8" xfId="3" applyFont="1" applyBorder="1" applyAlignment="1">
      <alignment horizontal="left" vertical="center" indent="1"/>
    </xf>
    <xf numFmtId="165" fontId="2" fillId="3" borderId="7" xfId="2" applyNumberFormat="1" applyBorder="1">
      <alignment horizontal="right" vertical="center"/>
    </xf>
    <xf numFmtId="1" fontId="2" fillId="3" borderId="7" xfId="2" applyNumberFormat="1" applyBorder="1">
      <alignment horizontal="right" vertical="center"/>
    </xf>
    <xf numFmtId="0" fontId="17" fillId="7" borderId="2" xfId="0" applyFont="1" applyFill="1" applyBorder="1" applyAlignment="1">
      <alignment horizontal="right" vertical="center"/>
    </xf>
    <xf numFmtId="0" fontId="17" fillId="7" borderId="2" xfId="0" applyFont="1" applyFill="1" applyBorder="1" applyAlignment="1">
      <alignment horizontal="left" vertical="center" indent="1"/>
    </xf>
    <xf numFmtId="0" fontId="0" fillId="7" borderId="2" xfId="0" applyFill="1" applyBorder="1"/>
    <xf numFmtId="0" fontId="19" fillId="7" borderId="4" xfId="0" applyFont="1" applyFill="1" applyBorder="1" applyAlignment="1">
      <alignment horizontal="right" vertical="center"/>
    </xf>
    <xf numFmtId="1" fontId="3" fillId="0" borderId="8" xfId="3" applyNumberFormat="1" applyBorder="1">
      <alignment horizontal="right" vertical="center"/>
    </xf>
    <xf numFmtId="164" fontId="2" fillId="3" borderId="7" xfId="2" applyNumberFormat="1" applyBorder="1">
      <alignment horizontal="right" vertical="center"/>
    </xf>
    <xf numFmtId="164" fontId="3" fillId="0" borderId="8" xfId="3" applyNumberFormat="1" applyBorder="1">
      <alignment horizontal="right" vertical="center"/>
    </xf>
    <xf numFmtId="0" fontId="0" fillId="0" borderId="9" xfId="0" applyBorder="1"/>
    <xf numFmtId="0" fontId="12" fillId="0" borderId="9" xfId="0" applyFont="1" applyBorder="1" applyAlignment="1">
      <alignment horizontal="left" vertical="center" indent="1"/>
    </xf>
    <xf numFmtId="164" fontId="12" fillId="0" borderId="9" xfId="3" applyNumberFormat="1" applyFont="1" applyBorder="1">
      <alignment horizontal="right" vertical="center"/>
    </xf>
    <xf numFmtId="165" fontId="3" fillId="0" borderId="8" xfId="3" applyNumberFormat="1" applyBorder="1">
      <alignment horizontal="right" vertical="center"/>
    </xf>
    <xf numFmtId="0" fontId="12" fillId="0" borderId="6" xfId="0" applyFont="1" applyBorder="1" applyAlignment="1">
      <alignment horizontal="left" vertical="center" indent="1"/>
    </xf>
    <xf numFmtId="164" fontId="4" fillId="4" borderId="10" xfId="4" applyNumberFormat="1" applyBorder="1">
      <alignment horizontal="right" vertical="center"/>
    </xf>
    <xf numFmtId="1" fontId="4" fillId="4" borderId="10" xfId="4" applyNumberFormat="1" applyBorder="1">
      <alignment horizontal="right" vertical="center"/>
    </xf>
    <xf numFmtId="0" fontId="20"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18" fillId="0" borderId="0" xfId="0" applyFont="1" applyAlignment="1">
      <alignment horizontal="left" vertical="center" indent="1"/>
    </xf>
    <xf numFmtId="0" fontId="23" fillId="0" borderId="5" xfId="0" applyFont="1" applyBorder="1"/>
    <xf numFmtId="168" fontId="21" fillId="5" borderId="7" xfId="5" applyNumberFormat="1" applyFont="1" applyBorder="1">
      <alignment horizontal="right" vertical="center"/>
    </xf>
    <xf numFmtId="168" fontId="1" fillId="5" borderId="7" xfId="5" applyNumberFormat="1" applyBorder="1">
      <alignment horizontal="right" vertical="center"/>
    </xf>
    <xf numFmtId="169" fontId="1" fillId="5" borderId="7" xfId="5" applyNumberFormat="1" applyBorder="1">
      <alignment horizontal="right" vertical="center"/>
    </xf>
    <xf numFmtId="170" fontId="1" fillId="5" borderId="7" xfId="5" applyNumberFormat="1" applyBorder="1">
      <alignment horizontal="right" vertical="center"/>
    </xf>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171" fontId="1" fillId="5" borderId="7" xfId="5" applyNumberFormat="1" applyBorder="1">
      <alignment horizontal="right" vertical="center"/>
    </xf>
    <xf numFmtId="0" fontId="13" fillId="0" borderId="0" xfId="0" applyFont="1" applyAlignment="1">
      <alignment horizontal="left" vertical="center" indent="1"/>
    </xf>
    <xf numFmtId="172" fontId="3" fillId="0" borderId="8" xfId="3" applyNumberFormat="1" applyBorder="1" applyAlignment="1">
      <alignment horizontal="left" vertical="center" indent="1"/>
    </xf>
    <xf numFmtId="173" fontId="3" fillId="0" borderId="8" xfId="3" applyNumberFormat="1" applyBorder="1">
      <alignment horizontal="right" vertical="center"/>
    </xf>
    <xf numFmtId="0" fontId="22" fillId="0" borderId="6" xfId="0" applyFont="1" applyBorder="1" applyAlignment="1">
      <alignment horizontal="left" vertical="center" indent="1"/>
    </xf>
    <xf numFmtId="174" fontId="1" fillId="5" borderId="7" xfId="5" applyNumberForma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5">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Chance of a larger annual loss</c:v>
          </c:tx>
          <c:spPr>
            <a:ln w="25400">
              <a:solidFill>
                <a:srgbClr val="0E4F92"/>
              </a:solidFill>
              <a:prstDash val="solid"/>
            </a:ln>
          </c:spPr>
          <c:marker>
            <c:symbol val="none"/>
          </c:marker>
          <c:xVal>
            <c:numRef>
              <c:f>Results!$D$69:$D$118</c:f>
              <c:numCache>
                <c:formatCode>#,##0.00</c:formatCode>
                <c:ptCount val="50"/>
                <c:pt idx="0">
                  <c:v>1.2697698069458978</c:v>
                </c:pt>
                <c:pt idx="1">
                  <c:v>1.8769215441903708</c:v>
                </c:pt>
                <c:pt idx="2">
                  <c:v>2.2176185709793494</c:v>
                </c:pt>
                <c:pt idx="3">
                  <c:v>2.5049348753643357</c:v>
                </c:pt>
                <c:pt idx="4">
                  <c:v>2.8089596110594366</c:v>
                </c:pt>
                <c:pt idx="5">
                  <c:v>3.0357426903518649</c:v>
                </c:pt>
                <c:pt idx="6">
                  <c:v>3.274975952997083</c:v>
                </c:pt>
                <c:pt idx="7">
                  <c:v>3.4980182092966077</c:v>
                </c:pt>
                <c:pt idx="8">
                  <c:v>3.7230304730272361</c:v>
                </c:pt>
                <c:pt idx="9">
                  <c:v>3.932981166531043</c:v>
                </c:pt>
                <c:pt idx="10">
                  <c:v>4.1348431868444546</c:v>
                </c:pt>
                <c:pt idx="11">
                  <c:v>4.3486840064459136</c:v>
                </c:pt>
                <c:pt idx="12">
                  <c:v>4.5614179221744351</c:v>
                </c:pt>
                <c:pt idx="13">
                  <c:v>4.7930962685392791</c:v>
                </c:pt>
                <c:pt idx="14">
                  <c:v>5.0201063186561887</c:v>
                </c:pt>
                <c:pt idx="15">
                  <c:v>5.2659064838924499</c:v>
                </c:pt>
                <c:pt idx="16">
                  <c:v>5.5325752619050128</c:v>
                </c:pt>
                <c:pt idx="17">
                  <c:v>5.8069119953217498</c:v>
                </c:pt>
                <c:pt idx="18">
                  <c:v>6.0781649075800335</c:v>
                </c:pt>
                <c:pt idx="19">
                  <c:v>6.3710206992713783</c:v>
                </c:pt>
                <c:pt idx="20">
                  <c:v>6.7239926307054807</c:v>
                </c:pt>
                <c:pt idx="21">
                  <c:v>7.0554100774677941</c:v>
                </c:pt>
                <c:pt idx="22">
                  <c:v>7.4504777184280684</c:v>
                </c:pt>
                <c:pt idx="23">
                  <c:v>7.8643421544392922</c:v>
                </c:pt>
                <c:pt idx="24">
                  <c:v>8.2807125645432684</c:v>
                </c:pt>
                <c:pt idx="25">
                  <c:v>8.7176253796597081</c:v>
                </c:pt>
                <c:pt idx="26">
                  <c:v>9.2430188878913881</c:v>
                </c:pt>
                <c:pt idx="27">
                  <c:v>9.785981750503618</c:v>
                </c:pt>
                <c:pt idx="28">
                  <c:v>10.378393437588992</c:v>
                </c:pt>
                <c:pt idx="29">
                  <c:v>11.046249355677618</c:v>
                </c:pt>
                <c:pt idx="30">
                  <c:v>11.741422709970649</c:v>
                </c:pt>
                <c:pt idx="31">
                  <c:v>12.493396240606872</c:v>
                </c:pt>
                <c:pt idx="32">
                  <c:v>13.300993270958744</c:v>
                </c:pt>
                <c:pt idx="33">
                  <c:v>14.189788878221371</c:v>
                </c:pt>
                <c:pt idx="34">
                  <c:v>15.236704996468109</c:v>
                </c:pt>
                <c:pt idx="35">
                  <c:v>16.351092213515567</c:v>
                </c:pt>
                <c:pt idx="36">
                  <c:v>17.607754315749947</c:v>
                </c:pt>
                <c:pt idx="37">
                  <c:v>19.026594129313924</c:v>
                </c:pt>
                <c:pt idx="38">
                  <c:v>20.481072307751955</c:v>
                </c:pt>
                <c:pt idx="39">
                  <c:v>21.948627109189495</c:v>
                </c:pt>
                <c:pt idx="40">
                  <c:v>23.758221128339255</c:v>
                </c:pt>
                <c:pt idx="41">
                  <c:v>25.826835356260109</c:v>
                </c:pt>
                <c:pt idx="42">
                  <c:v>28.221261364903967</c:v>
                </c:pt>
                <c:pt idx="43">
                  <c:v>31.016025940596268</c:v>
                </c:pt>
                <c:pt idx="44">
                  <c:v>34.432397787325144</c:v>
                </c:pt>
                <c:pt idx="45">
                  <c:v>39.26355441617379</c:v>
                </c:pt>
                <c:pt idx="46">
                  <c:v>45.006975499157008</c:v>
                </c:pt>
                <c:pt idx="47">
                  <c:v>55.48389016228198</c:v>
                </c:pt>
                <c:pt idx="48">
                  <c:v>80.418466862871497</c:v>
                </c:pt>
                <c:pt idx="49">
                  <c:v>534.46895840513434</c:v>
                </c:pt>
              </c:numCache>
            </c:numRef>
          </c:xVal>
          <c:yVal>
            <c:numRef>
              <c:f>Results!$C$69:$C$118</c:f>
              <c:numCache>
                <c:formatCode>0%</c:formatCode>
                <c:ptCount val="50"/>
                <c:pt idx="0">
                  <c:v>0.99</c:v>
                </c:pt>
                <c:pt idx="1">
                  <c:v>0.97</c:v>
                </c:pt>
                <c:pt idx="2">
                  <c:v>0.95</c:v>
                </c:pt>
                <c:pt idx="3">
                  <c:v>0.92999999999999994</c:v>
                </c:pt>
                <c:pt idx="4">
                  <c:v>0.91</c:v>
                </c:pt>
                <c:pt idx="5">
                  <c:v>0.89</c:v>
                </c:pt>
                <c:pt idx="6">
                  <c:v>0.87</c:v>
                </c:pt>
                <c:pt idx="7">
                  <c:v>0.85</c:v>
                </c:pt>
                <c:pt idx="8">
                  <c:v>0.83</c:v>
                </c:pt>
                <c:pt idx="9">
                  <c:v>0.81</c:v>
                </c:pt>
                <c:pt idx="10">
                  <c:v>0.79</c:v>
                </c:pt>
                <c:pt idx="11">
                  <c:v>0.77</c:v>
                </c:pt>
                <c:pt idx="12">
                  <c:v>0.75</c:v>
                </c:pt>
                <c:pt idx="13">
                  <c:v>0.73</c:v>
                </c:pt>
                <c:pt idx="14">
                  <c:v>0.71</c:v>
                </c:pt>
                <c:pt idx="15">
                  <c:v>0.69</c:v>
                </c:pt>
                <c:pt idx="16">
                  <c:v>0.66999999999999993</c:v>
                </c:pt>
                <c:pt idx="17">
                  <c:v>0.65</c:v>
                </c:pt>
                <c:pt idx="18">
                  <c:v>0.63</c:v>
                </c:pt>
                <c:pt idx="19">
                  <c:v>0.61</c:v>
                </c:pt>
                <c:pt idx="20">
                  <c:v>0.59000000000000008</c:v>
                </c:pt>
                <c:pt idx="21">
                  <c:v>0.57000000000000006</c:v>
                </c:pt>
                <c:pt idx="22">
                  <c:v>0.55000000000000004</c:v>
                </c:pt>
                <c:pt idx="23">
                  <c:v>0.53</c:v>
                </c:pt>
                <c:pt idx="24">
                  <c:v>0.51</c:v>
                </c:pt>
                <c:pt idx="25">
                  <c:v>0.49</c:v>
                </c:pt>
                <c:pt idx="26">
                  <c:v>0.47</c:v>
                </c:pt>
                <c:pt idx="27">
                  <c:v>0.44999999999999996</c:v>
                </c:pt>
                <c:pt idx="28">
                  <c:v>0.43000000000000005</c:v>
                </c:pt>
                <c:pt idx="29">
                  <c:v>0.41000000000000003</c:v>
                </c:pt>
                <c:pt idx="30">
                  <c:v>0.39</c:v>
                </c:pt>
                <c:pt idx="31">
                  <c:v>0.37</c:v>
                </c:pt>
                <c:pt idx="32">
                  <c:v>0.35</c:v>
                </c:pt>
                <c:pt idx="33">
                  <c:v>0.32999999999999996</c:v>
                </c:pt>
                <c:pt idx="34">
                  <c:v>0.31000000000000005</c:v>
                </c:pt>
                <c:pt idx="35">
                  <c:v>0.29000000000000004</c:v>
                </c:pt>
                <c:pt idx="36">
                  <c:v>0.27</c:v>
                </c:pt>
                <c:pt idx="37">
                  <c:v>0.25</c:v>
                </c:pt>
                <c:pt idx="38">
                  <c:v>0.22999999999999998</c:v>
                </c:pt>
                <c:pt idx="39">
                  <c:v>0.20999999999999996</c:v>
                </c:pt>
                <c:pt idx="40">
                  <c:v>0.18999999999999995</c:v>
                </c:pt>
                <c:pt idx="41">
                  <c:v>0.17000000000000004</c:v>
                </c:pt>
                <c:pt idx="42">
                  <c:v>0.15000000000000002</c:v>
                </c:pt>
                <c:pt idx="43">
                  <c:v>0.13</c:v>
                </c:pt>
                <c:pt idx="44">
                  <c:v>0.10999999999999999</c:v>
                </c:pt>
                <c:pt idx="45">
                  <c:v>8.9999999999999969E-2</c:v>
                </c:pt>
                <c:pt idx="46">
                  <c:v>6.9999999999999951E-2</c:v>
                </c:pt>
                <c:pt idx="47">
                  <c:v>5.0000000000000044E-2</c:v>
                </c:pt>
                <c:pt idx="48">
                  <c:v>3.0000000000000027E-2</c:v>
                </c:pt>
                <c:pt idx="49">
                  <c:v>1.0000000000000009E-2</c:v>
                </c:pt>
              </c:numCache>
            </c:numRef>
          </c:yVal>
          <c:smooth val="1"/>
          <c:extLst>
            <c:ext xmlns:c16="http://schemas.microsoft.com/office/drawing/2014/chart" uri="{C3380CC4-5D6E-409C-BE32-E72D297353CC}">
              <c16:uniqueId val="{00000000-6632-4370-AD51-207611447B42}"/>
            </c:ext>
          </c:extLst>
        </c:ser>
        <c:ser>
          <c:idx val="1"/>
          <c:order val="1"/>
          <c:tx>
            <c:v>10th / 50th / 90th percentile</c:v>
          </c:tx>
          <c:spPr>
            <a:ln>
              <a:noFill/>
              <a:prstDash val="solid"/>
            </a:ln>
          </c:spPr>
          <c:marker>
            <c:symbol val="circle"/>
            <c:size val="7"/>
            <c:spPr>
              <a:solidFill>
                <a:srgbClr val="B45309"/>
              </a:solidFill>
              <a:ln>
                <a:solidFill>
                  <a:srgbClr val="B45309"/>
                </a:solidFill>
                <a:prstDash val="solid"/>
              </a:ln>
            </c:spPr>
          </c:marker>
          <c:xVal>
            <c:numRef>
              <c:f>Results!$D$121:$D$123</c:f>
              <c:numCache>
                <c:formatCode>#,##0.00</c:formatCode>
                <c:ptCount val="3"/>
                <c:pt idx="0">
                  <c:v>2.9213758329950958</c:v>
                </c:pt>
                <c:pt idx="1">
                  <c:v>8.5013267404110398</c:v>
                </c:pt>
                <c:pt idx="2">
                  <c:v>36.672290281516403</c:v>
                </c:pt>
              </c:numCache>
            </c:numRef>
          </c:xVal>
          <c:yVal>
            <c:numRef>
              <c:f>Results!$C$121:$C$123</c:f>
              <c:numCache>
                <c:formatCode>0%</c:formatCode>
                <c:ptCount val="3"/>
                <c:pt idx="0">
                  <c:v>0.9</c:v>
                </c:pt>
                <c:pt idx="1">
                  <c:v>0.5</c:v>
                </c:pt>
                <c:pt idx="2">
                  <c:v>0.1</c:v>
                </c:pt>
              </c:numCache>
            </c:numRef>
          </c:yVal>
          <c:smooth val="1"/>
          <c:extLst>
            <c:ext xmlns:c16="http://schemas.microsoft.com/office/drawing/2014/chart" uri="{C3380CC4-5D6E-409C-BE32-E72D297353CC}">
              <c16:uniqueId val="{00000001-6632-4370-AD51-207611447B42}"/>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Annual loss (US$m)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Probability of at least this value</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A  No insurance</c:v>
          </c:tx>
          <c:spPr>
            <a:ln w="25400">
              <a:solidFill>
                <a:srgbClr val="0E4F92"/>
              </a:solidFill>
              <a:prstDash val="solid"/>
            </a:ln>
          </c:spPr>
          <c:marker>
            <c:symbol val="none"/>
          </c:marker>
          <c:xVal>
            <c:numRef>
              <c:f>Results!$E$69:$E$118</c:f>
              <c:numCache>
                <c:formatCode>#,##0.00</c:formatCode>
                <c:ptCount val="50"/>
                <c:pt idx="0">
                  <c:v>1.2697698069458978</c:v>
                </c:pt>
                <c:pt idx="1">
                  <c:v>1.8769215441903708</c:v>
                </c:pt>
                <c:pt idx="2">
                  <c:v>2.2176185709793494</c:v>
                </c:pt>
                <c:pt idx="3">
                  <c:v>2.5049348753643357</c:v>
                </c:pt>
                <c:pt idx="4">
                  <c:v>2.8089596110594366</c:v>
                </c:pt>
                <c:pt idx="5">
                  <c:v>3.0357426903518649</c:v>
                </c:pt>
                <c:pt idx="6">
                  <c:v>3.274975952997083</c:v>
                </c:pt>
                <c:pt idx="7">
                  <c:v>3.4980182092966077</c:v>
                </c:pt>
                <c:pt idx="8">
                  <c:v>3.7230304730272361</c:v>
                </c:pt>
                <c:pt idx="9">
                  <c:v>3.932981166531043</c:v>
                </c:pt>
                <c:pt idx="10">
                  <c:v>4.1348431868444546</c:v>
                </c:pt>
                <c:pt idx="11">
                  <c:v>4.3486840064459136</c:v>
                </c:pt>
                <c:pt idx="12">
                  <c:v>4.5614179221744351</c:v>
                </c:pt>
                <c:pt idx="13">
                  <c:v>4.7930962685392791</c:v>
                </c:pt>
                <c:pt idx="14">
                  <c:v>5.0201063186561887</c:v>
                </c:pt>
                <c:pt idx="15">
                  <c:v>5.2659064838924499</c:v>
                </c:pt>
                <c:pt idx="16">
                  <c:v>5.5325752619050128</c:v>
                </c:pt>
                <c:pt idx="17">
                  <c:v>5.8069119953217498</c:v>
                </c:pt>
                <c:pt idx="18">
                  <c:v>6.0781649075800335</c:v>
                </c:pt>
                <c:pt idx="19">
                  <c:v>6.3710206992713783</c:v>
                </c:pt>
                <c:pt idx="20">
                  <c:v>6.7239926307054807</c:v>
                </c:pt>
                <c:pt idx="21">
                  <c:v>7.0554100774677941</c:v>
                </c:pt>
                <c:pt idx="22">
                  <c:v>7.4504777184280684</c:v>
                </c:pt>
                <c:pt idx="23">
                  <c:v>7.8643421544392922</c:v>
                </c:pt>
                <c:pt idx="24">
                  <c:v>8.2807125645432684</c:v>
                </c:pt>
                <c:pt idx="25">
                  <c:v>8.7176253796597081</c:v>
                </c:pt>
                <c:pt idx="26">
                  <c:v>9.2430188878913881</c:v>
                </c:pt>
                <c:pt idx="27">
                  <c:v>9.785981750503618</c:v>
                </c:pt>
                <c:pt idx="28">
                  <c:v>10.378393437588992</c:v>
                </c:pt>
                <c:pt idx="29">
                  <c:v>11.046249355677618</c:v>
                </c:pt>
                <c:pt idx="30">
                  <c:v>11.741422709970649</c:v>
                </c:pt>
                <c:pt idx="31">
                  <c:v>12.493396240606872</c:v>
                </c:pt>
                <c:pt idx="32">
                  <c:v>13.300993270958744</c:v>
                </c:pt>
                <c:pt idx="33">
                  <c:v>14.189788878221371</c:v>
                </c:pt>
                <c:pt idx="34">
                  <c:v>15.236704996468109</c:v>
                </c:pt>
                <c:pt idx="35">
                  <c:v>16.351092213515567</c:v>
                </c:pt>
                <c:pt idx="36">
                  <c:v>17.607754315749947</c:v>
                </c:pt>
                <c:pt idx="37">
                  <c:v>19.026594129313924</c:v>
                </c:pt>
                <c:pt idx="38">
                  <c:v>20.481072307751955</c:v>
                </c:pt>
                <c:pt idx="39">
                  <c:v>21.948627109189495</c:v>
                </c:pt>
                <c:pt idx="40">
                  <c:v>23.758221128339255</c:v>
                </c:pt>
                <c:pt idx="41">
                  <c:v>25.826835356260109</c:v>
                </c:pt>
                <c:pt idx="42">
                  <c:v>28.221261364903967</c:v>
                </c:pt>
                <c:pt idx="43">
                  <c:v>31.016025940596268</c:v>
                </c:pt>
                <c:pt idx="44">
                  <c:v>34.432397787325144</c:v>
                </c:pt>
                <c:pt idx="45">
                  <c:v>39.26355441617379</c:v>
                </c:pt>
                <c:pt idx="46">
                  <c:v>45.006975499157008</c:v>
                </c:pt>
                <c:pt idx="47">
                  <c:v>55.48389016228198</c:v>
                </c:pt>
                <c:pt idx="48">
                  <c:v>80.418466862871497</c:v>
                </c:pt>
                <c:pt idx="49">
                  <c:v>534.46895840513434</c:v>
                </c:pt>
              </c:numCache>
            </c:numRef>
          </c:xVal>
          <c:yVal>
            <c:numRef>
              <c:f>Results!$B$69:$B$118</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1AA4-4011-BF65-8B744F9C5AC5}"/>
            </c:ext>
          </c:extLst>
        </c:ser>
        <c:ser>
          <c:idx val="1"/>
          <c:order val="1"/>
          <c:tx>
            <c:v>Programme B</c:v>
          </c:tx>
          <c:spPr>
            <a:ln w="25400">
              <a:solidFill>
                <a:srgbClr val="B45309"/>
              </a:solidFill>
              <a:prstDash val="dash"/>
            </a:ln>
          </c:spPr>
          <c:marker>
            <c:symbol val="none"/>
          </c:marker>
          <c:xVal>
            <c:numRef>
              <c:f>Results!$F$69:$F$118</c:f>
              <c:numCache>
                <c:formatCode>#,##0.00</c:formatCode>
                <c:ptCount val="50"/>
                <c:pt idx="0">
                  <c:v>18.002016518277692</c:v>
                </c:pt>
                <c:pt idx="1">
                  <c:v>18.609168255522164</c:v>
                </c:pt>
                <c:pt idx="2">
                  <c:v>18.949865282311144</c:v>
                </c:pt>
                <c:pt idx="3">
                  <c:v>19.237181586696128</c:v>
                </c:pt>
                <c:pt idx="4">
                  <c:v>19.541206322391229</c:v>
                </c:pt>
                <c:pt idx="5">
                  <c:v>19.767989401683657</c:v>
                </c:pt>
                <c:pt idx="6">
                  <c:v>20.007222664328875</c:v>
                </c:pt>
                <c:pt idx="7">
                  <c:v>20.2302649206284</c:v>
                </c:pt>
                <c:pt idx="8">
                  <c:v>20.45527718435903</c:v>
                </c:pt>
                <c:pt idx="9">
                  <c:v>20.665227877862836</c:v>
                </c:pt>
                <c:pt idx="10">
                  <c:v>20.867089898176246</c:v>
                </c:pt>
                <c:pt idx="11">
                  <c:v>21.080930717777708</c:v>
                </c:pt>
                <c:pt idx="12">
                  <c:v>21.293664633506229</c:v>
                </c:pt>
                <c:pt idx="13">
                  <c:v>21.525342979871073</c:v>
                </c:pt>
                <c:pt idx="14">
                  <c:v>21.752353029987983</c:v>
                </c:pt>
                <c:pt idx="15">
                  <c:v>21.998153195224244</c:v>
                </c:pt>
                <c:pt idx="16">
                  <c:v>22.264821973236806</c:v>
                </c:pt>
                <c:pt idx="17">
                  <c:v>22.539158706653545</c:v>
                </c:pt>
                <c:pt idx="18">
                  <c:v>22.810411618911829</c:v>
                </c:pt>
                <c:pt idx="19">
                  <c:v>23.103267410603173</c:v>
                </c:pt>
                <c:pt idx="20">
                  <c:v>23.456239342037275</c:v>
                </c:pt>
                <c:pt idx="21">
                  <c:v>23.787656788799588</c:v>
                </c:pt>
                <c:pt idx="22">
                  <c:v>24.182724429759862</c:v>
                </c:pt>
                <c:pt idx="23">
                  <c:v>24.596588865771086</c:v>
                </c:pt>
                <c:pt idx="24">
                  <c:v>25.012959275875062</c:v>
                </c:pt>
                <c:pt idx="25">
                  <c:v>25.449872090991501</c:v>
                </c:pt>
                <c:pt idx="26">
                  <c:v>25.975265599223182</c:v>
                </c:pt>
                <c:pt idx="27">
                  <c:v>26.518228461835413</c:v>
                </c:pt>
                <c:pt idx="28">
                  <c:v>27.110640148920787</c:v>
                </c:pt>
                <c:pt idx="29">
                  <c:v>27.741250530758506</c:v>
                </c:pt>
                <c:pt idx="30">
                  <c:v>28.290076824328999</c:v>
                </c:pt>
                <c:pt idx="31">
                  <c:v>28.812289541001334</c:v>
                </c:pt>
                <c:pt idx="32">
                  <c:v>29.255531304013335</c:v>
                </c:pt>
                <c:pt idx="33">
                  <c:v>29.61939080593968</c:v>
                </c:pt>
                <c:pt idx="34">
                  <c:v>30.083374521431978</c:v>
                </c:pt>
                <c:pt idx="35">
                  <c:v>30.528857930327003</c:v>
                </c:pt>
                <c:pt idx="36">
                  <c:v>30.951073393705187</c:v>
                </c:pt>
                <c:pt idx="37">
                  <c:v>31.454507457599611</c:v>
                </c:pt>
                <c:pt idx="38">
                  <c:v>32.025333385133479</c:v>
                </c:pt>
                <c:pt idx="39">
                  <c:v>32.599920106130575</c:v>
                </c:pt>
                <c:pt idx="40">
                  <c:v>33.269723558042671</c:v>
                </c:pt>
                <c:pt idx="41">
                  <c:v>34.083268065353977</c:v>
                </c:pt>
                <c:pt idx="42">
                  <c:v>35.111983796729831</c:v>
                </c:pt>
                <c:pt idx="43">
                  <c:v>36.294215499546382</c:v>
                </c:pt>
                <c:pt idx="44">
                  <c:v>37.667009550829121</c:v>
                </c:pt>
                <c:pt idx="45">
                  <c:v>38.991017730046934</c:v>
                </c:pt>
                <c:pt idx="46">
                  <c:v>40.532051626457317</c:v>
                </c:pt>
                <c:pt idx="47">
                  <c:v>42.556776017783591</c:v>
                </c:pt>
                <c:pt idx="48">
                  <c:v>45.836952603442683</c:v>
                </c:pt>
                <c:pt idx="49">
                  <c:v>63.941282299602562</c:v>
                </c:pt>
              </c:numCache>
            </c:numRef>
          </c:xVal>
          <c:yVal>
            <c:numRef>
              <c:f>Results!$B$69:$B$118</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1AA4-4011-BF65-8B744F9C5AC5}"/>
            </c:ext>
          </c:extLst>
        </c:ser>
        <c:ser>
          <c:idx val="2"/>
          <c:order val="2"/>
          <c:tx>
            <c:v>Programme C</c:v>
          </c:tx>
          <c:spPr>
            <a:ln w="25400">
              <a:solidFill>
                <a:srgbClr val="15803D"/>
              </a:solidFill>
              <a:prstDash val="solid"/>
            </a:ln>
          </c:spPr>
          <c:marker>
            <c:symbol val="none"/>
          </c:marker>
          <c:xVal>
            <c:numRef>
              <c:f>Results!$G$69:$G$118</c:f>
              <c:numCache>
                <c:formatCode>#,##0.00</c:formatCode>
                <c:ptCount val="50"/>
                <c:pt idx="0">
                  <c:v>21.563038212574902</c:v>
                </c:pt>
                <c:pt idx="1">
                  <c:v>22.170189949819374</c:v>
                </c:pt>
                <c:pt idx="2">
                  <c:v>22.510886976608354</c:v>
                </c:pt>
                <c:pt idx="3">
                  <c:v>22.798203280993338</c:v>
                </c:pt>
                <c:pt idx="4">
                  <c:v>23.102228016688439</c:v>
                </c:pt>
                <c:pt idx="5">
                  <c:v>23.329011095980867</c:v>
                </c:pt>
                <c:pt idx="6">
                  <c:v>23.568244358626085</c:v>
                </c:pt>
                <c:pt idx="7">
                  <c:v>23.79128661492561</c:v>
                </c:pt>
                <c:pt idx="8">
                  <c:v>24.01629887865624</c:v>
                </c:pt>
                <c:pt idx="9">
                  <c:v>24.226249572160047</c:v>
                </c:pt>
                <c:pt idx="10">
                  <c:v>24.428111592473456</c:v>
                </c:pt>
                <c:pt idx="11">
                  <c:v>24.641952412074918</c:v>
                </c:pt>
                <c:pt idx="12">
                  <c:v>24.854686327803439</c:v>
                </c:pt>
                <c:pt idx="13">
                  <c:v>25.086364674168284</c:v>
                </c:pt>
                <c:pt idx="14">
                  <c:v>25.313374724285193</c:v>
                </c:pt>
                <c:pt idx="15">
                  <c:v>25.559174889521454</c:v>
                </c:pt>
                <c:pt idx="16">
                  <c:v>25.825843667534016</c:v>
                </c:pt>
                <c:pt idx="17">
                  <c:v>26.100180400950755</c:v>
                </c:pt>
                <c:pt idx="18">
                  <c:v>26.371433313209039</c:v>
                </c:pt>
                <c:pt idx="19">
                  <c:v>26.664289104900384</c:v>
                </c:pt>
                <c:pt idx="20">
                  <c:v>27.017261036334485</c:v>
                </c:pt>
                <c:pt idx="21">
                  <c:v>27.348678483096798</c:v>
                </c:pt>
                <c:pt idx="22">
                  <c:v>27.743746124057072</c:v>
                </c:pt>
                <c:pt idx="23">
                  <c:v>28.157610560068296</c:v>
                </c:pt>
                <c:pt idx="24">
                  <c:v>28.573980970172272</c:v>
                </c:pt>
                <c:pt idx="25">
                  <c:v>29.010893785288712</c:v>
                </c:pt>
                <c:pt idx="26">
                  <c:v>29.536287293520392</c:v>
                </c:pt>
                <c:pt idx="27">
                  <c:v>30.079250156132623</c:v>
                </c:pt>
                <c:pt idx="28">
                  <c:v>30.671661843217997</c:v>
                </c:pt>
                <c:pt idx="29">
                  <c:v>31.339517761306624</c:v>
                </c:pt>
                <c:pt idx="30">
                  <c:v>32.034691115599657</c:v>
                </c:pt>
                <c:pt idx="31">
                  <c:v>32.786664646235877</c:v>
                </c:pt>
                <c:pt idx="32">
                  <c:v>33.594261676587749</c:v>
                </c:pt>
                <c:pt idx="33">
                  <c:v>34.483057283850371</c:v>
                </c:pt>
                <c:pt idx="34">
                  <c:v>35.529973402097113</c:v>
                </c:pt>
                <c:pt idx="35">
                  <c:v>36.644360619144571</c:v>
                </c:pt>
                <c:pt idx="36">
                  <c:v>37.901022721378951</c:v>
                </c:pt>
                <c:pt idx="37">
                  <c:v>39.319862534942928</c:v>
                </c:pt>
                <c:pt idx="38">
                  <c:v>40.774340713380958</c:v>
                </c:pt>
                <c:pt idx="39">
                  <c:v>42.241895514818495</c:v>
                </c:pt>
                <c:pt idx="40">
                  <c:v>44.051489533968258</c:v>
                </c:pt>
                <c:pt idx="41">
                  <c:v>46.113908866858431</c:v>
                </c:pt>
                <c:pt idx="42">
                  <c:v>47.781549175144306</c:v>
                </c:pt>
                <c:pt idx="43">
                  <c:v>49.037294971575363</c:v>
                </c:pt>
                <c:pt idx="44">
                  <c:v>50.47187185503978</c:v>
                </c:pt>
                <c:pt idx="45">
                  <c:v>52.103245222773218</c:v>
                </c:pt>
                <c:pt idx="46">
                  <c:v>54.582687160988939</c:v>
                </c:pt>
                <c:pt idx="47">
                  <c:v>58.393244533268032</c:v>
                </c:pt>
                <c:pt idx="48">
                  <c:v>64.048188103115251</c:v>
                </c:pt>
                <c:pt idx="49">
                  <c:v>76.52698822029943</c:v>
                </c:pt>
              </c:numCache>
            </c:numRef>
          </c:xVal>
          <c:yVal>
            <c:numRef>
              <c:f>Results!$B$69:$B$118</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1AA4-4011-BF65-8B744F9C5AC5}"/>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Annual cost (US$m)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376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24</xdr:row>
      <xdr:rowOff>0</xdr:rowOff>
    </xdr:from>
    <xdr:ext cx="6263999" cy="2664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3"/>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83" customHeight="1" x14ac:dyDescent="0.45">
      <c r="B16" s="73" t="s">
        <v>20</v>
      </c>
      <c r="C16" s="74"/>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39.4"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66</v>
      </c>
      <c r="C57" s="10" t="s">
        <v>67</v>
      </c>
    </row>
    <row r="58" spans="2:3" x14ac:dyDescent="0.45">
      <c r="B58" s="9" t="s">
        <v>68</v>
      </c>
      <c r="C58" s="10" t="s">
        <v>69</v>
      </c>
    </row>
    <row r="59" spans="2:3" ht="26.25" x14ac:dyDescent="0.45">
      <c r="B59" s="9" t="s">
        <v>70</v>
      </c>
      <c r="C59" s="10" t="s">
        <v>71</v>
      </c>
    </row>
    <row r="60" spans="2:3" ht="26.25" x14ac:dyDescent="0.45">
      <c r="B60" s="9" t="s">
        <v>72</v>
      </c>
      <c r="C60" s="10" t="s">
        <v>73</v>
      </c>
    </row>
    <row r="61" spans="2:3" ht="12" customHeight="1" x14ac:dyDescent="0.45"/>
    <row r="62" spans="2:3" ht="22.05" customHeight="1" x14ac:dyDescent="0.5">
      <c r="B62" s="7" t="s">
        <v>74</v>
      </c>
      <c r="C62" s="8"/>
    </row>
    <row r="63" spans="2:3" ht="39.4" x14ac:dyDescent="0.45">
      <c r="B63" s="20" t="s">
        <v>75</v>
      </c>
      <c r="C63" s="10" t="s">
        <v>76</v>
      </c>
    </row>
    <row r="64" spans="2:3" x14ac:dyDescent="0.45">
      <c r="B64" s="20" t="s">
        <v>77</v>
      </c>
      <c r="C64" s="10" t="s">
        <v>78</v>
      </c>
    </row>
    <row r="65" spans="2:3" x14ac:dyDescent="0.45">
      <c r="B65" s="20" t="s">
        <v>79</v>
      </c>
      <c r="C65" s="10" t="s">
        <v>80</v>
      </c>
    </row>
    <row r="66" spans="2:3" x14ac:dyDescent="0.45">
      <c r="B66" s="20" t="s">
        <v>81</v>
      </c>
      <c r="C66" s="10" t="s">
        <v>82</v>
      </c>
    </row>
    <row r="67" spans="2:3" ht="39.4" x14ac:dyDescent="0.45">
      <c r="B67" s="20" t="s">
        <v>83</v>
      </c>
      <c r="C67" s="10" t="s">
        <v>84</v>
      </c>
    </row>
    <row r="68" spans="2:3" ht="12" customHeight="1" x14ac:dyDescent="0.45"/>
    <row r="69" spans="2:3" ht="22.05" customHeight="1" x14ac:dyDescent="0.5">
      <c r="B69" s="7" t="s">
        <v>85</v>
      </c>
      <c r="C69" s="8"/>
    </row>
    <row r="70" spans="2:3" x14ac:dyDescent="0.45">
      <c r="B70" s="9" t="s">
        <v>86</v>
      </c>
      <c r="C70" s="10" t="s">
        <v>87</v>
      </c>
    </row>
    <row r="71" spans="2:3" x14ac:dyDescent="0.45">
      <c r="B71" s="9" t="s">
        <v>88</v>
      </c>
      <c r="C71" s="10" t="s">
        <v>89</v>
      </c>
    </row>
    <row r="72" spans="2:3" ht="16.05" customHeight="1" x14ac:dyDescent="0.45"/>
    <row r="73" spans="2:3" x14ac:dyDescent="0.45">
      <c r="B73" s="75" t="s">
        <v>90</v>
      </c>
      <c r="C73" s="74"/>
    </row>
  </sheetData>
  <mergeCells count="2">
    <mergeCell ref="B16:C16"/>
    <mergeCell ref="B73:C73"/>
  </mergeCells>
  <hyperlinks>
    <hyperlink ref="D4" location="'Inputs'!A1" display="Next:  Inputs  ▸" xr:uid="{00000000-0004-0000-0000-000000000000}"/>
    <hyperlink ref="B39" location="'Inputs'!A1" display="Inputs" xr:uid="{00000000-0004-0000-0000-000001000000}"/>
    <hyperlink ref="B40" location="'Losses'!A1" display="Losses"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37"/>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91</v>
      </c>
      <c r="C3" s="1"/>
      <c r="D3" s="1"/>
      <c r="E3" s="1"/>
      <c r="F3" s="1"/>
      <c r="G3" s="1"/>
      <c r="H3" s="1"/>
      <c r="I3" s="1"/>
      <c r="J3" s="1"/>
    </row>
    <row r="4" spans="1:10" ht="20" customHeight="1" x14ac:dyDescent="0.45">
      <c r="A4" s="5"/>
      <c r="B4" s="22" t="s">
        <v>92</v>
      </c>
      <c r="C4" s="5"/>
      <c r="D4" s="5"/>
      <c r="E4" s="5"/>
      <c r="F4" s="5"/>
      <c r="G4" s="5"/>
      <c r="H4" s="5"/>
      <c r="I4" s="5"/>
      <c r="J4" s="6" t="s">
        <v>93</v>
      </c>
    </row>
    <row r="5" spans="1:10" ht="8" customHeight="1" x14ac:dyDescent="0.45"/>
    <row r="6" spans="1:10" ht="20" customHeight="1" x14ac:dyDescent="0.45">
      <c r="B6" s="76" t="s">
        <v>94</v>
      </c>
      <c r="C6" s="74"/>
      <c r="D6" s="74"/>
      <c r="E6" s="74"/>
      <c r="F6" s="74"/>
      <c r="G6" s="74"/>
      <c r="H6" s="74"/>
      <c r="I6" s="74"/>
      <c r="J6" s="74"/>
    </row>
    <row r="7" spans="1:10" ht="6" customHeight="1" x14ac:dyDescent="0.45"/>
    <row r="8" spans="1:10" ht="22.05" customHeight="1" x14ac:dyDescent="0.5">
      <c r="B8" s="7" t="s">
        <v>95</v>
      </c>
      <c r="C8" s="8"/>
      <c r="D8" s="8"/>
      <c r="E8" s="8"/>
      <c r="F8" s="8"/>
      <c r="G8" s="8"/>
      <c r="H8" s="8"/>
      <c r="I8" s="8"/>
      <c r="J8" s="8"/>
    </row>
    <row r="9" spans="1:10" ht="18" customHeight="1" x14ac:dyDescent="0.45">
      <c r="B9" s="13" t="s">
        <v>96</v>
      </c>
    </row>
    <row r="10" spans="1:10" ht="18" customHeight="1" x14ac:dyDescent="0.45">
      <c r="B10" s="23" t="s">
        <v>97</v>
      </c>
      <c r="C10" s="23" t="s">
        <v>98</v>
      </c>
      <c r="D10" s="24" t="s">
        <v>99</v>
      </c>
      <c r="E10" s="23" t="s">
        <v>100</v>
      </c>
      <c r="F10" s="5"/>
      <c r="G10" s="5"/>
      <c r="H10" s="5"/>
      <c r="I10" s="5"/>
      <c r="J10" s="23" t="s">
        <v>101</v>
      </c>
    </row>
    <row r="11" spans="1:10" x14ac:dyDescent="0.45">
      <c r="B11" s="25" t="s">
        <v>102</v>
      </c>
      <c r="C11" s="26" t="s">
        <v>103</v>
      </c>
      <c r="D11" s="27">
        <v>12</v>
      </c>
      <c r="E11" s="26" t="s">
        <v>104</v>
      </c>
      <c r="F11" s="28"/>
      <c r="G11" s="28"/>
      <c r="H11" s="28"/>
      <c r="I11" s="28"/>
      <c r="J11" s="29" t="s">
        <v>105</v>
      </c>
    </row>
    <row r="12" spans="1:10" x14ac:dyDescent="0.45">
      <c r="B12" s="25" t="s">
        <v>106</v>
      </c>
      <c r="C12" s="26" t="s">
        <v>107</v>
      </c>
      <c r="D12" s="30">
        <v>0.4</v>
      </c>
      <c r="E12" s="26" t="s">
        <v>104</v>
      </c>
      <c r="F12" s="28"/>
      <c r="G12" s="28"/>
      <c r="H12" s="28"/>
      <c r="I12" s="28"/>
      <c r="J12" s="29" t="s">
        <v>108</v>
      </c>
    </row>
    <row r="13" spans="1:10" x14ac:dyDescent="0.45">
      <c r="B13" s="25" t="s">
        <v>109</v>
      </c>
      <c r="C13" s="26" t="s">
        <v>107</v>
      </c>
      <c r="D13" s="30">
        <v>0.6</v>
      </c>
      <c r="E13" s="26" t="s">
        <v>104</v>
      </c>
      <c r="F13" s="28"/>
      <c r="G13" s="28"/>
      <c r="H13" s="28"/>
      <c r="I13" s="28"/>
      <c r="J13" s="29" t="s">
        <v>110</v>
      </c>
    </row>
    <row r="14" spans="1:10" ht="8" customHeight="1" x14ac:dyDescent="0.45"/>
    <row r="15" spans="1:10" ht="22.05" customHeight="1" x14ac:dyDescent="0.5">
      <c r="B15" s="7" t="s">
        <v>111</v>
      </c>
      <c r="C15" s="8"/>
      <c r="D15" s="8"/>
      <c r="E15" s="8"/>
      <c r="F15" s="8"/>
      <c r="G15" s="8"/>
      <c r="H15" s="8"/>
      <c r="I15" s="8"/>
      <c r="J15" s="8"/>
    </row>
    <row r="16" spans="1:10" ht="18" customHeight="1" x14ac:dyDescent="0.45">
      <c r="B16" s="13" t="s">
        <v>112</v>
      </c>
    </row>
    <row r="17" spans="2:10" ht="18" customHeight="1" x14ac:dyDescent="0.45">
      <c r="B17" s="23" t="s">
        <v>97</v>
      </c>
      <c r="C17" s="23" t="s">
        <v>98</v>
      </c>
      <c r="D17" s="24" t="s">
        <v>99</v>
      </c>
      <c r="E17" s="23" t="s">
        <v>100</v>
      </c>
      <c r="F17" s="5"/>
      <c r="G17" s="5"/>
      <c r="H17" s="5"/>
      <c r="I17" s="5"/>
      <c r="J17" s="23" t="s">
        <v>101</v>
      </c>
    </row>
    <row r="18" spans="2:10" x14ac:dyDescent="0.45">
      <c r="B18" s="25" t="s">
        <v>102</v>
      </c>
      <c r="C18" s="26" t="s">
        <v>103</v>
      </c>
      <c r="D18" s="30">
        <v>0.8</v>
      </c>
      <c r="E18" s="26" t="s">
        <v>104</v>
      </c>
      <c r="F18" s="28"/>
      <c r="G18" s="28"/>
      <c r="H18" s="28"/>
      <c r="I18" s="28"/>
      <c r="J18" s="29" t="s">
        <v>113</v>
      </c>
    </row>
    <row r="19" spans="2:10" x14ac:dyDescent="0.45">
      <c r="B19" s="25" t="s">
        <v>106</v>
      </c>
      <c r="C19" s="26" t="s">
        <v>107</v>
      </c>
      <c r="D19" s="27">
        <v>12</v>
      </c>
      <c r="E19" s="26" t="s">
        <v>104</v>
      </c>
      <c r="F19" s="28"/>
      <c r="G19" s="28"/>
      <c r="H19" s="28"/>
      <c r="I19" s="28"/>
      <c r="J19" s="29" t="s">
        <v>114</v>
      </c>
    </row>
    <row r="20" spans="2:10" x14ac:dyDescent="0.45">
      <c r="B20" s="25" t="s">
        <v>109</v>
      </c>
      <c r="C20" s="26" t="s">
        <v>107</v>
      </c>
      <c r="D20" s="27">
        <v>15</v>
      </c>
      <c r="E20" s="26" t="s">
        <v>104</v>
      </c>
      <c r="F20" s="28"/>
      <c r="G20" s="28"/>
      <c r="H20" s="28"/>
      <c r="I20" s="28"/>
      <c r="J20" s="29" t="s">
        <v>115</v>
      </c>
    </row>
    <row r="21" spans="2:10" ht="8" customHeight="1" x14ac:dyDescent="0.45"/>
    <row r="22" spans="2:10" ht="22.05" customHeight="1" x14ac:dyDescent="0.5">
      <c r="B22" s="7" t="s">
        <v>116</v>
      </c>
      <c r="C22" s="8"/>
      <c r="D22" s="8"/>
      <c r="E22" s="8"/>
      <c r="F22" s="8"/>
      <c r="G22" s="8"/>
      <c r="H22" s="8"/>
      <c r="I22" s="8"/>
      <c r="J22" s="8"/>
    </row>
    <row r="23" spans="2:10" ht="18" customHeight="1" x14ac:dyDescent="0.45">
      <c r="B23" s="13" t="s">
        <v>117</v>
      </c>
    </row>
    <row r="24" spans="2:10" ht="18" customHeight="1" x14ac:dyDescent="0.45">
      <c r="B24" s="23" t="s">
        <v>97</v>
      </c>
      <c r="C24" s="23" t="s">
        <v>98</v>
      </c>
      <c r="D24" s="24" t="s">
        <v>99</v>
      </c>
      <c r="E24" s="23" t="s">
        <v>100</v>
      </c>
      <c r="F24" s="5"/>
      <c r="G24" s="5"/>
      <c r="H24" s="5"/>
      <c r="I24" s="5"/>
      <c r="J24" s="23" t="s">
        <v>101</v>
      </c>
    </row>
    <row r="25" spans="2:10" x14ac:dyDescent="0.45">
      <c r="B25" s="25" t="s">
        <v>102</v>
      </c>
      <c r="C25" s="26" t="s">
        <v>103</v>
      </c>
      <c r="D25" s="31">
        <v>0.02</v>
      </c>
      <c r="E25" s="26" t="s">
        <v>104</v>
      </c>
      <c r="F25" s="28"/>
      <c r="G25" s="28"/>
      <c r="H25" s="28"/>
      <c r="I25" s="28"/>
      <c r="J25" s="29" t="s">
        <v>118</v>
      </c>
    </row>
    <row r="26" spans="2:10" x14ac:dyDescent="0.45">
      <c r="B26" s="25" t="s">
        <v>106</v>
      </c>
      <c r="C26" s="26" t="s">
        <v>107</v>
      </c>
      <c r="D26" s="32">
        <v>800</v>
      </c>
      <c r="E26" s="26" t="s">
        <v>104</v>
      </c>
      <c r="F26" s="28"/>
      <c r="G26" s="28"/>
      <c r="H26" s="28"/>
      <c r="I26" s="28"/>
      <c r="J26" s="29" t="s">
        <v>119</v>
      </c>
    </row>
    <row r="27" spans="2:10" x14ac:dyDescent="0.45">
      <c r="B27" s="25" t="s">
        <v>109</v>
      </c>
      <c r="C27" s="26" t="s">
        <v>107</v>
      </c>
      <c r="D27" s="32">
        <v>900</v>
      </c>
      <c r="E27" s="26" t="s">
        <v>104</v>
      </c>
      <c r="F27" s="28"/>
      <c r="G27" s="28"/>
      <c r="H27" s="28"/>
      <c r="I27" s="28"/>
      <c r="J27" s="29" t="s">
        <v>120</v>
      </c>
    </row>
    <row r="28" spans="2:10" ht="8" customHeight="1" x14ac:dyDescent="0.45"/>
    <row r="29" spans="2:10" ht="22.05" customHeight="1" x14ac:dyDescent="0.5">
      <c r="B29" s="7" t="s">
        <v>121</v>
      </c>
      <c r="C29" s="8"/>
      <c r="D29" s="8"/>
      <c r="E29" s="8"/>
      <c r="F29" s="8"/>
      <c r="G29" s="8"/>
      <c r="H29" s="8"/>
      <c r="I29" s="8"/>
      <c r="J29" s="8"/>
    </row>
    <row r="30" spans="2:10" ht="18" customHeight="1" x14ac:dyDescent="0.45">
      <c r="B30" s="13" t="s">
        <v>122</v>
      </c>
    </row>
    <row r="31" spans="2:10" ht="18" customHeight="1" x14ac:dyDescent="0.45">
      <c r="B31" s="23" t="s">
        <v>97</v>
      </c>
      <c r="C31" s="23" t="s">
        <v>98</v>
      </c>
      <c r="D31" s="24" t="s">
        <v>99</v>
      </c>
      <c r="E31" s="23" t="s">
        <v>100</v>
      </c>
      <c r="F31" s="5"/>
      <c r="G31" s="5"/>
      <c r="H31" s="5"/>
      <c r="I31" s="5"/>
      <c r="J31" s="23" t="s">
        <v>101</v>
      </c>
    </row>
    <row r="32" spans="2:10" x14ac:dyDescent="0.45">
      <c r="B32" s="25" t="s">
        <v>123</v>
      </c>
      <c r="C32" s="26" t="s">
        <v>107</v>
      </c>
      <c r="D32" s="27">
        <v>10</v>
      </c>
      <c r="E32" s="26" t="s">
        <v>104</v>
      </c>
      <c r="F32" s="28"/>
      <c r="G32" s="28"/>
      <c r="H32" s="28"/>
      <c r="I32" s="28"/>
      <c r="J32" s="29" t="s">
        <v>124</v>
      </c>
    </row>
    <row r="33" spans="2:10" x14ac:dyDescent="0.45">
      <c r="B33" s="25" t="s">
        <v>125</v>
      </c>
      <c r="C33" s="26" t="s">
        <v>107</v>
      </c>
      <c r="D33" s="32">
        <v>500</v>
      </c>
      <c r="E33" s="26" t="s">
        <v>104</v>
      </c>
      <c r="F33" s="28"/>
      <c r="G33" s="28"/>
      <c r="H33" s="28"/>
      <c r="I33" s="28"/>
      <c r="J33" s="29" t="s">
        <v>124</v>
      </c>
    </row>
    <row r="34" spans="2:10" x14ac:dyDescent="0.45">
      <c r="B34" s="25" t="s">
        <v>126</v>
      </c>
      <c r="C34" s="26" t="s">
        <v>107</v>
      </c>
      <c r="D34" s="27">
        <v>25</v>
      </c>
      <c r="E34" s="26" t="s">
        <v>104</v>
      </c>
      <c r="F34" s="28"/>
      <c r="G34" s="28"/>
      <c r="H34" s="28"/>
      <c r="I34" s="28"/>
      <c r="J34" s="29" t="s">
        <v>127</v>
      </c>
    </row>
    <row r="35" spans="2:10" x14ac:dyDescent="0.45">
      <c r="B35" s="25" t="s">
        <v>128</v>
      </c>
      <c r="C35" s="26" t="s">
        <v>107</v>
      </c>
      <c r="D35" s="32">
        <v>1500</v>
      </c>
      <c r="E35" s="26" t="s">
        <v>104</v>
      </c>
      <c r="F35" s="28"/>
      <c r="G35" s="28"/>
      <c r="H35" s="28"/>
      <c r="I35" s="28"/>
      <c r="J35" s="29" t="s">
        <v>129</v>
      </c>
    </row>
    <row r="36" spans="2:10" x14ac:dyDescent="0.45">
      <c r="B36" s="25" t="s">
        <v>130</v>
      </c>
      <c r="C36" s="26" t="s">
        <v>131</v>
      </c>
      <c r="D36" s="33">
        <v>1.4</v>
      </c>
      <c r="E36" s="26" t="s">
        <v>104</v>
      </c>
      <c r="F36" s="28"/>
      <c r="G36" s="28"/>
      <c r="H36" s="28"/>
      <c r="I36" s="28"/>
      <c r="J36" s="29" t="s">
        <v>132</v>
      </c>
    </row>
    <row r="37" spans="2:10" ht="8" customHeight="1" x14ac:dyDescent="0.45"/>
  </sheetData>
  <mergeCells count="1">
    <mergeCell ref="B6:J6"/>
  </mergeCells>
  <dataValidations count="2">
    <dataValidation type="decimal" operator="greaterThan" showErrorMessage="1" errorTitle="Positive value" error="Enter a value greater than zero." sqref="D35:D36 D33 D25:D27 D18:D20 D11:D13" xr:uid="{00000000-0002-0000-0100-000000000000}">
      <formula1>0</formula1>
    </dataValidation>
    <dataValidation type="decimal" showErrorMessage="1" errorTitle="Value" error="Enter a value of zero or more." sqref="D32 D34" xr:uid="{00000000-0002-0000-0100-000009000000}">
      <formula1>0</formula1>
      <formula2>1000000000000</formula2>
    </dataValidation>
  </dataValidations>
  <hyperlinks>
    <hyperlink ref="B4" location="'About'!A1" display="◂  About" xr:uid="{00000000-0004-0000-0100-000000000000}"/>
    <hyperlink ref="J4" location="'Losses'!A1" display="Next:  Losse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I60"/>
  <sheetViews>
    <sheetView showGridLines="0" workbookViewId="0">
      <pane ySplit="5" topLeftCell="A6" activePane="bottomLeft" state="frozen"/>
      <selection pane="bottomLeft"/>
    </sheetView>
  </sheetViews>
  <sheetFormatPr defaultRowHeight="14.25" x14ac:dyDescent="0.45"/>
  <cols>
    <col min="1" max="1" width="2" customWidth="1"/>
    <col min="2" max="2" width="6" customWidth="1"/>
    <col min="3" max="3" width="34" customWidth="1"/>
    <col min="4" max="4" width="11" customWidth="1"/>
    <col min="5" max="7" width="12" customWidth="1"/>
    <col min="8" max="8" width="2" customWidth="1"/>
    <col min="9" max="9" width="62" customWidth="1"/>
  </cols>
  <sheetData>
    <row r="1" spans="1:9" ht="6" customHeight="1" x14ac:dyDescent="0.45"/>
    <row r="2" spans="1:9" ht="30" customHeight="1" x14ac:dyDescent="0.45">
      <c r="A2" s="1"/>
      <c r="B2" s="21" t="s">
        <v>0</v>
      </c>
      <c r="C2" s="1"/>
      <c r="D2" s="1"/>
      <c r="E2" s="1"/>
      <c r="F2" s="1"/>
      <c r="G2" s="1"/>
      <c r="H2" s="1"/>
      <c r="I2" s="3" t="s">
        <v>1</v>
      </c>
    </row>
    <row r="3" spans="1:9" ht="20" customHeight="1" x14ac:dyDescent="0.45">
      <c r="A3" s="1"/>
      <c r="B3" s="4" t="s">
        <v>133</v>
      </c>
      <c r="C3" s="1"/>
      <c r="D3" s="1"/>
      <c r="E3" s="1"/>
      <c r="F3" s="1"/>
      <c r="G3" s="1"/>
      <c r="H3" s="1"/>
      <c r="I3" s="1"/>
    </row>
    <row r="4" spans="1:9" ht="20" customHeight="1" x14ac:dyDescent="0.45">
      <c r="A4" s="5"/>
      <c r="B4" s="22" t="s">
        <v>134</v>
      </c>
      <c r="C4" s="5"/>
      <c r="D4" s="5"/>
      <c r="E4" s="5"/>
      <c r="F4" s="5"/>
      <c r="G4" s="5"/>
      <c r="H4" s="5"/>
      <c r="I4" s="6" t="s">
        <v>135</v>
      </c>
    </row>
    <row r="5" spans="1:9" ht="8" customHeight="1" x14ac:dyDescent="0.45"/>
    <row r="6" spans="1:9" ht="22.05" customHeight="1" x14ac:dyDescent="0.5">
      <c r="B6" s="7" t="s">
        <v>95</v>
      </c>
      <c r="C6" s="8"/>
      <c r="D6" s="8"/>
      <c r="E6" s="8"/>
      <c r="F6" s="8"/>
      <c r="G6" s="8"/>
      <c r="H6" s="8"/>
      <c r="I6" s="8"/>
    </row>
    <row r="7" spans="1:9" ht="18" customHeight="1" x14ac:dyDescent="0.45">
      <c r="B7" s="13" t="s">
        <v>136</v>
      </c>
    </row>
    <row r="8" spans="1:9" ht="18" customHeight="1" x14ac:dyDescent="0.45">
      <c r="B8" s="5"/>
      <c r="C8" s="34" t="s">
        <v>137</v>
      </c>
      <c r="D8" s="34" t="s">
        <v>98</v>
      </c>
      <c r="E8" s="35" t="s">
        <v>138</v>
      </c>
      <c r="F8" s="5"/>
      <c r="G8" s="5"/>
      <c r="H8" s="5"/>
      <c r="I8" s="34" t="s">
        <v>139</v>
      </c>
    </row>
    <row r="9" spans="1:9" x14ac:dyDescent="0.45">
      <c r="B9" s="28"/>
      <c r="C9" s="25" t="s">
        <v>140</v>
      </c>
      <c r="D9" s="26" t="s">
        <v>107</v>
      </c>
      <c r="E9" s="36" t="str" cm="1">
        <f t="array" ref="E9">_xll.VoseLognormalObject(Minor_Mean,Minor_SD)</f>
        <v>VoseLognormal(0.4,0.6)</v>
      </c>
      <c r="F9" s="28"/>
      <c r="G9" s="28"/>
      <c r="H9" s="28"/>
      <c r="I9" s="26" t="s">
        <v>141</v>
      </c>
    </row>
    <row r="10" spans="1:9" x14ac:dyDescent="0.45">
      <c r="B10" s="28"/>
      <c r="C10" s="25" t="s">
        <v>142</v>
      </c>
      <c r="D10" s="26" t="s">
        <v>107</v>
      </c>
      <c r="E10" s="37" cm="1">
        <f t="array" aca="1" ref="E10" ca="1">_xll.VoseInput("Minor incident losses","US$m")+_xll.VoseAggregateFFT(_xll.VosePoissonObject(Minor_Rate),Minor_Sev)</f>
        <v>3.9248191737357154</v>
      </c>
      <c r="F10" s="28"/>
      <c r="G10" s="28"/>
      <c r="H10" s="28"/>
      <c r="I10" s="26" t="s">
        <v>143</v>
      </c>
    </row>
    <row r="11" spans="1:9" ht="8" customHeight="1" x14ac:dyDescent="0.45"/>
    <row r="12" spans="1:9" ht="22.05" customHeight="1" x14ac:dyDescent="0.5">
      <c r="B12" s="7" t="s">
        <v>144</v>
      </c>
      <c r="C12" s="8"/>
      <c r="D12" s="8"/>
      <c r="E12" s="8"/>
      <c r="F12" s="8"/>
      <c r="G12" s="8"/>
      <c r="H12" s="8"/>
      <c r="I12" s="8"/>
    </row>
    <row r="13" spans="1:9" ht="18" customHeight="1" x14ac:dyDescent="0.45">
      <c r="B13" s="13" t="s">
        <v>145</v>
      </c>
    </row>
    <row r="14" spans="1:9" x14ac:dyDescent="0.45">
      <c r="B14" s="28"/>
      <c r="C14" s="25" t="s">
        <v>140</v>
      </c>
      <c r="D14" s="26" t="s">
        <v>107</v>
      </c>
      <c r="E14" s="36" t="str" cm="1">
        <f t="array" ref="E14">_xll.VoseLognormalObject(Sig_Mean,Sig_SD)</f>
        <v>VoseLognormal(12,15)</v>
      </c>
      <c r="F14" s="28"/>
      <c r="G14" s="28"/>
      <c r="H14" s="28"/>
      <c r="I14" s="26" t="s">
        <v>141</v>
      </c>
    </row>
    <row r="15" spans="1:9" x14ac:dyDescent="0.45">
      <c r="B15" s="28"/>
      <c r="C15" s="25" t="s">
        <v>146</v>
      </c>
      <c r="D15" s="26" t="s">
        <v>103</v>
      </c>
      <c r="E15" s="38" cm="1">
        <f t="array" aca="1" ref="E15" ca="1">_xll.VoseInput("Significant incidents: number of events","events")+_xll.VosePoisson(Sig_Rate)</f>
        <v>1</v>
      </c>
      <c r="F15" s="28"/>
      <c r="G15" s="28"/>
      <c r="H15" s="28"/>
      <c r="I15" s="26" t="s">
        <v>147</v>
      </c>
    </row>
    <row r="16" spans="1:9" ht="18" customHeight="1" x14ac:dyDescent="0.45">
      <c r="B16" s="39" t="s">
        <v>148</v>
      </c>
      <c r="C16" s="40"/>
      <c r="D16" s="39" t="s">
        <v>149</v>
      </c>
      <c r="E16" s="39" t="s">
        <v>150</v>
      </c>
      <c r="F16" s="39" t="s">
        <v>151</v>
      </c>
      <c r="G16" s="39" t="s">
        <v>152</v>
      </c>
      <c r="H16" s="41"/>
      <c r="I16" s="40" t="s">
        <v>139</v>
      </c>
    </row>
    <row r="17" spans="2:9" x14ac:dyDescent="0.45">
      <c r="B17" s="42"/>
      <c r="C17" s="42"/>
      <c r="D17" s="42" t="s">
        <v>153</v>
      </c>
      <c r="E17" s="42" t="s">
        <v>107</v>
      </c>
      <c r="F17" s="42" t="s">
        <v>107</v>
      </c>
      <c r="G17" s="42" t="s">
        <v>107</v>
      </c>
      <c r="H17" s="42"/>
      <c r="I17" s="42"/>
    </row>
    <row r="18" spans="2:9" x14ac:dyDescent="0.45">
      <c r="B18" s="43">
        <v>1</v>
      </c>
      <c r="C18" s="28"/>
      <c r="D18" s="43">
        <f t="shared" ref="D18:D23" ca="1" si="0">IF(B18&lt;=Sig_N,1,0)</f>
        <v>1</v>
      </c>
      <c r="E18" s="44" cm="1">
        <f t="array" aca="1" ref="E18" ca="1">_xll.VoseInput("Significant incidents: cost of event 1","US$m")+D18*_xll.VoseSimulate(Sig_Sev)</f>
        <v>68.034139649815316</v>
      </c>
      <c r="F18" s="45">
        <f t="shared" ref="F18:F23" ca="1" si="1">D18*MIN(MAX(E18-Ded_B,0),Lim_B)</f>
        <v>58.034139649815316</v>
      </c>
      <c r="G18" s="45">
        <f t="shared" ref="G18:G23" ca="1" si="2">D18*MIN(MAX(E18-Ded_C,0),Lim_C)</f>
        <v>43.034139649815316</v>
      </c>
      <c r="H18" s="28"/>
      <c r="I18" s="26" t="s">
        <v>154</v>
      </c>
    </row>
    <row r="19" spans="2:9" x14ac:dyDescent="0.45">
      <c r="B19" s="43">
        <v>2</v>
      </c>
      <c r="C19" s="28"/>
      <c r="D19" s="43">
        <f t="shared" ca="1" si="0"/>
        <v>0</v>
      </c>
      <c r="E19" s="44" cm="1">
        <f t="array" aca="1" ref="E19" ca="1">_xll.VoseInput("Significant incidents: cost of event 2","US$m")+D19*_xll.VoseSimulate(Sig_Sev)</f>
        <v>0</v>
      </c>
      <c r="F19" s="45">
        <f t="shared" ca="1" si="1"/>
        <v>0</v>
      </c>
      <c r="G19" s="45">
        <f t="shared" ca="1" si="2"/>
        <v>0</v>
      </c>
      <c r="H19" s="28"/>
      <c r="I19" s="26" t="s">
        <v>155</v>
      </c>
    </row>
    <row r="20" spans="2:9" x14ac:dyDescent="0.45">
      <c r="B20" s="43">
        <v>3</v>
      </c>
      <c r="C20" s="28"/>
      <c r="D20" s="43">
        <f t="shared" ca="1" si="0"/>
        <v>0</v>
      </c>
      <c r="E20" s="44" cm="1">
        <f t="array" aca="1" ref="E20" ca="1">_xll.VoseInput("Significant incidents: cost of event 3","US$m")+D20*_xll.VoseSimulate(Sig_Sev)</f>
        <v>0</v>
      </c>
      <c r="F20" s="45">
        <f t="shared" ca="1" si="1"/>
        <v>0</v>
      </c>
      <c r="G20" s="45">
        <f t="shared" ca="1" si="2"/>
        <v>0</v>
      </c>
      <c r="H20" s="28"/>
      <c r="I20" s="26" t="s">
        <v>156</v>
      </c>
    </row>
    <row r="21" spans="2:9" x14ac:dyDescent="0.45">
      <c r="B21" s="43">
        <v>4</v>
      </c>
      <c r="C21" s="28"/>
      <c r="D21" s="43">
        <f t="shared" ca="1" si="0"/>
        <v>0</v>
      </c>
      <c r="E21" s="44" cm="1">
        <f t="array" aca="1" ref="E21" ca="1">_xll.VoseInput("Significant incidents: cost of event 4","US$m")+D21*_xll.VoseSimulate(Sig_Sev)</f>
        <v>0</v>
      </c>
      <c r="F21" s="45">
        <f t="shared" ca="1" si="1"/>
        <v>0</v>
      </c>
      <c r="G21" s="45">
        <f t="shared" ca="1" si="2"/>
        <v>0</v>
      </c>
      <c r="H21" s="28"/>
      <c r="I21" s="28"/>
    </row>
    <row r="22" spans="2:9" x14ac:dyDescent="0.45">
      <c r="B22" s="43">
        <v>5</v>
      </c>
      <c r="C22" s="28"/>
      <c r="D22" s="43">
        <f t="shared" ca="1" si="0"/>
        <v>0</v>
      </c>
      <c r="E22" s="44" cm="1">
        <f t="array" aca="1" ref="E22" ca="1">_xll.VoseInput("Significant incidents: cost of event 5","US$m")+D22*_xll.VoseSimulate(Sig_Sev)</f>
        <v>0</v>
      </c>
      <c r="F22" s="45">
        <f t="shared" ca="1" si="1"/>
        <v>0</v>
      </c>
      <c r="G22" s="45">
        <f t="shared" ca="1" si="2"/>
        <v>0</v>
      </c>
      <c r="H22" s="28"/>
      <c r="I22" s="28"/>
    </row>
    <row r="23" spans="2:9" x14ac:dyDescent="0.45">
      <c r="B23" s="43">
        <v>6</v>
      </c>
      <c r="C23" s="28"/>
      <c r="D23" s="43">
        <f t="shared" ca="1" si="0"/>
        <v>0</v>
      </c>
      <c r="E23" s="44" cm="1">
        <f t="array" aca="1" ref="E23" ca="1">_xll.VoseInput("Significant incidents: cost of event 6","US$m")+D23*_xll.VoseSimulate(Sig_Sev)</f>
        <v>0</v>
      </c>
      <c r="F23" s="45">
        <f t="shared" ca="1" si="1"/>
        <v>0</v>
      </c>
      <c r="G23" s="45">
        <f t="shared" ca="1" si="2"/>
        <v>0</v>
      </c>
      <c r="H23" s="28"/>
      <c r="I23" s="28"/>
    </row>
    <row r="24" spans="2:9" x14ac:dyDescent="0.45">
      <c r="B24" s="46"/>
      <c r="C24" s="47" t="s">
        <v>157</v>
      </c>
      <c r="D24" s="46"/>
      <c r="E24" s="48">
        <f ca="1">SUM(E18:E23)</f>
        <v>68.034139649815316</v>
      </c>
      <c r="F24" s="48">
        <f ca="1">SUM(F18:F23)</f>
        <v>58.034139649815316</v>
      </c>
      <c r="G24" s="48">
        <f ca="1">SUM(G18:G23)</f>
        <v>43.034139649815316</v>
      </c>
      <c r="H24" s="46"/>
      <c r="I24" s="46"/>
    </row>
    <row r="25" spans="2:9" ht="8" customHeight="1" x14ac:dyDescent="0.45"/>
    <row r="26" spans="2:9" ht="22.05" customHeight="1" x14ac:dyDescent="0.5">
      <c r="B26" s="7" t="s">
        <v>158</v>
      </c>
      <c r="C26" s="8"/>
      <c r="D26" s="8"/>
      <c r="E26" s="8"/>
      <c r="F26" s="8"/>
      <c r="G26" s="8"/>
      <c r="H26" s="8"/>
      <c r="I26" s="8"/>
    </row>
    <row r="27" spans="2:9" ht="18" customHeight="1" x14ac:dyDescent="0.45">
      <c r="B27" s="13" t="s">
        <v>159</v>
      </c>
    </row>
    <row r="28" spans="2:9" x14ac:dyDescent="0.45">
      <c r="B28" s="28"/>
      <c r="C28" s="25" t="s">
        <v>140</v>
      </c>
      <c r="D28" s="26" t="s">
        <v>107</v>
      </c>
      <c r="E28" s="36" t="str" cm="1">
        <f t="array" ref="E28">_xll.VoseLognormalObject(Maj_Mean,Maj_SD)</f>
        <v>VoseLognormal(800,900)</v>
      </c>
      <c r="F28" s="28"/>
      <c r="G28" s="28"/>
      <c r="H28" s="28"/>
      <c r="I28" s="26" t="s">
        <v>141</v>
      </c>
    </row>
    <row r="29" spans="2:9" x14ac:dyDescent="0.45">
      <c r="B29" s="28"/>
      <c r="C29" s="25" t="s">
        <v>146</v>
      </c>
      <c r="D29" s="26" t="s">
        <v>103</v>
      </c>
      <c r="E29" s="38" cm="1">
        <f t="array" aca="1" ref="E29" ca="1">_xll.VoseInput("Major accident: number of events","events")+_xll.VosePoisson(Maj_Rate)</f>
        <v>0</v>
      </c>
      <c r="F29" s="28"/>
      <c r="G29" s="28"/>
      <c r="H29" s="28"/>
      <c r="I29" s="26" t="s">
        <v>160</v>
      </c>
    </row>
    <row r="30" spans="2:9" ht="18" customHeight="1" x14ac:dyDescent="0.45">
      <c r="B30" s="39" t="s">
        <v>148</v>
      </c>
      <c r="C30" s="40"/>
      <c r="D30" s="39" t="s">
        <v>149</v>
      </c>
      <c r="E30" s="39" t="s">
        <v>150</v>
      </c>
      <c r="F30" s="39" t="s">
        <v>151</v>
      </c>
      <c r="G30" s="39" t="s">
        <v>152</v>
      </c>
      <c r="H30" s="41"/>
      <c r="I30" s="40" t="s">
        <v>139</v>
      </c>
    </row>
    <row r="31" spans="2:9" x14ac:dyDescent="0.45">
      <c r="B31" s="42"/>
      <c r="C31" s="42"/>
      <c r="D31" s="42" t="s">
        <v>153</v>
      </c>
      <c r="E31" s="42" t="s">
        <v>107</v>
      </c>
      <c r="F31" s="42" t="s">
        <v>107</v>
      </c>
      <c r="G31" s="42" t="s">
        <v>107</v>
      </c>
      <c r="H31" s="42"/>
      <c r="I31" s="42"/>
    </row>
    <row r="32" spans="2:9" x14ac:dyDescent="0.45">
      <c r="B32" s="43">
        <v>1</v>
      </c>
      <c r="C32" s="28"/>
      <c r="D32" s="43">
        <f ca="1">IF(B32&lt;=Maj_N,1,0)</f>
        <v>0</v>
      </c>
      <c r="E32" s="44" cm="1">
        <f t="array" aca="1" ref="E32" ca="1">_xll.VoseInput("Major accident: cost of event 1","US$m")+D32*_xll.VoseSimulate(Maj_Sev)</f>
        <v>0</v>
      </c>
      <c r="F32" s="45">
        <f ca="1">D32*MIN(MAX(E32-Ded_B,0),Lim_B)</f>
        <v>0</v>
      </c>
      <c r="G32" s="45">
        <f ca="1">D32*MIN(MAX(E32-Ded_C,0),Lim_C)</f>
        <v>0</v>
      </c>
      <c r="H32" s="28"/>
      <c r="I32" s="26" t="s">
        <v>154</v>
      </c>
    </row>
    <row r="33" spans="2:9" x14ac:dyDescent="0.45">
      <c r="B33" s="43">
        <v>2</v>
      </c>
      <c r="C33" s="28"/>
      <c r="D33" s="43">
        <f ca="1">IF(B33&lt;=Maj_N,1,0)</f>
        <v>0</v>
      </c>
      <c r="E33" s="44" cm="1">
        <f t="array" aca="1" ref="E33" ca="1">_xll.VoseInput("Major accident: cost of event 2","US$m")+D33*_xll.VoseSimulate(Maj_Sev)</f>
        <v>0</v>
      </c>
      <c r="F33" s="45">
        <f ca="1">D33*MIN(MAX(E33-Ded_B,0),Lim_B)</f>
        <v>0</v>
      </c>
      <c r="G33" s="45">
        <f ca="1">D33*MIN(MAX(E33-Ded_C,0),Lim_C)</f>
        <v>0</v>
      </c>
      <c r="H33" s="28"/>
      <c r="I33" s="26" t="s">
        <v>155</v>
      </c>
    </row>
    <row r="34" spans="2:9" x14ac:dyDescent="0.45">
      <c r="B34" s="46"/>
      <c r="C34" s="47" t="s">
        <v>157</v>
      </c>
      <c r="D34" s="46"/>
      <c r="E34" s="48">
        <f ca="1">SUM(E32:E33)</f>
        <v>0</v>
      </c>
      <c r="F34" s="48">
        <f ca="1">SUM(F32:F33)</f>
        <v>0</v>
      </c>
      <c r="G34" s="48">
        <f ca="1">SUM(G32:G33)</f>
        <v>0</v>
      </c>
      <c r="H34" s="46"/>
      <c r="I34" s="46"/>
    </row>
    <row r="35" spans="2:9" ht="8" customHeight="1" x14ac:dyDescent="0.45"/>
    <row r="36" spans="2:9" ht="22.05" customHeight="1" x14ac:dyDescent="0.5">
      <c r="B36" s="7" t="s">
        <v>161</v>
      </c>
      <c r="C36" s="8"/>
      <c r="D36" s="8"/>
      <c r="E36" s="8"/>
      <c r="F36" s="8"/>
      <c r="G36" s="8"/>
      <c r="H36" s="8"/>
      <c r="I36" s="8"/>
    </row>
    <row r="37" spans="2:9" ht="18" customHeight="1" x14ac:dyDescent="0.45">
      <c r="B37" s="13" t="s">
        <v>162</v>
      </c>
    </row>
    <row r="38" spans="2:9" ht="18" customHeight="1" x14ac:dyDescent="0.45">
      <c r="B38" s="5"/>
      <c r="C38" s="34" t="s">
        <v>137</v>
      </c>
      <c r="D38" s="34" t="s">
        <v>98</v>
      </c>
      <c r="E38" s="35" t="s">
        <v>163</v>
      </c>
      <c r="F38" s="35" t="s">
        <v>164</v>
      </c>
      <c r="G38" s="5"/>
      <c r="H38" s="5"/>
      <c r="I38" s="34" t="s">
        <v>139</v>
      </c>
    </row>
    <row r="39" spans="2:9" x14ac:dyDescent="0.45">
      <c r="B39" s="28"/>
      <c r="C39" s="25" t="s">
        <v>165</v>
      </c>
      <c r="D39" s="26" t="s">
        <v>166</v>
      </c>
      <c r="E39" s="49" cm="1">
        <f t="array" ref="E39">Sig_Rate*_xll.VoseMean(_xll.VoseDeductObject(Sig_Sev,Ded_B,Lim_B,TRUE))</f>
        <v>4.1290155016927974</v>
      </c>
      <c r="F39" s="49" cm="1">
        <f t="array" ref="F39">Sig_Rate*_xll.VoseMean(_xll.VoseDeductObject(Sig_Sev,Ded_C,Lim_C,TRUE))</f>
        <v>1.6287736603987815</v>
      </c>
      <c r="G39" s="28"/>
      <c r="H39" s="28"/>
      <c r="I39" s="26" t="s">
        <v>167</v>
      </c>
    </row>
    <row r="40" spans="2:9" x14ac:dyDescent="0.45">
      <c r="B40" s="28"/>
      <c r="C40" s="25" t="s">
        <v>168</v>
      </c>
      <c r="D40" s="26" t="s">
        <v>166</v>
      </c>
      <c r="E40" s="49" cm="1">
        <f t="array" ref="E40">Maj_Rate*_xll.VoseMean(_xll.VoseDeductObject(Maj_Sev,Ded_B,Lim_B,TRUE))</f>
        <v>7.8225892921156266</v>
      </c>
      <c r="F40" s="49" cm="1">
        <f t="array" ref="F40">Maj_Rate*_xll.VoseMean(_xll.VoseDeductObject(Maj_Sev,Ded_C,Lim_C,TRUE))</f>
        <v>12.866418057907651</v>
      </c>
      <c r="G40" s="28"/>
      <c r="H40" s="28"/>
      <c r="I40" s="28"/>
    </row>
    <row r="41" spans="2:9" x14ac:dyDescent="0.45">
      <c r="B41" s="28"/>
      <c r="C41" s="25" t="s">
        <v>169</v>
      </c>
      <c r="D41" s="26" t="s">
        <v>166</v>
      </c>
      <c r="E41" s="49">
        <f>SUM(E39:E40)</f>
        <v>11.951604793808425</v>
      </c>
      <c r="F41" s="49">
        <f>SUM(F39:F40)</f>
        <v>14.495191718306433</v>
      </c>
      <c r="G41" s="28"/>
      <c r="H41" s="28"/>
      <c r="I41" s="28"/>
    </row>
    <row r="42" spans="2:9" x14ac:dyDescent="0.45">
      <c r="B42" s="28"/>
      <c r="C42" s="50" t="s">
        <v>170</v>
      </c>
      <c r="D42" s="26" t="s">
        <v>166</v>
      </c>
      <c r="E42" s="49">
        <f>Loading*E41</f>
        <v>16.732246711331793</v>
      </c>
      <c r="F42" s="49">
        <f>Loading*F41</f>
        <v>20.293268405629004</v>
      </c>
      <c r="G42" s="28"/>
      <c r="H42" s="28"/>
      <c r="I42" s="26" t="s">
        <v>171</v>
      </c>
    </row>
    <row r="43" spans="2:9" ht="8" customHeight="1" x14ac:dyDescent="0.45"/>
    <row r="44" spans="2:9" ht="22.05" customHeight="1" x14ac:dyDescent="0.5">
      <c r="B44" s="7" t="s">
        <v>172</v>
      </c>
      <c r="C44" s="8"/>
      <c r="D44" s="8"/>
      <c r="E44" s="8"/>
      <c r="F44" s="8"/>
      <c r="G44" s="8"/>
      <c r="H44" s="8"/>
      <c r="I44" s="8"/>
    </row>
    <row r="45" spans="2:9" ht="18" customHeight="1" x14ac:dyDescent="0.45">
      <c r="B45" s="13" t="s">
        <v>173</v>
      </c>
    </row>
    <row r="46" spans="2:9" ht="18" customHeight="1" x14ac:dyDescent="0.45">
      <c r="B46" s="5"/>
      <c r="C46" s="34" t="s">
        <v>174</v>
      </c>
      <c r="D46" s="34" t="s">
        <v>98</v>
      </c>
      <c r="E46" s="35" t="s">
        <v>138</v>
      </c>
      <c r="F46" s="5"/>
      <c r="G46" s="5"/>
      <c r="H46" s="5"/>
      <c r="I46" s="34" t="s">
        <v>175</v>
      </c>
    </row>
    <row r="47" spans="2:9" x14ac:dyDescent="0.45">
      <c r="B47" s="28"/>
      <c r="C47" s="25" t="s">
        <v>176</v>
      </c>
      <c r="D47" s="26" t="s">
        <v>107</v>
      </c>
      <c r="E47" s="51" cm="1">
        <f t="array" aca="1" ref="E47" ca="1">_xll.VoseOutput("Annual loss before insurance","US$m")+Minor_Total+E24+E34</f>
        <v>71.958958823551029</v>
      </c>
      <c r="F47" s="28"/>
      <c r="G47" s="28"/>
      <c r="H47" s="28"/>
      <c r="I47" s="26" t="s">
        <v>177</v>
      </c>
    </row>
    <row r="48" spans="2:9" x14ac:dyDescent="0.45">
      <c r="B48" s="28"/>
      <c r="C48" s="25" t="s">
        <v>178</v>
      </c>
      <c r="D48" s="26" t="s">
        <v>107</v>
      </c>
      <c r="E48" s="51" cm="1">
        <f t="array" aca="1" ref="E48" ca="1">_xll.VoseOutput("Recoveries B","US$m")+F24+F34</f>
        <v>58.034139649815316</v>
      </c>
      <c r="F48" s="28"/>
      <c r="G48" s="28"/>
      <c r="H48" s="28"/>
      <c r="I48" s="26" t="s">
        <v>179</v>
      </c>
    </row>
    <row r="49" spans="2:9" x14ac:dyDescent="0.45">
      <c r="B49" s="28"/>
      <c r="C49" s="25" t="s">
        <v>180</v>
      </c>
      <c r="D49" s="26" t="s">
        <v>107</v>
      </c>
      <c r="E49" s="51" cm="1">
        <f t="array" aca="1" ref="E49" ca="1">_xll.VoseOutput("Recoveries C","US$m")+G24+G34</f>
        <v>43.034139649815316</v>
      </c>
      <c r="F49" s="28"/>
      <c r="G49" s="28"/>
      <c r="H49" s="28"/>
      <c r="I49" s="26"/>
    </row>
    <row r="50" spans="2:9" x14ac:dyDescent="0.45">
      <c r="B50" s="28"/>
      <c r="C50" s="25" t="s">
        <v>181</v>
      </c>
      <c r="D50" s="26" t="s">
        <v>107</v>
      </c>
      <c r="E50" s="51" cm="1">
        <f t="array" aca="1" ref="E50" ca="1">_xll.VoseOutput("Annual cost A no insurance","US$m")+Gross</f>
        <v>71.958958823551029</v>
      </c>
      <c r="F50" s="28"/>
      <c r="G50" s="28"/>
      <c r="H50" s="28"/>
      <c r="I50" s="26" t="s">
        <v>182</v>
      </c>
    </row>
    <row r="51" spans="2:9" x14ac:dyDescent="0.45">
      <c r="B51" s="28"/>
      <c r="C51" s="25" t="s">
        <v>183</v>
      </c>
      <c r="D51" s="26" t="s">
        <v>107</v>
      </c>
      <c r="E51" s="51" cm="1">
        <f t="array" aca="1" ref="E51" ca="1">_xll.VoseOutput("Annual cost B","US$m")+Gross-Rec_B+Prem_B</f>
        <v>30.657065885067507</v>
      </c>
      <c r="F51" s="28"/>
      <c r="G51" s="28"/>
      <c r="H51" s="28"/>
      <c r="I51" s="26" t="s">
        <v>184</v>
      </c>
    </row>
    <row r="52" spans="2:9" x14ac:dyDescent="0.45">
      <c r="B52" s="28"/>
      <c r="C52" s="25" t="s">
        <v>185</v>
      </c>
      <c r="D52" s="26" t="s">
        <v>107</v>
      </c>
      <c r="E52" s="51" cm="1">
        <f t="array" aca="1" ref="E52" ca="1">_xll.VoseOutput("Annual cost C","US$m")+Gross-Rec_C+Prem_C</f>
        <v>49.21808757936472</v>
      </c>
      <c r="F52" s="28"/>
      <c r="G52" s="28"/>
      <c r="H52" s="28"/>
      <c r="I52" s="26"/>
    </row>
    <row r="53" spans="2:9" x14ac:dyDescent="0.45">
      <c r="B53" s="28"/>
      <c r="C53" s="25" t="s">
        <v>186</v>
      </c>
      <c r="D53" s="26" t="s">
        <v>187</v>
      </c>
      <c r="E53" s="52" cm="1">
        <f t="array" aca="1" ref="E53" ca="1">_xll.VoseOutput("Major accident happens","1 = yes")+IF(Maj_N&gt;0,1,0)</f>
        <v>0</v>
      </c>
      <c r="F53" s="28"/>
      <c r="G53" s="28"/>
      <c r="H53" s="28"/>
      <c r="I53" s="26"/>
    </row>
    <row r="54" spans="2:9" ht="8" customHeight="1" x14ac:dyDescent="0.45"/>
    <row r="55" spans="2:9" ht="22.05" customHeight="1" x14ac:dyDescent="0.5">
      <c r="B55" s="7" t="s">
        <v>188</v>
      </c>
      <c r="C55" s="8"/>
      <c r="D55" s="8"/>
      <c r="E55" s="8"/>
      <c r="F55" s="8"/>
      <c r="G55" s="8"/>
      <c r="H55" s="8"/>
      <c r="I55" s="8"/>
    </row>
    <row r="56" spans="2:9" ht="18" customHeight="1" x14ac:dyDescent="0.45">
      <c r="B56" s="13" t="s">
        <v>189</v>
      </c>
    </row>
    <row r="57" spans="2:9" x14ac:dyDescent="0.45">
      <c r="B57" s="28"/>
      <c r="C57" s="25" t="s">
        <v>190</v>
      </c>
      <c r="D57" s="28"/>
      <c r="E57" s="53" t="str">
        <f>IF(1-POISSON(COUNT(B18:B23),Sig_Rate,TRUE)&lt;0.001,"OK","CHECK")</f>
        <v>OK</v>
      </c>
      <c r="F57" s="28"/>
      <c r="G57" s="28"/>
      <c r="H57" s="28"/>
      <c r="I57" s="28"/>
    </row>
    <row r="58" spans="2:9" x14ac:dyDescent="0.45">
      <c r="B58" s="28"/>
      <c r="C58" s="25" t="s">
        <v>191</v>
      </c>
      <c r="D58" s="28"/>
      <c r="E58" s="53" t="str">
        <f>IF(1-POISSON(COUNT(B32:B33),Maj_Rate,TRUE)&lt;0.001,"OK","CHECK")</f>
        <v>OK</v>
      </c>
      <c r="F58" s="28"/>
      <c r="G58" s="28"/>
      <c r="H58" s="28"/>
      <c r="I58" s="28"/>
    </row>
    <row r="59" spans="2:9" x14ac:dyDescent="0.45">
      <c r="B59" s="28"/>
      <c r="C59" s="25" t="s">
        <v>192</v>
      </c>
      <c r="D59" s="28"/>
      <c r="E59" s="53" t="str">
        <f>IF(AND(Ded_B&lt;Lim_B,Ded_C&lt;Lim_C),"OK","CHECK")</f>
        <v>OK</v>
      </c>
      <c r="F59" s="28"/>
      <c r="G59" s="28"/>
      <c r="H59" s="28"/>
      <c r="I59" s="28"/>
    </row>
    <row r="60" spans="2:9" ht="14" customHeight="1" x14ac:dyDescent="0.45"/>
  </sheetData>
  <conditionalFormatting sqref="E57:E59">
    <cfRule type="expression" dxfId="4" priority="1">
      <formula>E57="CHECK"</formula>
    </cfRule>
  </conditionalFormatting>
  <hyperlinks>
    <hyperlink ref="B4" location="'Inputs'!A1" display="◂  Inputs" xr:uid="{00000000-0004-0000-0200-000000000000}"/>
    <hyperlink ref="I4" location="'Results'!A1" display="Next:  Results  ▸" xr:uid="{00000000-0004-0000-0200-000001000000}"/>
  </hyperlinks>
  <printOptions horizontalCentered="1"/>
  <pageMargins left="0.4" right="0.4" top="0.5" bottom="0.6" header="0.25" footer="0.25"/>
  <pageSetup paperSize="9" scale="90" fitToHeight="0" orientation="landscape" r:id="rId1"/>
  <headerFooter>
    <oddFooter>&amp;L&amp;K3F5876&amp;8&amp;F · &amp;A&amp;R&amp;K3F5876&amp;8Page &amp;P of &amp;N</oddFooter>
  </headerFooter>
  <rowBreaks count="1" manualBreakCount="1">
    <brk id="3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23"/>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193</v>
      </c>
      <c r="C3" s="1"/>
      <c r="D3" s="1"/>
      <c r="E3" s="1"/>
      <c r="F3" s="1"/>
      <c r="G3" s="1"/>
      <c r="H3" s="1"/>
      <c r="I3" s="1"/>
      <c r="J3" s="1"/>
      <c r="K3" s="1"/>
      <c r="L3" s="1"/>
      <c r="M3" s="1"/>
      <c r="N3" s="1"/>
      <c r="O3" s="1"/>
      <c r="P3" s="1"/>
      <c r="Q3" s="1"/>
      <c r="R3" s="1"/>
    </row>
    <row r="4" spans="1:18" ht="20" customHeight="1" x14ac:dyDescent="0.45">
      <c r="A4" s="5"/>
      <c r="B4" s="22" t="s">
        <v>194</v>
      </c>
      <c r="C4" s="5"/>
      <c r="D4" s="5"/>
      <c r="E4" s="5"/>
      <c r="F4" s="5"/>
      <c r="G4" s="5"/>
      <c r="H4" s="5"/>
      <c r="I4" s="5"/>
      <c r="J4" s="5"/>
      <c r="K4" s="5"/>
      <c r="L4" s="5"/>
      <c r="M4" s="5"/>
      <c r="N4" s="5"/>
      <c r="O4" s="5"/>
      <c r="P4" s="5"/>
      <c r="Q4" s="5"/>
      <c r="R4" s="5"/>
    </row>
    <row r="5" spans="1:18" ht="8" customHeight="1" x14ac:dyDescent="0.45"/>
    <row r="6" spans="1:18" ht="26" customHeight="1" x14ac:dyDescent="0.45">
      <c r="B6" s="54" t="str" cm="1">
        <f t="array" aca="1" ref="B6" ca="1">IF(ISNUMBER(_xll.VoseSimMean(Gross)),"✔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5"/>
      <c r="D6" s="55"/>
      <c r="E6" s="55"/>
      <c r="F6" s="55"/>
      <c r="G6" s="55"/>
    </row>
    <row r="7" spans="1:18" x14ac:dyDescent="0.45">
      <c r="B7" s="56"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195</v>
      </c>
      <c r="C9" s="8"/>
      <c r="D9" s="8"/>
      <c r="E9" s="8"/>
      <c r="F9" s="8"/>
      <c r="G9" s="8"/>
      <c r="I9" s="57" t="s">
        <v>196</v>
      </c>
      <c r="J9" s="8"/>
      <c r="K9" s="8"/>
      <c r="L9" s="8"/>
      <c r="M9" s="8"/>
      <c r="N9" s="8"/>
      <c r="O9" s="8"/>
      <c r="P9" s="8"/>
      <c r="Q9" s="8"/>
      <c r="R9" s="8"/>
    </row>
    <row r="10" spans="1:18" ht="18" customHeight="1" x14ac:dyDescent="0.45">
      <c r="B10" s="13" t="s">
        <v>197</v>
      </c>
    </row>
    <row r="11" spans="1:18" ht="18" customHeight="1" x14ac:dyDescent="0.45">
      <c r="B11" s="23" t="s">
        <v>198</v>
      </c>
      <c r="C11" s="23" t="s">
        <v>98</v>
      </c>
      <c r="D11" s="24" t="s">
        <v>138</v>
      </c>
      <c r="E11" s="5"/>
      <c r="F11" s="5"/>
      <c r="G11" s="5"/>
    </row>
    <row r="12" spans="1:18" ht="22.05" customHeight="1" x14ac:dyDescent="0.45">
      <c r="B12" s="50" t="s">
        <v>199</v>
      </c>
      <c r="C12" s="26" t="s">
        <v>107</v>
      </c>
      <c r="D12" s="58" cm="1">
        <f t="array" aca="1" ref="D12" ca="1">_xll.VoseSimMean(Gross)</f>
        <v>30.74884981552383</v>
      </c>
      <c r="E12" s="28"/>
      <c r="F12" s="28"/>
      <c r="G12" s="28"/>
    </row>
    <row r="13" spans="1:18" x14ac:dyDescent="0.45">
      <c r="B13" s="25" t="s">
        <v>200</v>
      </c>
      <c r="C13" s="26" t="s">
        <v>107</v>
      </c>
      <c r="D13" s="59" cm="1">
        <f t="array" aca="1" ref="D13" ca="1">_xll.VoseSimPercentile(Gross,0.5)</f>
        <v>8.5013267404110398</v>
      </c>
      <c r="E13" s="28"/>
      <c r="F13" s="28"/>
      <c r="G13" s="28"/>
    </row>
    <row r="14" spans="1:18" x14ac:dyDescent="0.45">
      <c r="B14" s="25" t="s">
        <v>201</v>
      </c>
      <c r="C14" s="26" t="s">
        <v>107</v>
      </c>
      <c r="D14" s="59" cm="1">
        <f t="array" aca="1" ref="D14" ca="1">_xll.VoseSimPercentile(Gross,0.9)</f>
        <v>36.672290281516403</v>
      </c>
      <c r="E14" s="28"/>
      <c r="F14" s="28"/>
      <c r="G14" s="28"/>
    </row>
    <row r="15" spans="1:18" x14ac:dyDescent="0.45">
      <c r="B15" s="50" t="s">
        <v>202</v>
      </c>
      <c r="C15" s="26" t="s">
        <v>107</v>
      </c>
      <c r="D15" s="60" cm="1">
        <f t="array" aca="1" ref="D15" ca="1">_xll.VoseSimPercentile(Gross,0.99)</f>
        <v>534.46895840513434</v>
      </c>
      <c r="E15" s="28"/>
      <c r="F15" s="28"/>
      <c r="G15" s="28"/>
    </row>
    <row r="16" spans="1:18" x14ac:dyDescent="0.45">
      <c r="B16" s="25" t="s">
        <v>203</v>
      </c>
      <c r="C16" s="26" t="s">
        <v>107</v>
      </c>
      <c r="D16" s="60" cm="1">
        <f t="array" aca="1" ref="D16" ca="1">_xll.VoseSimPercentile(Gross,0.995)</f>
        <v>987.75064774081784</v>
      </c>
      <c r="E16" s="28"/>
      <c r="F16" s="28"/>
      <c r="G16" s="28"/>
    </row>
    <row r="17" spans="2:18" x14ac:dyDescent="0.45">
      <c r="B17" s="25" t="s">
        <v>204</v>
      </c>
      <c r="C17" s="26" t="s">
        <v>205</v>
      </c>
      <c r="D17" s="61" cm="1">
        <f t="array" aca="1" ref="D17" ca="1">_xll.VoseSimMean(MajorHappens)</f>
        <v>2.0299999999999999E-2</v>
      </c>
      <c r="E17" s="28"/>
      <c r="F17" s="28"/>
      <c r="G17" s="28"/>
    </row>
    <row r="18" spans="2:18" ht="8" customHeight="1" x14ac:dyDescent="0.45"/>
    <row r="19" spans="2:18" ht="22.05" customHeight="1" x14ac:dyDescent="0.5">
      <c r="B19" s="7" t="s">
        <v>206</v>
      </c>
      <c r="C19" s="8"/>
      <c r="D19" s="8"/>
      <c r="E19" s="8"/>
      <c r="F19" s="8"/>
      <c r="G19" s="8"/>
    </row>
    <row r="20" spans="2:18" ht="18" customHeight="1" x14ac:dyDescent="0.45">
      <c r="B20" s="13" t="s">
        <v>207</v>
      </c>
    </row>
    <row r="21" spans="2:18" ht="18" customHeight="1" x14ac:dyDescent="0.45">
      <c r="B21" s="62" t="s">
        <v>208</v>
      </c>
      <c r="C21" s="63" t="s">
        <v>170</v>
      </c>
      <c r="D21" s="63" t="s">
        <v>209</v>
      </c>
      <c r="E21" s="63" t="s">
        <v>210</v>
      </c>
      <c r="F21" s="63" t="s">
        <v>211</v>
      </c>
      <c r="G21" s="63" t="s">
        <v>63</v>
      </c>
    </row>
    <row r="22" spans="2:18" x14ac:dyDescent="0.45">
      <c r="B22" s="42"/>
      <c r="C22" s="42" t="s">
        <v>107</v>
      </c>
      <c r="D22" s="42" t="s">
        <v>107</v>
      </c>
      <c r="E22" s="42" t="s">
        <v>212</v>
      </c>
      <c r="F22" s="42" t="s">
        <v>212</v>
      </c>
      <c r="G22" s="42" t="s">
        <v>213</v>
      </c>
    </row>
    <row r="23" spans="2:18" x14ac:dyDescent="0.45">
      <c r="B23" s="25" t="s">
        <v>214</v>
      </c>
      <c r="C23" s="45">
        <f>0</f>
        <v>0</v>
      </c>
      <c r="D23" s="59" cm="1">
        <f t="array" aca="1" ref="D23" ca="1">_xll.VoseSimMean(Cost_A)</f>
        <v>30.74884981552383</v>
      </c>
      <c r="E23" s="59" cm="1">
        <f t="array" aca="1" ref="E23" ca="1">_xll.VoseSimPercentile(Cost_A,0.95)</f>
        <v>55.48389016228198</v>
      </c>
      <c r="F23" s="60" cm="1">
        <f t="array" aca="1" ref="F23" ca="1">_xll.VoseSimPercentile(Cost_A,0.99)</f>
        <v>534.46895840513434</v>
      </c>
      <c r="G23" s="60" cm="1">
        <f t="array" aca="1" ref="G23" ca="1">_xll.VoseSimCVARp(Cost_A,0.01)</f>
        <v>1358.7522058797433</v>
      </c>
    </row>
    <row r="24" spans="2:18" x14ac:dyDescent="0.45">
      <c r="B24" s="25" t="str">
        <f>"B  US$"&amp;TEXT(Ded_B,"#,##0")&amp;"m deductible, US$"&amp;TEXT(Lim_B,"#,##0")&amp;"m limit"</f>
        <v>B  US$10m deductible, US$500m limit</v>
      </c>
      <c r="C24" s="45">
        <f>Prem_B</f>
        <v>16.732246711331793</v>
      </c>
      <c r="D24" s="59" cm="1">
        <f t="array" aca="1" ref="D24" ca="1">_xll.VoseSimMean(Cost_B)</f>
        <v>35.484320903371398</v>
      </c>
      <c r="E24" s="59" cm="1">
        <f t="array" aca="1" ref="E24" ca="1">_xll.VoseSimPercentile(Cost_B,0.95)</f>
        <v>42.556776017783591</v>
      </c>
      <c r="F24" s="60" cm="1">
        <f t="array" aca="1" ref="F24" ca="1">_xll.VoseSimPercentile(Cost_B,0.99)</f>
        <v>63.941282299602562</v>
      </c>
      <c r="G24" s="60" cm="1">
        <f t="array" aca="1" ref="G24" ca="1">_xll.VoseSimCVARp(Cost_B,0.01)</f>
        <v>861.01097600589765</v>
      </c>
      <c r="I24" s="57" t="s">
        <v>215</v>
      </c>
      <c r="J24" s="8"/>
      <c r="K24" s="8"/>
      <c r="L24" s="8"/>
      <c r="M24" s="8"/>
      <c r="N24" s="8"/>
      <c r="O24" s="8"/>
      <c r="P24" s="8"/>
      <c r="Q24" s="8"/>
      <c r="R24" s="8"/>
    </row>
    <row r="25" spans="2:18" x14ac:dyDescent="0.45">
      <c r="B25" s="25" t="str">
        <f>"C  US$"&amp;TEXT(Ded_C,"#,##0")&amp;"m deductible, US$"&amp;TEXT(Lim_C,"#,##0")&amp;"m limit"</f>
        <v>C  US$25m deductible, US$1,500m limit</v>
      </c>
      <c r="C25" s="45">
        <f>Prem_C</f>
        <v>20.293268405629004</v>
      </c>
      <c r="D25" s="59" cm="1">
        <f t="array" aca="1" ref="D25" ca="1">_xll.VoseSimMean(Cost_C)</f>
        <v>36.452621677671765</v>
      </c>
      <c r="E25" s="59" cm="1">
        <f t="array" aca="1" ref="E25" ca="1">_xll.VoseSimPercentile(Cost_C,0.95)</f>
        <v>58.393244533268032</v>
      </c>
      <c r="F25" s="60" cm="1">
        <f t="array" aca="1" ref="F25" ca="1">_xll.VoseSimPercentile(Cost_C,0.99)</f>
        <v>76.52698822029943</v>
      </c>
      <c r="G25" s="60" cm="1">
        <f t="array" aca="1" ref="G25" ca="1">_xll.VoseSimCVARp(Cost_C,0.01)</f>
        <v>356.81247041446392</v>
      </c>
    </row>
    <row r="26" spans="2:18" ht="8" customHeight="1" x14ac:dyDescent="0.45"/>
    <row r="27" spans="2:18" ht="22.05" customHeight="1" x14ac:dyDescent="0.5">
      <c r="B27" s="7" t="s">
        <v>216</v>
      </c>
      <c r="C27" s="8"/>
      <c r="D27" s="8"/>
      <c r="E27" s="8"/>
      <c r="F27" s="8"/>
      <c r="G27" s="8"/>
    </row>
    <row r="28" spans="2:18" ht="18" customHeight="1" x14ac:dyDescent="0.45">
      <c r="B28" s="13" t="s">
        <v>217</v>
      </c>
    </row>
    <row r="29" spans="2:18" ht="18" customHeight="1" x14ac:dyDescent="0.45">
      <c r="B29" s="62" t="s">
        <v>208</v>
      </c>
      <c r="C29" s="63" t="s">
        <v>209</v>
      </c>
      <c r="D29" s="63" t="s">
        <v>210</v>
      </c>
      <c r="E29" s="63" t="s">
        <v>211</v>
      </c>
      <c r="F29" s="63" t="s">
        <v>63</v>
      </c>
      <c r="G29" s="41"/>
    </row>
    <row r="30" spans="2:18" x14ac:dyDescent="0.45">
      <c r="B30" s="42"/>
      <c r="C30" s="42" t="s">
        <v>218</v>
      </c>
      <c r="D30" s="42" t="s">
        <v>219</v>
      </c>
      <c r="E30" s="42" t="s">
        <v>219</v>
      </c>
      <c r="F30" s="42" t="s">
        <v>219</v>
      </c>
      <c r="G30" s="42"/>
    </row>
    <row r="31" spans="2:18" x14ac:dyDescent="0.45">
      <c r="B31" s="25" t="str">
        <f>"B  US$"&amp;TEXT(Ded_B,"#,##0")&amp;"m deductible, US$"&amp;TEXT(Lim_B,"#,##0")&amp;"m limit"</f>
        <v>B  US$10m deductible, US$500m limit</v>
      </c>
      <c r="C31" s="64">
        <f ca="1">IFERROR(D24-D23,"–")</f>
        <v>4.7354710878475679</v>
      </c>
      <c r="D31" s="64">
        <f ca="1">IFERROR(E24-E23,"–")</f>
        <v>-12.92711414449839</v>
      </c>
      <c r="E31" s="64">
        <f ca="1">IFERROR(F24-F23,"–")</f>
        <v>-470.52767610553178</v>
      </c>
      <c r="F31" s="64">
        <f ca="1">IFERROR(G24-G23,"–")</f>
        <v>-497.74122987384567</v>
      </c>
      <c r="G31" s="28"/>
    </row>
    <row r="32" spans="2:18" x14ac:dyDescent="0.45">
      <c r="B32" s="25" t="str">
        <f>"C  US$"&amp;TEXT(Ded_C,"#,##0")&amp;"m deductible, US$"&amp;TEXT(Lim_C,"#,##0")&amp;"m limit"</f>
        <v>C  US$25m deductible, US$1,500m limit</v>
      </c>
      <c r="C32" s="64">
        <f ca="1">IFERROR(D25-D23,"–")</f>
        <v>5.703771862147935</v>
      </c>
      <c r="D32" s="64">
        <f ca="1">IFERROR(E25-E23,"–")</f>
        <v>2.9093543709860512</v>
      </c>
      <c r="E32" s="64">
        <f ca="1">IFERROR(F25-F23,"–")</f>
        <v>-457.94197018483493</v>
      </c>
      <c r="F32" s="64">
        <f ca="1">IFERROR(G25-G23,"–")</f>
        <v>-1001.9397354652795</v>
      </c>
      <c r="G32" s="28"/>
    </row>
    <row r="33" spans="2:7" x14ac:dyDescent="0.45">
      <c r="B33" s="65" t="s">
        <v>220</v>
      </c>
    </row>
    <row r="34" spans="2:7" ht="8" customHeight="1" x14ac:dyDescent="0.45"/>
    <row r="35" spans="2:7" ht="22.05" customHeight="1" x14ac:dyDescent="0.5">
      <c r="B35" s="7" t="s">
        <v>221</v>
      </c>
      <c r="C35" s="8"/>
      <c r="D35" s="8"/>
      <c r="E35" s="8"/>
      <c r="F35" s="8"/>
      <c r="G35" s="8"/>
    </row>
    <row r="36" spans="2:7" ht="18" customHeight="1" x14ac:dyDescent="0.45">
      <c r="B36" s="13" t="s">
        <v>222</v>
      </c>
    </row>
    <row r="37" spans="2:7" ht="18" customHeight="1" x14ac:dyDescent="0.45">
      <c r="B37" s="62" t="s">
        <v>59</v>
      </c>
      <c r="C37" s="63" t="s">
        <v>223</v>
      </c>
      <c r="D37" s="63" t="s">
        <v>224</v>
      </c>
      <c r="E37" s="63" t="s">
        <v>225</v>
      </c>
      <c r="F37" s="63" t="s">
        <v>226</v>
      </c>
      <c r="G37" s="41"/>
    </row>
    <row r="38" spans="2:7" x14ac:dyDescent="0.45">
      <c r="B38" s="42"/>
      <c r="C38" s="42" t="s">
        <v>227</v>
      </c>
      <c r="D38" s="42" t="s">
        <v>107</v>
      </c>
      <c r="E38" s="42" t="s">
        <v>107</v>
      </c>
      <c r="F38" s="42" t="s">
        <v>107</v>
      </c>
      <c r="G38" s="42"/>
    </row>
    <row r="39" spans="2:7" x14ac:dyDescent="0.45">
      <c r="B39" s="66">
        <v>2</v>
      </c>
      <c r="C39" s="67">
        <f t="shared" ref="C39:C44" si="0">1-1/B39</f>
        <v>0.5</v>
      </c>
      <c r="D39" s="60" cm="1">
        <f t="array" aca="1" ref="D39" ca="1">_xll.VoseSimPercentile(Cost_A,$C39)</f>
        <v>8.5013267404110398</v>
      </c>
      <c r="E39" s="60" cm="1">
        <f t="array" aca="1" ref="E39" ca="1">_xll.VoseSimPercentile(Cost_B,$C39)</f>
        <v>25.233573451742835</v>
      </c>
      <c r="F39" s="60" cm="1">
        <f t="array" aca="1" ref="F39" ca="1">_xll.VoseSimPercentile(Cost_C,$C39)</f>
        <v>28.794595146040045</v>
      </c>
      <c r="G39" s="28"/>
    </row>
    <row r="40" spans="2:7" x14ac:dyDescent="0.45">
      <c r="B40" s="66">
        <v>10</v>
      </c>
      <c r="C40" s="67">
        <f t="shared" si="0"/>
        <v>0.9</v>
      </c>
      <c r="D40" s="60" cm="1">
        <f t="array" aca="1" ref="D40" ca="1">_xll.VoseSimPercentile(Cost_A,$C40)</f>
        <v>36.672290281516403</v>
      </c>
      <c r="E40" s="60" cm="1">
        <f t="array" aca="1" ref="E40" ca="1">_xll.VoseSimPercentile(Cost_B,$C40)</f>
        <v>38.3829070375008</v>
      </c>
      <c r="F40" s="60" cm="1">
        <f t="array" aca="1" ref="F40" ca="1">_xll.VoseSimPercentile(Cost_C,$C40)</f>
        <v>51.23657092541869</v>
      </c>
      <c r="G40" s="28"/>
    </row>
    <row r="41" spans="2:7" x14ac:dyDescent="0.45">
      <c r="B41" s="66">
        <v>20</v>
      </c>
      <c r="C41" s="67">
        <f t="shared" si="0"/>
        <v>0.95</v>
      </c>
      <c r="D41" s="60" cm="1">
        <f t="array" aca="1" ref="D41" ca="1">_xll.VoseSimPercentile(Cost_A,$C41)</f>
        <v>55.48389016228198</v>
      </c>
      <c r="E41" s="60" cm="1">
        <f t="array" aca="1" ref="E41" ca="1">_xll.VoseSimPercentile(Cost_B,$C41)</f>
        <v>42.556776017783591</v>
      </c>
      <c r="F41" s="60" cm="1">
        <f t="array" aca="1" ref="F41" ca="1">_xll.VoseSimPercentile(Cost_C,$C41)</f>
        <v>58.393244533268032</v>
      </c>
      <c r="G41" s="28"/>
    </row>
    <row r="42" spans="2:7" x14ac:dyDescent="0.45">
      <c r="B42" s="66">
        <v>50</v>
      </c>
      <c r="C42" s="67">
        <f t="shared" si="0"/>
        <v>0.98</v>
      </c>
      <c r="D42" s="60" cm="1">
        <f t="array" aca="1" ref="D42" ca="1">_xll.VoseSimPercentile(Cost_A,$C42)</f>
        <v>147.76739211647572</v>
      </c>
      <c r="E42" s="60" cm="1">
        <f t="array" aca="1" ref="E42" ca="1">_xll.VoseSimPercentile(Cost_B,$C42)</f>
        <v>49.454192887942312</v>
      </c>
      <c r="F42" s="60" cm="1">
        <f t="array" aca="1" ref="F42" ca="1">_xll.VoseSimPercentile(Cost_C,$C42)</f>
        <v>68.700371995633148</v>
      </c>
      <c r="G42" s="28"/>
    </row>
    <row r="43" spans="2:7" x14ac:dyDescent="0.45">
      <c r="B43" s="66">
        <v>100</v>
      </c>
      <c r="C43" s="67">
        <f t="shared" si="0"/>
        <v>0.99</v>
      </c>
      <c r="D43" s="60" cm="1">
        <f t="array" aca="1" ref="D43" ca="1">_xll.VoseSimPercentile(Cost_A,$C43)</f>
        <v>534.46895840513434</v>
      </c>
      <c r="E43" s="60" cm="1">
        <f t="array" aca="1" ref="E43" ca="1">_xll.VoseSimPercentile(Cost_B,$C43)</f>
        <v>63.941282299602562</v>
      </c>
      <c r="F43" s="60" cm="1">
        <f t="array" aca="1" ref="F43" ca="1">_xll.VoseSimPercentile(Cost_C,$C43)</f>
        <v>76.52698822029943</v>
      </c>
      <c r="G43" s="28"/>
    </row>
    <row r="44" spans="2:7" x14ac:dyDescent="0.45">
      <c r="B44" s="66">
        <v>200</v>
      </c>
      <c r="C44" s="67">
        <f t="shared" si="0"/>
        <v>0.995</v>
      </c>
      <c r="D44" s="60" cm="1">
        <f t="array" aca="1" ref="D44" ca="1">_xll.VoseSimPercentile(Cost_A,$C44)</f>
        <v>987.75064774081784</v>
      </c>
      <c r="E44" s="60" cm="1">
        <f t="array" aca="1" ref="E44" ca="1">_xll.VoseSimPercentile(Cost_B,$C44)</f>
        <v>501.35139771342057</v>
      </c>
      <c r="F44" s="60" cm="1">
        <f t="array" aca="1" ref="F44" ca="1">_xll.VoseSimPercentile(Cost_C,$C44)</f>
        <v>84.062740594274374</v>
      </c>
      <c r="G44" s="28"/>
    </row>
    <row r="45" spans="2:7" x14ac:dyDescent="0.45">
      <c r="B45" s="65" t="s">
        <v>228</v>
      </c>
    </row>
    <row r="46" spans="2:7" ht="8" customHeight="1" x14ac:dyDescent="0.45"/>
    <row r="47" spans="2:7" ht="22.05" customHeight="1" x14ac:dyDescent="0.5">
      <c r="B47" s="7" t="s">
        <v>229</v>
      </c>
      <c r="C47" s="8"/>
      <c r="D47" s="8"/>
      <c r="E47" s="8"/>
      <c r="F47" s="8"/>
      <c r="G47" s="8"/>
    </row>
    <row r="48" spans="2:7" ht="18" customHeight="1" x14ac:dyDescent="0.45">
      <c r="B48" s="13" t="s">
        <v>230</v>
      </c>
    </row>
    <row r="49" spans="2:7" ht="18" customHeight="1" x14ac:dyDescent="0.45">
      <c r="B49" s="23" t="s">
        <v>198</v>
      </c>
      <c r="C49" s="23" t="s">
        <v>98</v>
      </c>
      <c r="D49" s="24" t="s">
        <v>138</v>
      </c>
      <c r="E49" s="5"/>
      <c r="F49" s="5"/>
      <c r="G49" s="5"/>
    </row>
    <row r="50" spans="2:7" x14ac:dyDescent="0.45">
      <c r="B50" s="68" t="s">
        <v>231</v>
      </c>
      <c r="C50" s="26" t="s">
        <v>107</v>
      </c>
      <c r="D50" s="49">
        <f>ExpRec_B</f>
        <v>11.951604793808425</v>
      </c>
      <c r="E50" s="28"/>
      <c r="F50" s="28"/>
      <c r="G50" s="28"/>
    </row>
    <row r="51" spans="2:7" x14ac:dyDescent="0.45">
      <c r="B51" s="68" t="s">
        <v>232</v>
      </c>
      <c r="C51" s="26" t="s">
        <v>107</v>
      </c>
      <c r="D51" s="49">
        <f>Prem_B</f>
        <v>16.732246711331793</v>
      </c>
      <c r="E51" s="28"/>
      <c r="F51" s="28"/>
      <c r="G51" s="28"/>
    </row>
    <row r="52" spans="2:7" x14ac:dyDescent="0.45">
      <c r="B52" s="68" t="s">
        <v>233</v>
      </c>
      <c r="C52" s="26" t="s">
        <v>107</v>
      </c>
      <c r="D52" s="49">
        <f>Prem_B-ExpRec_B</f>
        <v>4.7806419175233685</v>
      </c>
      <c r="E52" s="28"/>
      <c r="F52" s="28"/>
      <c r="G52" s="28"/>
    </row>
    <row r="53" spans="2:7" x14ac:dyDescent="0.45">
      <c r="B53" s="68" t="s">
        <v>234</v>
      </c>
      <c r="C53" s="26" t="s">
        <v>107</v>
      </c>
      <c r="D53" s="49">
        <f>ExpRec_C</f>
        <v>14.495191718306433</v>
      </c>
      <c r="E53" s="28"/>
      <c r="F53" s="28"/>
      <c r="G53" s="28"/>
    </row>
    <row r="54" spans="2:7" x14ac:dyDescent="0.45">
      <c r="B54" s="68" t="s">
        <v>235</v>
      </c>
      <c r="C54" s="26" t="s">
        <v>107</v>
      </c>
      <c r="D54" s="49">
        <f>Prem_C</f>
        <v>20.293268405629004</v>
      </c>
      <c r="E54" s="28"/>
      <c r="F54" s="28"/>
      <c r="G54" s="28"/>
    </row>
    <row r="55" spans="2:7" x14ac:dyDescent="0.45">
      <c r="B55" s="68" t="s">
        <v>236</v>
      </c>
      <c r="C55" s="26" t="s">
        <v>107</v>
      </c>
      <c r="D55" s="49">
        <f>Prem_C-ExpRec_C</f>
        <v>5.7980766873225704</v>
      </c>
      <c r="E55" s="28"/>
      <c r="F55" s="28"/>
      <c r="G55" s="28"/>
    </row>
    <row r="56" spans="2:7" x14ac:dyDescent="0.45">
      <c r="B56" s="25" t="s">
        <v>237</v>
      </c>
      <c r="C56" s="26" t="s">
        <v>107</v>
      </c>
      <c r="D56" s="69" cm="1">
        <f t="array" aca="1" ref="D56" ca="1">_xll.VoseSimMean(Rec_B)</f>
        <v>11.996775623484334</v>
      </c>
      <c r="E56" s="28"/>
      <c r="F56" s="28"/>
      <c r="G56" s="28"/>
    </row>
    <row r="57" spans="2:7" x14ac:dyDescent="0.45">
      <c r="B57" s="25" t="s">
        <v>238</v>
      </c>
      <c r="C57" s="26" t="s">
        <v>107</v>
      </c>
      <c r="D57" s="69" cm="1">
        <f t="array" aca="1" ref="D57" ca="1">_xll.VoseSimMean(Rec_C)</f>
        <v>14.589496543480898</v>
      </c>
      <c r="E57" s="28"/>
      <c r="F57" s="28"/>
      <c r="G57" s="28"/>
    </row>
    <row r="58" spans="2:7" ht="8" customHeight="1" x14ac:dyDescent="0.45"/>
    <row r="59" spans="2:7" ht="22.05" customHeight="1" x14ac:dyDescent="0.5">
      <c r="B59" s="7" t="s">
        <v>239</v>
      </c>
      <c r="C59" s="8"/>
      <c r="D59" s="8"/>
      <c r="E59" s="8"/>
      <c r="F59" s="8"/>
      <c r="G59" s="8"/>
    </row>
    <row r="60" spans="2:7" ht="32" customHeight="1" x14ac:dyDescent="0.45">
      <c r="B60" s="73" t="s">
        <v>240</v>
      </c>
      <c r="C60" s="74"/>
      <c r="D60" s="74"/>
      <c r="E60" s="74"/>
      <c r="F60" s="74"/>
      <c r="G60" s="74"/>
    </row>
    <row r="61" spans="2:7" ht="45" customHeight="1" x14ac:dyDescent="0.45">
      <c r="B61" s="73" t="s">
        <v>241</v>
      </c>
      <c r="C61" s="74"/>
      <c r="D61" s="74"/>
      <c r="E61" s="74"/>
      <c r="F61" s="74"/>
      <c r="G61" s="74"/>
    </row>
    <row r="62" spans="2:7" ht="45" customHeight="1" x14ac:dyDescent="0.45">
      <c r="B62" s="73" t="s">
        <v>242</v>
      </c>
      <c r="C62" s="74"/>
      <c r="D62" s="74"/>
      <c r="E62" s="74"/>
      <c r="F62" s="74"/>
      <c r="G62" s="74"/>
    </row>
    <row r="63" spans="2:7" ht="32" customHeight="1" x14ac:dyDescent="0.45">
      <c r="B63" s="73" t="s">
        <v>243</v>
      </c>
      <c r="C63" s="74"/>
      <c r="D63" s="74"/>
      <c r="E63" s="74"/>
      <c r="F63" s="74"/>
      <c r="G63" s="74"/>
    </row>
    <row r="64" spans="2:7" ht="14" customHeight="1" x14ac:dyDescent="0.45"/>
    <row r="65" spans="2:7" ht="14" customHeight="1" x14ac:dyDescent="0.45"/>
    <row r="66" spans="2:7" ht="22.05" customHeight="1" x14ac:dyDescent="0.5">
      <c r="B66" s="7" t="s">
        <v>244</v>
      </c>
      <c r="C66" s="8"/>
      <c r="D66" s="8"/>
      <c r="E66" s="8"/>
      <c r="F66" s="8"/>
      <c r="G66" s="8"/>
    </row>
    <row r="67" spans="2:7" ht="18" customHeight="1" x14ac:dyDescent="0.45">
      <c r="B67" s="13" t="s">
        <v>245</v>
      </c>
    </row>
    <row r="68" spans="2:7" ht="28.05" hidden="1" customHeight="1" outlineLevel="1" x14ac:dyDescent="0.45">
      <c r="B68" s="24" t="s">
        <v>246</v>
      </c>
      <c r="C68" s="24" t="s">
        <v>247</v>
      </c>
      <c r="D68" s="24" t="s">
        <v>248</v>
      </c>
      <c r="E68" s="24" t="s">
        <v>249</v>
      </c>
      <c r="F68" s="24" t="s">
        <v>250</v>
      </c>
      <c r="G68" s="24" t="s">
        <v>251</v>
      </c>
    </row>
    <row r="69" spans="2:7" hidden="1" outlineLevel="1" x14ac:dyDescent="0.45">
      <c r="B69" s="70">
        <v>0.01</v>
      </c>
      <c r="C69" s="70">
        <f t="shared" ref="C69:C100" si="1">1-B69</f>
        <v>0.99</v>
      </c>
      <c r="D69" s="71" cm="1">
        <f t="array" aca="1" ref="D69" ca="1">IF(ISNUMBER(_xll.VoseSimPercentile(Gross,$B69)),_xll.VoseSimPercentile(Gross,$B69),NA())</f>
        <v>1.2697698069458978</v>
      </c>
      <c r="E69" s="71" cm="1">
        <f t="array" aca="1" ref="E69" ca="1">IF(ISNUMBER(_xll.VoseSimPercentile(Cost_A,$B69)),_xll.VoseSimPercentile(Cost_A,$B69),NA())</f>
        <v>1.2697698069458978</v>
      </c>
      <c r="F69" s="71" cm="1">
        <f t="array" aca="1" ref="F69" ca="1">IF(ISNUMBER(_xll.VoseSimPercentile(Cost_B,$B69)),_xll.VoseSimPercentile(Cost_B,$B69),NA())</f>
        <v>18.002016518277692</v>
      </c>
      <c r="G69" s="71" cm="1">
        <f t="array" aca="1" ref="G69" ca="1">IF(ISNUMBER(_xll.VoseSimPercentile(Cost_C,$B69)),_xll.VoseSimPercentile(Cost_C,$B69),NA())</f>
        <v>21.563038212574902</v>
      </c>
    </row>
    <row r="70" spans="2:7" hidden="1" outlineLevel="1" x14ac:dyDescent="0.45">
      <c r="B70" s="70">
        <v>0.03</v>
      </c>
      <c r="C70" s="70">
        <f t="shared" si="1"/>
        <v>0.97</v>
      </c>
      <c r="D70" s="71" cm="1">
        <f t="array" aca="1" ref="D70" ca="1">IF(ISNUMBER(_xll.VoseSimPercentile(Gross,$B70)),_xll.VoseSimPercentile(Gross,$B70),NA())</f>
        <v>1.8769215441903708</v>
      </c>
      <c r="E70" s="71" cm="1">
        <f t="array" aca="1" ref="E70" ca="1">IF(ISNUMBER(_xll.VoseSimPercentile(Cost_A,$B70)),_xll.VoseSimPercentile(Cost_A,$B70),NA())</f>
        <v>1.8769215441903708</v>
      </c>
      <c r="F70" s="71" cm="1">
        <f t="array" aca="1" ref="F70" ca="1">IF(ISNUMBER(_xll.VoseSimPercentile(Cost_B,$B70)),_xll.VoseSimPercentile(Cost_B,$B70),NA())</f>
        <v>18.609168255522164</v>
      </c>
      <c r="G70" s="71" cm="1">
        <f t="array" aca="1" ref="G70" ca="1">IF(ISNUMBER(_xll.VoseSimPercentile(Cost_C,$B70)),_xll.VoseSimPercentile(Cost_C,$B70),NA())</f>
        <v>22.170189949819374</v>
      </c>
    </row>
    <row r="71" spans="2:7" hidden="1" outlineLevel="1" x14ac:dyDescent="0.45">
      <c r="B71" s="70">
        <v>0.05</v>
      </c>
      <c r="C71" s="70">
        <f t="shared" si="1"/>
        <v>0.95</v>
      </c>
      <c r="D71" s="71" cm="1">
        <f t="array" aca="1" ref="D71" ca="1">IF(ISNUMBER(_xll.VoseSimPercentile(Gross,$B71)),_xll.VoseSimPercentile(Gross,$B71),NA())</f>
        <v>2.2176185709793494</v>
      </c>
      <c r="E71" s="71" cm="1">
        <f t="array" aca="1" ref="E71" ca="1">IF(ISNUMBER(_xll.VoseSimPercentile(Cost_A,$B71)),_xll.VoseSimPercentile(Cost_A,$B71),NA())</f>
        <v>2.2176185709793494</v>
      </c>
      <c r="F71" s="71" cm="1">
        <f t="array" aca="1" ref="F71" ca="1">IF(ISNUMBER(_xll.VoseSimPercentile(Cost_B,$B71)),_xll.VoseSimPercentile(Cost_B,$B71),NA())</f>
        <v>18.949865282311144</v>
      </c>
      <c r="G71" s="71" cm="1">
        <f t="array" aca="1" ref="G71" ca="1">IF(ISNUMBER(_xll.VoseSimPercentile(Cost_C,$B71)),_xll.VoseSimPercentile(Cost_C,$B71),NA())</f>
        <v>22.510886976608354</v>
      </c>
    </row>
    <row r="72" spans="2:7" hidden="1" outlineLevel="1" x14ac:dyDescent="0.45">
      <c r="B72" s="70">
        <v>7.0000000000000007E-2</v>
      </c>
      <c r="C72" s="70">
        <f t="shared" si="1"/>
        <v>0.92999999999999994</v>
      </c>
      <c r="D72" s="71" cm="1">
        <f t="array" aca="1" ref="D72" ca="1">IF(ISNUMBER(_xll.VoseSimPercentile(Gross,$B72)),_xll.VoseSimPercentile(Gross,$B72),NA())</f>
        <v>2.5049348753643357</v>
      </c>
      <c r="E72" s="71" cm="1">
        <f t="array" aca="1" ref="E72" ca="1">IF(ISNUMBER(_xll.VoseSimPercentile(Cost_A,$B72)),_xll.VoseSimPercentile(Cost_A,$B72),NA())</f>
        <v>2.5049348753643357</v>
      </c>
      <c r="F72" s="71" cm="1">
        <f t="array" aca="1" ref="F72" ca="1">IF(ISNUMBER(_xll.VoseSimPercentile(Cost_B,$B72)),_xll.VoseSimPercentile(Cost_B,$B72),NA())</f>
        <v>19.237181586696128</v>
      </c>
      <c r="G72" s="71" cm="1">
        <f t="array" aca="1" ref="G72" ca="1">IF(ISNUMBER(_xll.VoseSimPercentile(Cost_C,$B72)),_xll.VoseSimPercentile(Cost_C,$B72),NA())</f>
        <v>22.798203280993338</v>
      </c>
    </row>
    <row r="73" spans="2:7" hidden="1" outlineLevel="1" x14ac:dyDescent="0.45">
      <c r="B73" s="70">
        <v>0.09</v>
      </c>
      <c r="C73" s="70">
        <f t="shared" si="1"/>
        <v>0.91</v>
      </c>
      <c r="D73" s="71" cm="1">
        <f t="array" aca="1" ref="D73" ca="1">IF(ISNUMBER(_xll.VoseSimPercentile(Gross,$B73)),_xll.VoseSimPercentile(Gross,$B73),NA())</f>
        <v>2.8089596110594366</v>
      </c>
      <c r="E73" s="71" cm="1">
        <f t="array" aca="1" ref="E73" ca="1">IF(ISNUMBER(_xll.VoseSimPercentile(Cost_A,$B73)),_xll.VoseSimPercentile(Cost_A,$B73),NA())</f>
        <v>2.8089596110594366</v>
      </c>
      <c r="F73" s="71" cm="1">
        <f t="array" aca="1" ref="F73" ca="1">IF(ISNUMBER(_xll.VoseSimPercentile(Cost_B,$B73)),_xll.VoseSimPercentile(Cost_B,$B73),NA())</f>
        <v>19.541206322391229</v>
      </c>
      <c r="G73" s="71" cm="1">
        <f t="array" aca="1" ref="G73" ca="1">IF(ISNUMBER(_xll.VoseSimPercentile(Cost_C,$B73)),_xll.VoseSimPercentile(Cost_C,$B73),NA())</f>
        <v>23.102228016688439</v>
      </c>
    </row>
    <row r="74" spans="2:7" hidden="1" outlineLevel="1" x14ac:dyDescent="0.45">
      <c r="B74" s="70">
        <v>0.11</v>
      </c>
      <c r="C74" s="70">
        <f t="shared" si="1"/>
        <v>0.89</v>
      </c>
      <c r="D74" s="71" cm="1">
        <f t="array" aca="1" ref="D74" ca="1">IF(ISNUMBER(_xll.VoseSimPercentile(Gross,$B74)),_xll.VoseSimPercentile(Gross,$B74),NA())</f>
        <v>3.0357426903518649</v>
      </c>
      <c r="E74" s="71" cm="1">
        <f t="array" aca="1" ref="E74" ca="1">IF(ISNUMBER(_xll.VoseSimPercentile(Cost_A,$B74)),_xll.VoseSimPercentile(Cost_A,$B74),NA())</f>
        <v>3.0357426903518649</v>
      </c>
      <c r="F74" s="71" cm="1">
        <f t="array" aca="1" ref="F74" ca="1">IF(ISNUMBER(_xll.VoseSimPercentile(Cost_B,$B74)),_xll.VoseSimPercentile(Cost_B,$B74),NA())</f>
        <v>19.767989401683657</v>
      </c>
      <c r="G74" s="71" cm="1">
        <f t="array" aca="1" ref="G74" ca="1">IF(ISNUMBER(_xll.VoseSimPercentile(Cost_C,$B74)),_xll.VoseSimPercentile(Cost_C,$B74),NA())</f>
        <v>23.329011095980867</v>
      </c>
    </row>
    <row r="75" spans="2:7" hidden="1" outlineLevel="1" x14ac:dyDescent="0.45">
      <c r="B75" s="70">
        <v>0.13</v>
      </c>
      <c r="C75" s="70">
        <f t="shared" si="1"/>
        <v>0.87</v>
      </c>
      <c r="D75" s="71" cm="1">
        <f t="array" aca="1" ref="D75" ca="1">IF(ISNUMBER(_xll.VoseSimPercentile(Gross,$B75)),_xll.VoseSimPercentile(Gross,$B75),NA())</f>
        <v>3.274975952997083</v>
      </c>
      <c r="E75" s="71" cm="1">
        <f t="array" aca="1" ref="E75" ca="1">IF(ISNUMBER(_xll.VoseSimPercentile(Cost_A,$B75)),_xll.VoseSimPercentile(Cost_A,$B75),NA())</f>
        <v>3.274975952997083</v>
      </c>
      <c r="F75" s="71" cm="1">
        <f t="array" aca="1" ref="F75" ca="1">IF(ISNUMBER(_xll.VoseSimPercentile(Cost_B,$B75)),_xll.VoseSimPercentile(Cost_B,$B75),NA())</f>
        <v>20.007222664328875</v>
      </c>
      <c r="G75" s="71" cm="1">
        <f t="array" aca="1" ref="G75" ca="1">IF(ISNUMBER(_xll.VoseSimPercentile(Cost_C,$B75)),_xll.VoseSimPercentile(Cost_C,$B75),NA())</f>
        <v>23.568244358626085</v>
      </c>
    </row>
    <row r="76" spans="2:7" hidden="1" outlineLevel="1" x14ac:dyDescent="0.45">
      <c r="B76" s="70">
        <v>0.15</v>
      </c>
      <c r="C76" s="70">
        <f t="shared" si="1"/>
        <v>0.85</v>
      </c>
      <c r="D76" s="71" cm="1">
        <f t="array" aca="1" ref="D76" ca="1">IF(ISNUMBER(_xll.VoseSimPercentile(Gross,$B76)),_xll.VoseSimPercentile(Gross,$B76),NA())</f>
        <v>3.4980182092966077</v>
      </c>
      <c r="E76" s="71" cm="1">
        <f t="array" aca="1" ref="E76" ca="1">IF(ISNUMBER(_xll.VoseSimPercentile(Cost_A,$B76)),_xll.VoseSimPercentile(Cost_A,$B76),NA())</f>
        <v>3.4980182092966077</v>
      </c>
      <c r="F76" s="71" cm="1">
        <f t="array" aca="1" ref="F76" ca="1">IF(ISNUMBER(_xll.VoseSimPercentile(Cost_B,$B76)),_xll.VoseSimPercentile(Cost_B,$B76),NA())</f>
        <v>20.2302649206284</v>
      </c>
      <c r="G76" s="71" cm="1">
        <f t="array" aca="1" ref="G76" ca="1">IF(ISNUMBER(_xll.VoseSimPercentile(Cost_C,$B76)),_xll.VoseSimPercentile(Cost_C,$B76),NA())</f>
        <v>23.79128661492561</v>
      </c>
    </row>
    <row r="77" spans="2:7" hidden="1" outlineLevel="1" x14ac:dyDescent="0.45">
      <c r="B77" s="70">
        <v>0.17</v>
      </c>
      <c r="C77" s="70">
        <f t="shared" si="1"/>
        <v>0.83</v>
      </c>
      <c r="D77" s="71" cm="1">
        <f t="array" aca="1" ref="D77" ca="1">IF(ISNUMBER(_xll.VoseSimPercentile(Gross,$B77)),_xll.VoseSimPercentile(Gross,$B77),NA())</f>
        <v>3.7230304730272361</v>
      </c>
      <c r="E77" s="71" cm="1">
        <f t="array" aca="1" ref="E77" ca="1">IF(ISNUMBER(_xll.VoseSimPercentile(Cost_A,$B77)),_xll.VoseSimPercentile(Cost_A,$B77),NA())</f>
        <v>3.7230304730272361</v>
      </c>
      <c r="F77" s="71" cm="1">
        <f t="array" aca="1" ref="F77" ca="1">IF(ISNUMBER(_xll.VoseSimPercentile(Cost_B,$B77)),_xll.VoseSimPercentile(Cost_B,$B77),NA())</f>
        <v>20.45527718435903</v>
      </c>
      <c r="G77" s="71" cm="1">
        <f t="array" aca="1" ref="G77" ca="1">IF(ISNUMBER(_xll.VoseSimPercentile(Cost_C,$B77)),_xll.VoseSimPercentile(Cost_C,$B77),NA())</f>
        <v>24.01629887865624</v>
      </c>
    </row>
    <row r="78" spans="2:7" hidden="1" outlineLevel="1" x14ac:dyDescent="0.45">
      <c r="B78" s="70">
        <v>0.19</v>
      </c>
      <c r="C78" s="70">
        <f t="shared" si="1"/>
        <v>0.81</v>
      </c>
      <c r="D78" s="71" cm="1">
        <f t="array" aca="1" ref="D78" ca="1">IF(ISNUMBER(_xll.VoseSimPercentile(Gross,$B78)),_xll.VoseSimPercentile(Gross,$B78),NA())</f>
        <v>3.932981166531043</v>
      </c>
      <c r="E78" s="71" cm="1">
        <f t="array" aca="1" ref="E78" ca="1">IF(ISNUMBER(_xll.VoseSimPercentile(Cost_A,$B78)),_xll.VoseSimPercentile(Cost_A,$B78),NA())</f>
        <v>3.932981166531043</v>
      </c>
      <c r="F78" s="71" cm="1">
        <f t="array" aca="1" ref="F78" ca="1">IF(ISNUMBER(_xll.VoseSimPercentile(Cost_B,$B78)),_xll.VoseSimPercentile(Cost_B,$B78),NA())</f>
        <v>20.665227877862836</v>
      </c>
      <c r="G78" s="71" cm="1">
        <f t="array" aca="1" ref="G78" ca="1">IF(ISNUMBER(_xll.VoseSimPercentile(Cost_C,$B78)),_xll.VoseSimPercentile(Cost_C,$B78),NA())</f>
        <v>24.226249572160047</v>
      </c>
    </row>
    <row r="79" spans="2:7" hidden="1" outlineLevel="1" x14ac:dyDescent="0.45">
      <c r="B79" s="70">
        <v>0.21</v>
      </c>
      <c r="C79" s="70">
        <f t="shared" si="1"/>
        <v>0.79</v>
      </c>
      <c r="D79" s="71" cm="1">
        <f t="array" aca="1" ref="D79" ca="1">IF(ISNUMBER(_xll.VoseSimPercentile(Gross,$B79)),_xll.VoseSimPercentile(Gross,$B79),NA())</f>
        <v>4.1348431868444546</v>
      </c>
      <c r="E79" s="71" cm="1">
        <f t="array" aca="1" ref="E79" ca="1">IF(ISNUMBER(_xll.VoseSimPercentile(Cost_A,$B79)),_xll.VoseSimPercentile(Cost_A,$B79),NA())</f>
        <v>4.1348431868444546</v>
      </c>
      <c r="F79" s="71" cm="1">
        <f t="array" aca="1" ref="F79" ca="1">IF(ISNUMBER(_xll.VoseSimPercentile(Cost_B,$B79)),_xll.VoseSimPercentile(Cost_B,$B79),NA())</f>
        <v>20.867089898176246</v>
      </c>
      <c r="G79" s="71" cm="1">
        <f t="array" aca="1" ref="G79" ca="1">IF(ISNUMBER(_xll.VoseSimPercentile(Cost_C,$B79)),_xll.VoseSimPercentile(Cost_C,$B79),NA())</f>
        <v>24.428111592473456</v>
      </c>
    </row>
    <row r="80" spans="2:7" hidden="1" outlineLevel="1" x14ac:dyDescent="0.45">
      <c r="B80" s="70">
        <v>0.23</v>
      </c>
      <c r="C80" s="70">
        <f t="shared" si="1"/>
        <v>0.77</v>
      </c>
      <c r="D80" s="71" cm="1">
        <f t="array" aca="1" ref="D80" ca="1">IF(ISNUMBER(_xll.VoseSimPercentile(Gross,$B80)),_xll.VoseSimPercentile(Gross,$B80),NA())</f>
        <v>4.3486840064459136</v>
      </c>
      <c r="E80" s="71" cm="1">
        <f t="array" aca="1" ref="E80" ca="1">IF(ISNUMBER(_xll.VoseSimPercentile(Cost_A,$B80)),_xll.VoseSimPercentile(Cost_A,$B80),NA())</f>
        <v>4.3486840064459136</v>
      </c>
      <c r="F80" s="71" cm="1">
        <f t="array" aca="1" ref="F80" ca="1">IF(ISNUMBER(_xll.VoseSimPercentile(Cost_B,$B80)),_xll.VoseSimPercentile(Cost_B,$B80),NA())</f>
        <v>21.080930717777708</v>
      </c>
      <c r="G80" s="71" cm="1">
        <f t="array" aca="1" ref="G80" ca="1">IF(ISNUMBER(_xll.VoseSimPercentile(Cost_C,$B80)),_xll.VoseSimPercentile(Cost_C,$B80),NA())</f>
        <v>24.641952412074918</v>
      </c>
    </row>
    <row r="81" spans="2:7" hidden="1" outlineLevel="1" x14ac:dyDescent="0.45">
      <c r="B81" s="70">
        <v>0.25</v>
      </c>
      <c r="C81" s="70">
        <f t="shared" si="1"/>
        <v>0.75</v>
      </c>
      <c r="D81" s="71" cm="1">
        <f t="array" aca="1" ref="D81" ca="1">IF(ISNUMBER(_xll.VoseSimPercentile(Gross,$B81)),_xll.VoseSimPercentile(Gross,$B81),NA())</f>
        <v>4.5614179221744351</v>
      </c>
      <c r="E81" s="71" cm="1">
        <f t="array" aca="1" ref="E81" ca="1">IF(ISNUMBER(_xll.VoseSimPercentile(Cost_A,$B81)),_xll.VoseSimPercentile(Cost_A,$B81),NA())</f>
        <v>4.5614179221744351</v>
      </c>
      <c r="F81" s="71" cm="1">
        <f t="array" aca="1" ref="F81" ca="1">IF(ISNUMBER(_xll.VoseSimPercentile(Cost_B,$B81)),_xll.VoseSimPercentile(Cost_B,$B81),NA())</f>
        <v>21.293664633506229</v>
      </c>
      <c r="G81" s="71" cm="1">
        <f t="array" aca="1" ref="G81" ca="1">IF(ISNUMBER(_xll.VoseSimPercentile(Cost_C,$B81)),_xll.VoseSimPercentile(Cost_C,$B81),NA())</f>
        <v>24.854686327803439</v>
      </c>
    </row>
    <row r="82" spans="2:7" hidden="1" outlineLevel="1" x14ac:dyDescent="0.45">
      <c r="B82" s="70">
        <v>0.27</v>
      </c>
      <c r="C82" s="70">
        <f t="shared" si="1"/>
        <v>0.73</v>
      </c>
      <c r="D82" s="71" cm="1">
        <f t="array" aca="1" ref="D82" ca="1">IF(ISNUMBER(_xll.VoseSimPercentile(Gross,$B82)),_xll.VoseSimPercentile(Gross,$B82),NA())</f>
        <v>4.7930962685392791</v>
      </c>
      <c r="E82" s="71" cm="1">
        <f t="array" aca="1" ref="E82" ca="1">IF(ISNUMBER(_xll.VoseSimPercentile(Cost_A,$B82)),_xll.VoseSimPercentile(Cost_A,$B82),NA())</f>
        <v>4.7930962685392791</v>
      </c>
      <c r="F82" s="71" cm="1">
        <f t="array" aca="1" ref="F82" ca="1">IF(ISNUMBER(_xll.VoseSimPercentile(Cost_B,$B82)),_xll.VoseSimPercentile(Cost_B,$B82),NA())</f>
        <v>21.525342979871073</v>
      </c>
      <c r="G82" s="71" cm="1">
        <f t="array" aca="1" ref="G82" ca="1">IF(ISNUMBER(_xll.VoseSimPercentile(Cost_C,$B82)),_xll.VoseSimPercentile(Cost_C,$B82),NA())</f>
        <v>25.086364674168284</v>
      </c>
    </row>
    <row r="83" spans="2:7" hidden="1" outlineLevel="1" x14ac:dyDescent="0.45">
      <c r="B83" s="70">
        <v>0.28999999999999998</v>
      </c>
      <c r="C83" s="70">
        <f t="shared" si="1"/>
        <v>0.71</v>
      </c>
      <c r="D83" s="71" cm="1">
        <f t="array" aca="1" ref="D83" ca="1">IF(ISNUMBER(_xll.VoseSimPercentile(Gross,$B83)),_xll.VoseSimPercentile(Gross,$B83),NA())</f>
        <v>5.0201063186561887</v>
      </c>
      <c r="E83" s="71" cm="1">
        <f t="array" aca="1" ref="E83" ca="1">IF(ISNUMBER(_xll.VoseSimPercentile(Cost_A,$B83)),_xll.VoseSimPercentile(Cost_A,$B83),NA())</f>
        <v>5.0201063186561887</v>
      </c>
      <c r="F83" s="71" cm="1">
        <f t="array" aca="1" ref="F83" ca="1">IF(ISNUMBER(_xll.VoseSimPercentile(Cost_B,$B83)),_xll.VoseSimPercentile(Cost_B,$B83),NA())</f>
        <v>21.752353029987983</v>
      </c>
      <c r="G83" s="71" cm="1">
        <f t="array" aca="1" ref="G83" ca="1">IF(ISNUMBER(_xll.VoseSimPercentile(Cost_C,$B83)),_xll.VoseSimPercentile(Cost_C,$B83),NA())</f>
        <v>25.313374724285193</v>
      </c>
    </row>
    <row r="84" spans="2:7" hidden="1" outlineLevel="1" x14ac:dyDescent="0.45">
      <c r="B84" s="70">
        <v>0.31</v>
      </c>
      <c r="C84" s="70">
        <f t="shared" si="1"/>
        <v>0.69</v>
      </c>
      <c r="D84" s="71" cm="1">
        <f t="array" aca="1" ref="D84" ca="1">IF(ISNUMBER(_xll.VoseSimPercentile(Gross,$B84)),_xll.VoseSimPercentile(Gross,$B84),NA())</f>
        <v>5.2659064838924499</v>
      </c>
      <c r="E84" s="71" cm="1">
        <f t="array" aca="1" ref="E84" ca="1">IF(ISNUMBER(_xll.VoseSimPercentile(Cost_A,$B84)),_xll.VoseSimPercentile(Cost_A,$B84),NA())</f>
        <v>5.2659064838924499</v>
      </c>
      <c r="F84" s="71" cm="1">
        <f t="array" aca="1" ref="F84" ca="1">IF(ISNUMBER(_xll.VoseSimPercentile(Cost_B,$B84)),_xll.VoseSimPercentile(Cost_B,$B84),NA())</f>
        <v>21.998153195224244</v>
      </c>
      <c r="G84" s="71" cm="1">
        <f t="array" aca="1" ref="G84" ca="1">IF(ISNUMBER(_xll.VoseSimPercentile(Cost_C,$B84)),_xll.VoseSimPercentile(Cost_C,$B84),NA())</f>
        <v>25.559174889521454</v>
      </c>
    </row>
    <row r="85" spans="2:7" hidden="1" outlineLevel="1" x14ac:dyDescent="0.45">
      <c r="B85" s="70">
        <v>0.33</v>
      </c>
      <c r="C85" s="70">
        <f t="shared" si="1"/>
        <v>0.66999999999999993</v>
      </c>
      <c r="D85" s="71" cm="1">
        <f t="array" aca="1" ref="D85" ca="1">IF(ISNUMBER(_xll.VoseSimPercentile(Gross,$B85)),_xll.VoseSimPercentile(Gross,$B85),NA())</f>
        <v>5.5325752619050128</v>
      </c>
      <c r="E85" s="71" cm="1">
        <f t="array" aca="1" ref="E85" ca="1">IF(ISNUMBER(_xll.VoseSimPercentile(Cost_A,$B85)),_xll.VoseSimPercentile(Cost_A,$B85),NA())</f>
        <v>5.5325752619050128</v>
      </c>
      <c r="F85" s="71" cm="1">
        <f t="array" aca="1" ref="F85" ca="1">IF(ISNUMBER(_xll.VoseSimPercentile(Cost_B,$B85)),_xll.VoseSimPercentile(Cost_B,$B85),NA())</f>
        <v>22.264821973236806</v>
      </c>
      <c r="G85" s="71" cm="1">
        <f t="array" aca="1" ref="G85" ca="1">IF(ISNUMBER(_xll.VoseSimPercentile(Cost_C,$B85)),_xll.VoseSimPercentile(Cost_C,$B85),NA())</f>
        <v>25.825843667534016</v>
      </c>
    </row>
    <row r="86" spans="2:7" hidden="1" outlineLevel="1" x14ac:dyDescent="0.45">
      <c r="B86" s="70">
        <v>0.35</v>
      </c>
      <c r="C86" s="70">
        <f t="shared" si="1"/>
        <v>0.65</v>
      </c>
      <c r="D86" s="71" cm="1">
        <f t="array" aca="1" ref="D86" ca="1">IF(ISNUMBER(_xll.VoseSimPercentile(Gross,$B86)),_xll.VoseSimPercentile(Gross,$B86),NA())</f>
        <v>5.8069119953217498</v>
      </c>
      <c r="E86" s="71" cm="1">
        <f t="array" aca="1" ref="E86" ca="1">IF(ISNUMBER(_xll.VoseSimPercentile(Cost_A,$B86)),_xll.VoseSimPercentile(Cost_A,$B86),NA())</f>
        <v>5.8069119953217498</v>
      </c>
      <c r="F86" s="71" cm="1">
        <f t="array" aca="1" ref="F86" ca="1">IF(ISNUMBER(_xll.VoseSimPercentile(Cost_B,$B86)),_xll.VoseSimPercentile(Cost_B,$B86),NA())</f>
        <v>22.539158706653545</v>
      </c>
      <c r="G86" s="71" cm="1">
        <f t="array" aca="1" ref="G86" ca="1">IF(ISNUMBER(_xll.VoseSimPercentile(Cost_C,$B86)),_xll.VoseSimPercentile(Cost_C,$B86),NA())</f>
        <v>26.100180400950755</v>
      </c>
    </row>
    <row r="87" spans="2:7" hidden="1" outlineLevel="1" x14ac:dyDescent="0.45">
      <c r="B87" s="70">
        <v>0.37</v>
      </c>
      <c r="C87" s="70">
        <f t="shared" si="1"/>
        <v>0.63</v>
      </c>
      <c r="D87" s="71" cm="1">
        <f t="array" aca="1" ref="D87" ca="1">IF(ISNUMBER(_xll.VoseSimPercentile(Gross,$B87)),_xll.VoseSimPercentile(Gross,$B87),NA())</f>
        <v>6.0781649075800335</v>
      </c>
      <c r="E87" s="71" cm="1">
        <f t="array" aca="1" ref="E87" ca="1">IF(ISNUMBER(_xll.VoseSimPercentile(Cost_A,$B87)),_xll.VoseSimPercentile(Cost_A,$B87),NA())</f>
        <v>6.0781649075800335</v>
      </c>
      <c r="F87" s="71" cm="1">
        <f t="array" aca="1" ref="F87" ca="1">IF(ISNUMBER(_xll.VoseSimPercentile(Cost_B,$B87)),_xll.VoseSimPercentile(Cost_B,$B87),NA())</f>
        <v>22.810411618911829</v>
      </c>
      <c r="G87" s="71" cm="1">
        <f t="array" aca="1" ref="G87" ca="1">IF(ISNUMBER(_xll.VoseSimPercentile(Cost_C,$B87)),_xll.VoseSimPercentile(Cost_C,$B87),NA())</f>
        <v>26.371433313209039</v>
      </c>
    </row>
    <row r="88" spans="2:7" hidden="1" outlineLevel="1" x14ac:dyDescent="0.45">
      <c r="B88" s="70">
        <v>0.39</v>
      </c>
      <c r="C88" s="70">
        <f t="shared" si="1"/>
        <v>0.61</v>
      </c>
      <c r="D88" s="71" cm="1">
        <f t="array" aca="1" ref="D88" ca="1">IF(ISNUMBER(_xll.VoseSimPercentile(Gross,$B88)),_xll.VoseSimPercentile(Gross,$B88),NA())</f>
        <v>6.3710206992713783</v>
      </c>
      <c r="E88" s="71" cm="1">
        <f t="array" aca="1" ref="E88" ca="1">IF(ISNUMBER(_xll.VoseSimPercentile(Cost_A,$B88)),_xll.VoseSimPercentile(Cost_A,$B88),NA())</f>
        <v>6.3710206992713783</v>
      </c>
      <c r="F88" s="71" cm="1">
        <f t="array" aca="1" ref="F88" ca="1">IF(ISNUMBER(_xll.VoseSimPercentile(Cost_B,$B88)),_xll.VoseSimPercentile(Cost_B,$B88),NA())</f>
        <v>23.103267410603173</v>
      </c>
      <c r="G88" s="71" cm="1">
        <f t="array" aca="1" ref="G88" ca="1">IF(ISNUMBER(_xll.VoseSimPercentile(Cost_C,$B88)),_xll.VoseSimPercentile(Cost_C,$B88),NA())</f>
        <v>26.664289104900384</v>
      </c>
    </row>
    <row r="89" spans="2:7" hidden="1" outlineLevel="1" x14ac:dyDescent="0.45">
      <c r="B89" s="70">
        <v>0.41</v>
      </c>
      <c r="C89" s="70">
        <f t="shared" si="1"/>
        <v>0.59000000000000008</v>
      </c>
      <c r="D89" s="71" cm="1">
        <f t="array" aca="1" ref="D89" ca="1">IF(ISNUMBER(_xll.VoseSimPercentile(Gross,$B89)),_xll.VoseSimPercentile(Gross,$B89),NA())</f>
        <v>6.7239926307054807</v>
      </c>
      <c r="E89" s="71" cm="1">
        <f t="array" aca="1" ref="E89" ca="1">IF(ISNUMBER(_xll.VoseSimPercentile(Cost_A,$B89)),_xll.VoseSimPercentile(Cost_A,$B89),NA())</f>
        <v>6.7239926307054807</v>
      </c>
      <c r="F89" s="71" cm="1">
        <f t="array" aca="1" ref="F89" ca="1">IF(ISNUMBER(_xll.VoseSimPercentile(Cost_B,$B89)),_xll.VoseSimPercentile(Cost_B,$B89),NA())</f>
        <v>23.456239342037275</v>
      </c>
      <c r="G89" s="71" cm="1">
        <f t="array" aca="1" ref="G89" ca="1">IF(ISNUMBER(_xll.VoseSimPercentile(Cost_C,$B89)),_xll.VoseSimPercentile(Cost_C,$B89),NA())</f>
        <v>27.017261036334485</v>
      </c>
    </row>
    <row r="90" spans="2:7" hidden="1" outlineLevel="1" x14ac:dyDescent="0.45">
      <c r="B90" s="70">
        <v>0.43</v>
      </c>
      <c r="C90" s="70">
        <f t="shared" si="1"/>
        <v>0.57000000000000006</v>
      </c>
      <c r="D90" s="71" cm="1">
        <f t="array" aca="1" ref="D90" ca="1">IF(ISNUMBER(_xll.VoseSimPercentile(Gross,$B90)),_xll.VoseSimPercentile(Gross,$B90),NA())</f>
        <v>7.0554100774677941</v>
      </c>
      <c r="E90" s="71" cm="1">
        <f t="array" aca="1" ref="E90" ca="1">IF(ISNUMBER(_xll.VoseSimPercentile(Cost_A,$B90)),_xll.VoseSimPercentile(Cost_A,$B90),NA())</f>
        <v>7.0554100774677941</v>
      </c>
      <c r="F90" s="71" cm="1">
        <f t="array" aca="1" ref="F90" ca="1">IF(ISNUMBER(_xll.VoseSimPercentile(Cost_B,$B90)),_xll.VoseSimPercentile(Cost_B,$B90),NA())</f>
        <v>23.787656788799588</v>
      </c>
      <c r="G90" s="71" cm="1">
        <f t="array" aca="1" ref="G90" ca="1">IF(ISNUMBER(_xll.VoseSimPercentile(Cost_C,$B90)),_xll.VoseSimPercentile(Cost_C,$B90),NA())</f>
        <v>27.348678483096798</v>
      </c>
    </row>
    <row r="91" spans="2:7" hidden="1" outlineLevel="1" x14ac:dyDescent="0.45">
      <c r="B91" s="70">
        <v>0.45</v>
      </c>
      <c r="C91" s="70">
        <f t="shared" si="1"/>
        <v>0.55000000000000004</v>
      </c>
      <c r="D91" s="71" cm="1">
        <f t="array" aca="1" ref="D91" ca="1">IF(ISNUMBER(_xll.VoseSimPercentile(Gross,$B91)),_xll.VoseSimPercentile(Gross,$B91),NA())</f>
        <v>7.4504777184280684</v>
      </c>
      <c r="E91" s="71" cm="1">
        <f t="array" aca="1" ref="E91" ca="1">IF(ISNUMBER(_xll.VoseSimPercentile(Cost_A,$B91)),_xll.VoseSimPercentile(Cost_A,$B91),NA())</f>
        <v>7.4504777184280684</v>
      </c>
      <c r="F91" s="71" cm="1">
        <f t="array" aca="1" ref="F91" ca="1">IF(ISNUMBER(_xll.VoseSimPercentile(Cost_B,$B91)),_xll.VoseSimPercentile(Cost_B,$B91),NA())</f>
        <v>24.182724429759862</v>
      </c>
      <c r="G91" s="71" cm="1">
        <f t="array" aca="1" ref="G91" ca="1">IF(ISNUMBER(_xll.VoseSimPercentile(Cost_C,$B91)),_xll.VoseSimPercentile(Cost_C,$B91),NA())</f>
        <v>27.743746124057072</v>
      </c>
    </row>
    <row r="92" spans="2:7" hidden="1" outlineLevel="1" x14ac:dyDescent="0.45">
      <c r="B92" s="70">
        <v>0.47</v>
      </c>
      <c r="C92" s="70">
        <f t="shared" si="1"/>
        <v>0.53</v>
      </c>
      <c r="D92" s="71" cm="1">
        <f t="array" aca="1" ref="D92" ca="1">IF(ISNUMBER(_xll.VoseSimPercentile(Gross,$B92)),_xll.VoseSimPercentile(Gross,$B92),NA())</f>
        <v>7.8643421544392922</v>
      </c>
      <c r="E92" s="71" cm="1">
        <f t="array" aca="1" ref="E92" ca="1">IF(ISNUMBER(_xll.VoseSimPercentile(Cost_A,$B92)),_xll.VoseSimPercentile(Cost_A,$B92),NA())</f>
        <v>7.8643421544392922</v>
      </c>
      <c r="F92" s="71" cm="1">
        <f t="array" aca="1" ref="F92" ca="1">IF(ISNUMBER(_xll.VoseSimPercentile(Cost_B,$B92)),_xll.VoseSimPercentile(Cost_B,$B92),NA())</f>
        <v>24.596588865771086</v>
      </c>
      <c r="G92" s="71" cm="1">
        <f t="array" aca="1" ref="G92" ca="1">IF(ISNUMBER(_xll.VoseSimPercentile(Cost_C,$B92)),_xll.VoseSimPercentile(Cost_C,$B92),NA())</f>
        <v>28.157610560068296</v>
      </c>
    </row>
    <row r="93" spans="2:7" hidden="1" outlineLevel="1" x14ac:dyDescent="0.45">
      <c r="B93" s="70">
        <v>0.49</v>
      </c>
      <c r="C93" s="70">
        <f t="shared" si="1"/>
        <v>0.51</v>
      </c>
      <c r="D93" s="71" cm="1">
        <f t="array" aca="1" ref="D93" ca="1">IF(ISNUMBER(_xll.VoseSimPercentile(Gross,$B93)),_xll.VoseSimPercentile(Gross,$B93),NA())</f>
        <v>8.2807125645432684</v>
      </c>
      <c r="E93" s="71" cm="1">
        <f t="array" aca="1" ref="E93" ca="1">IF(ISNUMBER(_xll.VoseSimPercentile(Cost_A,$B93)),_xll.VoseSimPercentile(Cost_A,$B93),NA())</f>
        <v>8.2807125645432684</v>
      </c>
      <c r="F93" s="71" cm="1">
        <f t="array" aca="1" ref="F93" ca="1">IF(ISNUMBER(_xll.VoseSimPercentile(Cost_B,$B93)),_xll.VoseSimPercentile(Cost_B,$B93),NA())</f>
        <v>25.012959275875062</v>
      </c>
      <c r="G93" s="71" cm="1">
        <f t="array" aca="1" ref="G93" ca="1">IF(ISNUMBER(_xll.VoseSimPercentile(Cost_C,$B93)),_xll.VoseSimPercentile(Cost_C,$B93),NA())</f>
        <v>28.573980970172272</v>
      </c>
    </row>
    <row r="94" spans="2:7" hidden="1" outlineLevel="1" x14ac:dyDescent="0.45">
      <c r="B94" s="70">
        <v>0.51</v>
      </c>
      <c r="C94" s="70">
        <f t="shared" si="1"/>
        <v>0.49</v>
      </c>
      <c r="D94" s="71" cm="1">
        <f t="array" aca="1" ref="D94" ca="1">IF(ISNUMBER(_xll.VoseSimPercentile(Gross,$B94)),_xll.VoseSimPercentile(Gross,$B94),NA())</f>
        <v>8.7176253796597081</v>
      </c>
      <c r="E94" s="71" cm="1">
        <f t="array" aca="1" ref="E94" ca="1">IF(ISNUMBER(_xll.VoseSimPercentile(Cost_A,$B94)),_xll.VoseSimPercentile(Cost_A,$B94),NA())</f>
        <v>8.7176253796597081</v>
      </c>
      <c r="F94" s="71" cm="1">
        <f t="array" aca="1" ref="F94" ca="1">IF(ISNUMBER(_xll.VoseSimPercentile(Cost_B,$B94)),_xll.VoseSimPercentile(Cost_B,$B94),NA())</f>
        <v>25.449872090991501</v>
      </c>
      <c r="G94" s="71" cm="1">
        <f t="array" aca="1" ref="G94" ca="1">IF(ISNUMBER(_xll.VoseSimPercentile(Cost_C,$B94)),_xll.VoseSimPercentile(Cost_C,$B94),NA())</f>
        <v>29.010893785288712</v>
      </c>
    </row>
    <row r="95" spans="2:7" hidden="1" outlineLevel="1" x14ac:dyDescent="0.45">
      <c r="B95" s="70">
        <v>0.53</v>
      </c>
      <c r="C95" s="70">
        <f t="shared" si="1"/>
        <v>0.47</v>
      </c>
      <c r="D95" s="71" cm="1">
        <f t="array" aca="1" ref="D95" ca="1">IF(ISNUMBER(_xll.VoseSimPercentile(Gross,$B95)),_xll.VoseSimPercentile(Gross,$B95),NA())</f>
        <v>9.2430188878913881</v>
      </c>
      <c r="E95" s="71" cm="1">
        <f t="array" aca="1" ref="E95" ca="1">IF(ISNUMBER(_xll.VoseSimPercentile(Cost_A,$B95)),_xll.VoseSimPercentile(Cost_A,$B95),NA())</f>
        <v>9.2430188878913881</v>
      </c>
      <c r="F95" s="71" cm="1">
        <f t="array" aca="1" ref="F95" ca="1">IF(ISNUMBER(_xll.VoseSimPercentile(Cost_B,$B95)),_xll.VoseSimPercentile(Cost_B,$B95),NA())</f>
        <v>25.975265599223182</v>
      </c>
      <c r="G95" s="71" cm="1">
        <f t="array" aca="1" ref="G95" ca="1">IF(ISNUMBER(_xll.VoseSimPercentile(Cost_C,$B95)),_xll.VoseSimPercentile(Cost_C,$B95),NA())</f>
        <v>29.536287293520392</v>
      </c>
    </row>
    <row r="96" spans="2:7" hidden="1" outlineLevel="1" x14ac:dyDescent="0.45">
      <c r="B96" s="70">
        <v>0.55000000000000004</v>
      </c>
      <c r="C96" s="70">
        <f t="shared" si="1"/>
        <v>0.44999999999999996</v>
      </c>
      <c r="D96" s="71" cm="1">
        <f t="array" aca="1" ref="D96" ca="1">IF(ISNUMBER(_xll.VoseSimPercentile(Gross,$B96)),_xll.VoseSimPercentile(Gross,$B96),NA())</f>
        <v>9.785981750503618</v>
      </c>
      <c r="E96" s="71" cm="1">
        <f t="array" aca="1" ref="E96" ca="1">IF(ISNUMBER(_xll.VoseSimPercentile(Cost_A,$B96)),_xll.VoseSimPercentile(Cost_A,$B96),NA())</f>
        <v>9.785981750503618</v>
      </c>
      <c r="F96" s="71" cm="1">
        <f t="array" aca="1" ref="F96" ca="1">IF(ISNUMBER(_xll.VoseSimPercentile(Cost_B,$B96)),_xll.VoseSimPercentile(Cost_B,$B96),NA())</f>
        <v>26.518228461835413</v>
      </c>
      <c r="G96" s="71" cm="1">
        <f t="array" aca="1" ref="G96" ca="1">IF(ISNUMBER(_xll.VoseSimPercentile(Cost_C,$B96)),_xll.VoseSimPercentile(Cost_C,$B96),NA())</f>
        <v>30.079250156132623</v>
      </c>
    </row>
    <row r="97" spans="2:7" hidden="1" outlineLevel="1" x14ac:dyDescent="0.45">
      <c r="B97" s="70">
        <v>0.56999999999999995</v>
      </c>
      <c r="C97" s="70">
        <f t="shared" si="1"/>
        <v>0.43000000000000005</v>
      </c>
      <c r="D97" s="71" cm="1">
        <f t="array" aca="1" ref="D97" ca="1">IF(ISNUMBER(_xll.VoseSimPercentile(Gross,$B97)),_xll.VoseSimPercentile(Gross,$B97),NA())</f>
        <v>10.378393437588992</v>
      </c>
      <c r="E97" s="71" cm="1">
        <f t="array" aca="1" ref="E97" ca="1">IF(ISNUMBER(_xll.VoseSimPercentile(Cost_A,$B97)),_xll.VoseSimPercentile(Cost_A,$B97),NA())</f>
        <v>10.378393437588992</v>
      </c>
      <c r="F97" s="71" cm="1">
        <f t="array" aca="1" ref="F97" ca="1">IF(ISNUMBER(_xll.VoseSimPercentile(Cost_B,$B97)),_xll.VoseSimPercentile(Cost_B,$B97),NA())</f>
        <v>27.110640148920787</v>
      </c>
      <c r="G97" s="71" cm="1">
        <f t="array" aca="1" ref="G97" ca="1">IF(ISNUMBER(_xll.VoseSimPercentile(Cost_C,$B97)),_xll.VoseSimPercentile(Cost_C,$B97),NA())</f>
        <v>30.671661843217997</v>
      </c>
    </row>
    <row r="98" spans="2:7" hidden="1" outlineLevel="1" x14ac:dyDescent="0.45">
      <c r="B98" s="70">
        <v>0.59</v>
      </c>
      <c r="C98" s="70">
        <f t="shared" si="1"/>
        <v>0.41000000000000003</v>
      </c>
      <c r="D98" s="71" cm="1">
        <f t="array" aca="1" ref="D98" ca="1">IF(ISNUMBER(_xll.VoseSimPercentile(Gross,$B98)),_xll.VoseSimPercentile(Gross,$B98),NA())</f>
        <v>11.046249355677618</v>
      </c>
      <c r="E98" s="71" cm="1">
        <f t="array" aca="1" ref="E98" ca="1">IF(ISNUMBER(_xll.VoseSimPercentile(Cost_A,$B98)),_xll.VoseSimPercentile(Cost_A,$B98),NA())</f>
        <v>11.046249355677618</v>
      </c>
      <c r="F98" s="71" cm="1">
        <f t="array" aca="1" ref="F98" ca="1">IF(ISNUMBER(_xll.VoseSimPercentile(Cost_B,$B98)),_xll.VoseSimPercentile(Cost_B,$B98),NA())</f>
        <v>27.741250530758506</v>
      </c>
      <c r="G98" s="71" cm="1">
        <f t="array" aca="1" ref="G98" ca="1">IF(ISNUMBER(_xll.VoseSimPercentile(Cost_C,$B98)),_xll.VoseSimPercentile(Cost_C,$B98),NA())</f>
        <v>31.339517761306624</v>
      </c>
    </row>
    <row r="99" spans="2:7" hidden="1" outlineLevel="1" x14ac:dyDescent="0.45">
      <c r="B99" s="70">
        <v>0.61</v>
      </c>
      <c r="C99" s="70">
        <f t="shared" si="1"/>
        <v>0.39</v>
      </c>
      <c r="D99" s="71" cm="1">
        <f t="array" aca="1" ref="D99" ca="1">IF(ISNUMBER(_xll.VoseSimPercentile(Gross,$B99)),_xll.VoseSimPercentile(Gross,$B99),NA())</f>
        <v>11.741422709970649</v>
      </c>
      <c r="E99" s="71" cm="1">
        <f t="array" aca="1" ref="E99" ca="1">IF(ISNUMBER(_xll.VoseSimPercentile(Cost_A,$B99)),_xll.VoseSimPercentile(Cost_A,$B99),NA())</f>
        <v>11.741422709970649</v>
      </c>
      <c r="F99" s="71" cm="1">
        <f t="array" aca="1" ref="F99" ca="1">IF(ISNUMBER(_xll.VoseSimPercentile(Cost_B,$B99)),_xll.VoseSimPercentile(Cost_B,$B99),NA())</f>
        <v>28.290076824328999</v>
      </c>
      <c r="G99" s="71" cm="1">
        <f t="array" aca="1" ref="G99" ca="1">IF(ISNUMBER(_xll.VoseSimPercentile(Cost_C,$B99)),_xll.VoseSimPercentile(Cost_C,$B99),NA())</f>
        <v>32.034691115599657</v>
      </c>
    </row>
    <row r="100" spans="2:7" hidden="1" outlineLevel="1" x14ac:dyDescent="0.45">
      <c r="B100" s="70">
        <v>0.63</v>
      </c>
      <c r="C100" s="70">
        <f t="shared" si="1"/>
        <v>0.37</v>
      </c>
      <c r="D100" s="71" cm="1">
        <f t="array" aca="1" ref="D100" ca="1">IF(ISNUMBER(_xll.VoseSimPercentile(Gross,$B100)),_xll.VoseSimPercentile(Gross,$B100),NA())</f>
        <v>12.493396240606872</v>
      </c>
      <c r="E100" s="71" cm="1">
        <f t="array" aca="1" ref="E100" ca="1">IF(ISNUMBER(_xll.VoseSimPercentile(Cost_A,$B100)),_xll.VoseSimPercentile(Cost_A,$B100),NA())</f>
        <v>12.493396240606872</v>
      </c>
      <c r="F100" s="71" cm="1">
        <f t="array" aca="1" ref="F100" ca="1">IF(ISNUMBER(_xll.VoseSimPercentile(Cost_B,$B100)),_xll.VoseSimPercentile(Cost_B,$B100),NA())</f>
        <v>28.812289541001334</v>
      </c>
      <c r="G100" s="71" cm="1">
        <f t="array" aca="1" ref="G100" ca="1">IF(ISNUMBER(_xll.VoseSimPercentile(Cost_C,$B100)),_xll.VoseSimPercentile(Cost_C,$B100),NA())</f>
        <v>32.786664646235877</v>
      </c>
    </row>
    <row r="101" spans="2:7" hidden="1" outlineLevel="1" x14ac:dyDescent="0.45">
      <c r="B101" s="70">
        <v>0.65</v>
      </c>
      <c r="C101" s="70">
        <f t="shared" ref="C101:C132" si="2">1-B101</f>
        <v>0.35</v>
      </c>
      <c r="D101" s="71" cm="1">
        <f t="array" aca="1" ref="D101" ca="1">IF(ISNUMBER(_xll.VoseSimPercentile(Gross,$B101)),_xll.VoseSimPercentile(Gross,$B101),NA())</f>
        <v>13.300993270958744</v>
      </c>
      <c r="E101" s="71" cm="1">
        <f t="array" aca="1" ref="E101" ca="1">IF(ISNUMBER(_xll.VoseSimPercentile(Cost_A,$B101)),_xll.VoseSimPercentile(Cost_A,$B101),NA())</f>
        <v>13.300993270958744</v>
      </c>
      <c r="F101" s="71" cm="1">
        <f t="array" aca="1" ref="F101" ca="1">IF(ISNUMBER(_xll.VoseSimPercentile(Cost_B,$B101)),_xll.VoseSimPercentile(Cost_B,$B101),NA())</f>
        <v>29.255531304013335</v>
      </c>
      <c r="G101" s="71" cm="1">
        <f t="array" aca="1" ref="G101" ca="1">IF(ISNUMBER(_xll.VoseSimPercentile(Cost_C,$B101)),_xll.VoseSimPercentile(Cost_C,$B101),NA())</f>
        <v>33.594261676587749</v>
      </c>
    </row>
    <row r="102" spans="2:7" hidden="1" outlineLevel="1" x14ac:dyDescent="0.45">
      <c r="B102" s="70">
        <v>0.67</v>
      </c>
      <c r="C102" s="70">
        <f t="shared" si="2"/>
        <v>0.32999999999999996</v>
      </c>
      <c r="D102" s="71" cm="1">
        <f t="array" aca="1" ref="D102" ca="1">IF(ISNUMBER(_xll.VoseSimPercentile(Gross,$B102)),_xll.VoseSimPercentile(Gross,$B102),NA())</f>
        <v>14.189788878221371</v>
      </c>
      <c r="E102" s="71" cm="1">
        <f t="array" aca="1" ref="E102" ca="1">IF(ISNUMBER(_xll.VoseSimPercentile(Cost_A,$B102)),_xll.VoseSimPercentile(Cost_A,$B102),NA())</f>
        <v>14.189788878221371</v>
      </c>
      <c r="F102" s="71" cm="1">
        <f t="array" aca="1" ref="F102" ca="1">IF(ISNUMBER(_xll.VoseSimPercentile(Cost_B,$B102)),_xll.VoseSimPercentile(Cost_B,$B102),NA())</f>
        <v>29.61939080593968</v>
      </c>
      <c r="G102" s="71" cm="1">
        <f t="array" aca="1" ref="G102" ca="1">IF(ISNUMBER(_xll.VoseSimPercentile(Cost_C,$B102)),_xll.VoseSimPercentile(Cost_C,$B102),NA())</f>
        <v>34.483057283850371</v>
      </c>
    </row>
    <row r="103" spans="2:7" hidden="1" outlineLevel="1" x14ac:dyDescent="0.45">
      <c r="B103" s="70">
        <v>0.69</v>
      </c>
      <c r="C103" s="70">
        <f t="shared" si="2"/>
        <v>0.31000000000000005</v>
      </c>
      <c r="D103" s="71" cm="1">
        <f t="array" aca="1" ref="D103" ca="1">IF(ISNUMBER(_xll.VoseSimPercentile(Gross,$B103)),_xll.VoseSimPercentile(Gross,$B103),NA())</f>
        <v>15.236704996468109</v>
      </c>
      <c r="E103" s="71" cm="1">
        <f t="array" aca="1" ref="E103" ca="1">IF(ISNUMBER(_xll.VoseSimPercentile(Cost_A,$B103)),_xll.VoseSimPercentile(Cost_A,$B103),NA())</f>
        <v>15.236704996468109</v>
      </c>
      <c r="F103" s="71" cm="1">
        <f t="array" aca="1" ref="F103" ca="1">IF(ISNUMBER(_xll.VoseSimPercentile(Cost_B,$B103)),_xll.VoseSimPercentile(Cost_B,$B103),NA())</f>
        <v>30.083374521431978</v>
      </c>
      <c r="G103" s="71" cm="1">
        <f t="array" aca="1" ref="G103" ca="1">IF(ISNUMBER(_xll.VoseSimPercentile(Cost_C,$B103)),_xll.VoseSimPercentile(Cost_C,$B103),NA())</f>
        <v>35.529973402097113</v>
      </c>
    </row>
    <row r="104" spans="2:7" hidden="1" outlineLevel="1" x14ac:dyDescent="0.45">
      <c r="B104" s="70">
        <v>0.71</v>
      </c>
      <c r="C104" s="70">
        <f t="shared" si="2"/>
        <v>0.29000000000000004</v>
      </c>
      <c r="D104" s="71" cm="1">
        <f t="array" aca="1" ref="D104" ca="1">IF(ISNUMBER(_xll.VoseSimPercentile(Gross,$B104)),_xll.VoseSimPercentile(Gross,$B104),NA())</f>
        <v>16.351092213515567</v>
      </c>
      <c r="E104" s="71" cm="1">
        <f t="array" aca="1" ref="E104" ca="1">IF(ISNUMBER(_xll.VoseSimPercentile(Cost_A,$B104)),_xll.VoseSimPercentile(Cost_A,$B104),NA())</f>
        <v>16.351092213515567</v>
      </c>
      <c r="F104" s="71" cm="1">
        <f t="array" aca="1" ref="F104" ca="1">IF(ISNUMBER(_xll.VoseSimPercentile(Cost_B,$B104)),_xll.VoseSimPercentile(Cost_B,$B104),NA())</f>
        <v>30.528857930327003</v>
      </c>
      <c r="G104" s="71" cm="1">
        <f t="array" aca="1" ref="G104" ca="1">IF(ISNUMBER(_xll.VoseSimPercentile(Cost_C,$B104)),_xll.VoseSimPercentile(Cost_C,$B104),NA())</f>
        <v>36.644360619144571</v>
      </c>
    </row>
    <row r="105" spans="2:7" hidden="1" outlineLevel="1" x14ac:dyDescent="0.45">
      <c r="B105" s="70">
        <v>0.73</v>
      </c>
      <c r="C105" s="70">
        <f t="shared" si="2"/>
        <v>0.27</v>
      </c>
      <c r="D105" s="71" cm="1">
        <f t="array" aca="1" ref="D105" ca="1">IF(ISNUMBER(_xll.VoseSimPercentile(Gross,$B105)),_xll.VoseSimPercentile(Gross,$B105),NA())</f>
        <v>17.607754315749947</v>
      </c>
      <c r="E105" s="71" cm="1">
        <f t="array" aca="1" ref="E105" ca="1">IF(ISNUMBER(_xll.VoseSimPercentile(Cost_A,$B105)),_xll.VoseSimPercentile(Cost_A,$B105),NA())</f>
        <v>17.607754315749947</v>
      </c>
      <c r="F105" s="71" cm="1">
        <f t="array" aca="1" ref="F105" ca="1">IF(ISNUMBER(_xll.VoseSimPercentile(Cost_B,$B105)),_xll.VoseSimPercentile(Cost_B,$B105),NA())</f>
        <v>30.951073393705187</v>
      </c>
      <c r="G105" s="71" cm="1">
        <f t="array" aca="1" ref="G105" ca="1">IF(ISNUMBER(_xll.VoseSimPercentile(Cost_C,$B105)),_xll.VoseSimPercentile(Cost_C,$B105),NA())</f>
        <v>37.901022721378951</v>
      </c>
    </row>
    <row r="106" spans="2:7" hidden="1" outlineLevel="1" x14ac:dyDescent="0.45">
      <c r="B106" s="70">
        <v>0.75</v>
      </c>
      <c r="C106" s="70">
        <f t="shared" si="2"/>
        <v>0.25</v>
      </c>
      <c r="D106" s="71" cm="1">
        <f t="array" aca="1" ref="D106" ca="1">IF(ISNUMBER(_xll.VoseSimPercentile(Gross,$B106)),_xll.VoseSimPercentile(Gross,$B106),NA())</f>
        <v>19.026594129313924</v>
      </c>
      <c r="E106" s="71" cm="1">
        <f t="array" aca="1" ref="E106" ca="1">IF(ISNUMBER(_xll.VoseSimPercentile(Cost_A,$B106)),_xll.VoseSimPercentile(Cost_A,$B106),NA())</f>
        <v>19.026594129313924</v>
      </c>
      <c r="F106" s="71" cm="1">
        <f t="array" aca="1" ref="F106" ca="1">IF(ISNUMBER(_xll.VoseSimPercentile(Cost_B,$B106)),_xll.VoseSimPercentile(Cost_B,$B106),NA())</f>
        <v>31.454507457599611</v>
      </c>
      <c r="G106" s="71" cm="1">
        <f t="array" aca="1" ref="G106" ca="1">IF(ISNUMBER(_xll.VoseSimPercentile(Cost_C,$B106)),_xll.VoseSimPercentile(Cost_C,$B106),NA())</f>
        <v>39.319862534942928</v>
      </c>
    </row>
    <row r="107" spans="2:7" hidden="1" outlineLevel="1" x14ac:dyDescent="0.45">
      <c r="B107" s="70">
        <v>0.77</v>
      </c>
      <c r="C107" s="70">
        <f t="shared" si="2"/>
        <v>0.22999999999999998</v>
      </c>
      <c r="D107" s="71" cm="1">
        <f t="array" aca="1" ref="D107" ca="1">IF(ISNUMBER(_xll.VoseSimPercentile(Gross,$B107)),_xll.VoseSimPercentile(Gross,$B107),NA())</f>
        <v>20.481072307751955</v>
      </c>
      <c r="E107" s="71" cm="1">
        <f t="array" aca="1" ref="E107" ca="1">IF(ISNUMBER(_xll.VoseSimPercentile(Cost_A,$B107)),_xll.VoseSimPercentile(Cost_A,$B107),NA())</f>
        <v>20.481072307751955</v>
      </c>
      <c r="F107" s="71" cm="1">
        <f t="array" aca="1" ref="F107" ca="1">IF(ISNUMBER(_xll.VoseSimPercentile(Cost_B,$B107)),_xll.VoseSimPercentile(Cost_B,$B107),NA())</f>
        <v>32.025333385133479</v>
      </c>
      <c r="G107" s="71" cm="1">
        <f t="array" aca="1" ref="G107" ca="1">IF(ISNUMBER(_xll.VoseSimPercentile(Cost_C,$B107)),_xll.VoseSimPercentile(Cost_C,$B107),NA())</f>
        <v>40.774340713380958</v>
      </c>
    </row>
    <row r="108" spans="2:7" hidden="1" outlineLevel="1" x14ac:dyDescent="0.45">
      <c r="B108" s="70">
        <v>0.79</v>
      </c>
      <c r="C108" s="70">
        <f t="shared" si="2"/>
        <v>0.20999999999999996</v>
      </c>
      <c r="D108" s="71" cm="1">
        <f t="array" aca="1" ref="D108" ca="1">IF(ISNUMBER(_xll.VoseSimPercentile(Gross,$B108)),_xll.VoseSimPercentile(Gross,$B108),NA())</f>
        <v>21.948627109189495</v>
      </c>
      <c r="E108" s="71" cm="1">
        <f t="array" aca="1" ref="E108" ca="1">IF(ISNUMBER(_xll.VoseSimPercentile(Cost_A,$B108)),_xll.VoseSimPercentile(Cost_A,$B108),NA())</f>
        <v>21.948627109189495</v>
      </c>
      <c r="F108" s="71" cm="1">
        <f t="array" aca="1" ref="F108" ca="1">IF(ISNUMBER(_xll.VoseSimPercentile(Cost_B,$B108)),_xll.VoseSimPercentile(Cost_B,$B108),NA())</f>
        <v>32.599920106130575</v>
      </c>
      <c r="G108" s="71" cm="1">
        <f t="array" aca="1" ref="G108" ca="1">IF(ISNUMBER(_xll.VoseSimPercentile(Cost_C,$B108)),_xll.VoseSimPercentile(Cost_C,$B108),NA())</f>
        <v>42.241895514818495</v>
      </c>
    </row>
    <row r="109" spans="2:7" hidden="1" outlineLevel="1" x14ac:dyDescent="0.45">
      <c r="B109" s="70">
        <v>0.81</v>
      </c>
      <c r="C109" s="70">
        <f t="shared" si="2"/>
        <v>0.18999999999999995</v>
      </c>
      <c r="D109" s="71" cm="1">
        <f t="array" aca="1" ref="D109" ca="1">IF(ISNUMBER(_xll.VoseSimPercentile(Gross,$B109)),_xll.VoseSimPercentile(Gross,$B109),NA())</f>
        <v>23.758221128339255</v>
      </c>
      <c r="E109" s="71" cm="1">
        <f t="array" aca="1" ref="E109" ca="1">IF(ISNUMBER(_xll.VoseSimPercentile(Cost_A,$B109)),_xll.VoseSimPercentile(Cost_A,$B109),NA())</f>
        <v>23.758221128339255</v>
      </c>
      <c r="F109" s="71" cm="1">
        <f t="array" aca="1" ref="F109" ca="1">IF(ISNUMBER(_xll.VoseSimPercentile(Cost_B,$B109)),_xll.VoseSimPercentile(Cost_B,$B109),NA())</f>
        <v>33.269723558042671</v>
      </c>
      <c r="G109" s="71" cm="1">
        <f t="array" aca="1" ref="G109" ca="1">IF(ISNUMBER(_xll.VoseSimPercentile(Cost_C,$B109)),_xll.VoseSimPercentile(Cost_C,$B109),NA())</f>
        <v>44.051489533968258</v>
      </c>
    </row>
    <row r="110" spans="2:7" hidden="1" outlineLevel="1" x14ac:dyDescent="0.45">
      <c r="B110" s="70">
        <v>0.83</v>
      </c>
      <c r="C110" s="70">
        <f t="shared" si="2"/>
        <v>0.17000000000000004</v>
      </c>
      <c r="D110" s="71" cm="1">
        <f t="array" aca="1" ref="D110" ca="1">IF(ISNUMBER(_xll.VoseSimPercentile(Gross,$B110)),_xll.VoseSimPercentile(Gross,$B110),NA())</f>
        <v>25.826835356260109</v>
      </c>
      <c r="E110" s="71" cm="1">
        <f t="array" aca="1" ref="E110" ca="1">IF(ISNUMBER(_xll.VoseSimPercentile(Cost_A,$B110)),_xll.VoseSimPercentile(Cost_A,$B110),NA())</f>
        <v>25.826835356260109</v>
      </c>
      <c r="F110" s="71" cm="1">
        <f t="array" aca="1" ref="F110" ca="1">IF(ISNUMBER(_xll.VoseSimPercentile(Cost_B,$B110)),_xll.VoseSimPercentile(Cost_B,$B110),NA())</f>
        <v>34.083268065353977</v>
      </c>
      <c r="G110" s="71" cm="1">
        <f t="array" aca="1" ref="G110" ca="1">IF(ISNUMBER(_xll.VoseSimPercentile(Cost_C,$B110)),_xll.VoseSimPercentile(Cost_C,$B110),NA())</f>
        <v>46.113908866858431</v>
      </c>
    </row>
    <row r="111" spans="2:7" hidden="1" outlineLevel="1" x14ac:dyDescent="0.45">
      <c r="B111" s="70">
        <v>0.85</v>
      </c>
      <c r="C111" s="70">
        <f t="shared" si="2"/>
        <v>0.15000000000000002</v>
      </c>
      <c r="D111" s="71" cm="1">
        <f t="array" aca="1" ref="D111" ca="1">IF(ISNUMBER(_xll.VoseSimPercentile(Gross,$B111)),_xll.VoseSimPercentile(Gross,$B111),NA())</f>
        <v>28.221261364903967</v>
      </c>
      <c r="E111" s="71" cm="1">
        <f t="array" aca="1" ref="E111" ca="1">IF(ISNUMBER(_xll.VoseSimPercentile(Cost_A,$B111)),_xll.VoseSimPercentile(Cost_A,$B111),NA())</f>
        <v>28.221261364903967</v>
      </c>
      <c r="F111" s="71" cm="1">
        <f t="array" aca="1" ref="F111" ca="1">IF(ISNUMBER(_xll.VoseSimPercentile(Cost_B,$B111)),_xll.VoseSimPercentile(Cost_B,$B111),NA())</f>
        <v>35.111983796729831</v>
      </c>
      <c r="G111" s="71" cm="1">
        <f t="array" aca="1" ref="G111" ca="1">IF(ISNUMBER(_xll.VoseSimPercentile(Cost_C,$B111)),_xll.VoseSimPercentile(Cost_C,$B111),NA())</f>
        <v>47.781549175144306</v>
      </c>
    </row>
    <row r="112" spans="2:7" hidden="1" outlineLevel="1" x14ac:dyDescent="0.45">
      <c r="B112" s="70">
        <v>0.87</v>
      </c>
      <c r="C112" s="70">
        <f t="shared" si="2"/>
        <v>0.13</v>
      </c>
      <c r="D112" s="71" cm="1">
        <f t="array" aca="1" ref="D112" ca="1">IF(ISNUMBER(_xll.VoseSimPercentile(Gross,$B112)),_xll.VoseSimPercentile(Gross,$B112),NA())</f>
        <v>31.016025940596268</v>
      </c>
      <c r="E112" s="71" cm="1">
        <f t="array" aca="1" ref="E112" ca="1">IF(ISNUMBER(_xll.VoseSimPercentile(Cost_A,$B112)),_xll.VoseSimPercentile(Cost_A,$B112),NA())</f>
        <v>31.016025940596268</v>
      </c>
      <c r="F112" s="71" cm="1">
        <f t="array" aca="1" ref="F112" ca="1">IF(ISNUMBER(_xll.VoseSimPercentile(Cost_B,$B112)),_xll.VoseSimPercentile(Cost_B,$B112),NA())</f>
        <v>36.294215499546382</v>
      </c>
      <c r="G112" s="71" cm="1">
        <f t="array" aca="1" ref="G112" ca="1">IF(ISNUMBER(_xll.VoseSimPercentile(Cost_C,$B112)),_xll.VoseSimPercentile(Cost_C,$B112),NA())</f>
        <v>49.037294971575363</v>
      </c>
    </row>
    <row r="113" spans="2:7" hidden="1" outlineLevel="1" x14ac:dyDescent="0.45">
      <c r="B113" s="70">
        <v>0.89</v>
      </c>
      <c r="C113" s="70">
        <f t="shared" si="2"/>
        <v>0.10999999999999999</v>
      </c>
      <c r="D113" s="71" cm="1">
        <f t="array" aca="1" ref="D113" ca="1">IF(ISNUMBER(_xll.VoseSimPercentile(Gross,$B113)),_xll.VoseSimPercentile(Gross,$B113),NA())</f>
        <v>34.432397787325144</v>
      </c>
      <c r="E113" s="71" cm="1">
        <f t="array" aca="1" ref="E113" ca="1">IF(ISNUMBER(_xll.VoseSimPercentile(Cost_A,$B113)),_xll.VoseSimPercentile(Cost_A,$B113),NA())</f>
        <v>34.432397787325144</v>
      </c>
      <c r="F113" s="71" cm="1">
        <f t="array" aca="1" ref="F113" ca="1">IF(ISNUMBER(_xll.VoseSimPercentile(Cost_B,$B113)),_xll.VoseSimPercentile(Cost_B,$B113),NA())</f>
        <v>37.667009550829121</v>
      </c>
      <c r="G113" s="71" cm="1">
        <f t="array" aca="1" ref="G113" ca="1">IF(ISNUMBER(_xll.VoseSimPercentile(Cost_C,$B113)),_xll.VoseSimPercentile(Cost_C,$B113),NA())</f>
        <v>50.47187185503978</v>
      </c>
    </row>
    <row r="114" spans="2:7" hidden="1" outlineLevel="1" x14ac:dyDescent="0.45">
      <c r="B114" s="70">
        <v>0.91</v>
      </c>
      <c r="C114" s="70">
        <f t="shared" si="2"/>
        <v>8.9999999999999969E-2</v>
      </c>
      <c r="D114" s="71" cm="1">
        <f t="array" aca="1" ref="D114" ca="1">IF(ISNUMBER(_xll.VoseSimPercentile(Gross,$B114)),_xll.VoseSimPercentile(Gross,$B114),NA())</f>
        <v>39.26355441617379</v>
      </c>
      <c r="E114" s="71" cm="1">
        <f t="array" aca="1" ref="E114" ca="1">IF(ISNUMBER(_xll.VoseSimPercentile(Cost_A,$B114)),_xll.VoseSimPercentile(Cost_A,$B114),NA())</f>
        <v>39.26355441617379</v>
      </c>
      <c r="F114" s="71" cm="1">
        <f t="array" aca="1" ref="F114" ca="1">IF(ISNUMBER(_xll.VoseSimPercentile(Cost_B,$B114)),_xll.VoseSimPercentile(Cost_B,$B114),NA())</f>
        <v>38.991017730046934</v>
      </c>
      <c r="G114" s="71" cm="1">
        <f t="array" aca="1" ref="G114" ca="1">IF(ISNUMBER(_xll.VoseSimPercentile(Cost_C,$B114)),_xll.VoseSimPercentile(Cost_C,$B114),NA())</f>
        <v>52.103245222773218</v>
      </c>
    </row>
    <row r="115" spans="2:7" hidden="1" outlineLevel="1" x14ac:dyDescent="0.45">
      <c r="B115" s="70">
        <v>0.93</v>
      </c>
      <c r="C115" s="70">
        <f t="shared" si="2"/>
        <v>6.9999999999999951E-2</v>
      </c>
      <c r="D115" s="71" cm="1">
        <f t="array" aca="1" ref="D115" ca="1">IF(ISNUMBER(_xll.VoseSimPercentile(Gross,$B115)),_xll.VoseSimPercentile(Gross,$B115),NA())</f>
        <v>45.006975499157008</v>
      </c>
      <c r="E115" s="71" cm="1">
        <f t="array" aca="1" ref="E115" ca="1">IF(ISNUMBER(_xll.VoseSimPercentile(Cost_A,$B115)),_xll.VoseSimPercentile(Cost_A,$B115),NA())</f>
        <v>45.006975499157008</v>
      </c>
      <c r="F115" s="71" cm="1">
        <f t="array" aca="1" ref="F115" ca="1">IF(ISNUMBER(_xll.VoseSimPercentile(Cost_B,$B115)),_xll.VoseSimPercentile(Cost_B,$B115),NA())</f>
        <v>40.532051626457317</v>
      </c>
      <c r="G115" s="71" cm="1">
        <f t="array" aca="1" ref="G115" ca="1">IF(ISNUMBER(_xll.VoseSimPercentile(Cost_C,$B115)),_xll.VoseSimPercentile(Cost_C,$B115),NA())</f>
        <v>54.582687160988939</v>
      </c>
    </row>
    <row r="116" spans="2:7" hidden="1" outlineLevel="1" x14ac:dyDescent="0.45">
      <c r="B116" s="70">
        <v>0.95</v>
      </c>
      <c r="C116" s="70">
        <f t="shared" si="2"/>
        <v>5.0000000000000044E-2</v>
      </c>
      <c r="D116" s="71" cm="1">
        <f t="array" aca="1" ref="D116" ca="1">IF(ISNUMBER(_xll.VoseSimPercentile(Gross,$B116)),_xll.VoseSimPercentile(Gross,$B116),NA())</f>
        <v>55.48389016228198</v>
      </c>
      <c r="E116" s="71" cm="1">
        <f t="array" aca="1" ref="E116" ca="1">IF(ISNUMBER(_xll.VoseSimPercentile(Cost_A,$B116)),_xll.VoseSimPercentile(Cost_A,$B116),NA())</f>
        <v>55.48389016228198</v>
      </c>
      <c r="F116" s="71" cm="1">
        <f t="array" aca="1" ref="F116" ca="1">IF(ISNUMBER(_xll.VoseSimPercentile(Cost_B,$B116)),_xll.VoseSimPercentile(Cost_B,$B116),NA())</f>
        <v>42.556776017783591</v>
      </c>
      <c r="G116" s="71" cm="1">
        <f t="array" aca="1" ref="G116" ca="1">IF(ISNUMBER(_xll.VoseSimPercentile(Cost_C,$B116)),_xll.VoseSimPercentile(Cost_C,$B116),NA())</f>
        <v>58.393244533268032</v>
      </c>
    </row>
    <row r="117" spans="2:7" hidden="1" outlineLevel="1" x14ac:dyDescent="0.45">
      <c r="B117" s="70">
        <v>0.97</v>
      </c>
      <c r="C117" s="70">
        <f t="shared" si="2"/>
        <v>3.0000000000000027E-2</v>
      </c>
      <c r="D117" s="71" cm="1">
        <f t="array" aca="1" ref="D117" ca="1">IF(ISNUMBER(_xll.VoseSimPercentile(Gross,$B117)),_xll.VoseSimPercentile(Gross,$B117),NA())</f>
        <v>80.418466862871497</v>
      </c>
      <c r="E117" s="71" cm="1">
        <f t="array" aca="1" ref="E117" ca="1">IF(ISNUMBER(_xll.VoseSimPercentile(Cost_A,$B117)),_xll.VoseSimPercentile(Cost_A,$B117),NA())</f>
        <v>80.418466862871497</v>
      </c>
      <c r="F117" s="71" cm="1">
        <f t="array" aca="1" ref="F117" ca="1">IF(ISNUMBER(_xll.VoseSimPercentile(Cost_B,$B117)),_xll.VoseSimPercentile(Cost_B,$B117),NA())</f>
        <v>45.836952603442683</v>
      </c>
      <c r="G117" s="71" cm="1">
        <f t="array" aca="1" ref="G117" ca="1">IF(ISNUMBER(_xll.VoseSimPercentile(Cost_C,$B117)),_xll.VoseSimPercentile(Cost_C,$B117),NA())</f>
        <v>64.048188103115251</v>
      </c>
    </row>
    <row r="118" spans="2:7" hidden="1" outlineLevel="1" x14ac:dyDescent="0.45">
      <c r="B118" s="70">
        <v>0.99</v>
      </c>
      <c r="C118" s="70">
        <f t="shared" si="2"/>
        <v>1.0000000000000009E-2</v>
      </c>
      <c r="D118" s="71" cm="1">
        <f t="array" aca="1" ref="D118" ca="1">IF(ISNUMBER(_xll.VoseSimPercentile(Gross,$B118)),_xll.VoseSimPercentile(Gross,$B118),NA())</f>
        <v>534.46895840513434</v>
      </c>
      <c r="E118" s="71" cm="1">
        <f t="array" aca="1" ref="E118" ca="1">IF(ISNUMBER(_xll.VoseSimPercentile(Cost_A,$B118)),_xll.VoseSimPercentile(Cost_A,$B118),NA())</f>
        <v>534.46895840513434</v>
      </c>
      <c r="F118" s="71" cm="1">
        <f t="array" aca="1" ref="F118" ca="1">IF(ISNUMBER(_xll.VoseSimPercentile(Cost_B,$B118)),_xll.VoseSimPercentile(Cost_B,$B118),NA())</f>
        <v>63.941282299602562</v>
      </c>
      <c r="G118" s="71" cm="1">
        <f t="array" aca="1" ref="G118" ca="1">IF(ISNUMBER(_xll.VoseSimPercentile(Cost_C,$B118)),_xll.VoseSimPercentile(Cost_C,$B118),NA())</f>
        <v>76.52698822029943</v>
      </c>
    </row>
    <row r="119" spans="2:7" hidden="1" outlineLevel="1" x14ac:dyDescent="0.45"/>
    <row r="120" spans="2:7" ht="18" hidden="1" customHeight="1" outlineLevel="1" x14ac:dyDescent="0.45">
      <c r="B120" s="23" t="s">
        <v>252</v>
      </c>
      <c r="C120" s="24" t="s">
        <v>247</v>
      </c>
      <c r="D120" s="24" t="s">
        <v>138</v>
      </c>
      <c r="E120" s="5"/>
      <c r="F120" s="5"/>
      <c r="G120" s="5"/>
    </row>
    <row r="121" spans="2:7" hidden="1" outlineLevel="1" x14ac:dyDescent="0.45">
      <c r="B121" s="72" t="s">
        <v>253</v>
      </c>
      <c r="C121" s="70">
        <v>0.9</v>
      </c>
      <c r="D121" s="71" cm="1">
        <f t="array" aca="1" ref="D121" ca="1">IF(ISNUMBER(_xll.VoseSimPercentile(Gross,0.1)),_xll.VoseSimPercentile(Gross,0.1),NA())</f>
        <v>2.9213758329950958</v>
      </c>
    </row>
    <row r="122" spans="2:7" hidden="1" outlineLevel="1" x14ac:dyDescent="0.45">
      <c r="B122" s="72" t="s">
        <v>254</v>
      </c>
      <c r="C122" s="70">
        <v>0.5</v>
      </c>
      <c r="D122" s="71" cm="1">
        <f t="array" aca="1" ref="D122" ca="1">IF(ISNUMBER(_xll.VoseSimPercentile(Gross,0.5)),_xll.VoseSimPercentile(Gross,0.5),NA())</f>
        <v>8.5013267404110398</v>
      </c>
    </row>
    <row r="123" spans="2:7" hidden="1" outlineLevel="1" x14ac:dyDescent="0.45">
      <c r="B123" s="72" t="s">
        <v>255</v>
      </c>
      <c r="C123" s="70">
        <v>0.1</v>
      </c>
      <c r="D123" s="71" cm="1">
        <f t="array" aca="1" ref="D123" ca="1">IF(ISNUMBER(_xll.VoseSimPercentile(Gross,0.9)),_xll.VoseSimPercentile(Gross,0.9),NA())</f>
        <v>36.672290281516403</v>
      </c>
    </row>
  </sheetData>
  <mergeCells count="4">
    <mergeCell ref="B60:G60"/>
    <mergeCell ref="B62:G62"/>
    <mergeCell ref="B63:G63"/>
    <mergeCell ref="B61:G61"/>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D121:D123">
    <cfRule type="expression" dxfId="1" priority="4">
      <formula>ISNA(D121)</formula>
    </cfRule>
  </conditionalFormatting>
  <conditionalFormatting sqref="D69:G118">
    <cfRule type="expression" dxfId="0" priority="3">
      <formula>ISNA(D69)</formula>
    </cfRule>
  </conditionalFormatting>
  <hyperlinks>
    <hyperlink ref="B4" location="'Losses'!A1" display="◂  Losses"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4AC5B-D1E3-43D7-841B-3EE973A568B4}">
  <dimension ref="A1:B1"/>
  <sheetViews>
    <sheetView workbookViewId="0"/>
  </sheetViews>
  <sheetFormatPr defaultRowHeight="14.25" x14ac:dyDescent="0.45"/>
  <sheetData>
    <row r="1" spans="1:2" x14ac:dyDescent="0.45">
      <c r="A1" s="77" t="s">
        <v>256</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6A992-53F7-487F-9B67-B01ED9725458}">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33345-75B1-422A-88F3-747D7103D470}">
  <dimension ref="B3:B182"/>
  <sheetViews>
    <sheetView workbookViewId="0"/>
  </sheetViews>
  <sheetFormatPr defaultRowHeight="14.25" x14ac:dyDescent="0.45"/>
  <sheetData>
    <row r="3" spans="2:2" x14ac:dyDescent="0.45">
      <c r="B3">
        <v>246</v>
      </c>
    </row>
    <row r="4" spans="2:2" x14ac:dyDescent="0.45">
      <c r="B4">
        <v>814</v>
      </c>
    </row>
    <row r="5" spans="2:2" x14ac:dyDescent="0.45">
      <c r="B5">
        <v>536</v>
      </c>
    </row>
    <row r="6" spans="2:2" x14ac:dyDescent="0.45">
      <c r="B6">
        <v>265</v>
      </c>
    </row>
    <row r="7" spans="2:2" x14ac:dyDescent="0.45">
      <c r="B7">
        <v>94</v>
      </c>
    </row>
    <row r="8" spans="2:2" x14ac:dyDescent="0.45">
      <c r="B8">
        <v>25</v>
      </c>
    </row>
    <row r="9" spans="2:2" x14ac:dyDescent="0.45">
      <c r="B9">
        <v>10</v>
      </c>
    </row>
    <row r="10" spans="2:2" x14ac:dyDescent="0.45">
      <c r="B10">
        <v>4</v>
      </c>
    </row>
    <row r="11" spans="2:2" x14ac:dyDescent="0.45">
      <c r="B11">
        <v>3</v>
      </c>
    </row>
    <row r="12" spans="2:2" x14ac:dyDescent="0.45">
      <c r="B12">
        <v>3</v>
      </c>
    </row>
    <row r="13" spans="2:2" x14ac:dyDescent="0.45">
      <c r="B13">
        <v>898</v>
      </c>
    </row>
    <row r="14" spans="2:2" x14ac:dyDescent="0.45">
      <c r="B14">
        <v>704</v>
      </c>
    </row>
    <row r="15" spans="2:2" x14ac:dyDescent="0.45">
      <c r="B15">
        <v>0</v>
      </c>
    </row>
    <row r="16" spans="2:2" x14ac:dyDescent="0.45">
      <c r="B16">
        <v>301</v>
      </c>
    </row>
    <row r="17" spans="2:2" x14ac:dyDescent="0.45">
      <c r="B17">
        <v>0</v>
      </c>
    </row>
    <row r="18" spans="2:2" x14ac:dyDescent="0.45">
      <c r="B18">
        <v>83</v>
      </c>
    </row>
    <row r="19" spans="2:2" x14ac:dyDescent="0.45">
      <c r="B19">
        <v>0</v>
      </c>
    </row>
    <row r="20" spans="2:2" x14ac:dyDescent="0.45">
      <c r="B20">
        <v>12</v>
      </c>
    </row>
    <row r="21" spans="2:2" x14ac:dyDescent="0.45">
      <c r="B21">
        <v>0</v>
      </c>
    </row>
    <row r="22" spans="2:2" x14ac:dyDescent="0.45">
      <c r="B22">
        <v>2</v>
      </c>
    </row>
    <row r="23" spans="2:2" x14ac:dyDescent="0.45">
      <c r="B23">
        <v>1858</v>
      </c>
    </row>
    <row r="24" spans="2:2" x14ac:dyDescent="0.45">
      <c r="B24">
        <v>103</v>
      </c>
    </row>
    <row r="25" spans="2:2" x14ac:dyDescent="0.45">
      <c r="B25">
        <v>25</v>
      </c>
    </row>
    <row r="26" spans="2:2" x14ac:dyDescent="0.45">
      <c r="B26">
        <v>9</v>
      </c>
    </row>
    <row r="27" spans="2:2" x14ac:dyDescent="0.45">
      <c r="B27">
        <v>3</v>
      </c>
    </row>
    <row r="28" spans="2:2" x14ac:dyDescent="0.45">
      <c r="B28">
        <v>0</v>
      </c>
    </row>
    <row r="29" spans="2:2" x14ac:dyDescent="0.45">
      <c r="B29">
        <v>0</v>
      </c>
    </row>
    <row r="30" spans="2:2" x14ac:dyDescent="0.45">
      <c r="B30">
        <v>1</v>
      </c>
    </row>
    <row r="31" spans="2:2" x14ac:dyDescent="0.45">
      <c r="B31">
        <v>0</v>
      </c>
    </row>
    <row r="32" spans="2:2" x14ac:dyDescent="0.45">
      <c r="B32">
        <v>1</v>
      </c>
    </row>
    <row r="33" spans="2:2" x14ac:dyDescent="0.45">
      <c r="B33">
        <v>1983</v>
      </c>
    </row>
    <row r="34" spans="2:2" x14ac:dyDescent="0.45">
      <c r="B34">
        <v>16</v>
      </c>
    </row>
    <row r="35" spans="2:2" x14ac:dyDescent="0.45">
      <c r="B35">
        <v>0</v>
      </c>
    </row>
    <row r="36" spans="2:2" x14ac:dyDescent="0.45">
      <c r="B36">
        <v>0</v>
      </c>
    </row>
    <row r="37" spans="2:2" x14ac:dyDescent="0.45">
      <c r="B37">
        <v>0</v>
      </c>
    </row>
    <row r="38" spans="2:2" x14ac:dyDescent="0.45">
      <c r="B38">
        <v>0</v>
      </c>
    </row>
    <row r="39" spans="2:2" x14ac:dyDescent="0.45">
      <c r="B39">
        <v>0</v>
      </c>
    </row>
    <row r="40" spans="2:2" x14ac:dyDescent="0.45">
      <c r="B40">
        <v>0</v>
      </c>
    </row>
    <row r="41" spans="2:2" x14ac:dyDescent="0.45">
      <c r="B41">
        <v>0</v>
      </c>
    </row>
    <row r="42" spans="2:2" x14ac:dyDescent="0.45">
      <c r="B42">
        <v>1</v>
      </c>
    </row>
    <row r="43" spans="2:2" x14ac:dyDescent="0.45">
      <c r="B43">
        <v>1957</v>
      </c>
    </row>
    <row r="44" spans="2:2" x14ac:dyDescent="0.45">
      <c r="B44">
        <v>23</v>
      </c>
    </row>
    <row r="45" spans="2:2" x14ac:dyDescent="0.45">
      <c r="B45">
        <v>9</v>
      </c>
    </row>
    <row r="46" spans="2:2" x14ac:dyDescent="0.45">
      <c r="B46">
        <v>7</v>
      </c>
    </row>
    <row r="47" spans="2:2" x14ac:dyDescent="0.45">
      <c r="B47">
        <v>1</v>
      </c>
    </row>
    <row r="48" spans="2:2" x14ac:dyDescent="0.45">
      <c r="B48">
        <v>0</v>
      </c>
    </row>
    <row r="49" spans="2:2" x14ac:dyDescent="0.45">
      <c r="B49">
        <v>0</v>
      </c>
    </row>
    <row r="50" spans="2:2" x14ac:dyDescent="0.45">
      <c r="B50">
        <v>0</v>
      </c>
    </row>
    <row r="51" spans="2:2" x14ac:dyDescent="0.45">
      <c r="B51">
        <v>1</v>
      </c>
    </row>
    <row r="52" spans="2:2" x14ac:dyDescent="0.45">
      <c r="B52">
        <v>2</v>
      </c>
    </row>
    <row r="53" spans="2:2" x14ac:dyDescent="0.45">
      <c r="B53">
        <v>1987</v>
      </c>
    </row>
    <row r="54" spans="2:2" x14ac:dyDescent="0.45">
      <c r="B54">
        <v>3</v>
      </c>
    </row>
    <row r="55" spans="2:2" x14ac:dyDescent="0.45">
      <c r="B55">
        <v>1</v>
      </c>
    </row>
    <row r="56" spans="2:2" x14ac:dyDescent="0.45">
      <c r="B56">
        <v>1</v>
      </c>
    </row>
    <row r="57" spans="2:2" x14ac:dyDescent="0.45">
      <c r="B57">
        <v>0</v>
      </c>
    </row>
    <row r="58" spans="2:2" x14ac:dyDescent="0.45">
      <c r="B58">
        <v>3</v>
      </c>
    </row>
    <row r="59" spans="2:2" x14ac:dyDescent="0.45">
      <c r="B59">
        <v>2</v>
      </c>
    </row>
    <row r="60" spans="2:2" x14ac:dyDescent="0.45">
      <c r="B60">
        <v>2</v>
      </c>
    </row>
    <row r="61" spans="2:2" x14ac:dyDescent="0.45">
      <c r="B61">
        <v>0</v>
      </c>
    </row>
    <row r="62" spans="2:2" x14ac:dyDescent="0.45">
      <c r="B62">
        <v>1</v>
      </c>
    </row>
    <row r="63" spans="2:2" x14ac:dyDescent="0.45">
      <c r="B63">
        <v>1998</v>
      </c>
    </row>
    <row r="64" spans="2:2" x14ac:dyDescent="0.45">
      <c r="B64">
        <v>0</v>
      </c>
    </row>
    <row r="65" spans="2:2" x14ac:dyDescent="0.45">
      <c r="B65">
        <v>0</v>
      </c>
    </row>
    <row r="66" spans="2:2" x14ac:dyDescent="0.45">
      <c r="B66">
        <v>0</v>
      </c>
    </row>
    <row r="67" spans="2:2" x14ac:dyDescent="0.45">
      <c r="B67">
        <v>0</v>
      </c>
    </row>
    <row r="68" spans="2:2" x14ac:dyDescent="0.45">
      <c r="B68">
        <v>0</v>
      </c>
    </row>
    <row r="69" spans="2:2" x14ac:dyDescent="0.45">
      <c r="B69">
        <v>1</v>
      </c>
    </row>
    <row r="70" spans="2:2" x14ac:dyDescent="0.45">
      <c r="B70">
        <v>0</v>
      </c>
    </row>
    <row r="71" spans="2:2" x14ac:dyDescent="0.45">
      <c r="B71">
        <v>0</v>
      </c>
    </row>
    <row r="72" spans="2:2" x14ac:dyDescent="0.45">
      <c r="B72">
        <v>1</v>
      </c>
    </row>
    <row r="73" spans="2:2" x14ac:dyDescent="0.45">
      <c r="B73">
        <v>0</v>
      </c>
    </row>
    <row r="74" spans="2:2" x14ac:dyDescent="0.45">
      <c r="B74">
        <v>0</v>
      </c>
    </row>
    <row r="75" spans="2:2" x14ac:dyDescent="0.45">
      <c r="B75">
        <v>0</v>
      </c>
    </row>
    <row r="76" spans="2:2" x14ac:dyDescent="0.45">
      <c r="B76">
        <v>0</v>
      </c>
    </row>
    <row r="77" spans="2:2" x14ac:dyDescent="0.45">
      <c r="B77">
        <v>0</v>
      </c>
    </row>
    <row r="78" spans="2:2" x14ac:dyDescent="0.45">
      <c r="B78">
        <v>2000</v>
      </c>
    </row>
    <row r="79" spans="2:2" x14ac:dyDescent="0.45">
      <c r="B79">
        <v>0</v>
      </c>
    </row>
    <row r="80" spans="2:2" x14ac:dyDescent="0.45">
      <c r="B80">
        <v>0</v>
      </c>
    </row>
    <row r="81" spans="2:2" x14ac:dyDescent="0.45">
      <c r="B81">
        <v>0</v>
      </c>
    </row>
    <row r="82" spans="2:2" x14ac:dyDescent="0.45">
      <c r="B82">
        <v>0</v>
      </c>
    </row>
    <row r="83" spans="2:2" x14ac:dyDescent="0.45">
      <c r="B83">
        <v>1955</v>
      </c>
    </row>
    <row r="84" spans="2:2" x14ac:dyDescent="0.45">
      <c r="B84">
        <v>0</v>
      </c>
    </row>
    <row r="85" spans="2:2" x14ac:dyDescent="0.45">
      <c r="B85">
        <v>0</v>
      </c>
    </row>
    <row r="86" spans="2:2" x14ac:dyDescent="0.45">
      <c r="B86">
        <v>0</v>
      </c>
    </row>
    <row r="87" spans="2:2" x14ac:dyDescent="0.45">
      <c r="B87">
        <v>0</v>
      </c>
    </row>
    <row r="88" spans="2:2" x14ac:dyDescent="0.45">
      <c r="B88">
        <v>0</v>
      </c>
    </row>
    <row r="89" spans="2:2" x14ac:dyDescent="0.45">
      <c r="B89">
        <v>0</v>
      </c>
    </row>
    <row r="90" spans="2:2" x14ac:dyDescent="0.45">
      <c r="B90">
        <v>0</v>
      </c>
    </row>
    <row r="91" spans="2:2" x14ac:dyDescent="0.45">
      <c r="B91">
        <v>0</v>
      </c>
    </row>
    <row r="92" spans="2:2" x14ac:dyDescent="0.45">
      <c r="B92">
        <v>45</v>
      </c>
    </row>
    <row r="93" spans="2:2" x14ac:dyDescent="0.45">
      <c r="B93">
        <v>1971</v>
      </c>
    </row>
    <row r="94" spans="2:2" x14ac:dyDescent="0.45">
      <c r="B94">
        <v>12</v>
      </c>
    </row>
    <row r="95" spans="2:2" x14ac:dyDescent="0.45">
      <c r="B95">
        <v>6</v>
      </c>
    </row>
    <row r="96" spans="2:2" x14ac:dyDescent="0.45">
      <c r="B96">
        <v>0</v>
      </c>
    </row>
    <row r="97" spans="2:2" x14ac:dyDescent="0.45">
      <c r="B97">
        <v>1</v>
      </c>
    </row>
    <row r="98" spans="2:2" x14ac:dyDescent="0.45">
      <c r="B98">
        <v>5</v>
      </c>
    </row>
    <row r="99" spans="2:2" x14ac:dyDescent="0.45">
      <c r="B99">
        <v>2</v>
      </c>
    </row>
    <row r="100" spans="2:2" x14ac:dyDescent="0.45">
      <c r="B100">
        <v>0</v>
      </c>
    </row>
    <row r="101" spans="2:2" x14ac:dyDescent="0.45">
      <c r="B101">
        <v>0</v>
      </c>
    </row>
    <row r="102" spans="2:2" x14ac:dyDescent="0.45">
      <c r="B102">
        <v>3</v>
      </c>
    </row>
    <row r="103" spans="2:2" x14ac:dyDescent="0.45">
      <c r="B103">
        <v>0</v>
      </c>
    </row>
    <row r="104" spans="2:2" x14ac:dyDescent="0.45">
      <c r="B104">
        <v>0</v>
      </c>
    </row>
    <row r="105" spans="2:2" x14ac:dyDescent="0.45">
      <c r="B105">
        <v>0</v>
      </c>
    </row>
    <row r="106" spans="2:2" x14ac:dyDescent="0.45">
      <c r="B106">
        <v>0</v>
      </c>
    </row>
    <row r="107" spans="2:2" x14ac:dyDescent="0.45">
      <c r="B107">
        <v>0</v>
      </c>
    </row>
    <row r="108" spans="2:2" x14ac:dyDescent="0.45">
      <c r="B108">
        <v>2000</v>
      </c>
    </row>
    <row r="109" spans="2:2" x14ac:dyDescent="0.45">
      <c r="B109">
        <v>0</v>
      </c>
    </row>
    <row r="110" spans="2:2" x14ac:dyDescent="0.45">
      <c r="B110">
        <v>0</v>
      </c>
    </row>
    <row r="111" spans="2:2" x14ac:dyDescent="0.45">
      <c r="B111">
        <v>0</v>
      </c>
    </row>
    <row r="112" spans="2:2" x14ac:dyDescent="0.45">
      <c r="B112">
        <v>0</v>
      </c>
    </row>
    <row r="113" spans="2:2" x14ac:dyDescent="0.45">
      <c r="B113">
        <v>1970</v>
      </c>
    </row>
    <row r="114" spans="2:2" x14ac:dyDescent="0.45">
      <c r="B114">
        <v>12</v>
      </c>
    </row>
    <row r="115" spans="2:2" x14ac:dyDescent="0.45">
      <c r="B115">
        <v>7</v>
      </c>
    </row>
    <row r="116" spans="2:2" x14ac:dyDescent="0.45">
      <c r="B116">
        <v>0</v>
      </c>
    </row>
    <row r="117" spans="2:2" x14ac:dyDescent="0.45">
      <c r="B117">
        <v>1</v>
      </c>
    </row>
    <row r="118" spans="2:2" x14ac:dyDescent="0.45">
      <c r="B118">
        <v>4</v>
      </c>
    </row>
    <row r="119" spans="2:2" x14ac:dyDescent="0.45">
      <c r="B119">
        <v>3</v>
      </c>
    </row>
    <row r="120" spans="2:2" x14ac:dyDescent="0.45">
      <c r="B120">
        <v>0</v>
      </c>
    </row>
    <row r="121" spans="2:2" x14ac:dyDescent="0.45">
      <c r="B121">
        <v>0</v>
      </c>
    </row>
    <row r="122" spans="2:2" x14ac:dyDescent="0.45">
      <c r="B122">
        <v>3</v>
      </c>
    </row>
    <row r="123" spans="2:2" x14ac:dyDescent="0.45">
      <c r="B123">
        <v>1930</v>
      </c>
    </row>
    <row r="124" spans="2:2" x14ac:dyDescent="0.45">
      <c r="B124">
        <v>23</v>
      </c>
    </row>
    <row r="125" spans="2:2" x14ac:dyDescent="0.45">
      <c r="B125">
        <v>6</v>
      </c>
    </row>
    <row r="126" spans="2:2" x14ac:dyDescent="0.45">
      <c r="B126">
        <v>6</v>
      </c>
    </row>
    <row r="127" spans="2:2" x14ac:dyDescent="0.45">
      <c r="B127">
        <v>5</v>
      </c>
    </row>
    <row r="128" spans="2:2" x14ac:dyDescent="0.45">
      <c r="B128">
        <v>1</v>
      </c>
    </row>
    <row r="129" spans="2:2" x14ac:dyDescent="0.45">
      <c r="B129">
        <v>4</v>
      </c>
    </row>
    <row r="130" spans="2:2" x14ac:dyDescent="0.45">
      <c r="B130">
        <v>0</v>
      </c>
    </row>
    <row r="131" spans="2:2" x14ac:dyDescent="0.45">
      <c r="B131">
        <v>1</v>
      </c>
    </row>
    <row r="132" spans="2:2" x14ac:dyDescent="0.45">
      <c r="B132">
        <v>24</v>
      </c>
    </row>
    <row r="133" spans="2:2" x14ac:dyDescent="0.45">
      <c r="B133">
        <v>1961</v>
      </c>
    </row>
    <row r="134" spans="2:2" x14ac:dyDescent="0.45">
      <c r="B134">
        <v>9</v>
      </c>
    </row>
    <row r="135" spans="2:2" x14ac:dyDescent="0.45">
      <c r="B135">
        <v>5</v>
      </c>
    </row>
    <row r="136" spans="2:2" x14ac:dyDescent="0.45">
      <c r="B136">
        <v>7</v>
      </c>
    </row>
    <row r="137" spans="2:2" x14ac:dyDescent="0.45">
      <c r="B137">
        <v>4</v>
      </c>
    </row>
    <row r="138" spans="2:2" x14ac:dyDescent="0.45">
      <c r="B138">
        <v>3</v>
      </c>
    </row>
    <row r="139" spans="2:2" x14ac:dyDescent="0.45">
      <c r="B139">
        <v>0</v>
      </c>
    </row>
    <row r="140" spans="2:2" x14ac:dyDescent="0.45">
      <c r="B140">
        <v>0</v>
      </c>
    </row>
    <row r="141" spans="2:2" x14ac:dyDescent="0.45">
      <c r="B141">
        <v>0</v>
      </c>
    </row>
    <row r="142" spans="2:2" x14ac:dyDescent="0.45">
      <c r="B142">
        <v>11</v>
      </c>
    </row>
    <row r="143" spans="2:2" x14ac:dyDescent="0.45">
      <c r="B143">
        <v>1970</v>
      </c>
    </row>
    <row r="144" spans="2:2" x14ac:dyDescent="0.45">
      <c r="B144">
        <v>12</v>
      </c>
    </row>
    <row r="145" spans="2:2" x14ac:dyDescent="0.45">
      <c r="B145">
        <v>7</v>
      </c>
    </row>
    <row r="146" spans="2:2" x14ac:dyDescent="0.45">
      <c r="B146">
        <v>0</v>
      </c>
    </row>
    <row r="147" spans="2:2" x14ac:dyDescent="0.45">
      <c r="B147">
        <v>1</v>
      </c>
    </row>
    <row r="148" spans="2:2" x14ac:dyDescent="0.45">
      <c r="B148">
        <v>4</v>
      </c>
    </row>
    <row r="149" spans="2:2" x14ac:dyDescent="0.45">
      <c r="B149">
        <v>3</v>
      </c>
    </row>
    <row r="150" spans="2:2" x14ac:dyDescent="0.45">
      <c r="B150">
        <v>0</v>
      </c>
    </row>
    <row r="151" spans="2:2" x14ac:dyDescent="0.45">
      <c r="B151">
        <v>0</v>
      </c>
    </row>
    <row r="152" spans="2:2" x14ac:dyDescent="0.45">
      <c r="B152">
        <v>3</v>
      </c>
    </row>
    <row r="153" spans="2:2" x14ac:dyDescent="0.45">
      <c r="B153">
        <v>1986</v>
      </c>
    </row>
    <row r="154" spans="2:2" x14ac:dyDescent="0.45">
      <c r="B154">
        <v>3</v>
      </c>
    </row>
    <row r="155" spans="2:2" x14ac:dyDescent="0.45">
      <c r="B155">
        <v>0</v>
      </c>
    </row>
    <row r="156" spans="2:2" x14ac:dyDescent="0.45">
      <c r="B156">
        <v>1</v>
      </c>
    </row>
    <row r="157" spans="2:2" x14ac:dyDescent="0.45">
      <c r="B157">
        <v>4</v>
      </c>
    </row>
    <row r="158" spans="2:2" x14ac:dyDescent="0.45">
      <c r="B158">
        <v>1</v>
      </c>
    </row>
    <row r="159" spans="2:2" x14ac:dyDescent="0.45">
      <c r="B159">
        <v>2</v>
      </c>
    </row>
    <row r="160" spans="2:2" x14ac:dyDescent="0.45">
      <c r="B160">
        <v>0</v>
      </c>
    </row>
    <row r="161" spans="2:2" x14ac:dyDescent="0.45">
      <c r="B161">
        <v>1</v>
      </c>
    </row>
    <row r="162" spans="2:2" x14ac:dyDescent="0.45">
      <c r="B162">
        <v>2</v>
      </c>
    </row>
    <row r="163" spans="2:2" x14ac:dyDescent="0.45">
      <c r="B163">
        <v>1990</v>
      </c>
    </row>
    <row r="164" spans="2:2" x14ac:dyDescent="0.45">
      <c r="B164">
        <v>4</v>
      </c>
    </row>
    <row r="165" spans="2:2" x14ac:dyDescent="0.45">
      <c r="B165">
        <v>1</v>
      </c>
    </row>
    <row r="166" spans="2:2" x14ac:dyDescent="0.45">
      <c r="B166">
        <v>0</v>
      </c>
    </row>
    <row r="167" spans="2:2" x14ac:dyDescent="0.45">
      <c r="B167">
        <v>2</v>
      </c>
    </row>
    <row r="168" spans="2:2" x14ac:dyDescent="0.45">
      <c r="B168">
        <v>0</v>
      </c>
    </row>
    <row r="169" spans="2:2" x14ac:dyDescent="0.45">
      <c r="B169">
        <v>0</v>
      </c>
    </row>
    <row r="170" spans="2:2" x14ac:dyDescent="0.45">
      <c r="B170">
        <v>0</v>
      </c>
    </row>
    <row r="171" spans="2:2" x14ac:dyDescent="0.45">
      <c r="B171">
        <v>1</v>
      </c>
    </row>
    <row r="172" spans="2:2" x14ac:dyDescent="0.45">
      <c r="B172">
        <v>2</v>
      </c>
    </row>
    <row r="173" spans="2:2" x14ac:dyDescent="0.45">
      <c r="B173">
        <v>1955</v>
      </c>
    </row>
    <row r="174" spans="2:2" x14ac:dyDescent="0.45">
      <c r="B174">
        <v>0</v>
      </c>
    </row>
    <row r="175" spans="2:2" x14ac:dyDescent="0.45">
      <c r="B175">
        <v>0</v>
      </c>
    </row>
    <row r="176" spans="2:2" x14ac:dyDescent="0.45">
      <c r="B176">
        <v>0</v>
      </c>
    </row>
    <row r="177" spans="2:2" x14ac:dyDescent="0.45">
      <c r="B177">
        <v>0</v>
      </c>
    </row>
    <row r="178" spans="2:2" x14ac:dyDescent="0.45">
      <c r="B178">
        <v>0</v>
      </c>
    </row>
    <row r="179" spans="2:2" x14ac:dyDescent="0.45">
      <c r="B179">
        <v>0</v>
      </c>
    </row>
    <row r="180" spans="2:2" x14ac:dyDescent="0.45">
      <c r="B180">
        <v>0</v>
      </c>
    </row>
    <row r="181" spans="2:2" x14ac:dyDescent="0.45">
      <c r="B181">
        <v>0</v>
      </c>
    </row>
    <row r="182" spans="2:2" x14ac:dyDescent="0.45">
      <c r="B182">
        <v>45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60C8197D-9CFC-48D0-BC8E-D58060E25737}">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35</vt:i4>
      </vt:variant>
    </vt:vector>
  </HeadingPairs>
  <TitlesOfParts>
    <vt:vector size="42" baseType="lpstr">
      <vt:lpstr>About</vt:lpstr>
      <vt:lpstr>Inputs</vt:lpstr>
      <vt:lpstr>Losses</vt:lpstr>
      <vt:lpstr>Results</vt:lpstr>
      <vt:lpstr>ModelRiskDSN</vt:lpstr>
      <vt:lpstr>ModelRiskSYS1</vt:lpstr>
      <vt:lpstr>ModelRiskCharts</vt:lpstr>
      <vt:lpstr>Checks</vt:lpstr>
      <vt:lpstr>Cost_A</vt:lpstr>
      <vt:lpstr>Cost_B</vt:lpstr>
      <vt:lpstr>Cost_C</vt:lpstr>
      <vt:lpstr>Ded_B</vt:lpstr>
      <vt:lpstr>Ded_C</vt:lpstr>
      <vt:lpstr>ExpRec_B</vt:lpstr>
      <vt:lpstr>ExpRec_C</vt:lpstr>
      <vt:lpstr>Gross</vt:lpstr>
      <vt:lpstr>Lim_B</vt:lpstr>
      <vt:lpstr>Lim_C</vt:lpstr>
      <vt:lpstr>Loading</vt:lpstr>
      <vt:lpstr>Maj_Mean</vt:lpstr>
      <vt:lpstr>Maj_N</vt:lpstr>
      <vt:lpstr>Maj_Rate</vt:lpstr>
      <vt:lpstr>Maj_SD</vt:lpstr>
      <vt:lpstr>Maj_Sev</vt:lpstr>
      <vt:lpstr>MajorHappens</vt:lpstr>
      <vt:lpstr>Minor_Mean</vt:lpstr>
      <vt:lpstr>Minor_Rate</vt:lpstr>
      <vt:lpstr>Minor_SD</vt:lpstr>
      <vt:lpstr>Minor_Sev</vt:lpstr>
      <vt:lpstr>Minor_Total</vt:lpstr>
      <vt:lpstr>Prem_B</vt:lpstr>
      <vt:lpstr>Prem_C</vt:lpstr>
      <vt:lpstr>Results!Print_Area</vt:lpstr>
      <vt:lpstr>Inputs!Print_Titles</vt:lpstr>
      <vt:lpstr>Results!Print_Titles</vt:lpstr>
      <vt:lpstr>Rec_B</vt:lpstr>
      <vt:lpstr>Rec_C</vt:lpstr>
      <vt:lpstr>Sig_Mean</vt:lpstr>
      <vt:lpstr>Sig_N</vt:lpstr>
      <vt:lpstr>Sig_Rate</vt:lpstr>
      <vt:lpstr>Sig_SD</vt:lpstr>
      <vt:lpstr>Sig_Sev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OG-10 Major Accident and Operational Loss Exposure</dc:title>
  <dc:subject>ModelRisk industry example library — Oil and gas</dc:subject>
  <dc:creator>Vose Software</dc:creator>
  <cp:keywords>ModelRisk; Monte Carlo; Oil and gas</cp:keywords>
  <dc:description>Annual operational losses from minor incidents to a major accident, and three insurance programmes compared by return period.</dc:description>
  <cp:lastModifiedBy>Timour Koupeev</cp:lastModifiedBy>
  <cp:lastPrinted>2026-10-05T17:33:52Z</cp:lastPrinted>
  <dcterms:created xsi:type="dcterms:W3CDTF">2026-10-05T17:28:19Z</dcterms:created>
  <dcterms:modified xsi:type="dcterms:W3CDTF">2026-10-05T17:33:54Z</dcterms:modified>
</cp:coreProperties>
</file>