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CF65488F-4D84-4DB1-B672-19C701229BA3}"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Hedges" sheetId="3" r:id="rId3"/>
    <sheet name="Results" sheetId="4" r:id="rId4"/>
    <sheet name="ModelRiskDSN" sheetId="5" state="hidden" r:id="rId5"/>
    <sheet name="ModelRiskSYS1" sheetId="6" state="hidden" r:id="rId6"/>
    <sheet name="ModelRiskCharts" sheetId="7" state="hidden" r:id="rId7"/>
  </sheets>
  <definedNames>
    <definedName name="AvgPrice">Hedges!$D$50</definedName>
    <definedName name="BudgetPrice">Inputs!$D$35</definedName>
    <definedName name="BudgetRevenue">Hedges!$D$19</definedName>
    <definedName name="BudgetUptime">Inputs!$D$36</definedName>
    <definedName name="CallStrike">Inputs!$D$29</definedName>
    <definedName name="Checks">Hedges!$D$54:$D$56</definedName>
    <definedName name="FirstYear">Inputs!$D$25</definedName>
    <definedName name="HedgeRatio">Inputs!$D$26</definedName>
    <definedName name="InputMeans">Inputs!$I$12:$I$12</definedName>
    <definedName name="MonthsHedged">Hedges!$D$13</definedName>
    <definedName name="Mu_m">Hedges!$D$17</definedName>
    <definedName name="Outage">Hedges!$D$14</definedName>
    <definedName name="OutageMonths">Inputs!$D$14</definedName>
    <definedName name="OutageStart">Hedges!$D$15</definedName>
    <definedName name="Pay_C">Hedges!$D$48</definedName>
    <definedName name="Pay_P">Hedges!$D$49</definedName>
    <definedName name="Pay_S">Hedges!$D$47</definedName>
    <definedName name="PlanRevenue">Hedges!$D$18</definedName>
    <definedName name="PlanVolume">Inputs!$D$11</definedName>
    <definedName name="PriceNow">Inputs!$D$19</definedName>
    <definedName name="_xlnm.Print_Area" localSheetId="3">Results!$A$1:$R$36</definedName>
    <definedName name="_xlnm.Print_Titles" localSheetId="2">Hedges!$6:$7,Hedges!$A:$D</definedName>
    <definedName name="_xlnm.Print_Titles" localSheetId="1">Inputs!$1:$4</definedName>
    <definedName name="_xlnm.Print_Titles" localSheetId="3">Results!$1:$4</definedName>
    <definedName name="Prob_Outage">Inputs!$D$13</definedName>
    <definedName name="PutPremium">Inputs!$D$30</definedName>
    <definedName name="PutStrike">Inputs!$D$28</definedName>
    <definedName name="Rev_C">Hedges!$D$41</definedName>
    <definedName name="Rev_P">Hedges!$D$42</definedName>
    <definedName name="Rev_S">Hedges!$D$40</definedName>
    <definedName name="Rev_U">Hedges!$D$39</definedName>
    <definedName name="Short_C">Hedges!$D$45</definedName>
    <definedName name="Short_P">Hedges!$D$46</definedName>
    <definedName name="Short_S">Hedges!$D$44</definedName>
    <definedName name="Short_U">Hedges!$D$43</definedName>
    <definedName name="Sigma_m">Hedges!$D$16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Month">Hedges!$D$12</definedName>
    <definedName name="SwapPrice">Inputs!$D$27</definedName>
    <definedName name="Uptime_Hi">Inputs!$H$12</definedName>
    <definedName name="Uptime_Lo">Inputs!$F$12</definedName>
    <definedName name="Uptime_Mean">Inputs!$I$12</definedName>
    <definedName name="Uptime_ML">Inputs!$G$12</definedName>
    <definedName name="Volatility">Inputs!$D$20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1" i="4" l="1"/>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D55" i="3"/>
  <c r="D54" i="3"/>
  <c r="AC31" i="3"/>
  <c r="AB31" i="3"/>
  <c r="AA31" i="3"/>
  <c r="Z31" i="3"/>
  <c r="Y31" i="3"/>
  <c r="X31" i="3"/>
  <c r="W31" i="3"/>
  <c r="V31" i="3"/>
  <c r="U31" i="3"/>
  <c r="T31" i="3"/>
  <c r="S31" i="3"/>
  <c r="R31" i="3"/>
  <c r="Q31" i="3"/>
  <c r="P31" i="3"/>
  <c r="O31" i="3"/>
  <c r="N31" i="3"/>
  <c r="M31" i="3"/>
  <c r="L31" i="3"/>
  <c r="K31" i="3"/>
  <c r="J31" i="3"/>
  <c r="D31" i="3" s="1"/>
  <c r="I31" i="3"/>
  <c r="H31" i="3"/>
  <c r="G31" i="3"/>
  <c r="F31" i="3"/>
  <c r="D16" i="3"/>
  <c r="D17" i="3"/>
  <c r="F23" i="3" a="1"/>
  <c r="Y23" i="3" s="1"/>
  <c r="D12" i="3"/>
  <c r="Z7" i="3" s="1"/>
  <c r="G6" i="3"/>
  <c r="D36" i="2"/>
  <c r="H6" i="3"/>
  <c r="I6" i="3" s="1"/>
  <c r="J24" i="3" a="1"/>
  <c r="AB24" i="3" a="1"/>
  <c r="U24" i="3" a="1"/>
  <c r="AA24" i="3" a="1"/>
  <c r="D14" i="3" a="1"/>
  <c r="W24" i="3" a="1"/>
  <c r="AC24" i="3" a="1"/>
  <c r="X24" i="3" a="1"/>
  <c r="V24" i="3" a="1"/>
  <c r="Z24" i="3" a="1"/>
  <c r="K24" i="3" a="1"/>
  <c r="T24" i="3" a="1"/>
  <c r="O24" i="3" a="1"/>
  <c r="N24" i="3" a="1"/>
  <c r="Y24" i="3" a="1"/>
  <c r="R24" i="3" a="1"/>
  <c r="M24" i="3" a="1"/>
  <c r="G24" i="3" a="1"/>
  <c r="S24" i="3" a="1"/>
  <c r="P24" i="3" a="1"/>
  <c r="F24" i="3" a="1"/>
  <c r="I24" i="3" a="1"/>
  <c r="L24" i="3" a="1"/>
  <c r="Q24" i="3" a="1"/>
  <c r="H24" i="3" a="1"/>
  <c r="I12" i="2" a="1"/>
  <c r="H24" i="3" l="1"/>
  <c r="Q24" i="3"/>
  <c r="L24" i="3"/>
  <c r="I24" i="3"/>
  <c r="F24" i="3"/>
  <c r="P24" i="3"/>
  <c r="S24" i="3"/>
  <c r="G24" i="3"/>
  <c r="M24" i="3"/>
  <c r="R24" i="3"/>
  <c r="Y24" i="3"/>
  <c r="N24" i="3"/>
  <c r="O24" i="3"/>
  <c r="T24" i="3"/>
  <c r="K24" i="3"/>
  <c r="Z24" i="3"/>
  <c r="V24" i="3"/>
  <c r="X24" i="3"/>
  <c r="AC24" i="3"/>
  <c r="W24" i="3"/>
  <c r="D14" i="3"/>
  <c r="AA24" i="3"/>
  <c r="U24" i="3"/>
  <c r="AB24" i="3"/>
  <c r="J24" i="3"/>
  <c r="Y33" i="3"/>
  <c r="Y32" i="3"/>
  <c r="Y34" i="3"/>
  <c r="J6" i="3"/>
  <c r="K6" i="3" s="1"/>
  <c r="L6" i="3" s="1"/>
  <c r="M6" i="3" s="1"/>
  <c r="N6" i="3" s="1"/>
  <c r="O6" i="3" s="1"/>
  <c r="P6" i="3" s="1"/>
  <c r="Q6" i="3" s="1"/>
  <c r="R6" i="3" s="1"/>
  <c r="S6" i="3" s="1"/>
  <c r="T6" i="3" s="1"/>
  <c r="U6" i="3" s="1"/>
  <c r="V6" i="3" s="1"/>
  <c r="W6" i="3" s="1"/>
  <c r="X6" i="3" s="1"/>
  <c r="Y6" i="3" s="1"/>
  <c r="Z6" i="3" s="1"/>
  <c r="AA6" i="3" s="1"/>
  <c r="AB6" i="3" s="1"/>
  <c r="AC6" i="3" s="1"/>
  <c r="J23" i="3"/>
  <c r="Q7" i="3"/>
  <c r="W7" i="3"/>
  <c r="P23" i="3"/>
  <c r="S23" i="3"/>
  <c r="AC23" i="3"/>
  <c r="X23" i="3"/>
  <c r="P7" i="3"/>
  <c r="AB23" i="3"/>
  <c r="F23" i="3"/>
  <c r="W23" i="3"/>
  <c r="AA7" i="3"/>
  <c r="R7" i="3"/>
  <c r="AA23" i="3"/>
  <c r="N23" i="3"/>
  <c r="I23" i="3"/>
  <c r="X7" i="3"/>
  <c r="AC7" i="3"/>
  <c r="N7" i="3"/>
  <c r="R23" i="3"/>
  <c r="O23" i="3"/>
  <c r="I7" i="3"/>
  <c r="F7" i="3"/>
  <c r="G7" i="3"/>
  <c r="O7" i="3"/>
  <c r="T7" i="3"/>
  <c r="K23" i="3"/>
  <c r="J7" i="3"/>
  <c r="L23" i="3"/>
  <c r="V23" i="3"/>
  <c r="Q23" i="3"/>
  <c r="AB7" i="3"/>
  <c r="M7" i="3"/>
  <c r="V7" i="3"/>
  <c r="Y7" i="3"/>
  <c r="M23" i="3"/>
  <c r="H23" i="3"/>
  <c r="U23" i="3"/>
  <c r="H7" i="3"/>
  <c r="L7" i="3"/>
  <c r="Z23" i="3"/>
  <c r="T23" i="3"/>
  <c r="G23" i="3"/>
  <c r="S7" i="3"/>
  <c r="K7" i="3"/>
  <c r="U7" i="3"/>
  <c r="I12" i="2"/>
  <c r="F32" i="3" l="1"/>
  <c r="F34" i="3"/>
  <c r="F33" i="3"/>
  <c r="D50" i="3" a="1"/>
  <c r="D50" i="3" s="1"/>
  <c r="Z32" i="3"/>
  <c r="Z34" i="3"/>
  <c r="Z33" i="3"/>
  <c r="U32" i="3"/>
  <c r="U33" i="3"/>
  <c r="U34" i="3"/>
  <c r="V34" i="3"/>
  <c r="V33" i="3"/>
  <c r="V32" i="3"/>
  <c r="AA32" i="3"/>
  <c r="AA34" i="3"/>
  <c r="AA33" i="3"/>
  <c r="AC32" i="3"/>
  <c r="AC34" i="3"/>
  <c r="AC33" i="3"/>
  <c r="J32" i="3"/>
  <c r="J34" i="3"/>
  <c r="J33" i="3"/>
  <c r="X33" i="3"/>
  <c r="X32" i="3"/>
  <c r="X34" i="3"/>
  <c r="H32" i="3"/>
  <c r="H33" i="3"/>
  <c r="H34" i="3"/>
  <c r="L33" i="3"/>
  <c r="L32" i="3"/>
  <c r="L34" i="3"/>
  <c r="O34" i="3"/>
  <c r="O33" i="3"/>
  <c r="O32" i="3"/>
  <c r="S34" i="3"/>
  <c r="S32" i="3"/>
  <c r="S33" i="3"/>
  <c r="I34" i="3"/>
  <c r="I33" i="3"/>
  <c r="I32" i="3"/>
  <c r="Q32" i="3"/>
  <c r="Q34" i="3"/>
  <c r="Q33" i="3"/>
  <c r="N34" i="3"/>
  <c r="N33" i="3"/>
  <c r="N32" i="3"/>
  <c r="R34" i="3"/>
  <c r="R33" i="3"/>
  <c r="R32" i="3"/>
  <c r="P34" i="3"/>
  <c r="P33" i="3"/>
  <c r="P32" i="3"/>
  <c r="T33" i="3"/>
  <c r="T32" i="3"/>
  <c r="T34" i="3"/>
  <c r="AB34" i="3"/>
  <c r="AB33" i="3"/>
  <c r="AB32" i="3"/>
  <c r="D13" i="3"/>
  <c r="D28" i="4" s="1"/>
  <c r="M34" i="3"/>
  <c r="M33" i="3"/>
  <c r="M32" i="3"/>
  <c r="G34" i="3"/>
  <c r="G32" i="3"/>
  <c r="G33" i="3"/>
  <c r="K34" i="3"/>
  <c r="K32" i="3"/>
  <c r="K33" i="3"/>
  <c r="W34" i="3"/>
  <c r="W32" i="3"/>
  <c r="W33" i="3"/>
  <c r="D29" i="4" a="1"/>
  <c r="D29" i="4" l="1"/>
  <c r="D33" i="3"/>
  <c r="D48" i="3" s="1" a="1"/>
  <c r="D48" i="3" s="1"/>
  <c r="D18" i="3"/>
  <c r="D20" i="4" s="1"/>
  <c r="D19" i="3"/>
  <c r="D19" i="4" s="1"/>
  <c r="D34" i="3"/>
  <c r="D49" i="3" s="1" a="1"/>
  <c r="D49" i="3" s="1"/>
  <c r="D56" i="3"/>
  <c r="B7" i="4" s="1"/>
  <c r="D32" i="3"/>
  <c r="D47" i="3" s="1" a="1"/>
  <c r="D47" i="3" s="1"/>
  <c r="D26" i="4" a="1"/>
  <c r="D27" i="4" a="1"/>
  <c r="D25" i="4" a="1"/>
  <c r="D15" i="3" a="1"/>
  <c r="D25" i="4" l="1"/>
  <c r="D27" i="4"/>
  <c r="D26" i="4"/>
  <c r="D15" i="3"/>
  <c r="R25" i="3" l="1"/>
  <c r="R26" i="3" s="1"/>
  <c r="R27" i="3" s="1"/>
  <c r="K25" i="3"/>
  <c r="K26" i="3" s="1"/>
  <c r="K27" i="3" s="1"/>
  <c r="Q25" i="3"/>
  <c r="Q26" i="3" s="1"/>
  <c r="Q27" i="3" s="1"/>
  <c r="X25" i="3"/>
  <c r="X26" i="3" s="1"/>
  <c r="X27" i="3" s="1"/>
  <c r="L25" i="3"/>
  <c r="L26" i="3" s="1"/>
  <c r="L27" i="3" s="1"/>
  <c r="P25" i="3"/>
  <c r="P26" i="3" s="1"/>
  <c r="P27" i="3" s="1"/>
  <c r="O25" i="3"/>
  <c r="O26" i="3" s="1"/>
  <c r="O27" i="3" s="1"/>
  <c r="S25" i="3"/>
  <c r="S26" i="3" s="1"/>
  <c r="S27" i="3" s="1"/>
  <c r="G25" i="3"/>
  <c r="G26" i="3" s="1"/>
  <c r="G27" i="3" s="1"/>
  <c r="H25" i="3"/>
  <c r="H26" i="3" s="1"/>
  <c r="H27" i="3" s="1"/>
  <c r="AB25" i="3"/>
  <c r="AB26" i="3" s="1"/>
  <c r="AB27" i="3" s="1"/>
  <c r="J25" i="3"/>
  <c r="J26" i="3" s="1"/>
  <c r="J27" i="3" s="1"/>
  <c r="N25" i="3"/>
  <c r="N26" i="3" s="1"/>
  <c r="N27" i="3" s="1"/>
  <c r="Y25" i="3"/>
  <c r="Y26" i="3" s="1"/>
  <c r="Y27" i="3" s="1"/>
  <c r="F25" i="3"/>
  <c r="F26" i="3" s="1"/>
  <c r="I25" i="3"/>
  <c r="I26" i="3" s="1"/>
  <c r="I27" i="3" s="1"/>
  <c r="M25" i="3"/>
  <c r="M26" i="3" s="1"/>
  <c r="M27" i="3" s="1"/>
  <c r="Z25" i="3"/>
  <c r="Z26" i="3" s="1"/>
  <c r="Z27" i="3" s="1"/>
  <c r="AA25" i="3"/>
  <c r="AA26" i="3" s="1"/>
  <c r="AA27" i="3" s="1"/>
  <c r="V25" i="3"/>
  <c r="V26" i="3" s="1"/>
  <c r="V27" i="3" s="1"/>
  <c r="U25" i="3"/>
  <c r="U26" i="3" s="1"/>
  <c r="U27" i="3" s="1"/>
  <c r="W25" i="3"/>
  <c r="W26" i="3" s="1"/>
  <c r="W27" i="3" s="1"/>
  <c r="AC25" i="3"/>
  <c r="AC26" i="3" s="1"/>
  <c r="AC27" i="3" s="1"/>
  <c r="T25" i="3"/>
  <c r="T26" i="3" s="1"/>
  <c r="T27" i="3" s="1"/>
  <c r="D26" i="3" l="1"/>
  <c r="F27" i="3"/>
  <c r="D27" i="3" s="1"/>
  <c r="D41" i="3" l="1" a="1"/>
  <c r="D41" i="3" s="1"/>
  <c r="D39" i="3" a="1"/>
  <c r="D39" i="3" s="1"/>
  <c r="D42" i="3" a="1"/>
  <c r="D42" i="3" s="1"/>
  <c r="D40" i="3" a="1"/>
  <c r="D40" i="3" s="1"/>
  <c r="F63" i="4" a="1"/>
  <c r="F48" i="4" a="1"/>
  <c r="F62" i="4" a="1"/>
  <c r="F55" i="4" a="1"/>
  <c r="F54" i="4" a="1"/>
  <c r="F79" i="4" a="1"/>
  <c r="F46" i="4" a="1"/>
  <c r="F87" i="4" a="1"/>
  <c r="F86" i="4" a="1"/>
  <c r="F78" i="4" a="1"/>
  <c r="F45" i="4" a="1"/>
  <c r="F71" i="4" a="1"/>
  <c r="D15" i="4" a="1"/>
  <c r="F70" i="4" a="1"/>
  <c r="F84" i="4" a="1"/>
  <c r="F91" i="4" a="1"/>
  <c r="F83" i="4" a="1"/>
  <c r="F75" i="4" a="1"/>
  <c r="F67" i="4" a="1"/>
  <c r="F59" i="4" a="1"/>
  <c r="F51" i="4" a="1"/>
  <c r="F42" i="4" a="1"/>
  <c r="F77" i="4" a="1"/>
  <c r="F53" i="4" a="1"/>
  <c r="C15" i="4" a="1"/>
  <c r="F60" i="4" a="1"/>
  <c r="F90" i="4" a="1"/>
  <c r="F82" i="4" a="1"/>
  <c r="F74" i="4" a="1"/>
  <c r="F66" i="4" a="1"/>
  <c r="F58" i="4" a="1"/>
  <c r="F50" i="4" a="1"/>
  <c r="E15" i="4" a="1"/>
  <c r="G15" i="4" a="1"/>
  <c r="F69" i="4" a="1"/>
  <c r="F68" i="4" a="1"/>
  <c r="F52" i="4" a="1"/>
  <c r="F89" i="4" a="1"/>
  <c r="F81" i="4" a="1"/>
  <c r="F73" i="4" a="1"/>
  <c r="F65" i="4" a="1"/>
  <c r="F57" i="4" a="1"/>
  <c r="F49" i="4" a="1"/>
  <c r="F85" i="4" a="1"/>
  <c r="F61" i="4" a="1"/>
  <c r="F44" i="4" a="1"/>
  <c r="F76" i="4" a="1"/>
  <c r="F43" i="4" a="1"/>
  <c r="F88" i="4" a="1"/>
  <c r="F80" i="4" a="1"/>
  <c r="F72" i="4" a="1"/>
  <c r="F64" i="4" a="1"/>
  <c r="F56" i="4" a="1"/>
  <c r="F47" i="4" a="1"/>
  <c r="D60" i="4" a="1"/>
  <c r="D81" i="4" a="1"/>
  <c r="D61" i="4" a="1"/>
  <c r="D70" i="4" a="1"/>
  <c r="D69" i="4" a="1"/>
  <c r="D57" i="4" a="1"/>
  <c r="D13" i="4" a="1"/>
  <c r="D90" i="4" a="1"/>
  <c r="D89" i="4" a="1"/>
  <c r="D58" i="4" a="1"/>
  <c r="D44" i="4" a="1"/>
  <c r="D68" i="4" a="1"/>
  <c r="D42" i="4" a="1"/>
  <c r="D63" i="4" a="1"/>
  <c r="D83" i="4" a="1"/>
  <c r="B6" i="4" a="1"/>
  <c r="D75" i="4" a="1"/>
  <c r="D80" i="4" a="1"/>
  <c r="D50" i="4" a="1"/>
  <c r="D45" i="4" a="1"/>
  <c r="D66" i="4" a="1"/>
  <c r="D51" i="4" a="1"/>
  <c r="C13" i="4" a="1"/>
  <c r="D53" i="4" a="1"/>
  <c r="D59" i="4" a="1"/>
  <c r="D88" i="4" a="1"/>
  <c r="D74" i="4" a="1"/>
  <c r="E13" i="4" a="1"/>
  <c r="D67" i="4" a="1"/>
  <c r="D72" i="4" a="1"/>
  <c r="D46" i="4" a="1"/>
  <c r="D73" i="4" a="1"/>
  <c r="D87" i="4" a="1"/>
  <c r="D47" i="4" a="1"/>
  <c r="D52" i="4" a="1"/>
  <c r="D86" i="4" a="1"/>
  <c r="D54" i="4" a="1"/>
  <c r="D64" i="4" a="1"/>
  <c r="D79" i="4" a="1"/>
  <c r="D85" i="4" a="1"/>
  <c r="D84" i="4" a="1"/>
  <c r="D43" i="4" a="1"/>
  <c r="D91" i="4" a="1"/>
  <c r="D56" i="4" a="1"/>
  <c r="D82" i="4" a="1"/>
  <c r="D65" i="4" a="1"/>
  <c r="D49" i="4" a="1"/>
  <c r="D55" i="4" a="1"/>
  <c r="D78" i="4" a="1"/>
  <c r="D48" i="4" a="1"/>
  <c r="D62" i="4" a="1"/>
  <c r="D71" i="4" a="1"/>
  <c r="D77" i="4" a="1"/>
  <c r="D76" i="4" a="1"/>
  <c r="G13" i="4" a="1"/>
  <c r="G48" i="4" a="1"/>
  <c r="G65" i="4" a="1"/>
  <c r="G64" i="4" a="1"/>
  <c r="G81" i="4" a="1"/>
  <c r="G16" i="4" a="1"/>
  <c r="G72" i="4" a="1"/>
  <c r="G89" i="4" a="1"/>
  <c r="G57" i="4" a="1"/>
  <c r="G49" i="4" a="1"/>
  <c r="G80" i="4" a="1"/>
  <c r="G73" i="4" a="1"/>
  <c r="C16" i="4" a="1"/>
  <c r="G88" i="4" a="1"/>
  <c r="G56" i="4" a="1"/>
  <c r="G78" i="4" a="1"/>
  <c r="G85" i="4" a="1"/>
  <c r="G77" i="4" a="1"/>
  <c r="G69" i="4" a="1"/>
  <c r="G61" i="4" a="1"/>
  <c r="G53" i="4" a="1"/>
  <c r="G45" i="4" a="1"/>
  <c r="G79" i="4" a="1"/>
  <c r="G63" i="4" a="1"/>
  <c r="E16" i="4" a="1"/>
  <c r="G86" i="4" a="1"/>
  <c r="G54" i="4" a="1"/>
  <c r="G84" i="4" a="1"/>
  <c r="G76" i="4" a="1"/>
  <c r="G68" i="4" a="1"/>
  <c r="G60" i="4" a="1"/>
  <c r="G52" i="4" a="1"/>
  <c r="G44" i="4" a="1"/>
  <c r="G87" i="4" a="1"/>
  <c r="G47" i="4" a="1"/>
  <c r="G70" i="4" a="1"/>
  <c r="G46" i="4" a="1"/>
  <c r="G91" i="4" a="1"/>
  <c r="G83" i="4" a="1"/>
  <c r="G75" i="4" a="1"/>
  <c r="G67" i="4" a="1"/>
  <c r="G59" i="4" a="1"/>
  <c r="G51" i="4" a="1"/>
  <c r="G43" i="4" a="1"/>
  <c r="G71" i="4" a="1"/>
  <c r="G55" i="4" a="1"/>
  <c r="G62" i="4" a="1"/>
  <c r="D16" i="4" a="1"/>
  <c r="G90" i="4" a="1"/>
  <c r="G82" i="4" a="1"/>
  <c r="G74" i="4" a="1"/>
  <c r="G66" i="4" a="1"/>
  <c r="G58" i="4" a="1"/>
  <c r="G50" i="4" a="1"/>
  <c r="G42" i="4" a="1"/>
  <c r="E87" i="4" a="1"/>
  <c r="E80" i="4" a="1"/>
  <c r="E61" i="4" a="1"/>
  <c r="E79" i="4" a="1"/>
  <c r="E59" i="4" a="1"/>
  <c r="E88" i="4" a="1"/>
  <c r="E46" i="4" a="1"/>
  <c r="E72" i="4" a="1"/>
  <c r="E45" i="4" a="1"/>
  <c r="E64" i="4" a="1"/>
  <c r="E62" i="4" a="1"/>
  <c r="E48" i="4" a="1"/>
  <c r="E71" i="4" a="1"/>
  <c r="E69" i="4" a="1"/>
  <c r="D14" i="4" a="1"/>
  <c r="E84" i="4" a="1"/>
  <c r="E76" i="4" a="1"/>
  <c r="E68" i="4" a="1"/>
  <c r="E56" i="4" a="1"/>
  <c r="G14" i="4" a="1"/>
  <c r="E53" i="4" a="1"/>
  <c r="E78" i="4" a="1"/>
  <c r="E60" i="4" a="1"/>
  <c r="E44" i="4" a="1"/>
  <c r="E85" i="4" a="1"/>
  <c r="E42" i="4" a="1"/>
  <c r="E91" i="4" a="1"/>
  <c r="E83" i="4" a="1"/>
  <c r="E75" i="4" a="1"/>
  <c r="E67" i="4" a="1"/>
  <c r="E54" i="4" a="1"/>
  <c r="E43" i="4" a="1"/>
  <c r="E51" i="4" a="1"/>
  <c r="E86" i="4" a="1"/>
  <c r="E57" i="4" a="1"/>
  <c r="E58" i="4" a="1"/>
  <c r="E90" i="4" a="1"/>
  <c r="E82" i="4" a="1"/>
  <c r="E74" i="4" a="1"/>
  <c r="E66" i="4" a="1"/>
  <c r="E52" i="4" a="1"/>
  <c r="C14" i="4" a="1"/>
  <c r="E49" i="4" a="1"/>
  <c r="E70" i="4" a="1"/>
  <c r="E14" i="4" a="1"/>
  <c r="E77" i="4" a="1"/>
  <c r="E55" i="4" a="1"/>
  <c r="E89" i="4" a="1"/>
  <c r="E81" i="4" a="1"/>
  <c r="E73" i="4" a="1"/>
  <c r="E65" i="4" a="1"/>
  <c r="E50" i="4" a="1"/>
  <c r="E63" i="4" a="1"/>
  <c r="E47" i="4" a="1"/>
  <c r="E47" i="4" l="1"/>
  <c r="E63" i="4"/>
  <c r="E50" i="4"/>
  <c r="E65" i="4"/>
  <c r="E73" i="4"/>
  <c r="E81" i="4"/>
  <c r="E89" i="4"/>
  <c r="E55" i="4"/>
  <c r="E77" i="4"/>
  <c r="E14" i="4"/>
  <c r="E70" i="4"/>
  <c r="E49" i="4"/>
  <c r="C14" i="4"/>
  <c r="E52" i="4"/>
  <c r="E66" i="4"/>
  <c r="E74" i="4"/>
  <c r="E82" i="4"/>
  <c r="E90" i="4"/>
  <c r="E58" i="4"/>
  <c r="E57" i="4"/>
  <c r="E86" i="4"/>
  <c r="E51" i="4"/>
  <c r="E43" i="4"/>
  <c r="E54" i="4"/>
  <c r="E67" i="4"/>
  <c r="E75" i="4"/>
  <c r="E83" i="4"/>
  <c r="E91" i="4"/>
  <c r="E42" i="4"/>
  <c r="E85" i="4"/>
  <c r="E44" i="4"/>
  <c r="E60" i="4"/>
  <c r="E78" i="4"/>
  <c r="E53" i="4"/>
  <c r="G14" i="4"/>
  <c r="E56" i="4"/>
  <c r="E68" i="4"/>
  <c r="E76" i="4"/>
  <c r="E84" i="4"/>
  <c r="D14" i="4"/>
  <c r="E69" i="4"/>
  <c r="E71" i="4"/>
  <c r="E48" i="4"/>
  <c r="E62" i="4"/>
  <c r="E64" i="4"/>
  <c r="E45" i="4"/>
  <c r="E72" i="4"/>
  <c r="E46" i="4"/>
  <c r="E88" i="4"/>
  <c r="E59" i="4"/>
  <c r="E79" i="4"/>
  <c r="E61" i="4"/>
  <c r="E80" i="4"/>
  <c r="E87" i="4"/>
  <c r="G42" i="4"/>
  <c r="G50" i="4"/>
  <c r="G58" i="4"/>
  <c r="G66" i="4"/>
  <c r="G74" i="4"/>
  <c r="G82" i="4"/>
  <c r="G90" i="4"/>
  <c r="D16" i="4"/>
  <c r="G62" i="4"/>
  <c r="G55" i="4"/>
  <c r="G71" i="4"/>
  <c r="G43" i="4"/>
  <c r="G51" i="4"/>
  <c r="G59" i="4"/>
  <c r="G67" i="4"/>
  <c r="G75" i="4"/>
  <c r="G83" i="4"/>
  <c r="G91" i="4"/>
  <c r="G46" i="4"/>
  <c r="G70" i="4"/>
  <c r="G47" i="4"/>
  <c r="G87" i="4"/>
  <c r="G44" i="4"/>
  <c r="G52" i="4"/>
  <c r="G60" i="4"/>
  <c r="G68" i="4"/>
  <c r="G76" i="4"/>
  <c r="G84" i="4"/>
  <c r="G54" i="4"/>
  <c r="G86" i="4"/>
  <c r="E16" i="4"/>
  <c r="G63" i="4"/>
  <c r="G79" i="4"/>
  <c r="G45" i="4"/>
  <c r="G53" i="4"/>
  <c r="G61" i="4"/>
  <c r="G69" i="4"/>
  <c r="G77" i="4"/>
  <c r="G85" i="4"/>
  <c r="G78" i="4"/>
  <c r="G56" i="4"/>
  <c r="G88" i="4"/>
  <c r="C16" i="4"/>
  <c r="G73" i="4"/>
  <c r="G80" i="4"/>
  <c r="G49" i="4"/>
  <c r="G57" i="4"/>
  <c r="G89" i="4"/>
  <c r="G72" i="4"/>
  <c r="G16" i="4"/>
  <c r="G81" i="4"/>
  <c r="G64" i="4"/>
  <c r="G65" i="4"/>
  <c r="G48" i="4"/>
  <c r="G13" i="4"/>
  <c r="D76" i="4"/>
  <c r="D77" i="4"/>
  <c r="D71" i="4"/>
  <c r="D62" i="4"/>
  <c r="D48" i="4"/>
  <c r="D78" i="4"/>
  <c r="D55" i="4"/>
  <c r="D49" i="4"/>
  <c r="D65" i="4"/>
  <c r="D82" i="4"/>
  <c r="D56" i="4"/>
  <c r="D91" i="4"/>
  <c r="D43" i="4"/>
  <c r="D84" i="4"/>
  <c r="D85" i="4"/>
  <c r="D79" i="4"/>
  <c r="D64" i="4"/>
  <c r="D54" i="4"/>
  <c r="D86" i="4"/>
  <c r="D52" i="4"/>
  <c r="D47" i="4"/>
  <c r="D87" i="4"/>
  <c r="D73" i="4"/>
  <c r="D46" i="4"/>
  <c r="D72" i="4"/>
  <c r="D67" i="4"/>
  <c r="E13" i="4"/>
  <c r="D74" i="4"/>
  <c r="D88" i="4"/>
  <c r="D59" i="4"/>
  <c r="D53" i="4"/>
  <c r="C13" i="4"/>
  <c r="D51" i="4"/>
  <c r="D66" i="4"/>
  <c r="D45" i="4"/>
  <c r="D50" i="4"/>
  <c r="D80" i="4"/>
  <c r="D75" i="4"/>
  <c r="B6" i="4"/>
  <c r="D83" i="4"/>
  <c r="D63" i="4"/>
  <c r="D42" i="4"/>
  <c r="D68" i="4"/>
  <c r="D44" i="4"/>
  <c r="D58" i="4"/>
  <c r="D89" i="4"/>
  <c r="D90" i="4"/>
  <c r="D13" i="4"/>
  <c r="D57" i="4"/>
  <c r="D69" i="4"/>
  <c r="D70" i="4"/>
  <c r="D61" i="4"/>
  <c r="D81" i="4"/>
  <c r="D60" i="4"/>
  <c r="F47" i="4"/>
  <c r="F56" i="4"/>
  <c r="F64" i="4"/>
  <c r="F72" i="4"/>
  <c r="F80" i="4"/>
  <c r="F88" i="4"/>
  <c r="F43" i="4"/>
  <c r="F76" i="4"/>
  <c r="F44" i="4"/>
  <c r="F61" i="4"/>
  <c r="F85" i="4"/>
  <c r="F49" i="4"/>
  <c r="F57" i="4"/>
  <c r="F65" i="4"/>
  <c r="F73" i="4"/>
  <c r="F81" i="4"/>
  <c r="F89" i="4"/>
  <c r="F52" i="4"/>
  <c r="F68" i="4"/>
  <c r="F69" i="4"/>
  <c r="G15" i="4"/>
  <c r="E15" i="4"/>
  <c r="F50" i="4"/>
  <c r="F58" i="4"/>
  <c r="F66" i="4"/>
  <c r="F74" i="4"/>
  <c r="F82" i="4"/>
  <c r="F90" i="4"/>
  <c r="F60" i="4"/>
  <c r="C15" i="4"/>
  <c r="F53" i="4"/>
  <c r="F77" i="4"/>
  <c r="F42" i="4"/>
  <c r="F51" i="4"/>
  <c r="F59" i="4"/>
  <c r="F67" i="4"/>
  <c r="F75" i="4"/>
  <c r="F83" i="4"/>
  <c r="F91" i="4"/>
  <c r="F84" i="4"/>
  <c r="F70" i="4"/>
  <c r="D15" i="4"/>
  <c r="F71" i="4"/>
  <c r="F45" i="4"/>
  <c r="F78" i="4"/>
  <c r="F86" i="4"/>
  <c r="F87" i="4"/>
  <c r="F46" i="4"/>
  <c r="F79" i="4"/>
  <c r="F54" i="4"/>
  <c r="F55" i="4"/>
  <c r="F62" i="4"/>
  <c r="F48" i="4"/>
  <c r="F63" i="4"/>
  <c r="D44" i="3" a="1"/>
  <c r="D44" i="3" s="1"/>
  <c r="D46" i="3" a="1"/>
  <c r="D46" i="3" s="1"/>
  <c r="D43" i="3" a="1"/>
  <c r="D43" i="3" s="1"/>
  <c r="D45" i="3" a="1"/>
  <c r="D45" i="3" s="1"/>
  <c r="F15" i="4" a="1"/>
  <c r="F14" i="4" a="1"/>
  <c r="F16" i="4" a="1"/>
  <c r="F13" i="4" a="1"/>
  <c r="F13" i="4" l="1"/>
  <c r="F16" i="4"/>
  <c r="F14" i="4"/>
  <c r="F1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<sst xmlns="http://schemas.openxmlformats.org/spreadsheetml/2006/main" count="340" uniqueCount="253">
  <si>
    <t>Hedging Production with Swaps and Collars</t>
  </si>
  <si>
    <t>ModelRisk example  ·  Oil and gas  ·  OG-09</t>
  </si>
  <si>
    <t>Swap, collar or puts?  How four hedging strategies change the range of two years of oil revenue.</t>
  </si>
  <si>
    <t>Next:  Inputs  ▸</t>
  </si>
  <si>
    <t>Model card</t>
  </si>
  <si>
    <t>Industry</t>
  </si>
  <si>
    <t>Oil and gas</t>
  </si>
  <si>
    <t>Difficulty</t>
  </si>
  <si>
    <t>★★★☆☆   Monthly price paths and production with outages, and four hedging strategies compared on the same paths.</t>
  </si>
  <si>
    <t>Business question</t>
  </si>
  <si>
    <t>The company will sell about 150 thousand barrels a month for the next two years. How much revenue is at risk, and how do a swap, a costless collar and bought puts on 60% of the planned volume change the downside, the upside and the chance of missing the budget?</t>
  </si>
  <si>
    <t>Who it is for</t>
  </si>
  <si>
    <t>Treasurers, commercial and risk managers, CFOs and boards deciding on a hedging programme.</t>
  </si>
  <si>
    <t>Main outputs</t>
  </si>
  <si>
    <t>Revenue over 24 months for each strategy: mean, 5th and 95th percentiles, the average of the worst 5% of outcomes (CVaR) · the chance of falling below the budget · the expected payoff of each hedge, i.e. what the protection costs.</t>
  </si>
  <si>
    <t>ModelRisk techniques</t>
  </si>
  <si>
    <t>Monthly geometric Brownian motion price path (VoseTimeGBM) · monthly production uptime (PERT) and an outage risk event · option payoffs inside the simulation · strategies compared on the same price paths · conditional value at risk (VoseSimCVARp) of the revenue shortfall.</t>
  </si>
  <si>
    <t>File</t>
  </si>
  <si>
    <t>OG-09 Hedging production with swaps and collars  ·  Version 1.0  ·  October 2026  ·  built with ModelRisk 10</t>
  </si>
  <si>
    <t>The business question</t>
  </si>
  <si>
    <t>A mid-size producer sells about 150 thousand barrels of oil a month, and its lenders watch its revenue closely. The oil price could fall a long way in two years, but it could also rise. The treasurer can lock in today's forward price with a swap, buy put options that set a floor while keeping the upside, or combine a bought put with a sold call into a costless collar. Each strategy reshapes the range of revenue differently, and none of them is free in every sense: a swap gives up the upside, puts cost a premium, a collar caps the price. Production is uncertain too, and an outage leaves the company hedged on oil it does not produce. The model simulates monthly prices and volumes for two years and applies the four strategies to the same paths, so that their effect on the downside, the upside and the budget can be compared directly.</t>
  </si>
  <si>
    <t>How the model works</t>
  </si>
  <si>
    <t>Three sheets after this one, read from left to right. Each one feeds the next.</t>
  </si>
  <si>
    <t>1  Inputs</t>
  </si>
  <si>
    <t>Planned volume per month, the monthly uptime range, the chance and length of an outage; today's price and its volatility; the hedge ratio and the terms of the swap, the collar and the puts; the budget price.</t>
  </si>
  <si>
    <t>2  Hedges</t>
  </si>
  <si>
    <t>A geometric Brownian motion with zero expected drift (the forward curve is flat) gives 24 monthly prices. Volume is the plan times the month's uptime, or zero during an outage. Each hedge pays on the hedged volume whatever is produced: the swap pays the swap price minus the market price, the put pays when the price is below its strike, the collar is a bought put and a sold call. A strategy's revenue is the physical revenue plus its hedge's payoff.</t>
  </si>
  <si>
    <t>3  Results</t>
  </si>
  <si>
    <t>For each strategy, the 24-month revenue: mean, 5th and 95th percentiles, the average of the worst 5% of outcomes, and the chance of falling below the budget; then the expected payoff of each hedge, which is its cost.</t>
  </si>
  <si>
    <t>How to use it</t>
  </si>
  <si>
    <t>Step 1</t>
  </si>
  <si>
    <t>Enter your production plan, price and volatility on the Inputs sheet, and the quotes you have for the swap, the collar and the puts.</t>
  </si>
  <si>
    <t>Step 2</t>
  </si>
  <si>
    <t>Press F9 on the Hedges sheet to see a price path and how each hedge pays out.</t>
  </si>
  <si>
    <t>Step 3</t>
  </si>
  <si>
    <t>Run a simulation from the ModelRisk ribbon (10,000 samples with a fixed seed are set).</t>
  </si>
  <si>
    <t>Step 4</t>
  </si>
  <si>
    <t>Try other hedge ratios and strikes and simulate again: the Results sheet shows the trade-off between downside and upside.</t>
  </si>
  <si>
    <t>Workbook map</t>
  </si>
  <si>
    <t>Inputs</t>
  </si>
  <si>
    <t>Production, price, the first year and the hedges' terms, and the budget.</t>
  </si>
  <si>
    <t>Hedges</t>
  </si>
  <si>
    <t>This iteration's draws, then 24 months of prices, volumes, physical revenue and hedge payoffs; outputs and checks.</t>
  </si>
  <si>
    <t>Results</t>
  </si>
  <si>
    <t>Comparison of the four strategies, the revenue S-curves, and the cost of protection.</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</si>
  <si>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</si>
  <si>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</si>
  <si>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</si>
  <si>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</si>
  <si>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</si>
  <si>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</si>
  <si>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</si>
  <si>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</si>
  <si>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</si>
  <si>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</si>
  <si>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</si>
  <si>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</si>
  <si>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</si>
  <si>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prices in US$ per barrel.</t>
  </si>
  <si>
    <t>Volumes</t>
  </si>
  <si>
    <t>kbbl = thousand barrels per month.</t>
  </si>
  <si>
    <t>Percentiles</t>
  </si>
  <si>
    <t>5th percentile: a 5% chance of less revenue. CVaR 5%: the average shortfall in the worst 5% of outcomes.</t>
  </si>
  <si>
    <t>Hedge ratio</t>
  </si>
  <si>
    <t>Share of the planned (not the actual) volume that is hedged, in every month.</t>
  </si>
  <si>
    <t>Key assumptions and limitations</t>
  </si>
  <si>
    <t>Price</t>
  </si>
  <si>
    <t>Geometric Brownian motion with constant volatility and a flat forward curve: the expected price in every month equals today's forward price. No jumps or mean reversion over two years.</t>
  </si>
  <si>
    <t>Monthly settlement against the month's average price; no credit risk, margin calls or basis risk. The put premium is paid with the hedge, undiscounted.</t>
  </si>
  <si>
    <t>Production</t>
  </si>
  <si>
    <t>Uptime varies month by month; an outage stops production for three months. Prices and volumes are independent.</t>
  </si>
  <si>
    <t>Data</t>
  </si>
  <si>
    <t>Volumes, prices and quotes are invented for this example.</t>
  </si>
  <si>
    <t>ModelRisk functions used</t>
  </si>
  <si>
    <t>VoseTimeGBM</t>
  </si>
  <si>
    <t>24 monthly prices from a geometric Brownian motion, as one array formula.</t>
  </si>
  <si>
    <t>VosePERT, VoseBernoulli, VoseStepUniform</t>
  </si>
  <si>
    <t>Monthly uptime, whether an outage happens, and the month it starts.</t>
  </si>
  <si>
    <t>VoseInput, VoseOutput</t>
  </si>
  <si>
    <t>Name the uncertain inputs and the revenue and payoff outputs.</t>
  </si>
  <si>
    <t>VoseSimMean, VoseSimPercentile, VoseSimProbability, VoseSimCVARp</t>
  </si>
  <si>
    <t>Statistics of the simulation for the tables and charts on the Results sheet; VoseSimCVARp averages the worst 5% of shortfalls.</t>
  </si>
  <si>
    <t>Further reading</t>
  </si>
  <si>
    <t>Hedging</t>
  </si>
  <si>
    <t>Hull, J. C. (2022). Options, Futures, and Other Derivatives, 11th edition. Pearson — chapters on hedging strategies.</t>
  </si>
  <si>
    <t>Risk measures</t>
  </si>
  <si>
    <t>Vose, D. (2008). Risk Analysis: A Quantitative Guide, 3rd edition. Wiley — chapter on financial risk and value at risk.</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</si>
  <si>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</si>
  <si>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</si>
  <si>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</si>
  <si>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Hedges  ▸</t>
  </si>
  <si>
    <t>How to read this sheet:  yellow cells are inputs.  Low / Most likely / High are the minimum, most likely and maximum for PERT.  Mean is the distribution's average (VoseMean); it shows ✗ if a range is out of order.</t>
  </si>
  <si>
    <t>1   Production</t>
  </si>
  <si>
    <t>What the company expects to sell, and what can go wrong.</t>
  </si>
  <si>
    <t>Assumption</t>
  </si>
  <si>
    <t>Unit</t>
  </si>
  <si>
    <t>Value in model</t>
  </si>
  <si>
    <t>Uncertainty</t>
  </si>
  <si>
    <t>Low</t>
  </si>
  <si>
    <t>Most likely</t>
  </si>
  <si>
    <t>High</t>
  </si>
  <si>
    <t>Mean</t>
  </si>
  <si>
    <t>Basis / source (illustrative)</t>
  </si>
  <si>
    <t>Planned production</t>
  </si>
  <si>
    <t>kbbl per month</t>
  </si>
  <si>
    <t>Fixed</t>
  </si>
  <si>
    <t>About 4,900 barrels a day.</t>
  </si>
  <si>
    <t>Uptime in a month</t>
  </si>
  <si>
    <t>of plan</t>
  </si>
  <si>
    <t>–</t>
  </si>
  <si>
    <t>PERT  · drawn elsewhere</t>
  </si>
  <si>
    <t>Short shutdowns and weather. The value shown is the mean; a new uptime is drawn for every month on the Hedges sheet.</t>
  </si>
  <si>
    <t>Chance of a major outage in the two years</t>
  </si>
  <si>
    <t>probability</t>
  </si>
  <si>
    <t>Compressor failure or pipeline damage: one such event in the last 20 field-years.</t>
  </si>
  <si>
    <t>Length of an outage</t>
  </si>
  <si>
    <t>months</t>
  </si>
  <si>
    <t>No production at all while it lasts.</t>
  </si>
  <si>
    <t>2   Oil price</t>
  </si>
  <si>
    <t>A geometric Brownian motion whose expected value in every month equals today's forward price.</t>
  </si>
  <si>
    <t>Forward price  (flat curve)</t>
  </si>
  <si>
    <t>US$/bbl</t>
  </si>
  <si>
    <t>Today's quote for the next 24 months.</t>
  </si>
  <si>
    <t>Annual price volatility</t>
  </si>
  <si>
    <t>Implied volatility of 12-month options.</t>
  </si>
  <si>
    <t>3   Hedges</t>
  </si>
  <si>
    <t>All hedges cover the same share of the planned volume in every month.</t>
  </si>
  <si>
    <t>First year hedged</t>
  </si>
  <si>
    <t>year</t>
  </si>
  <si>
    <t>The 24 months hedged start in January of this year.</t>
  </si>
  <si>
    <t>of planned volume</t>
  </si>
  <si>
    <t>Board policy: between 40% and 70% of planned volume.</t>
  </si>
  <si>
    <t>Swap price</t>
  </si>
  <si>
    <t>The company receives this and pays the market price.</t>
  </si>
  <si>
    <t>Put strike  (collar floor and bought puts)</t>
  </si>
  <si>
    <t>The floor.</t>
  </si>
  <si>
    <t>Call strike  (collar cap)</t>
  </si>
  <si>
    <t>Chosen so that the sold call pays for the bought put: the collar costs nothing up front.</t>
  </si>
  <si>
    <t>Put premium</t>
  </si>
  <si>
    <t>Bank quote for 62 puts, about 10% above their fair value.</t>
  </si>
  <si>
    <t>4   Budget</t>
  </si>
  <si>
    <t>The revenue the company has promised its lenders.</t>
  </si>
  <si>
    <t>Budget oil price</t>
  </si>
  <si>
    <t>Conservative planning price.</t>
  </si>
  <si>
    <t>Budget uptime</t>
  </si>
  <si>
    <t>Calculated</t>
  </si>
  <si>
    <t>The most likely uptime above.</t>
  </si>
  <si>
    <t>HEDGES   ·   24 months: price path, volumes, physical revenue and the payoff of each hedge (US$m).</t>
  </si>
  <si>
    <t>◂  Inputs</t>
  </si>
  <si>
    <t>Next:  Results  ▸</t>
  </si>
  <si>
    <t>Month</t>
  </si>
  <si>
    <t>Total</t>
  </si>
  <si>
    <t>Open</t>
  </si>
  <si>
    <t>Month starting</t>
  </si>
  <si>
    <t>1   This iteration's single values</t>
  </si>
  <si>
    <t>Drawn once per iteration.</t>
  </si>
  <si>
    <t>Quantity</t>
  </si>
  <si>
    <t>Value</t>
  </si>
  <si>
    <t>How it is calculated</t>
  </si>
  <si>
    <t>First month hedged</t>
  </si>
  <si>
    <t>date</t>
  </si>
  <si>
    <t>January of the first year hedged (Inputs)</t>
  </si>
  <si>
    <t>Months hedged</t>
  </si>
  <si>
    <t>Counted from the month columns below</t>
  </si>
  <si>
    <t>Major outage in the two years?  (1 = yes)</t>
  </si>
  <si>
    <t>1 / 0</t>
  </si>
  <si>
    <t>Bernoulli with the chance on the Inputs sheet</t>
  </si>
  <si>
    <t>Outage starts in month</t>
  </si>
  <si>
    <t>month</t>
  </si>
  <si>
    <t>Equally likely to be any month in which a whole outage fits</t>
  </si>
  <si>
    <t>Monthly volatility</t>
  </si>
  <si>
    <t>Annual volatility ÷ √12</t>
  </si>
  <si>
    <t>Monthly drift of the log price</t>
  </si>
  <si>
    <t>−σ²/2: keeps the expected price equal to the forward</t>
  </si>
  <si>
    <t>Planned revenue at the forward price</t>
  </si>
  <si>
    <t>US$m</t>
  </si>
  <si>
    <t>Reference for the shortfall: planned volume × forward price</t>
  </si>
  <si>
    <t>Budget revenue</t>
  </si>
  <si>
    <t>Budget price × planned volume × budget uptime</t>
  </si>
  <si>
    <t>2   Price, volume and physical revenue</t>
  </si>
  <si>
    <t>Price: VoseTimeGBM over the 24 months. Volume: plan × uptime, zero during an outage.</t>
  </si>
  <si>
    <t>Oil price</t>
  </si>
  <si>
    <t>Uptime</t>
  </si>
  <si>
    <t>In an outage  (1 = yes)</t>
  </si>
  <si>
    <t>kbbl</t>
  </si>
  <si>
    <t>Physical revenue</t>
  </si>
  <si>
    <t>3   Hedge payoffs</t>
  </si>
  <si>
    <t>Paid on the hedged volume (hedge ratio × planned volume) whatever is produced. Positive = received.</t>
  </si>
  <si>
    <t>Hedged volume</t>
  </si>
  <si>
    <t>Swap</t>
  </si>
  <si>
    <t>Costless collar  (bought put, sold call)</t>
  </si>
  <si>
    <t>Bought puts, after the premium</t>
  </si>
  <si>
    <t>4   Value in this iteration</t>
  </si>
  <si>
    <t>Key outputs, recorded by ModelRisk at every sample (VoseOutput). Their statistics appear on the Results sheet.</t>
  </si>
  <si>
    <t>Output</t>
  </si>
  <si>
    <t>Meaning</t>
  </si>
  <si>
    <t>Revenue over 24 months: unhedged</t>
  </si>
  <si>
    <t>Physical revenue plus the hedge's payoff: the totals in sections 2 and 3.</t>
  </si>
  <si>
    <t>Revenue over 24 months: swap</t>
  </si>
  <si>
    <t>Revenue over 24 months: costless collar</t>
  </si>
  <si>
    <t>Revenue over 24 months: bought puts</t>
  </si>
  <si>
    <t>Shortfall against plan: unhedged</t>
  </si>
  <si>
    <t>Planned revenue minus revenue: the loss variable for CVaR.</t>
  </si>
  <si>
    <t>Shortfall against plan: swap</t>
  </si>
  <si>
    <t>Shortfall against plan: costless collar</t>
  </si>
  <si>
    <t>Shortfall against plan: bought puts</t>
  </si>
  <si>
    <t>Hedge payoff: swap</t>
  </si>
  <si>
    <t>Its mean over the simulation is what the hedge earns or costs on average.</t>
  </si>
  <si>
    <t>Hedge payoff: collar</t>
  </si>
  <si>
    <t>Hedge payoff: puts, after the premium</t>
  </si>
  <si>
    <t>Average price over 24 months</t>
  </si>
  <si>
    <t>5   Model checks</t>
  </si>
  <si>
    <t>Should all read OK. A CHECK means an input has been set outside the range the model is built for.</t>
  </si>
  <si>
    <t>Put strike is below the call strike</t>
  </si>
  <si>
    <t>Hedged volume is within the planned volume</t>
  </si>
  <si>
    <t>Every month has a price</t>
  </si>
  <si>
    <t>RESULTS   ·   Filled in automatically from the last simulation. Run a simulation after changing any input.</t>
  </si>
  <si>
    <t>◂  Hedges</t>
  </si>
  <si>
    <t>1   Which strategy?</t>
  </si>
  <si>
    <t>Revenue over 24 months — cumulative probability</t>
  </si>
  <si>
    <t>Revenue over 24 months for each strategy, on the same simulated prices and volumes (US$m).</t>
  </si>
  <si>
    <t>Strategy</t>
  </si>
  <si>
    <t>5th pct</t>
  </si>
  <si>
    <t>95th pct</t>
  </si>
  <si>
    <t>Worst 5%</t>
  </si>
  <si>
    <t>Below budget</t>
  </si>
  <si>
    <t>average</t>
  </si>
  <si>
    <t>chance</t>
  </si>
  <si>
    <t>Unhedged</t>
  </si>
  <si>
    <t>Costless collar</t>
  </si>
  <si>
    <t>Bought puts</t>
  </si>
  <si>
    <t>Worst 5%: average revenue in the worst 5% of outcomes (planned revenue minus VoseSimCVARp of the shortfall).</t>
  </si>
  <si>
    <t>Measure</t>
  </si>
  <si>
    <t>Budget revenue  (Inputs sheet)</t>
  </si>
  <si>
    <t>2   What the protection costs</t>
  </si>
  <si>
    <t>The mean payoff of each hedge: what it earns or costs on average over all simulated futures.</t>
  </si>
  <si>
    <t>Premium paid for the puts</t>
  </si>
  <si>
    <t>Average price over the 24 months</t>
  </si>
  <si>
    <t>3   How to read these results</t>
  </si>
  <si>
    <t>•  A swap narrows the range most: it lifts the bad outcomes and gives up the good ones, and halves the chance of missing the budget. It costs nothing on average because the swap price equals the forward price.</t>
  </si>
  <si>
    <t>•  Bought puts keep almost all of the upside and cut the worst outcomes, but the premium is paid in every scenario: their mean payoff is slightly negative (the bank's margin), and because the premium is also paid when prices are moderate, puts slightly raise the chance of missing the budget.</t>
  </si>
  <si>
    <t>•  The costless collar sits in between: the sold call pays for the put, so it costs nothing up front, but it gives away the upside above the call strike.</t>
  </si>
  <si>
    <t>•  None of the strategies changes the expected revenue much; hedging changes the shape of the range, not its centre. The choice depends on which outcomes the company cannot afford: the worst 5% and the chance of missing the budget measure exactly that.</t>
  </si>
  <si>
    <t>•  Hedges pay on the planned volume. If an outage stops production, the company is still hedged: with a swap it pays out when prices rise on oil it does not have. Keeping the hedge ratio below the expected uptime limits this.</t>
  </si>
  <si>
    <t>Chart data</t>
  </si>
  <si>
    <t>Statistics of the last simulation behind the charts and the ranking above. Grouped: click + in the left margin to show them.</t>
  </si>
  <si>
    <t>Cumulative probability</t>
  </si>
  <si>
    <t>Exceedance</t>
  </si>
  <si>
    <t>Rev_U</t>
  </si>
  <si>
    <t>Rev_S</t>
  </si>
  <si>
    <t>Rev_C</t>
  </si>
  <si>
    <t>Rev_P</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</si>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</sst>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0_);\(#,##0.00\);&quot;–&quot;_)"/>
    <numFmt numFmtId="166" formatCode="mmm\ yy"/>
    <numFmt numFmtId="167" formatCode="mmm\ yyyy"/>
    <numFmt numFmtId="168" formatCode="0.000%"/>
    <numFmt numFmtId="169" formatCode="#,##0.0_);\(#,##0.0\);&quot;–&quot;_)"/>
    <numFmt numFmtId="170" formatCode="#,##0.0_);\(#,##0.0\);&quot;–&quot;_);&quot;–&quot;"/>
    <numFmt numFmtId="171" formatCode="0.0%;\-0.0%;0.0%;&quot;–&quot;"/>
    <numFmt numFmtId="172" formatCode="#,##0.00_);\(#,##0.00\);&quot;–&quot;_);&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b/>
      <sz val="9"/>
      <color rgb="FF0F2A47"/>
      <name val="Calibri"/>
    </font>
    <font>
      <b/>
      <sz val="9"/>
      <color rgb="FF8AA0BA"/>
      <name val="Calibri"/>
    </font>
    <font>
      <b/>
      <sz val="10"/>
      <color rgb="FF15803D"/>
      <name val="Calibri"/>
    </font>
    <font>
      <sz val="8"/>
      <color rgb="FF3F5876"/>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9" fillId="0" borderId="6" xfId="0" applyFont="1" applyBorder="1" applyAlignment="1">
      <alignment horizontal="center" vertical="center"/>
    </xf>
    <xf numFmtId="9" fontId="1" fillId="2" borderId="7" xfId="1" applyNumberFormat="1" applyBorder="1">
      <alignment horizontal="right" vertical="center"/>
    </xf>
    <xf numFmtId="9" fontId="3" fillId="0" borderId="8" xfId="3" applyNumberFormat="1" applyBorder="1">
      <alignment horizontal="right" vertical="center"/>
    </xf>
    <xf numFmtId="1" fontId="1" fillId="2" borderId="7" xfId="1" applyNumberFormat="1" applyBorder="1">
      <alignment horizontal="right" vertical="center"/>
    </xf>
    <xf numFmtId="165" fontId="1" fillId="2" borderId="7" xfId="1"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66"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67" fontId="3" fillId="0" borderId="8" xfId="3" applyNumberFormat="1" applyBorder="1">
      <alignment horizontal="right" vertical="center"/>
    </xf>
    <xf numFmtId="1" fontId="3" fillId="0" borderId="8" xfId="3" applyNumberFormat="1" applyBorder="1">
      <alignment horizontal="right" vertical="center"/>
    </xf>
    <xf numFmtId="1" fontId="2" fillId="3" borderId="7" xfId="2" applyNumberFormat="1" applyBorder="1">
      <alignment horizontal="right" vertical="center"/>
    </xf>
    <xf numFmtId="10" fontId="3" fillId="0" borderId="8" xfId="3" applyNumberFormat="1" applyBorder="1">
      <alignment horizontal="right" vertical="center"/>
    </xf>
    <xf numFmtId="168" fontId="3" fillId="0" borderId="8" xfId="3" applyNumberFormat="1" applyBorder="1">
      <alignment horizontal="right" vertical="center"/>
    </xf>
    <xf numFmtId="169" fontId="3" fillId="0" borderId="8" xfId="3" applyNumberFormat="1" applyBorder="1">
      <alignment horizontal="right" vertical="center"/>
    </xf>
    <xf numFmtId="165" fontId="2" fillId="3" borderId="7" xfId="2" applyNumberFormat="1" applyBorder="1">
      <alignment horizontal="right" vertical="center"/>
    </xf>
    <xf numFmtId="9" fontId="2" fillId="3" borderId="7" xfId="2" applyNumberFormat="1" applyBorder="1">
      <alignment horizontal="right" vertical="center"/>
    </xf>
    <xf numFmtId="169" fontId="12" fillId="0" borderId="8" xfId="3" applyNumberFormat="1" applyFont="1" applyBorder="1">
      <alignment horizontal="right" vertical="center"/>
    </xf>
    <xf numFmtId="0" fontId="12" fillId="0" borderId="6" xfId="0" applyFont="1" applyBorder="1" applyAlignment="1">
      <alignment horizontal="left" vertical="center" indent="1"/>
    </xf>
    <xf numFmtId="165" fontId="12" fillId="0" borderId="8" xfId="3" applyNumberFormat="1" applyFont="1" applyBorder="1">
      <alignment horizontal="right" vertical="center"/>
    </xf>
    <xf numFmtId="165" fontId="3" fillId="0" borderId="8" xfId="3" applyNumberFormat="1" applyBorder="1">
      <alignment horizontal="right" vertical="center"/>
    </xf>
    <xf numFmtId="169" fontId="4" fillId="4" borderId="9" xfId="4" applyNumberFormat="1" applyBorder="1">
      <alignment horizontal="right" vertical="center"/>
    </xf>
    <xf numFmtId="165" fontId="4" fillId="4" borderId="9" xfId="4" applyNumberFormat="1" applyBorder="1">
      <alignment horizontal="right" vertical="center"/>
    </xf>
    <xf numFmtId="0" fontId="22"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5"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3" fillId="7" borderId="4" xfId="0" applyFont="1" applyFill="1" applyBorder="1" applyAlignment="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0" fontId="13" fillId="0" borderId="0" xfId="0" applyFont="1" applyAlignment="1">
      <alignment horizontal="left" vertical="center" indent="1"/>
    </xf>
    <xf numFmtId="0" fontId="24" fillId="0" borderId="6" xfId="0" applyFont="1" applyBorder="1" applyAlignment="1">
      <alignment horizontal="left" vertical="center" indent="1"/>
    </xf>
    <xf numFmtId="172"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Unhedged</c:v>
          </c:tx>
          <c:spPr>
            <a:ln w="25400">
              <a:solidFill>
                <a:srgbClr val="0E4F92"/>
              </a:solidFill>
              <a:prstDash val="solid"/>
            </a:ln>
          </c:spPr>
          <c:marker>
            <c:symbol val="none"/>
          </c:marker>
          <c:xVal>
            <c:numRef>
              <c:f>Results!$D$42:$D$91</c:f>
              <c:numCache>
                <c:formatCode>#,##0.00</c:formatCode>
                <c:ptCount val="50"/>
                <c:pt idx="0">
                  <c:v>135.76718418531129</c:v>
                </c:pt>
                <c:pt idx="1">
                  <c:v>150.44094874340982</c:v>
                </c:pt>
                <c:pt idx="2">
                  <c:v>159.17778838416689</c:v>
                </c:pt>
                <c:pt idx="3">
                  <c:v>165.99142879668463</c:v>
                </c:pt>
                <c:pt idx="4">
                  <c:v>171.5388708618035</c:v>
                </c:pt>
                <c:pt idx="5">
                  <c:v>176.44063977452851</c:v>
                </c:pt>
                <c:pt idx="6">
                  <c:v>180.51447985595189</c:v>
                </c:pt>
                <c:pt idx="7">
                  <c:v>184.57158726193475</c:v>
                </c:pt>
                <c:pt idx="8">
                  <c:v>187.97488682260536</c:v>
                </c:pt>
                <c:pt idx="9">
                  <c:v>191.10528440704715</c:v>
                </c:pt>
                <c:pt idx="10">
                  <c:v>194.38374208172738</c:v>
                </c:pt>
                <c:pt idx="11">
                  <c:v>197.61474840311101</c:v>
                </c:pt>
                <c:pt idx="12">
                  <c:v>200.87060564926475</c:v>
                </c:pt>
                <c:pt idx="13">
                  <c:v>204.11335808595348</c:v>
                </c:pt>
                <c:pt idx="14">
                  <c:v>206.91684242696843</c:v>
                </c:pt>
                <c:pt idx="15">
                  <c:v>209.98860399844583</c:v>
                </c:pt>
                <c:pt idx="16">
                  <c:v>213.00337728850383</c:v>
                </c:pt>
                <c:pt idx="17">
                  <c:v>215.90145093648005</c:v>
                </c:pt>
                <c:pt idx="18">
                  <c:v>218.90655479429878</c:v>
                </c:pt>
                <c:pt idx="19">
                  <c:v>221.91925461169447</c:v>
                </c:pt>
                <c:pt idx="20">
                  <c:v>225.03982621193748</c:v>
                </c:pt>
                <c:pt idx="21">
                  <c:v>227.93919141601813</c:v>
                </c:pt>
                <c:pt idx="22">
                  <c:v>231.0110080531833</c:v>
                </c:pt>
                <c:pt idx="23">
                  <c:v>234.09066869395934</c:v>
                </c:pt>
                <c:pt idx="24">
                  <c:v>237.24685169150612</c:v>
                </c:pt>
                <c:pt idx="25">
                  <c:v>240.41364452023717</c:v>
                </c:pt>
                <c:pt idx="26">
                  <c:v>243.18186385234219</c:v>
                </c:pt>
                <c:pt idx="27">
                  <c:v>246.20865272142143</c:v>
                </c:pt>
                <c:pt idx="28">
                  <c:v>249.49906483958125</c:v>
                </c:pt>
                <c:pt idx="29">
                  <c:v>252.24493075708813</c:v>
                </c:pt>
                <c:pt idx="30">
                  <c:v>255.19742946380541</c:v>
                </c:pt>
                <c:pt idx="31">
                  <c:v>258.60098942883707</c:v>
                </c:pt>
                <c:pt idx="32">
                  <c:v>262.34153136382957</c:v>
                </c:pt>
                <c:pt idx="33">
                  <c:v>265.79189048475666</c:v>
                </c:pt>
                <c:pt idx="34">
                  <c:v>269.53997255250397</c:v>
                </c:pt>
                <c:pt idx="35">
                  <c:v>273.07823642053575</c:v>
                </c:pt>
                <c:pt idx="36">
                  <c:v>277.02172801917646</c:v>
                </c:pt>
                <c:pt idx="37">
                  <c:v>281.00984029116654</c:v>
                </c:pt>
                <c:pt idx="38">
                  <c:v>285.95272692917672</c:v>
                </c:pt>
                <c:pt idx="39">
                  <c:v>290.85723620912466</c:v>
                </c:pt>
                <c:pt idx="40">
                  <c:v>296.7059607237191</c:v>
                </c:pt>
                <c:pt idx="41">
                  <c:v>302.67869166578413</c:v>
                </c:pt>
                <c:pt idx="42">
                  <c:v>308.52364360301817</c:v>
                </c:pt>
                <c:pt idx="43">
                  <c:v>315.55332080259359</c:v>
                </c:pt>
                <c:pt idx="44">
                  <c:v>323.84172052187301</c:v>
                </c:pt>
                <c:pt idx="45">
                  <c:v>333.17215072816475</c:v>
                </c:pt>
                <c:pt idx="46">
                  <c:v>345.48670616574702</c:v>
                </c:pt>
                <c:pt idx="47">
                  <c:v>361.7304469403565</c:v>
                </c:pt>
                <c:pt idx="48">
                  <c:v>387.26919764123124</c:v>
                </c:pt>
                <c:pt idx="49">
                  <c:v>433.39839434866172</c:v>
                </c:pt>
              </c:numCache>
            </c:numRef>
          </c:xVal>
          <c:yVal>
            <c:numRef>
              <c:f>Results!$B$42:$B$91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5392-48C6-B0AB-045ECABEB0A0}"/>
            </c:ext>
          </c:extLst>
        </c:ser>
        <c:ser>
          <c:idx val="1"/>
          <c:order val="1"/>
          <c:tx>
            <c:v>Swap</c:v>
          </c:tx>
          <c:spPr>
            <a:ln w="25400">
              <a:solidFill>
                <a:srgbClr val="B45309"/>
              </a:solidFill>
              <a:prstDash val="dash"/>
            </a:ln>
          </c:spPr>
          <c:marker>
            <c:symbol val="none"/>
          </c:marker>
          <c:xVal>
            <c:numRef>
              <c:f>Results!$E$42:$E$91</c:f>
              <c:numCache>
                <c:formatCode>#,##0.00</c:formatCode>
                <c:ptCount val="50"/>
                <c:pt idx="0">
                  <c:v>200.94352926979411</c:v>
                </c:pt>
                <c:pt idx="1">
                  <c:v>208.03974966180112</c:v>
                </c:pt>
                <c:pt idx="2">
                  <c:v>211.9655195427444</c:v>
                </c:pt>
                <c:pt idx="3">
                  <c:v>214.82646591516948</c:v>
                </c:pt>
                <c:pt idx="4">
                  <c:v>217.29232053993445</c:v>
                </c:pt>
                <c:pt idx="5">
                  <c:v>219.37547052143333</c:v>
                </c:pt>
                <c:pt idx="6">
                  <c:v>221.0472464575879</c:v>
                </c:pt>
                <c:pt idx="7">
                  <c:v>222.67226284439943</c:v>
                </c:pt>
                <c:pt idx="8">
                  <c:v>224.09853327611776</c:v>
                </c:pt>
                <c:pt idx="9">
                  <c:v>225.52456205058854</c:v>
                </c:pt>
                <c:pt idx="10">
                  <c:v>226.62875432163554</c:v>
                </c:pt>
                <c:pt idx="11">
                  <c:v>227.84493661680852</c:v>
                </c:pt>
                <c:pt idx="12">
                  <c:v>229.14887233429715</c:v>
                </c:pt>
                <c:pt idx="13">
                  <c:v>230.26884216700068</c:v>
                </c:pt>
                <c:pt idx="14">
                  <c:v>231.43761316142562</c:v>
                </c:pt>
                <c:pt idx="15">
                  <c:v>232.61284987049527</c:v>
                </c:pt>
                <c:pt idx="16">
                  <c:v>233.72398677011557</c:v>
                </c:pt>
                <c:pt idx="17">
                  <c:v>234.82141674072847</c:v>
                </c:pt>
                <c:pt idx="18">
                  <c:v>236.08680878425054</c:v>
                </c:pt>
                <c:pt idx="19">
                  <c:v>237.2045284977566</c:v>
                </c:pt>
                <c:pt idx="20">
                  <c:v>238.3544480551534</c:v>
                </c:pt>
                <c:pt idx="21">
                  <c:v>239.59337682366123</c:v>
                </c:pt>
                <c:pt idx="22">
                  <c:v>240.723201551648</c:v>
                </c:pt>
                <c:pt idx="23">
                  <c:v>241.82341260988568</c:v>
                </c:pt>
                <c:pt idx="24">
                  <c:v>243.04569055915985</c:v>
                </c:pt>
                <c:pt idx="25">
                  <c:v>244.26923407161431</c:v>
                </c:pt>
                <c:pt idx="26">
                  <c:v>245.38196972694723</c:v>
                </c:pt>
                <c:pt idx="27">
                  <c:v>246.44987882443351</c:v>
                </c:pt>
                <c:pt idx="28">
                  <c:v>247.52403224128759</c:v>
                </c:pt>
                <c:pt idx="29">
                  <c:v>248.73508464682249</c:v>
                </c:pt>
                <c:pt idx="30">
                  <c:v>249.95538117101492</c:v>
                </c:pt>
                <c:pt idx="31">
                  <c:v>251.0635534919621</c:v>
                </c:pt>
                <c:pt idx="32">
                  <c:v>252.52666343458972</c:v>
                </c:pt>
                <c:pt idx="33">
                  <c:v>253.9544959132169</c:v>
                </c:pt>
                <c:pt idx="34">
                  <c:v>255.34030386094429</c:v>
                </c:pt>
                <c:pt idx="35">
                  <c:v>256.60181886469479</c:v>
                </c:pt>
                <c:pt idx="36">
                  <c:v>257.91326444322067</c:v>
                </c:pt>
                <c:pt idx="37">
                  <c:v>259.54892609969596</c:v>
                </c:pt>
                <c:pt idx="38">
                  <c:v>261.47498021037876</c:v>
                </c:pt>
                <c:pt idx="39">
                  <c:v>263.36529658977958</c:v>
                </c:pt>
                <c:pt idx="40">
                  <c:v>265.36257487523136</c:v>
                </c:pt>
                <c:pt idx="41">
                  <c:v>267.65988609574856</c:v>
                </c:pt>
                <c:pt idx="42">
                  <c:v>269.8491368453594</c:v>
                </c:pt>
                <c:pt idx="43">
                  <c:v>272.503587466635</c:v>
                </c:pt>
                <c:pt idx="44">
                  <c:v>275.51598378576449</c:v>
                </c:pt>
                <c:pt idx="45">
                  <c:v>279.37079128869038</c:v>
                </c:pt>
                <c:pt idx="46">
                  <c:v>283.86171541784796</c:v>
                </c:pt>
                <c:pt idx="47">
                  <c:v>289.99555447154648</c:v>
                </c:pt>
                <c:pt idx="48">
                  <c:v>299.12625169057964</c:v>
                </c:pt>
                <c:pt idx="49">
                  <c:v>317.11286223190291</c:v>
                </c:pt>
              </c:numCache>
            </c:numRef>
          </c:xVal>
          <c:yVal>
            <c:numRef>
              <c:f>Results!$B$42:$B$91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5392-48C6-B0AB-045ECABEB0A0}"/>
            </c:ext>
          </c:extLst>
        </c:ser>
        <c:ser>
          <c:idx val="2"/>
          <c:order val="2"/>
          <c:tx>
            <c:v>Costless collar</c:v>
          </c:tx>
          <c:spPr>
            <a:ln w="25400">
              <a:solidFill>
                <a:srgbClr val="15803D"/>
              </a:solidFill>
              <a:prstDash val="solid"/>
            </a:ln>
          </c:spPr>
          <c:marker>
            <c:symbol val="none"/>
          </c:marker>
          <c:xVal>
            <c:numRef>
              <c:f>Results!$F$42:$F$91</c:f>
              <c:numCache>
                <c:formatCode>#,##0.00</c:formatCode>
                <c:ptCount val="50"/>
                <c:pt idx="0">
                  <c:v>181.0433520635012</c:v>
                </c:pt>
                <c:pt idx="1">
                  <c:v>188.60192276579807</c:v>
                </c:pt>
                <c:pt idx="2">
                  <c:v>192.7098063048997</c:v>
                </c:pt>
                <c:pt idx="3">
                  <c:v>196.00773748806762</c:v>
                </c:pt>
                <c:pt idx="4">
                  <c:v>198.62299545212809</c:v>
                </c:pt>
                <c:pt idx="5">
                  <c:v>200.99035979409086</c:v>
                </c:pt>
                <c:pt idx="6">
                  <c:v>202.93277522640793</c:v>
                </c:pt>
                <c:pt idx="7">
                  <c:v>204.655249039105</c:v>
                </c:pt>
                <c:pt idx="8">
                  <c:v>206.40074113818221</c:v>
                </c:pt>
                <c:pt idx="9">
                  <c:v>208.2664989994795</c:v>
                </c:pt>
                <c:pt idx="10">
                  <c:v>209.89353728635484</c:v>
                </c:pt>
                <c:pt idx="11">
                  <c:v>211.63564478920358</c:v>
                </c:pt>
                <c:pt idx="12">
                  <c:v>213.48150254516963</c:v>
                </c:pt>
                <c:pt idx="13">
                  <c:v>215.27525914599289</c:v>
                </c:pt>
                <c:pt idx="14">
                  <c:v>217.05474167986173</c:v>
                </c:pt>
                <c:pt idx="15">
                  <c:v>218.85357812372655</c:v>
                </c:pt>
                <c:pt idx="16">
                  <c:v>220.95630713721152</c:v>
                </c:pt>
                <c:pt idx="17">
                  <c:v>223.04887148106405</c:v>
                </c:pt>
                <c:pt idx="18">
                  <c:v>225.20736046230797</c:v>
                </c:pt>
                <c:pt idx="19">
                  <c:v>227.4100721634029</c:v>
                </c:pt>
                <c:pt idx="20">
                  <c:v>229.65672676396233</c:v>
                </c:pt>
                <c:pt idx="21">
                  <c:v>232.17538254880265</c:v>
                </c:pt>
                <c:pt idx="22">
                  <c:v>234.47914262960953</c:v>
                </c:pt>
                <c:pt idx="23">
                  <c:v>237.09626990300043</c:v>
                </c:pt>
                <c:pt idx="24">
                  <c:v>239.77257679491714</c:v>
                </c:pt>
                <c:pt idx="25">
                  <c:v>242.30499682943636</c:v>
                </c:pt>
                <c:pt idx="26">
                  <c:v>244.48172729777536</c:v>
                </c:pt>
                <c:pt idx="27">
                  <c:v>246.99495791757266</c:v>
                </c:pt>
                <c:pt idx="28">
                  <c:v>249.58431941443877</c:v>
                </c:pt>
                <c:pt idx="29">
                  <c:v>251.99894343285703</c:v>
                </c:pt>
                <c:pt idx="30">
                  <c:v>254.64505611557857</c:v>
                </c:pt>
                <c:pt idx="31">
                  <c:v>257.43240736047437</c:v>
                </c:pt>
                <c:pt idx="32">
                  <c:v>260.41724517659463</c:v>
                </c:pt>
                <c:pt idx="33">
                  <c:v>263.09815539293891</c:v>
                </c:pt>
                <c:pt idx="34">
                  <c:v>265.96538504039853</c:v>
                </c:pt>
                <c:pt idx="35">
                  <c:v>268.90180889367821</c:v>
                </c:pt>
                <c:pt idx="36">
                  <c:v>272.08352995442505</c:v>
                </c:pt>
                <c:pt idx="37">
                  <c:v>275.14226415545505</c:v>
                </c:pt>
                <c:pt idx="38">
                  <c:v>278.42770871867106</c:v>
                </c:pt>
                <c:pt idx="39">
                  <c:v>281.6564742862804</c:v>
                </c:pt>
                <c:pt idx="40">
                  <c:v>285.40805544475506</c:v>
                </c:pt>
                <c:pt idx="41">
                  <c:v>289.34910621193296</c:v>
                </c:pt>
                <c:pt idx="42">
                  <c:v>293.02131875886386</c:v>
                </c:pt>
                <c:pt idx="43">
                  <c:v>296.70110372021446</c:v>
                </c:pt>
                <c:pt idx="44">
                  <c:v>301.1207279195724</c:v>
                </c:pt>
                <c:pt idx="45">
                  <c:v>306.14688610344268</c:v>
                </c:pt>
                <c:pt idx="46">
                  <c:v>311.35880760909538</c:v>
                </c:pt>
                <c:pt idx="47">
                  <c:v>318.28696431692862</c:v>
                </c:pt>
                <c:pt idx="48">
                  <c:v>328.41986556893721</c:v>
                </c:pt>
                <c:pt idx="49">
                  <c:v>346.56109534238459</c:v>
                </c:pt>
              </c:numCache>
            </c:numRef>
          </c:xVal>
          <c:yVal>
            <c:numRef>
              <c:f>Results!$B$42:$B$91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5392-48C6-B0AB-045ECABEB0A0}"/>
            </c:ext>
          </c:extLst>
        </c:ser>
        <c:ser>
          <c:idx val="3"/>
          <c:order val="3"/>
          <c:tx>
            <c:v>Bought puts</c:v>
          </c:tx>
          <c:spPr>
            <a:ln w="25400">
              <a:solidFill>
                <a:srgbClr val="B91C1C"/>
              </a:solidFill>
              <a:prstDash val="solid"/>
            </a:ln>
          </c:spPr>
          <c:marker>
            <c:symbol val="none"/>
          </c:marker>
          <c:xVal>
            <c:numRef>
              <c:f>Results!$G$42:$G$91</c:f>
              <c:numCache>
                <c:formatCode>#,##0.00</c:formatCode>
                <c:ptCount val="50"/>
                <c:pt idx="0">
                  <c:v>171.8633520635012</c:v>
                </c:pt>
                <c:pt idx="1">
                  <c:v>179.42192276579806</c:v>
                </c:pt>
                <c:pt idx="2">
                  <c:v>183.52980630489969</c:v>
                </c:pt>
                <c:pt idx="3">
                  <c:v>186.82773748806761</c:v>
                </c:pt>
                <c:pt idx="4">
                  <c:v>189.45115195146212</c:v>
                </c:pt>
                <c:pt idx="5">
                  <c:v>191.81035979409089</c:v>
                </c:pt>
                <c:pt idx="6">
                  <c:v>193.75468796705783</c:v>
                </c:pt>
                <c:pt idx="7">
                  <c:v>195.48064183565756</c:v>
                </c:pt>
                <c:pt idx="8">
                  <c:v>197.25175506676197</c:v>
                </c:pt>
                <c:pt idx="9">
                  <c:v>199.10694960241315</c:v>
                </c:pt>
                <c:pt idx="10">
                  <c:v>200.72513718629901</c:v>
                </c:pt>
                <c:pt idx="11">
                  <c:v>202.48431827544024</c:v>
                </c:pt>
                <c:pt idx="12">
                  <c:v>204.32097295941207</c:v>
                </c:pt>
                <c:pt idx="13">
                  <c:v>206.15847942955415</c:v>
                </c:pt>
                <c:pt idx="14">
                  <c:v>207.89209363011693</c:v>
                </c:pt>
                <c:pt idx="15">
                  <c:v>209.82148555751874</c:v>
                </c:pt>
                <c:pt idx="16">
                  <c:v>211.85202374589841</c:v>
                </c:pt>
                <c:pt idx="17">
                  <c:v>213.98413179585469</c:v>
                </c:pt>
                <c:pt idx="18">
                  <c:v>216.17283121564628</c:v>
                </c:pt>
                <c:pt idx="19">
                  <c:v>218.41773378722462</c:v>
                </c:pt>
                <c:pt idx="20">
                  <c:v>220.71232713208485</c:v>
                </c:pt>
                <c:pt idx="21">
                  <c:v>223.21259324421422</c:v>
                </c:pt>
                <c:pt idx="22">
                  <c:v>225.6972837163205</c:v>
                </c:pt>
                <c:pt idx="23">
                  <c:v>228.35500565696523</c:v>
                </c:pt>
                <c:pt idx="24">
                  <c:v>231.04954507379071</c:v>
                </c:pt>
                <c:pt idx="25">
                  <c:v>233.66205100253276</c:v>
                </c:pt>
                <c:pt idx="26">
                  <c:v>236.19019400071895</c:v>
                </c:pt>
                <c:pt idx="27">
                  <c:v>238.76320856638989</c:v>
                </c:pt>
                <c:pt idx="28">
                  <c:v>241.68968590885513</c:v>
                </c:pt>
                <c:pt idx="29">
                  <c:v>244.28668181088238</c:v>
                </c:pt>
                <c:pt idx="30">
                  <c:v>247.36375135484846</c:v>
                </c:pt>
                <c:pt idx="31">
                  <c:v>250.50036634957345</c:v>
                </c:pt>
                <c:pt idx="32">
                  <c:v>253.87581841169447</c:v>
                </c:pt>
                <c:pt idx="33">
                  <c:v>257.2361026137628</c:v>
                </c:pt>
                <c:pt idx="34">
                  <c:v>260.77720252681422</c:v>
                </c:pt>
                <c:pt idx="35">
                  <c:v>264.32772052068663</c:v>
                </c:pt>
                <c:pt idx="36">
                  <c:v>268.18112975961338</c:v>
                </c:pt>
                <c:pt idx="37">
                  <c:v>272.08185102914325</c:v>
                </c:pt>
                <c:pt idx="38">
                  <c:v>276.92060229816218</c:v>
                </c:pt>
                <c:pt idx="39">
                  <c:v>281.72371816574616</c:v>
                </c:pt>
                <c:pt idx="40">
                  <c:v>287.54418757517703</c:v>
                </c:pt>
                <c:pt idx="41">
                  <c:v>293.51048270143741</c:v>
                </c:pt>
                <c:pt idx="42">
                  <c:v>299.41678121396893</c:v>
                </c:pt>
                <c:pt idx="43">
                  <c:v>306.7488877538388</c:v>
                </c:pt>
                <c:pt idx="44">
                  <c:v>314.77744362488556</c:v>
                </c:pt>
                <c:pt idx="45">
                  <c:v>323.99215072816475</c:v>
                </c:pt>
                <c:pt idx="46">
                  <c:v>336.30670616574702</c:v>
                </c:pt>
                <c:pt idx="47">
                  <c:v>352.55044694035649</c:v>
                </c:pt>
                <c:pt idx="48">
                  <c:v>378.08919764123124</c:v>
                </c:pt>
                <c:pt idx="49">
                  <c:v>424.21839434866172</c:v>
                </c:pt>
              </c:numCache>
            </c:numRef>
          </c:xVal>
          <c:yVal>
            <c:numRef>
              <c:f>Results!$B$42:$B$91</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5392-48C6-B0AB-045ECABEB0A0}"/>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Revenue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2"/>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4" t="s">
        <v>20</v>
      </c>
      <c r="C16" s="7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5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ht="26.25" x14ac:dyDescent="0.45">
      <c r="B57" s="9" t="s">
        <v>66</v>
      </c>
      <c r="C57" s="10" t="s">
        <v>67</v>
      </c>
    </row>
    <row r="58" spans="2:3" ht="26.25" x14ac:dyDescent="0.45">
      <c r="B58" s="9" t="s">
        <v>41</v>
      </c>
      <c r="C58" s="10" t="s">
        <v>68</v>
      </c>
    </row>
    <row r="59" spans="2:3" x14ac:dyDescent="0.45">
      <c r="B59" s="9" t="s">
        <v>69</v>
      </c>
      <c r="C59" s="10" t="s">
        <v>70</v>
      </c>
    </row>
    <row r="60" spans="2:3" x14ac:dyDescent="0.45">
      <c r="B60" s="9" t="s">
        <v>71</v>
      </c>
      <c r="C60" s="10" t="s">
        <v>72</v>
      </c>
    </row>
    <row r="61" spans="2:3" ht="12" customHeight="1" x14ac:dyDescent="0.45"/>
    <row r="62" spans="2:3" ht="22.05" customHeight="1" x14ac:dyDescent="0.5">
      <c r="B62" s="7" t="s">
        <v>73</v>
      </c>
      <c r="C62" s="8"/>
    </row>
    <row r="63" spans="2:3" x14ac:dyDescent="0.45">
      <c r="B63" s="20" t="s">
        <v>74</v>
      </c>
      <c r="C63" s="10" t="s">
        <v>75</v>
      </c>
    </row>
    <row r="64" spans="2:3" ht="26.25" x14ac:dyDescent="0.45">
      <c r="B64" s="20" t="s">
        <v>76</v>
      </c>
      <c r="C64" s="10" t="s">
        <v>77</v>
      </c>
    </row>
    <row r="65" spans="2:3" x14ac:dyDescent="0.45">
      <c r="B65" s="20" t="s">
        <v>78</v>
      </c>
      <c r="C65" s="10" t="s">
        <v>79</v>
      </c>
    </row>
    <row r="66" spans="2:3" ht="52.5" x14ac:dyDescent="0.45">
      <c r="B66" s="20" t="s">
        <v>80</v>
      </c>
      <c r="C66" s="10" t="s">
        <v>81</v>
      </c>
    </row>
    <row r="67" spans="2:3" ht="12" customHeight="1" x14ac:dyDescent="0.45"/>
    <row r="68" spans="2:3" ht="22.05" customHeight="1" x14ac:dyDescent="0.5">
      <c r="B68" s="7" t="s">
        <v>82</v>
      </c>
      <c r="C68" s="8"/>
    </row>
    <row r="69" spans="2:3" x14ac:dyDescent="0.45">
      <c r="B69" s="9" t="s">
        <v>83</v>
      </c>
      <c r="C69" s="10" t="s">
        <v>84</v>
      </c>
    </row>
    <row r="70" spans="2:3" x14ac:dyDescent="0.45">
      <c r="B70" s="9" t="s">
        <v>85</v>
      </c>
      <c r="C70" s="10" t="s">
        <v>86</v>
      </c>
    </row>
    <row r="71" spans="2:3" ht="16.05" customHeight="1" x14ac:dyDescent="0.45"/>
    <row r="72" spans="2:3" x14ac:dyDescent="0.45">
      <c r="B72" s="72" t="s">
        <v>87</v>
      </c>
      <c r="C72" s="73"/>
    </row>
  </sheetData>
  <mergeCells count="2">
    <mergeCell ref="B72:C72"/>
    <mergeCell ref="B16:C16"/>
  </mergeCells>
  <hyperlinks>
    <hyperlink ref="D4" location="'Inputs'!A1" display="Next:  Inputs  ▸" xr:uid="{00000000-0004-0000-0000-000000000000}"/>
    <hyperlink ref="B39" location="'Inputs'!A1" display="Inputs" xr:uid="{00000000-0004-0000-0000-000001000000}"/>
    <hyperlink ref="B40" location="'Hedges'!A1" display="Hedg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88</v>
      </c>
      <c r="C3" s="1"/>
      <c r="D3" s="1"/>
      <c r="E3" s="1"/>
      <c r="F3" s="1"/>
      <c r="G3" s="1"/>
      <c r="H3" s="1"/>
      <c r="I3" s="1"/>
      <c r="J3" s="1"/>
    </row>
    <row r="4" spans="1:10" ht="20" customHeight="1" x14ac:dyDescent="0.45">
      <c r="A4" s="5"/>
      <c r="B4" s="22" t="s">
        <v>89</v>
      </c>
      <c r="C4" s="5"/>
      <c r="D4" s="5"/>
      <c r="E4" s="5"/>
      <c r="F4" s="5"/>
      <c r="G4" s="5"/>
      <c r="H4" s="5"/>
      <c r="I4" s="5"/>
      <c r="J4" s="6" t="s">
        <v>90</v>
      </c>
    </row>
    <row r="5" spans="1:10" ht="8" customHeight="1" x14ac:dyDescent="0.45"/>
    <row r="6" spans="1:10" ht="20" customHeight="1" x14ac:dyDescent="0.45">
      <c r="B6" s="75" t="s">
        <v>91</v>
      </c>
      <c r="C6" s="73"/>
      <c r="D6" s="73"/>
      <c r="E6" s="73"/>
      <c r="F6" s="73"/>
      <c r="G6" s="73"/>
      <c r="H6" s="73"/>
      <c r="I6" s="73"/>
      <c r="J6" s="73"/>
    </row>
    <row r="7" spans="1:10" ht="6" customHeight="1" x14ac:dyDescent="0.45"/>
    <row r="8" spans="1:10" ht="22.05" customHeight="1" x14ac:dyDescent="0.5">
      <c r="B8" s="7" t="s">
        <v>92</v>
      </c>
      <c r="C8" s="8"/>
      <c r="D8" s="8"/>
      <c r="E8" s="8"/>
      <c r="F8" s="8"/>
      <c r="G8" s="8"/>
      <c r="H8" s="8"/>
      <c r="I8" s="8"/>
      <c r="J8" s="8"/>
    </row>
    <row r="9" spans="1:10" ht="18" customHeight="1" x14ac:dyDescent="0.45">
      <c r="B9" s="13" t="s">
        <v>93</v>
      </c>
    </row>
    <row r="10" spans="1:10" ht="18" customHeight="1" x14ac:dyDescent="0.45">
      <c r="B10" s="23" t="s">
        <v>94</v>
      </c>
      <c r="C10" s="23" t="s">
        <v>95</v>
      </c>
      <c r="D10" s="24" t="s">
        <v>96</v>
      </c>
      <c r="E10" s="23" t="s">
        <v>97</v>
      </c>
      <c r="F10" s="24" t="s">
        <v>98</v>
      </c>
      <c r="G10" s="24" t="s">
        <v>99</v>
      </c>
      <c r="H10" s="24" t="s">
        <v>100</v>
      </c>
      <c r="I10" s="24" t="s">
        <v>101</v>
      </c>
      <c r="J10" s="23" t="s">
        <v>102</v>
      </c>
    </row>
    <row r="11" spans="1:10" x14ac:dyDescent="0.45">
      <c r="B11" s="25" t="s">
        <v>103</v>
      </c>
      <c r="C11" s="26" t="s">
        <v>104</v>
      </c>
      <c r="D11" s="27">
        <v>150</v>
      </c>
      <c r="E11" s="26" t="s">
        <v>105</v>
      </c>
      <c r="F11" s="28"/>
      <c r="G11" s="28"/>
      <c r="H11" s="28"/>
      <c r="I11" s="28"/>
      <c r="J11" s="29" t="s">
        <v>106</v>
      </c>
    </row>
    <row r="12" spans="1:10" ht="23.25" x14ac:dyDescent="0.45">
      <c r="B12" s="25" t="s">
        <v>107</v>
      </c>
      <c r="C12" s="26" t="s">
        <v>108</v>
      </c>
      <c r="D12" s="30" t="s">
        <v>109</v>
      </c>
      <c r="E12" s="26" t="s">
        <v>110</v>
      </c>
      <c r="F12" s="31">
        <v>0.85</v>
      </c>
      <c r="G12" s="31">
        <v>0.97</v>
      </c>
      <c r="H12" s="31">
        <v>1</v>
      </c>
      <c r="I12" s="32" cm="1">
        <f t="array" ref="I12">IF(AND(F12&lt;=G12,G12&lt;=H12,F12&lt;H12,F12&gt;=0,H12&lt;=1),_xll.VoseMean(_xll.VosePERTObject(F12,G12,H12)),"✗ range")</f>
        <v>0.95499999999999996</v>
      </c>
      <c r="J12" s="29" t="s">
        <v>111</v>
      </c>
    </row>
    <row r="13" spans="1:10" x14ac:dyDescent="0.45">
      <c r="B13" s="25" t="s">
        <v>112</v>
      </c>
      <c r="C13" s="26" t="s">
        <v>113</v>
      </c>
      <c r="D13" s="31">
        <v>0.05</v>
      </c>
      <c r="E13" s="26" t="s">
        <v>105</v>
      </c>
      <c r="F13" s="28"/>
      <c r="G13" s="28"/>
      <c r="H13" s="28"/>
      <c r="I13" s="28"/>
      <c r="J13" s="29" t="s">
        <v>114</v>
      </c>
    </row>
    <row r="14" spans="1:10" x14ac:dyDescent="0.45">
      <c r="B14" s="25" t="s">
        <v>115</v>
      </c>
      <c r="C14" s="26" t="s">
        <v>116</v>
      </c>
      <c r="D14" s="33">
        <v>3</v>
      </c>
      <c r="E14" s="26" t="s">
        <v>105</v>
      </c>
      <c r="F14" s="28"/>
      <c r="G14" s="28"/>
      <c r="H14" s="28"/>
      <c r="I14" s="28"/>
      <c r="J14" s="29" t="s">
        <v>117</v>
      </c>
    </row>
    <row r="15" spans="1:10" ht="8" customHeight="1" x14ac:dyDescent="0.45"/>
    <row r="16" spans="1:10" ht="22.05" customHeight="1" x14ac:dyDescent="0.5">
      <c r="B16" s="7" t="s">
        <v>118</v>
      </c>
      <c r="C16" s="8"/>
      <c r="D16" s="8"/>
      <c r="E16" s="8"/>
      <c r="F16" s="8"/>
      <c r="G16" s="8"/>
      <c r="H16" s="8"/>
      <c r="I16" s="8"/>
      <c r="J16" s="8"/>
    </row>
    <row r="17" spans="2:10" ht="18" customHeight="1" x14ac:dyDescent="0.45">
      <c r="B17" s="13" t="s">
        <v>119</v>
      </c>
    </row>
    <row r="18" spans="2:10" ht="18" customHeight="1" x14ac:dyDescent="0.45">
      <c r="B18" s="23" t="s">
        <v>94</v>
      </c>
      <c r="C18" s="23" t="s">
        <v>95</v>
      </c>
      <c r="D18" s="24" t="s">
        <v>96</v>
      </c>
      <c r="E18" s="23" t="s">
        <v>97</v>
      </c>
      <c r="F18" s="5"/>
      <c r="G18" s="5"/>
      <c r="H18" s="5"/>
      <c r="I18" s="5"/>
      <c r="J18" s="23" t="s">
        <v>102</v>
      </c>
    </row>
    <row r="19" spans="2:10" x14ac:dyDescent="0.45">
      <c r="B19" s="25" t="s">
        <v>120</v>
      </c>
      <c r="C19" s="26" t="s">
        <v>121</v>
      </c>
      <c r="D19" s="34">
        <v>72</v>
      </c>
      <c r="E19" s="26" t="s">
        <v>105</v>
      </c>
      <c r="F19" s="28"/>
      <c r="G19" s="28"/>
      <c r="H19" s="28"/>
      <c r="I19" s="28"/>
      <c r="J19" s="29" t="s">
        <v>122</v>
      </c>
    </row>
    <row r="20" spans="2:10" x14ac:dyDescent="0.45">
      <c r="B20" s="25" t="s">
        <v>123</v>
      </c>
      <c r="C20" s="26"/>
      <c r="D20" s="31">
        <v>0.3</v>
      </c>
      <c r="E20" s="26" t="s">
        <v>105</v>
      </c>
      <c r="F20" s="28"/>
      <c r="G20" s="28"/>
      <c r="H20" s="28"/>
      <c r="I20" s="28"/>
      <c r="J20" s="29" t="s">
        <v>124</v>
      </c>
    </row>
    <row r="21" spans="2:10" ht="8" customHeight="1" x14ac:dyDescent="0.45"/>
    <row r="22" spans="2:10" ht="22.05" customHeight="1" x14ac:dyDescent="0.5">
      <c r="B22" s="7" t="s">
        <v>125</v>
      </c>
      <c r="C22" s="8"/>
      <c r="D22" s="8"/>
      <c r="E22" s="8"/>
      <c r="F22" s="8"/>
      <c r="G22" s="8"/>
      <c r="H22" s="8"/>
      <c r="I22" s="8"/>
      <c r="J22" s="8"/>
    </row>
    <row r="23" spans="2:10" ht="18" customHeight="1" x14ac:dyDescent="0.45">
      <c r="B23" s="13" t="s">
        <v>126</v>
      </c>
    </row>
    <row r="24" spans="2:10" ht="18" customHeight="1" x14ac:dyDescent="0.45">
      <c r="B24" s="23" t="s">
        <v>94</v>
      </c>
      <c r="C24" s="23" t="s">
        <v>95</v>
      </c>
      <c r="D24" s="24" t="s">
        <v>96</v>
      </c>
      <c r="E24" s="23" t="s">
        <v>97</v>
      </c>
      <c r="F24" s="5"/>
      <c r="G24" s="5"/>
      <c r="H24" s="5"/>
      <c r="I24" s="5"/>
      <c r="J24" s="23" t="s">
        <v>102</v>
      </c>
    </row>
    <row r="25" spans="2:10" x14ac:dyDescent="0.45">
      <c r="B25" s="25" t="s">
        <v>127</v>
      </c>
      <c r="C25" s="26" t="s">
        <v>128</v>
      </c>
      <c r="D25" s="33">
        <v>2027</v>
      </c>
      <c r="E25" s="26" t="s">
        <v>105</v>
      </c>
      <c r="F25" s="28"/>
      <c r="G25" s="28"/>
      <c r="H25" s="28"/>
      <c r="I25" s="28"/>
      <c r="J25" s="29" t="s">
        <v>129</v>
      </c>
    </row>
    <row r="26" spans="2:10" x14ac:dyDescent="0.45">
      <c r="B26" s="25" t="s">
        <v>63</v>
      </c>
      <c r="C26" s="26" t="s">
        <v>130</v>
      </c>
      <c r="D26" s="31">
        <v>0.6</v>
      </c>
      <c r="E26" s="26" t="s">
        <v>105</v>
      </c>
      <c r="F26" s="28"/>
      <c r="G26" s="28"/>
      <c r="H26" s="28"/>
      <c r="I26" s="28"/>
      <c r="J26" s="29" t="s">
        <v>131</v>
      </c>
    </row>
    <row r="27" spans="2:10" x14ac:dyDescent="0.45">
      <c r="B27" s="25" t="s">
        <v>132</v>
      </c>
      <c r="C27" s="26" t="s">
        <v>121</v>
      </c>
      <c r="D27" s="34">
        <v>72</v>
      </c>
      <c r="E27" s="26" t="s">
        <v>105</v>
      </c>
      <c r="F27" s="28"/>
      <c r="G27" s="28"/>
      <c r="H27" s="28"/>
      <c r="I27" s="28"/>
      <c r="J27" s="29" t="s">
        <v>133</v>
      </c>
    </row>
    <row r="28" spans="2:10" x14ac:dyDescent="0.45">
      <c r="B28" s="25" t="s">
        <v>134</v>
      </c>
      <c r="C28" s="26" t="s">
        <v>121</v>
      </c>
      <c r="D28" s="34">
        <v>62</v>
      </c>
      <c r="E28" s="26" t="s">
        <v>105</v>
      </c>
      <c r="F28" s="28"/>
      <c r="G28" s="28"/>
      <c r="H28" s="28"/>
      <c r="I28" s="28"/>
      <c r="J28" s="29" t="s">
        <v>135</v>
      </c>
    </row>
    <row r="29" spans="2:10" x14ac:dyDescent="0.45">
      <c r="B29" s="25" t="s">
        <v>136</v>
      </c>
      <c r="C29" s="26" t="s">
        <v>121</v>
      </c>
      <c r="D29" s="34">
        <v>87</v>
      </c>
      <c r="E29" s="26" t="s">
        <v>105</v>
      </c>
      <c r="F29" s="28"/>
      <c r="G29" s="28"/>
      <c r="H29" s="28"/>
      <c r="I29" s="28"/>
      <c r="J29" s="29" t="s">
        <v>137</v>
      </c>
    </row>
    <row r="30" spans="2:10" x14ac:dyDescent="0.45">
      <c r="B30" s="25" t="s">
        <v>138</v>
      </c>
      <c r="C30" s="26" t="s">
        <v>121</v>
      </c>
      <c r="D30" s="34">
        <v>4.25</v>
      </c>
      <c r="E30" s="26" t="s">
        <v>105</v>
      </c>
      <c r="F30" s="28"/>
      <c r="G30" s="28"/>
      <c r="H30" s="28"/>
      <c r="I30" s="28"/>
      <c r="J30" s="29" t="s">
        <v>139</v>
      </c>
    </row>
    <row r="31" spans="2:10" ht="8" customHeight="1" x14ac:dyDescent="0.45"/>
    <row r="32" spans="2:10" ht="22.05" customHeight="1" x14ac:dyDescent="0.5">
      <c r="B32" s="7" t="s">
        <v>140</v>
      </c>
      <c r="C32" s="8"/>
      <c r="D32" s="8"/>
      <c r="E32" s="8"/>
      <c r="F32" s="8"/>
      <c r="G32" s="8"/>
      <c r="H32" s="8"/>
      <c r="I32" s="8"/>
      <c r="J32" s="8"/>
    </row>
    <row r="33" spans="2:10" ht="18" customHeight="1" x14ac:dyDescent="0.45">
      <c r="B33" s="13" t="s">
        <v>141</v>
      </c>
    </row>
    <row r="34" spans="2:10" ht="18" customHeight="1" x14ac:dyDescent="0.45">
      <c r="B34" s="23" t="s">
        <v>94</v>
      </c>
      <c r="C34" s="23" t="s">
        <v>95</v>
      </c>
      <c r="D34" s="24" t="s">
        <v>96</v>
      </c>
      <c r="E34" s="23" t="s">
        <v>97</v>
      </c>
      <c r="F34" s="5"/>
      <c r="G34" s="5"/>
      <c r="H34" s="5"/>
      <c r="I34" s="5"/>
      <c r="J34" s="23" t="s">
        <v>102</v>
      </c>
    </row>
    <row r="35" spans="2:10" x14ac:dyDescent="0.45">
      <c r="B35" s="25" t="s">
        <v>142</v>
      </c>
      <c r="C35" s="26" t="s">
        <v>121</v>
      </c>
      <c r="D35" s="34">
        <v>65</v>
      </c>
      <c r="E35" s="26" t="s">
        <v>105</v>
      </c>
      <c r="F35" s="28"/>
      <c r="G35" s="28"/>
      <c r="H35" s="28"/>
      <c r="I35" s="28"/>
      <c r="J35" s="29" t="s">
        <v>143</v>
      </c>
    </row>
    <row r="36" spans="2:10" x14ac:dyDescent="0.45">
      <c r="B36" s="25" t="s">
        <v>144</v>
      </c>
      <c r="C36" s="26" t="s">
        <v>108</v>
      </c>
      <c r="D36" s="32">
        <f>Uptime_ML</f>
        <v>0.97</v>
      </c>
      <c r="E36" s="26" t="s">
        <v>145</v>
      </c>
      <c r="F36" s="28"/>
      <c r="G36" s="28"/>
      <c r="H36" s="28"/>
      <c r="I36" s="28"/>
      <c r="J36" s="29" t="s">
        <v>146</v>
      </c>
    </row>
    <row r="37" spans="2:10" ht="8" customHeight="1" x14ac:dyDescent="0.45"/>
  </sheetData>
  <mergeCells count="1">
    <mergeCell ref="B6:J6"/>
  </mergeCells>
  <conditionalFormatting sqref="I12">
    <cfRule type="expression" dxfId="4" priority="1">
      <formula>LEFT($I12,1)="✗"</formula>
    </cfRule>
  </conditionalFormatting>
  <dataValidations count="6">
    <dataValidation type="decimal" operator="greaterThan" showErrorMessage="1" errorTitle="Positive value" error="Enter a value greater than zero." sqref="D11 D35 D27:D29 D19:D20" xr:uid="{00000000-0002-0000-0100-000000000000}">
      <formula1>0</formula1>
    </dataValidation>
    <dataValidation type="custom" showErrorMessage="1" errorTitle="PERT range" error="Low must be below High, with Most likely between them, all between 0% and 100%." sqref="F12:H12" xr:uid="{00000000-0002-0000-0100-000001000000}">
      <formula1>AND($F12&lt;=$G12,$G12&lt;=$H12,$F12&lt;$H12,$F12&gt;=0,$H12&lt;=1)</formula1>
    </dataValidation>
    <dataValidation type="decimal" showErrorMessage="1" errorTitle="Probability" error="Enter a value between 0% and 100%." sqref="D13 D26" xr:uid="{00000000-0002-0000-0100-000002000000}">
      <formula1>0</formula1>
      <formula2>1</formula2>
    </dataValidation>
    <dataValidation type="whole" showErrorMessage="1" errorTitle="Whole number" error="Enter a whole number." sqref="D14" xr:uid="{00000000-0002-0000-0100-000003000000}">
      <formula1>0</formula1>
      <formula2>1000000</formula2>
    </dataValidation>
    <dataValidation type="whole" showErrorMessage="1" errorTitle="Year" error="Enter a calendar year." sqref="D25" xr:uid="{00000000-0002-0000-0100-000006000000}">
      <formula1>1900</formula1>
      <formula2>2200</formula2>
    </dataValidation>
    <dataValidation type="decimal" showErrorMessage="1" errorTitle="Value" error="Enter a value of zero or more." sqref="D30" xr:uid="{00000000-0002-0000-0100-00000B000000}">
      <formula1>0</formula1>
      <formula2>1000000000000</formula2>
    </dataValidation>
  </dataValidations>
  <hyperlinks>
    <hyperlink ref="B4" location="'About'!A1" display="◂  About" xr:uid="{00000000-0004-0000-0100-000000000000}"/>
    <hyperlink ref="J4" location="'Hedges'!A1" display="Next:  Hedg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AC5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4" width="10" customWidth="1"/>
    <col min="5" max="5" width="5" customWidth="1"/>
    <col min="6" max="29" width="7" customWidth="1"/>
  </cols>
  <sheetData>
    <row r="1" spans="1:29" ht="6" customHeight="1" x14ac:dyDescent="0.45"/>
    <row r="2" spans="1:29"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3" t="s">
        <v>1</v>
      </c>
    </row>
    <row r="3" spans="1:29" ht="20" customHeight="1" x14ac:dyDescent="0.45">
      <c r="A3" s="1"/>
      <c r="B3" s="4" t="s">
        <v>147</v>
      </c>
      <c r="C3" s="1"/>
      <c r="D3" s="1"/>
      <c r="E3" s="1"/>
      <c r="F3" s="1"/>
      <c r="G3" s="1"/>
      <c r="H3" s="1"/>
      <c r="I3" s="1"/>
      <c r="J3" s="1"/>
      <c r="K3" s="1"/>
      <c r="L3" s="1"/>
      <c r="M3" s="1"/>
      <c r="N3" s="1"/>
      <c r="O3" s="1"/>
      <c r="P3" s="1"/>
      <c r="Q3" s="1"/>
      <c r="R3" s="1"/>
      <c r="S3" s="1"/>
      <c r="T3" s="1"/>
      <c r="U3" s="1"/>
      <c r="V3" s="1"/>
      <c r="W3" s="1"/>
      <c r="X3" s="1"/>
      <c r="Y3" s="1"/>
      <c r="Z3" s="1"/>
      <c r="AA3" s="1"/>
      <c r="AB3" s="1"/>
      <c r="AC3" s="1"/>
    </row>
    <row r="4" spans="1:29" ht="20" customHeight="1" x14ac:dyDescent="0.45">
      <c r="A4" s="5"/>
      <c r="B4" s="22" t="s">
        <v>148</v>
      </c>
      <c r="C4" s="5"/>
      <c r="D4" s="5"/>
      <c r="E4" s="5"/>
      <c r="F4" s="5"/>
      <c r="G4" s="5"/>
      <c r="H4" s="5"/>
      <c r="I4" s="5"/>
      <c r="J4" s="5"/>
      <c r="K4" s="5"/>
      <c r="L4" s="5"/>
      <c r="M4" s="5"/>
      <c r="N4" s="5"/>
      <c r="O4" s="5"/>
      <c r="P4" s="5"/>
      <c r="Q4" s="5"/>
      <c r="R4" s="5"/>
      <c r="S4" s="5"/>
      <c r="T4" s="5"/>
      <c r="U4" s="5"/>
      <c r="V4" s="5"/>
      <c r="W4" s="5"/>
      <c r="X4" s="5"/>
      <c r="Y4" s="5"/>
      <c r="Z4" s="5"/>
      <c r="AA4" s="5"/>
      <c r="AB4" s="5"/>
      <c r="AC4" s="6" t="s">
        <v>149</v>
      </c>
    </row>
    <row r="5" spans="1:29" ht="8" customHeight="1" x14ac:dyDescent="0.45"/>
    <row r="6" spans="1:29" ht="16.05" customHeight="1" x14ac:dyDescent="0.45">
      <c r="B6" s="35" t="s">
        <v>150</v>
      </c>
      <c r="C6" s="36"/>
      <c r="D6" s="37" t="s">
        <v>151</v>
      </c>
      <c r="E6" s="38" t="s">
        <v>152</v>
      </c>
      <c r="F6" s="39">
        <v>1</v>
      </c>
      <c r="G6" s="39">
        <f t="shared" ref="G6:AC6" si="0">F6+1</f>
        <v>2</v>
      </c>
      <c r="H6" s="39">
        <f t="shared" si="0"/>
        <v>3</v>
      </c>
      <c r="I6" s="39">
        <f t="shared" si="0"/>
        <v>4</v>
      </c>
      <c r="J6" s="39">
        <f t="shared" si="0"/>
        <v>5</v>
      </c>
      <c r="K6" s="39">
        <f t="shared" si="0"/>
        <v>6</v>
      </c>
      <c r="L6" s="39">
        <f t="shared" si="0"/>
        <v>7</v>
      </c>
      <c r="M6" s="39">
        <f t="shared" si="0"/>
        <v>8</v>
      </c>
      <c r="N6" s="39">
        <f t="shared" si="0"/>
        <v>9</v>
      </c>
      <c r="O6" s="39">
        <f t="shared" si="0"/>
        <v>10</v>
      </c>
      <c r="P6" s="39">
        <f t="shared" si="0"/>
        <v>11</v>
      </c>
      <c r="Q6" s="39">
        <f t="shared" si="0"/>
        <v>12</v>
      </c>
      <c r="R6" s="39">
        <f t="shared" si="0"/>
        <v>13</v>
      </c>
      <c r="S6" s="39">
        <f t="shared" si="0"/>
        <v>14</v>
      </c>
      <c r="T6" s="39">
        <f t="shared" si="0"/>
        <v>15</v>
      </c>
      <c r="U6" s="39">
        <f t="shared" si="0"/>
        <v>16</v>
      </c>
      <c r="V6" s="39">
        <f t="shared" si="0"/>
        <v>17</v>
      </c>
      <c r="W6" s="39">
        <f t="shared" si="0"/>
        <v>18</v>
      </c>
      <c r="X6" s="39">
        <f t="shared" si="0"/>
        <v>19</v>
      </c>
      <c r="Y6" s="39">
        <f t="shared" si="0"/>
        <v>20</v>
      </c>
      <c r="Z6" s="39">
        <f t="shared" si="0"/>
        <v>21</v>
      </c>
      <c r="AA6" s="39">
        <f t="shared" si="0"/>
        <v>22</v>
      </c>
      <c r="AB6" s="39">
        <f t="shared" si="0"/>
        <v>23</v>
      </c>
      <c r="AC6" s="39">
        <f t="shared" si="0"/>
        <v>24</v>
      </c>
    </row>
    <row r="7" spans="1:29" ht="16.05" customHeight="1" x14ac:dyDescent="0.45">
      <c r="B7" s="40" t="s">
        <v>153</v>
      </c>
      <c r="C7" s="5"/>
      <c r="D7" s="5"/>
      <c r="E7" s="5"/>
      <c r="F7" s="41">
        <f>EDATE(StartMonth,0)</f>
        <v>46388</v>
      </c>
      <c r="G7" s="41">
        <f>EDATE(StartMonth,1)</f>
        <v>46419</v>
      </c>
      <c r="H7" s="41">
        <f>EDATE(StartMonth,2)</f>
        <v>46447</v>
      </c>
      <c r="I7" s="41">
        <f>EDATE(StartMonth,3)</f>
        <v>46478</v>
      </c>
      <c r="J7" s="41">
        <f>EDATE(StartMonth,4)</f>
        <v>46508</v>
      </c>
      <c r="K7" s="41">
        <f>EDATE(StartMonth,5)</f>
        <v>46539</v>
      </c>
      <c r="L7" s="41">
        <f>EDATE(StartMonth,6)</f>
        <v>46569</v>
      </c>
      <c r="M7" s="41">
        <f>EDATE(StartMonth,7)</f>
        <v>46600</v>
      </c>
      <c r="N7" s="41">
        <f>EDATE(StartMonth,8)</f>
        <v>46631</v>
      </c>
      <c r="O7" s="41">
        <f>EDATE(StartMonth,9)</f>
        <v>46661</v>
      </c>
      <c r="P7" s="41">
        <f>EDATE(StartMonth,10)</f>
        <v>46692</v>
      </c>
      <c r="Q7" s="41">
        <f>EDATE(StartMonth,11)</f>
        <v>46722</v>
      </c>
      <c r="R7" s="41">
        <f>EDATE(StartMonth,12)</f>
        <v>46753</v>
      </c>
      <c r="S7" s="41">
        <f>EDATE(StartMonth,13)</f>
        <v>46784</v>
      </c>
      <c r="T7" s="41">
        <f>EDATE(StartMonth,14)</f>
        <v>46813</v>
      </c>
      <c r="U7" s="41">
        <f>EDATE(StartMonth,15)</f>
        <v>46844</v>
      </c>
      <c r="V7" s="41">
        <f>EDATE(StartMonth,16)</f>
        <v>46874</v>
      </c>
      <c r="W7" s="41">
        <f>EDATE(StartMonth,17)</f>
        <v>46905</v>
      </c>
      <c r="X7" s="41">
        <f>EDATE(StartMonth,18)</f>
        <v>46935</v>
      </c>
      <c r="Y7" s="41">
        <f>EDATE(StartMonth,19)</f>
        <v>46966</v>
      </c>
      <c r="Z7" s="41">
        <f>EDATE(StartMonth,20)</f>
        <v>46997</v>
      </c>
      <c r="AA7" s="41">
        <f>EDATE(StartMonth,21)</f>
        <v>47027</v>
      </c>
      <c r="AB7" s="41">
        <f>EDATE(StartMonth,22)</f>
        <v>47058</v>
      </c>
      <c r="AC7" s="41">
        <f>EDATE(StartMonth,23)</f>
        <v>47088</v>
      </c>
    </row>
    <row r="8" spans="1:29" ht="6" customHeight="1" x14ac:dyDescent="0.45"/>
    <row r="9" spans="1:29" ht="22.05" customHeight="1" x14ac:dyDescent="0.5">
      <c r="B9" s="7" t="s">
        <v>154</v>
      </c>
      <c r="C9" s="8"/>
      <c r="D9" s="8"/>
      <c r="E9" s="8"/>
      <c r="F9" s="8"/>
      <c r="G9" s="8"/>
      <c r="H9" s="8"/>
      <c r="I9" s="8"/>
      <c r="J9" s="8"/>
      <c r="K9" s="8"/>
      <c r="L9" s="8"/>
      <c r="M9" s="8"/>
      <c r="N9" s="8"/>
      <c r="O9" s="8"/>
      <c r="P9" s="8"/>
      <c r="Q9" s="8"/>
      <c r="R9" s="8"/>
      <c r="S9" s="8"/>
      <c r="T9" s="8"/>
      <c r="U9" s="8"/>
      <c r="V9" s="8"/>
      <c r="W9" s="8"/>
      <c r="X9" s="8"/>
      <c r="Y9" s="8"/>
      <c r="Z9" s="8"/>
      <c r="AA9" s="8"/>
      <c r="AB9" s="8"/>
      <c r="AC9" s="8"/>
    </row>
    <row r="10" spans="1:29" ht="18" customHeight="1" x14ac:dyDescent="0.45">
      <c r="B10" s="13" t="s">
        <v>155</v>
      </c>
    </row>
    <row r="11" spans="1:29" ht="18" customHeight="1" x14ac:dyDescent="0.45">
      <c r="B11" s="40" t="s">
        <v>156</v>
      </c>
      <c r="C11" s="40" t="s">
        <v>95</v>
      </c>
      <c r="D11" s="42" t="s">
        <v>157</v>
      </c>
      <c r="E11" s="5"/>
      <c r="F11" s="40" t="s">
        <v>158</v>
      </c>
      <c r="G11" s="5"/>
      <c r="H11" s="5"/>
      <c r="I11" s="5"/>
      <c r="J11" s="5"/>
      <c r="K11" s="5"/>
      <c r="L11" s="5"/>
      <c r="M11" s="5"/>
      <c r="N11" s="5"/>
      <c r="O11" s="5"/>
      <c r="P11" s="5"/>
      <c r="Q11" s="5"/>
      <c r="R11" s="5"/>
      <c r="S11" s="5"/>
      <c r="T11" s="5"/>
      <c r="U11" s="5"/>
      <c r="V11" s="5"/>
      <c r="W11" s="5"/>
      <c r="X11" s="5"/>
      <c r="Y11" s="5"/>
      <c r="Z11" s="5"/>
      <c r="AA11" s="5"/>
      <c r="AB11" s="5"/>
      <c r="AC11" s="5"/>
    </row>
    <row r="12" spans="1:29" x14ac:dyDescent="0.45">
      <c r="B12" s="25" t="s">
        <v>159</v>
      </c>
      <c r="C12" s="26" t="s">
        <v>160</v>
      </c>
      <c r="D12" s="43">
        <f>DATE(FirstYear,1,1)</f>
        <v>46388</v>
      </c>
      <c r="E12" s="28"/>
      <c r="F12" s="26" t="s">
        <v>161</v>
      </c>
      <c r="G12" s="28"/>
      <c r="H12" s="28"/>
      <c r="I12" s="28"/>
      <c r="J12" s="28"/>
      <c r="K12" s="28"/>
      <c r="L12" s="28"/>
      <c r="M12" s="28"/>
      <c r="N12" s="28"/>
      <c r="O12" s="28"/>
      <c r="P12" s="28"/>
      <c r="Q12" s="28"/>
      <c r="R12" s="28"/>
      <c r="S12" s="28"/>
      <c r="T12" s="28"/>
      <c r="U12" s="28"/>
      <c r="V12" s="28"/>
      <c r="W12" s="28"/>
      <c r="X12" s="28"/>
      <c r="Y12" s="28"/>
      <c r="Z12" s="28"/>
      <c r="AA12" s="28"/>
      <c r="AB12" s="28"/>
      <c r="AC12" s="28"/>
    </row>
    <row r="13" spans="1:29" x14ac:dyDescent="0.45">
      <c r="B13" s="25" t="s">
        <v>162</v>
      </c>
      <c r="C13" s="26" t="s">
        <v>116</v>
      </c>
      <c r="D13" s="44">
        <f>COUNT(F6:AC6)</f>
        <v>24</v>
      </c>
      <c r="E13" s="28"/>
      <c r="F13" s="26" t="s">
        <v>163</v>
      </c>
      <c r="G13" s="28"/>
      <c r="H13" s="28"/>
      <c r="I13" s="28"/>
      <c r="J13" s="28"/>
      <c r="K13" s="28"/>
      <c r="L13" s="28"/>
      <c r="M13" s="28"/>
      <c r="N13" s="28"/>
      <c r="O13" s="28"/>
      <c r="P13" s="28"/>
      <c r="Q13" s="28"/>
      <c r="R13" s="28"/>
      <c r="S13" s="28"/>
      <c r="T13" s="28"/>
      <c r="U13" s="28"/>
      <c r="V13" s="28"/>
      <c r="W13" s="28"/>
      <c r="X13" s="28"/>
      <c r="Y13" s="28"/>
      <c r="Z13" s="28"/>
      <c r="AA13" s="28"/>
      <c r="AB13" s="28"/>
      <c r="AC13" s="28"/>
    </row>
    <row r="14" spans="1:29" x14ac:dyDescent="0.45">
      <c r="B14" s="25" t="s">
        <v>164</v>
      </c>
      <c r="C14" s="26" t="s">
        <v>165</v>
      </c>
      <c r="D14" s="45" cm="1">
        <f t="array" aca="1" ref="D14" ca="1">_xll.VoseInput("Outage","1 = yes")+_xll.VoseBernoulli(Prob_Outage)</f>
        <v>0</v>
      </c>
      <c r="E14" s="28"/>
      <c r="F14" s="26" t="s">
        <v>166</v>
      </c>
      <c r="G14" s="28"/>
      <c r="H14" s="28"/>
      <c r="I14" s="28"/>
      <c r="J14" s="28"/>
      <c r="K14" s="28"/>
      <c r="L14" s="28"/>
      <c r="M14" s="28"/>
      <c r="N14" s="28"/>
      <c r="O14" s="28"/>
      <c r="P14" s="28"/>
      <c r="Q14" s="28"/>
      <c r="R14" s="28"/>
      <c r="S14" s="28"/>
      <c r="T14" s="28"/>
      <c r="U14" s="28"/>
      <c r="V14" s="28"/>
      <c r="W14" s="28"/>
      <c r="X14" s="28"/>
      <c r="Y14" s="28"/>
      <c r="Z14" s="28"/>
      <c r="AA14" s="28"/>
      <c r="AB14" s="28"/>
      <c r="AC14" s="28"/>
    </row>
    <row r="15" spans="1:29" x14ac:dyDescent="0.45">
      <c r="B15" s="25" t="s">
        <v>167</v>
      </c>
      <c r="C15" s="26" t="s">
        <v>168</v>
      </c>
      <c r="D15" s="45" cm="1">
        <f t="array" aca="1" ref="D15" ca="1">_xll.VoseStepUniform(1,MonthsHedged-OutageMonths+1)</f>
        <v>15</v>
      </c>
      <c r="E15" s="28"/>
      <c r="F15" s="26" t="s">
        <v>169</v>
      </c>
      <c r="G15" s="28"/>
      <c r="H15" s="28"/>
      <c r="I15" s="28"/>
      <c r="J15" s="28"/>
      <c r="K15" s="28"/>
      <c r="L15" s="28"/>
      <c r="M15" s="28"/>
      <c r="N15" s="28"/>
      <c r="O15" s="28"/>
      <c r="P15" s="28"/>
      <c r="Q15" s="28"/>
      <c r="R15" s="28"/>
      <c r="S15" s="28"/>
      <c r="T15" s="28"/>
      <c r="U15" s="28"/>
      <c r="V15" s="28"/>
      <c r="W15" s="28"/>
      <c r="X15" s="28"/>
      <c r="Y15" s="28"/>
      <c r="Z15" s="28"/>
      <c r="AA15" s="28"/>
      <c r="AB15" s="28"/>
      <c r="AC15" s="28"/>
    </row>
    <row r="16" spans="1:29" x14ac:dyDescent="0.45">
      <c r="B16" s="25" t="s">
        <v>170</v>
      </c>
      <c r="C16" s="26"/>
      <c r="D16" s="46">
        <f>Volatility/SQRT(12)</f>
        <v>8.6602540378443865E-2</v>
      </c>
      <c r="E16" s="28"/>
      <c r="F16" s="26" t="s">
        <v>171</v>
      </c>
      <c r="G16" s="28"/>
      <c r="H16" s="28"/>
      <c r="I16" s="28"/>
      <c r="J16" s="28"/>
      <c r="K16" s="28"/>
      <c r="L16" s="28"/>
      <c r="M16" s="28"/>
      <c r="N16" s="28"/>
      <c r="O16" s="28"/>
      <c r="P16" s="28"/>
      <c r="Q16" s="28"/>
      <c r="R16" s="28"/>
      <c r="S16" s="28"/>
      <c r="T16" s="28"/>
      <c r="U16" s="28"/>
      <c r="V16" s="28"/>
      <c r="W16" s="28"/>
      <c r="X16" s="28"/>
      <c r="Y16" s="28"/>
      <c r="Z16" s="28"/>
      <c r="AA16" s="28"/>
      <c r="AB16" s="28"/>
      <c r="AC16" s="28"/>
    </row>
    <row r="17" spans="2:29" x14ac:dyDescent="0.45">
      <c r="B17" s="25" t="s">
        <v>172</v>
      </c>
      <c r="C17" s="26"/>
      <c r="D17" s="47">
        <f>-0.5*Sigma_m^2</f>
        <v>-3.7499999999999999E-3</v>
      </c>
      <c r="E17" s="28"/>
      <c r="F17" s="26" t="s">
        <v>173</v>
      </c>
      <c r="G17" s="28"/>
      <c r="H17" s="28"/>
      <c r="I17" s="28"/>
      <c r="J17" s="28"/>
      <c r="K17" s="28"/>
      <c r="L17" s="28"/>
      <c r="M17" s="28"/>
      <c r="N17" s="28"/>
      <c r="O17" s="28"/>
      <c r="P17" s="28"/>
      <c r="Q17" s="28"/>
      <c r="R17" s="28"/>
      <c r="S17" s="28"/>
      <c r="T17" s="28"/>
      <c r="U17" s="28"/>
      <c r="V17" s="28"/>
      <c r="W17" s="28"/>
      <c r="X17" s="28"/>
      <c r="Y17" s="28"/>
      <c r="Z17" s="28"/>
      <c r="AA17" s="28"/>
      <c r="AB17" s="28"/>
      <c r="AC17" s="28"/>
    </row>
    <row r="18" spans="2:29" x14ac:dyDescent="0.45">
      <c r="B18" s="25" t="s">
        <v>174</v>
      </c>
      <c r="C18" s="26" t="s">
        <v>175</v>
      </c>
      <c r="D18" s="48">
        <f>PriceNow*PlanVolume*MonthsHedged/1000</f>
        <v>259.2</v>
      </c>
      <c r="E18" s="28"/>
      <c r="F18" s="26" t="s">
        <v>176</v>
      </c>
      <c r="G18" s="28"/>
      <c r="H18" s="28"/>
      <c r="I18" s="28"/>
      <c r="J18" s="28"/>
      <c r="K18" s="28"/>
      <c r="L18" s="28"/>
      <c r="M18" s="28"/>
      <c r="N18" s="28"/>
      <c r="O18" s="28"/>
      <c r="P18" s="28"/>
      <c r="Q18" s="28"/>
      <c r="R18" s="28"/>
      <c r="S18" s="28"/>
      <c r="T18" s="28"/>
      <c r="U18" s="28"/>
      <c r="V18" s="28"/>
      <c r="W18" s="28"/>
      <c r="X18" s="28"/>
      <c r="Y18" s="28"/>
      <c r="Z18" s="28"/>
      <c r="AA18" s="28"/>
      <c r="AB18" s="28"/>
      <c r="AC18" s="28"/>
    </row>
    <row r="19" spans="2:29" x14ac:dyDescent="0.45">
      <c r="B19" s="25" t="s">
        <v>177</v>
      </c>
      <c r="C19" s="26" t="s">
        <v>175</v>
      </c>
      <c r="D19" s="48">
        <f>BudgetPrice*PlanVolume*BudgetUptime*MonthsHedged/1000</f>
        <v>226.98</v>
      </c>
      <c r="E19" s="28"/>
      <c r="F19" s="26" t="s">
        <v>178</v>
      </c>
      <c r="G19" s="28"/>
      <c r="H19" s="28"/>
      <c r="I19" s="28"/>
      <c r="J19" s="28"/>
      <c r="K19" s="28"/>
      <c r="L19" s="28"/>
      <c r="M19" s="28"/>
      <c r="N19" s="28"/>
      <c r="O19" s="28"/>
      <c r="P19" s="28"/>
      <c r="Q19" s="28"/>
      <c r="R19" s="28"/>
      <c r="S19" s="28"/>
      <c r="T19" s="28"/>
      <c r="U19" s="28"/>
      <c r="V19" s="28"/>
      <c r="W19" s="28"/>
      <c r="X19" s="28"/>
      <c r="Y19" s="28"/>
      <c r="Z19" s="28"/>
      <c r="AA19" s="28"/>
      <c r="AB19" s="28"/>
      <c r="AC19" s="28"/>
    </row>
    <row r="20" spans="2:29" ht="8" customHeight="1" x14ac:dyDescent="0.45"/>
    <row r="21" spans="2:29" ht="22.05" customHeight="1" x14ac:dyDescent="0.5">
      <c r="B21" s="7" t="s">
        <v>179</v>
      </c>
      <c r="C21" s="8"/>
      <c r="D21" s="8"/>
      <c r="E21" s="8"/>
      <c r="F21" s="8"/>
      <c r="G21" s="8"/>
      <c r="H21" s="8"/>
      <c r="I21" s="8"/>
      <c r="J21" s="8"/>
      <c r="K21" s="8"/>
      <c r="L21" s="8"/>
      <c r="M21" s="8"/>
      <c r="N21" s="8"/>
      <c r="O21" s="8"/>
      <c r="P21" s="8"/>
      <c r="Q21" s="8"/>
      <c r="R21" s="8"/>
      <c r="S21" s="8"/>
      <c r="T21" s="8"/>
      <c r="U21" s="8"/>
      <c r="V21" s="8"/>
      <c r="W21" s="8"/>
      <c r="X21" s="8"/>
      <c r="Y21" s="8"/>
      <c r="Z21" s="8"/>
      <c r="AA21" s="8"/>
      <c r="AB21" s="8"/>
      <c r="AC21" s="8"/>
    </row>
    <row r="22" spans="2:29" ht="18" customHeight="1" x14ac:dyDescent="0.45">
      <c r="B22" s="13" t="s">
        <v>180</v>
      </c>
    </row>
    <row r="23" spans="2:29" x14ac:dyDescent="0.45">
      <c r="B23" s="25" t="s">
        <v>181</v>
      </c>
      <c r="C23" s="26" t="s">
        <v>121</v>
      </c>
      <c r="D23" s="28"/>
      <c r="E23" s="28"/>
      <c r="F23" s="49">
        <f t="array" aca="1" ref="F23:AC23" ca="1">_xll.VoseTimeGBM(Mu_m,Sigma_m,PriceNow)</f>
        <v>79.12693537649433</v>
      </c>
      <c r="G23" s="49">
        <f ca="1"/>
        <v>75.856793535579598</v>
      </c>
      <c r="H23" s="49">
        <f ca="1"/>
        <v>68.018621768623703</v>
      </c>
      <c r="I23" s="49">
        <f ca="1"/>
        <v>66.811918862369964</v>
      </c>
      <c r="J23" s="49">
        <f ca="1"/>
        <v>62.134739670593852</v>
      </c>
      <c r="K23" s="49">
        <f ca="1"/>
        <v>55.065636006407644</v>
      </c>
      <c r="L23" s="49">
        <f ca="1"/>
        <v>54.011915210982608</v>
      </c>
      <c r="M23" s="49">
        <f ca="1"/>
        <v>49.511971111102184</v>
      </c>
      <c r="N23" s="49">
        <f ca="1"/>
        <v>48.437784108697613</v>
      </c>
      <c r="O23" s="49">
        <f ca="1"/>
        <v>51.07509038796541</v>
      </c>
      <c r="P23" s="49">
        <f ca="1"/>
        <v>50.524380171015288</v>
      </c>
      <c r="Q23" s="49">
        <f ca="1"/>
        <v>44.976106727523188</v>
      </c>
      <c r="R23" s="49">
        <f ca="1"/>
        <v>39.985214894904885</v>
      </c>
      <c r="S23" s="49">
        <f ca="1"/>
        <v>40.944688351997122</v>
      </c>
      <c r="T23" s="49">
        <f ca="1"/>
        <v>41.531452051613371</v>
      </c>
      <c r="U23" s="49">
        <f ca="1"/>
        <v>35.322564859132378</v>
      </c>
      <c r="V23" s="49">
        <f ca="1"/>
        <v>38.482382605919859</v>
      </c>
      <c r="W23" s="49">
        <f ca="1"/>
        <v>37.73415401772381</v>
      </c>
      <c r="X23" s="49">
        <f ca="1"/>
        <v>41.185022220704845</v>
      </c>
      <c r="Y23" s="49">
        <f ca="1"/>
        <v>45.369739761915717</v>
      </c>
      <c r="Z23" s="49">
        <f ca="1"/>
        <v>40.908525281805055</v>
      </c>
      <c r="AA23" s="49">
        <f ca="1"/>
        <v>44.904840511384791</v>
      </c>
      <c r="AB23" s="49">
        <f ca="1"/>
        <v>37.027036391770551</v>
      </c>
      <c r="AC23" s="49">
        <f ca="1"/>
        <v>38.182171362407452</v>
      </c>
    </row>
    <row r="24" spans="2:29" x14ac:dyDescent="0.45">
      <c r="B24" s="25" t="s">
        <v>182</v>
      </c>
      <c r="C24" s="26" t="s">
        <v>108</v>
      </c>
      <c r="D24" s="28"/>
      <c r="E24" s="28"/>
      <c r="F24" s="50" cm="1">
        <f t="array" aca="1" ref="F24" ca="1">_xll.VosePERT(Uptime_Lo,Uptime_ML,Uptime_Hi)</f>
        <v>0.96155380282918135</v>
      </c>
      <c r="G24" s="50" cm="1">
        <f t="array" aca="1" ref="G24" ca="1">_xll.VosePERT(Uptime_Lo,Uptime_ML,Uptime_Hi)</f>
        <v>0.96418831729634835</v>
      </c>
      <c r="H24" s="50" cm="1">
        <f t="array" aca="1" ref="H24" ca="1">_xll.VosePERT(Uptime_Lo,Uptime_ML,Uptime_Hi)</f>
        <v>0.95755175979207696</v>
      </c>
      <c r="I24" s="50" cm="1">
        <f t="array" aca="1" ref="I24" ca="1">_xll.VosePERT(Uptime_Lo,Uptime_ML,Uptime_Hi)</f>
        <v>0.9466496693430303</v>
      </c>
      <c r="J24" s="50" cm="1">
        <f t="array" aca="1" ref="J24" ca="1">_xll.VosePERT(Uptime_Lo,Uptime_ML,Uptime_Hi)</f>
        <v>0.95586439256588496</v>
      </c>
      <c r="K24" s="50" cm="1">
        <f t="array" aca="1" ref="K24" ca="1">_xll.VosePERT(Uptime_Lo,Uptime_ML,Uptime_Hi)</f>
        <v>0.93357842992075946</v>
      </c>
      <c r="L24" s="50" cm="1">
        <f t="array" aca="1" ref="L24" ca="1">_xll.VosePERT(Uptime_Lo,Uptime_ML,Uptime_Hi)</f>
        <v>0.95993678591131004</v>
      </c>
      <c r="M24" s="50" cm="1">
        <f t="array" aca="1" ref="M24" ca="1">_xll.VosePERT(Uptime_Lo,Uptime_ML,Uptime_Hi)</f>
        <v>0.93661543081168153</v>
      </c>
      <c r="N24" s="50" cm="1">
        <f t="array" aca="1" ref="N24" ca="1">_xll.VosePERT(Uptime_Lo,Uptime_ML,Uptime_Hi)</f>
        <v>0.94410441283688906</v>
      </c>
      <c r="O24" s="50" cm="1">
        <f t="array" aca="1" ref="O24" ca="1">_xll.VosePERT(Uptime_Lo,Uptime_ML,Uptime_Hi)</f>
        <v>0.94096702699828705</v>
      </c>
      <c r="P24" s="50" cm="1">
        <f t="array" aca="1" ref="P24" ca="1">_xll.VosePERT(Uptime_Lo,Uptime_ML,Uptime_Hi)</f>
        <v>0.9172151901311415</v>
      </c>
      <c r="Q24" s="50" cm="1">
        <f t="array" aca="1" ref="Q24" ca="1">_xll.VosePERT(Uptime_Lo,Uptime_ML,Uptime_Hi)</f>
        <v>0.96709747447433825</v>
      </c>
      <c r="R24" s="50" cm="1">
        <f t="array" aca="1" ref="R24" ca="1">_xll.VosePERT(Uptime_Lo,Uptime_ML,Uptime_Hi)</f>
        <v>0.99345247986301</v>
      </c>
      <c r="S24" s="50" cm="1">
        <f t="array" aca="1" ref="S24" ca="1">_xll.VosePERT(Uptime_Lo,Uptime_ML,Uptime_Hi)</f>
        <v>0.97902808807730624</v>
      </c>
      <c r="T24" s="50" cm="1">
        <f t="array" aca="1" ref="T24" ca="1">_xll.VosePERT(Uptime_Lo,Uptime_ML,Uptime_Hi)</f>
        <v>0.92603237512274905</v>
      </c>
      <c r="U24" s="50" cm="1">
        <f t="array" aca="1" ref="U24" ca="1">_xll.VosePERT(Uptime_Lo,Uptime_ML,Uptime_Hi)</f>
        <v>0.94098669151408987</v>
      </c>
      <c r="V24" s="50" cm="1">
        <f t="array" aca="1" ref="V24" ca="1">_xll.VosePERT(Uptime_Lo,Uptime_ML,Uptime_Hi)</f>
        <v>0.98344453647810015</v>
      </c>
      <c r="W24" s="50" cm="1">
        <f t="array" aca="1" ref="W24" ca="1">_xll.VosePERT(Uptime_Lo,Uptime_ML,Uptime_Hi)</f>
        <v>0.97839756398083633</v>
      </c>
      <c r="X24" s="50" cm="1">
        <f t="array" aca="1" ref="X24" ca="1">_xll.VosePERT(Uptime_Lo,Uptime_ML,Uptime_Hi)</f>
        <v>0.94720135213582868</v>
      </c>
      <c r="Y24" s="50" cm="1">
        <f t="array" aca="1" ref="Y24" ca="1">_xll.VosePERT(Uptime_Lo,Uptime_ML,Uptime_Hi)</f>
        <v>0.9029713499951556</v>
      </c>
      <c r="Z24" s="50" cm="1">
        <f t="array" aca="1" ref="Z24" ca="1">_xll.VosePERT(Uptime_Lo,Uptime_ML,Uptime_Hi)</f>
        <v>0.92666754581475153</v>
      </c>
      <c r="AA24" s="50" cm="1">
        <f t="array" aca="1" ref="AA24" ca="1">_xll.VosePERT(Uptime_Lo,Uptime_ML,Uptime_Hi)</f>
        <v>0.96305883582620444</v>
      </c>
      <c r="AB24" s="50" cm="1">
        <f t="array" aca="1" ref="AB24" ca="1">_xll.VosePERT(Uptime_Lo,Uptime_ML,Uptime_Hi)</f>
        <v>0.98239265852654345</v>
      </c>
      <c r="AC24" s="50" cm="1">
        <f t="array" aca="1" ref="AC24" ca="1">_xll.VosePERT(Uptime_Lo,Uptime_ML,Uptime_Hi)</f>
        <v>0.90360284067344998</v>
      </c>
    </row>
    <row r="25" spans="2:29" x14ac:dyDescent="0.45">
      <c r="B25" s="25" t="s">
        <v>183</v>
      </c>
      <c r="C25" s="26" t="s">
        <v>165</v>
      </c>
      <c r="D25" s="28"/>
      <c r="E25" s="28"/>
      <c r="F25" s="44">
        <f t="shared" ref="F25:AC25" ca="1" si="1">IF(AND(Outage=1,F$6&gt;=OutageStart,F$6&lt;OutageStart+OutageMonths),1,0)</f>
        <v>0</v>
      </c>
      <c r="G25" s="44">
        <f t="shared" ca="1" si="1"/>
        <v>0</v>
      </c>
      <c r="H25" s="44">
        <f t="shared" ca="1" si="1"/>
        <v>0</v>
      </c>
      <c r="I25" s="44">
        <f t="shared" ca="1" si="1"/>
        <v>0</v>
      </c>
      <c r="J25" s="44">
        <f t="shared" ca="1" si="1"/>
        <v>0</v>
      </c>
      <c r="K25" s="44">
        <f t="shared" ca="1" si="1"/>
        <v>0</v>
      </c>
      <c r="L25" s="44">
        <f t="shared" ca="1" si="1"/>
        <v>0</v>
      </c>
      <c r="M25" s="44">
        <f t="shared" ca="1" si="1"/>
        <v>0</v>
      </c>
      <c r="N25" s="44">
        <f t="shared" ca="1" si="1"/>
        <v>0</v>
      </c>
      <c r="O25" s="44">
        <f t="shared" ca="1" si="1"/>
        <v>0</v>
      </c>
      <c r="P25" s="44">
        <f t="shared" ca="1" si="1"/>
        <v>0</v>
      </c>
      <c r="Q25" s="44">
        <f t="shared" ca="1" si="1"/>
        <v>0</v>
      </c>
      <c r="R25" s="44">
        <f t="shared" ca="1" si="1"/>
        <v>0</v>
      </c>
      <c r="S25" s="44">
        <f t="shared" ca="1" si="1"/>
        <v>0</v>
      </c>
      <c r="T25" s="44">
        <f t="shared" ca="1" si="1"/>
        <v>0</v>
      </c>
      <c r="U25" s="44">
        <f t="shared" ca="1" si="1"/>
        <v>0</v>
      </c>
      <c r="V25" s="44">
        <f t="shared" ca="1" si="1"/>
        <v>0</v>
      </c>
      <c r="W25" s="44">
        <f t="shared" ca="1" si="1"/>
        <v>0</v>
      </c>
      <c r="X25" s="44">
        <f t="shared" ca="1" si="1"/>
        <v>0</v>
      </c>
      <c r="Y25" s="44">
        <f t="shared" ca="1" si="1"/>
        <v>0</v>
      </c>
      <c r="Z25" s="44">
        <f t="shared" ca="1" si="1"/>
        <v>0</v>
      </c>
      <c r="AA25" s="44">
        <f t="shared" ca="1" si="1"/>
        <v>0</v>
      </c>
      <c r="AB25" s="44">
        <f t="shared" ca="1" si="1"/>
        <v>0</v>
      </c>
      <c r="AC25" s="44">
        <f t="shared" ca="1" si="1"/>
        <v>0</v>
      </c>
    </row>
    <row r="26" spans="2:29" x14ac:dyDescent="0.45">
      <c r="B26" s="25" t="s">
        <v>69</v>
      </c>
      <c r="C26" s="26" t="s">
        <v>184</v>
      </c>
      <c r="D26" s="51">
        <f ca="1">SUM(F26:AC26)</f>
        <v>3421.8838516378441</v>
      </c>
      <c r="E26" s="28"/>
      <c r="F26" s="48">
        <f t="shared" ref="F26:AC26" ca="1" si="2">PlanVolume*F24*(1-F25)</f>
        <v>144.23307042437719</v>
      </c>
      <c r="G26" s="48">
        <f t="shared" ca="1" si="2"/>
        <v>144.62824759445226</v>
      </c>
      <c r="H26" s="48">
        <f t="shared" ca="1" si="2"/>
        <v>143.63276396881153</v>
      </c>
      <c r="I26" s="48">
        <f t="shared" ca="1" si="2"/>
        <v>141.99745040145456</v>
      </c>
      <c r="J26" s="48">
        <f t="shared" ca="1" si="2"/>
        <v>143.37965888488273</v>
      </c>
      <c r="K26" s="48">
        <f t="shared" ca="1" si="2"/>
        <v>140.03676448811393</v>
      </c>
      <c r="L26" s="48">
        <f t="shared" ca="1" si="2"/>
        <v>143.99051788669649</v>
      </c>
      <c r="M26" s="48">
        <f t="shared" ca="1" si="2"/>
        <v>140.49231462175223</v>
      </c>
      <c r="N26" s="48">
        <f t="shared" ca="1" si="2"/>
        <v>141.61566192553335</v>
      </c>
      <c r="O26" s="48">
        <f t="shared" ca="1" si="2"/>
        <v>141.14505404974307</v>
      </c>
      <c r="P26" s="48">
        <f t="shared" ca="1" si="2"/>
        <v>137.58227851967123</v>
      </c>
      <c r="Q26" s="48">
        <f t="shared" ca="1" si="2"/>
        <v>145.06462117115075</v>
      </c>
      <c r="R26" s="48">
        <f t="shared" ca="1" si="2"/>
        <v>149.01787197945151</v>
      </c>
      <c r="S26" s="48">
        <f t="shared" ca="1" si="2"/>
        <v>146.85421321159595</v>
      </c>
      <c r="T26" s="48">
        <f t="shared" ca="1" si="2"/>
        <v>138.90485626841235</v>
      </c>
      <c r="U26" s="48">
        <f t="shared" ca="1" si="2"/>
        <v>141.14800372711349</v>
      </c>
      <c r="V26" s="48">
        <f t="shared" ca="1" si="2"/>
        <v>147.51668047171503</v>
      </c>
      <c r="W26" s="48">
        <f t="shared" ca="1" si="2"/>
        <v>146.75963459712546</v>
      </c>
      <c r="X26" s="48">
        <f t="shared" ca="1" si="2"/>
        <v>142.0802028203743</v>
      </c>
      <c r="Y26" s="48">
        <f t="shared" ca="1" si="2"/>
        <v>135.44570249927335</v>
      </c>
      <c r="Z26" s="48">
        <f t="shared" ca="1" si="2"/>
        <v>139.00013187221273</v>
      </c>
      <c r="AA26" s="48">
        <f t="shared" ca="1" si="2"/>
        <v>144.45882537393067</v>
      </c>
      <c r="AB26" s="48">
        <f t="shared" ca="1" si="2"/>
        <v>147.35889877898151</v>
      </c>
      <c r="AC26" s="48">
        <f t="shared" ca="1" si="2"/>
        <v>135.54042610101749</v>
      </c>
    </row>
    <row r="27" spans="2:29" x14ac:dyDescent="0.45">
      <c r="B27" s="52" t="s">
        <v>185</v>
      </c>
      <c r="C27" s="26" t="s">
        <v>175</v>
      </c>
      <c r="D27" s="53">
        <f ca="1">SUM(F27:AC27)</f>
        <v>169.28023367432641</v>
      </c>
      <c r="E27" s="28"/>
      <c r="F27" s="53">
        <f t="shared" ref="F27:AC27" ca="1" si="3">F26*F23/1000</f>
        <v>11.412720842623051</v>
      </c>
      <c r="G27" s="53">
        <f t="shared" ca="1" si="3"/>
        <v>10.971035117185053</v>
      </c>
      <c r="H27" s="53">
        <f t="shared" ca="1" si="3"/>
        <v>9.7697026459765954</v>
      </c>
      <c r="I27" s="53">
        <f t="shared" ca="1" si="3"/>
        <v>9.4871221348853858</v>
      </c>
      <c r="J27" s="53">
        <f t="shared" ca="1" si="3"/>
        <v>8.9088577788707379</v>
      </c>
      <c r="K27" s="53">
        <f t="shared" ca="1" si="3"/>
        <v>7.7112135008175136</v>
      </c>
      <c r="L27" s="53">
        <f t="shared" ca="1" si="3"/>
        <v>7.7772036432817258</v>
      </c>
      <c r="M27" s="53">
        <f t="shared" ca="1" si="3"/>
        <v>6.9560514228840757</v>
      </c>
      <c r="N27" s="53">
        <f t="shared" ca="1" si="3"/>
        <v>6.8595488587592923</v>
      </c>
      <c r="O27" s="53">
        <f t="shared" ca="1" si="3"/>
        <v>7.20899639340489</v>
      </c>
      <c r="P27" s="53">
        <f t="shared" ca="1" si="3"/>
        <v>6.9512593447223798</v>
      </c>
      <c r="Q27" s="53">
        <f t="shared" ca="1" si="3"/>
        <v>6.524441884181396</v>
      </c>
      <c r="R27" s="53">
        <f t="shared" ca="1" si="3"/>
        <v>5.9585116342797937</v>
      </c>
      <c r="S27" s="53">
        <f t="shared" ca="1" si="3"/>
        <v>6.0128999931265348</v>
      </c>
      <c r="T27" s="53">
        <f t="shared" ca="1" si="3"/>
        <v>5.768920377847814</v>
      </c>
      <c r="U27" s="53">
        <f t="shared" ca="1" si="3"/>
        <v>4.9857095163880247</v>
      </c>
      <c r="V27" s="53">
        <f t="shared" ca="1" si="3"/>
        <v>5.676793338667764</v>
      </c>
      <c r="W27" s="53">
        <f t="shared" ca="1" si="3"/>
        <v>5.5378506554728002</v>
      </c>
      <c r="X27" s="53">
        <f t="shared" ca="1" si="3"/>
        <v>5.8515763102793663</v>
      </c>
      <c r="Y27" s="53">
        <f t="shared" ca="1" si="3"/>
        <v>6.1451362742618896</v>
      </c>
      <c r="Z27" s="53">
        <f t="shared" ca="1" si="3"/>
        <v>5.6862904088686506</v>
      </c>
      <c r="AA27" s="53">
        <f t="shared" ca="1" si="3"/>
        <v>6.4869005138783429</v>
      </c>
      <c r="AB27" s="53">
        <f t="shared" ca="1" si="3"/>
        <v>5.4562633077405813</v>
      </c>
      <c r="AC27" s="53">
        <f t="shared" ca="1" si="3"/>
        <v>5.1752277759227736</v>
      </c>
    </row>
    <row r="28" spans="2:29" ht="8" customHeight="1" x14ac:dyDescent="0.45"/>
    <row r="29" spans="2:29" ht="22.05" customHeight="1" x14ac:dyDescent="0.5">
      <c r="B29" s="7" t="s">
        <v>186</v>
      </c>
      <c r="C29" s="8"/>
      <c r="D29" s="8"/>
      <c r="E29" s="8"/>
      <c r="F29" s="8"/>
      <c r="G29" s="8"/>
      <c r="H29" s="8"/>
      <c r="I29" s="8"/>
      <c r="J29" s="8"/>
      <c r="K29" s="8"/>
      <c r="L29" s="8"/>
      <c r="M29" s="8"/>
      <c r="N29" s="8"/>
      <c r="O29" s="8"/>
      <c r="P29" s="8"/>
      <c r="Q29" s="8"/>
      <c r="R29" s="8"/>
      <c r="S29" s="8"/>
      <c r="T29" s="8"/>
      <c r="U29" s="8"/>
      <c r="V29" s="8"/>
      <c r="W29" s="8"/>
      <c r="X29" s="8"/>
      <c r="Y29" s="8"/>
      <c r="Z29" s="8"/>
      <c r="AA29" s="8"/>
      <c r="AB29" s="8"/>
      <c r="AC29" s="8"/>
    </row>
    <row r="30" spans="2:29" ht="18" customHeight="1" x14ac:dyDescent="0.45">
      <c r="B30" s="13" t="s">
        <v>187</v>
      </c>
    </row>
    <row r="31" spans="2:29" x14ac:dyDescent="0.45">
      <c r="B31" s="25" t="s">
        <v>188</v>
      </c>
      <c r="C31" s="26" t="s">
        <v>184</v>
      </c>
      <c r="D31" s="51">
        <f>SUM(F31:AC31)</f>
        <v>2160</v>
      </c>
      <c r="E31" s="28"/>
      <c r="F31" s="48">
        <f t="shared" ref="F31:AC31" si="4">HedgeRatio*PlanVolume</f>
        <v>90</v>
      </c>
      <c r="G31" s="48">
        <f t="shared" si="4"/>
        <v>90</v>
      </c>
      <c r="H31" s="48">
        <f t="shared" si="4"/>
        <v>90</v>
      </c>
      <c r="I31" s="48">
        <f t="shared" si="4"/>
        <v>90</v>
      </c>
      <c r="J31" s="48">
        <f t="shared" si="4"/>
        <v>90</v>
      </c>
      <c r="K31" s="48">
        <f t="shared" si="4"/>
        <v>90</v>
      </c>
      <c r="L31" s="48">
        <f t="shared" si="4"/>
        <v>90</v>
      </c>
      <c r="M31" s="48">
        <f t="shared" si="4"/>
        <v>90</v>
      </c>
      <c r="N31" s="48">
        <f t="shared" si="4"/>
        <v>90</v>
      </c>
      <c r="O31" s="48">
        <f t="shared" si="4"/>
        <v>90</v>
      </c>
      <c r="P31" s="48">
        <f t="shared" si="4"/>
        <v>90</v>
      </c>
      <c r="Q31" s="48">
        <f t="shared" si="4"/>
        <v>90</v>
      </c>
      <c r="R31" s="48">
        <f t="shared" si="4"/>
        <v>90</v>
      </c>
      <c r="S31" s="48">
        <f t="shared" si="4"/>
        <v>90</v>
      </c>
      <c r="T31" s="48">
        <f t="shared" si="4"/>
        <v>90</v>
      </c>
      <c r="U31" s="48">
        <f t="shared" si="4"/>
        <v>90</v>
      </c>
      <c r="V31" s="48">
        <f t="shared" si="4"/>
        <v>90</v>
      </c>
      <c r="W31" s="48">
        <f t="shared" si="4"/>
        <v>90</v>
      </c>
      <c r="X31" s="48">
        <f t="shared" si="4"/>
        <v>90</v>
      </c>
      <c r="Y31" s="48">
        <f t="shared" si="4"/>
        <v>90</v>
      </c>
      <c r="Z31" s="48">
        <f t="shared" si="4"/>
        <v>90</v>
      </c>
      <c r="AA31" s="48">
        <f t="shared" si="4"/>
        <v>90</v>
      </c>
      <c r="AB31" s="48">
        <f t="shared" si="4"/>
        <v>90</v>
      </c>
      <c r="AC31" s="48">
        <f t="shared" si="4"/>
        <v>90</v>
      </c>
    </row>
    <row r="32" spans="2:29" x14ac:dyDescent="0.45">
      <c r="B32" s="25" t="s">
        <v>189</v>
      </c>
      <c r="C32" s="26" t="s">
        <v>175</v>
      </c>
      <c r="D32" s="53">
        <f ca="1">SUM(F32:AC32)</f>
        <v>48.678328327622829</v>
      </c>
      <c r="E32" s="28"/>
      <c r="F32" s="54">
        <f t="shared" ref="F32:AC32" ca="1" si="5">(SwapPrice-F23)*F31/1000</f>
        <v>-0.64142418388448974</v>
      </c>
      <c r="G32" s="54">
        <f t="shared" ca="1" si="5"/>
        <v>-0.34711141820216379</v>
      </c>
      <c r="H32" s="54">
        <f t="shared" ca="1" si="5"/>
        <v>0.35832404082386676</v>
      </c>
      <c r="I32" s="54">
        <f t="shared" ca="1" si="5"/>
        <v>0.46692730238670321</v>
      </c>
      <c r="J32" s="54">
        <f t="shared" ca="1" si="5"/>
        <v>0.88787342964655325</v>
      </c>
      <c r="K32" s="54">
        <f t="shared" ca="1" si="5"/>
        <v>1.5240927594233122</v>
      </c>
      <c r="L32" s="54">
        <f t="shared" ca="1" si="5"/>
        <v>1.6189276310115654</v>
      </c>
      <c r="M32" s="54">
        <f t="shared" ca="1" si="5"/>
        <v>2.0239226000008035</v>
      </c>
      <c r="N32" s="54">
        <f t="shared" ca="1" si="5"/>
        <v>2.1205994302172146</v>
      </c>
      <c r="O32" s="54">
        <f t="shared" ca="1" si="5"/>
        <v>1.8832418650831131</v>
      </c>
      <c r="P32" s="54">
        <f t="shared" ca="1" si="5"/>
        <v>1.932805784608624</v>
      </c>
      <c r="Q32" s="54">
        <f t="shared" ca="1" si="5"/>
        <v>2.4321503945229135</v>
      </c>
      <c r="R32" s="54">
        <f t="shared" ca="1" si="5"/>
        <v>2.8813306594585599</v>
      </c>
      <c r="S32" s="54">
        <f t="shared" ca="1" si="5"/>
        <v>2.7949780483202589</v>
      </c>
      <c r="T32" s="54">
        <f t="shared" ca="1" si="5"/>
        <v>2.7421693153547966</v>
      </c>
      <c r="U32" s="54">
        <f t="shared" ca="1" si="5"/>
        <v>3.3009691626780859</v>
      </c>
      <c r="V32" s="54">
        <f t="shared" ca="1" si="5"/>
        <v>3.0165855654672127</v>
      </c>
      <c r="W32" s="54">
        <f t="shared" ca="1" si="5"/>
        <v>3.0839261384048573</v>
      </c>
      <c r="X32" s="54">
        <f t="shared" ca="1" si="5"/>
        <v>2.7733480001365636</v>
      </c>
      <c r="Y32" s="54">
        <f t="shared" ca="1" si="5"/>
        <v>2.3967234214275854</v>
      </c>
      <c r="Z32" s="54">
        <f t="shared" ca="1" si="5"/>
        <v>2.7982327246375451</v>
      </c>
      <c r="AA32" s="54">
        <f t="shared" ca="1" si="5"/>
        <v>2.4385643539753685</v>
      </c>
      <c r="AB32" s="54">
        <f t="shared" ca="1" si="5"/>
        <v>3.1475667247406505</v>
      </c>
      <c r="AC32" s="54">
        <f t="shared" ca="1" si="5"/>
        <v>3.0436045773833293</v>
      </c>
    </row>
    <row r="33" spans="2:29" x14ac:dyDescent="0.45">
      <c r="B33" s="25" t="s">
        <v>190</v>
      </c>
      <c r="C33" s="26" t="s">
        <v>175</v>
      </c>
      <c r="D33" s="53">
        <f ca="1">SUM(F33:AC33)</f>
        <v>30.853739156852356</v>
      </c>
      <c r="E33" s="28"/>
      <c r="F33" s="54">
        <f t="shared" ref="F33:AC33" ca="1" si="6">(MAX(PutStrike-F23,0)-MAX(F23-CallStrike,0))*F31/1000</f>
        <v>0</v>
      </c>
      <c r="G33" s="54">
        <f t="shared" ca="1" si="6"/>
        <v>0</v>
      </c>
      <c r="H33" s="54">
        <f t="shared" ca="1" si="6"/>
        <v>0</v>
      </c>
      <c r="I33" s="54">
        <f t="shared" ca="1" si="6"/>
        <v>0</v>
      </c>
      <c r="J33" s="54">
        <f t="shared" ca="1" si="6"/>
        <v>0</v>
      </c>
      <c r="K33" s="54">
        <f t="shared" ca="1" si="6"/>
        <v>0.62409275942331199</v>
      </c>
      <c r="L33" s="54">
        <f t="shared" ca="1" si="6"/>
        <v>0.71892763101156543</v>
      </c>
      <c r="M33" s="54">
        <f t="shared" ca="1" si="6"/>
        <v>1.1239226000008034</v>
      </c>
      <c r="N33" s="54">
        <f t="shared" ca="1" si="6"/>
        <v>1.2205994302172147</v>
      </c>
      <c r="O33" s="54">
        <f t="shared" ca="1" si="6"/>
        <v>0.98324186508311306</v>
      </c>
      <c r="P33" s="54">
        <f t="shared" ca="1" si="6"/>
        <v>1.032805784608624</v>
      </c>
      <c r="Q33" s="54">
        <f t="shared" ca="1" si="6"/>
        <v>1.5321503945229131</v>
      </c>
      <c r="R33" s="54">
        <f t="shared" ca="1" si="6"/>
        <v>1.9813306594585605</v>
      </c>
      <c r="S33" s="54">
        <f t="shared" ca="1" si="6"/>
        <v>1.894978048320259</v>
      </c>
      <c r="T33" s="54">
        <f t="shared" ca="1" si="6"/>
        <v>1.8421693153547967</v>
      </c>
      <c r="U33" s="54">
        <f t="shared" ca="1" si="6"/>
        <v>2.400969162678086</v>
      </c>
      <c r="V33" s="54">
        <f t="shared" ca="1" si="6"/>
        <v>2.1165855654672128</v>
      </c>
      <c r="W33" s="54">
        <f t="shared" ca="1" si="6"/>
        <v>2.1839261384048574</v>
      </c>
      <c r="X33" s="54">
        <f t="shared" ca="1" si="6"/>
        <v>1.8733480001365641</v>
      </c>
      <c r="Y33" s="54">
        <f t="shared" ca="1" si="6"/>
        <v>1.4967234214275855</v>
      </c>
      <c r="Z33" s="54">
        <f t="shared" ca="1" si="6"/>
        <v>1.898232724637545</v>
      </c>
      <c r="AA33" s="54">
        <f t="shared" ca="1" si="6"/>
        <v>1.5385643539753688</v>
      </c>
      <c r="AB33" s="54">
        <f t="shared" ca="1" si="6"/>
        <v>2.2475667247406506</v>
      </c>
      <c r="AC33" s="54">
        <f t="shared" ca="1" si="6"/>
        <v>2.1436045773833294</v>
      </c>
    </row>
    <row r="34" spans="2:29" x14ac:dyDescent="0.45">
      <c r="B34" s="25" t="s">
        <v>191</v>
      </c>
      <c r="C34" s="26" t="s">
        <v>175</v>
      </c>
      <c r="D34" s="53">
        <f ca="1">SUM(F34:AC34)</f>
        <v>21.67373915685236</v>
      </c>
      <c r="E34" s="28"/>
      <c r="F34" s="54">
        <f t="shared" ref="F34:AC34" ca="1" si="7">(MAX(PutStrike-F23,0)-PutPremium)*F31/1000</f>
        <v>-0.38250000000000001</v>
      </c>
      <c r="G34" s="54">
        <f t="shared" ca="1" si="7"/>
        <v>-0.38250000000000001</v>
      </c>
      <c r="H34" s="54">
        <f t="shared" ca="1" si="7"/>
        <v>-0.38250000000000001</v>
      </c>
      <c r="I34" s="54">
        <f t="shared" ca="1" si="7"/>
        <v>-0.38250000000000001</v>
      </c>
      <c r="J34" s="54">
        <f t="shared" ca="1" si="7"/>
        <v>-0.38250000000000001</v>
      </c>
      <c r="K34" s="54">
        <f t="shared" ca="1" si="7"/>
        <v>0.24159275942331207</v>
      </c>
      <c r="L34" s="54">
        <f t="shared" ca="1" si="7"/>
        <v>0.33642763101156531</v>
      </c>
      <c r="M34" s="54">
        <f t="shared" ca="1" si="7"/>
        <v>0.7414226000008034</v>
      </c>
      <c r="N34" s="54">
        <f t="shared" ca="1" si="7"/>
        <v>0.83809943021721478</v>
      </c>
      <c r="O34" s="54">
        <f t="shared" ca="1" si="7"/>
        <v>0.60074186508311311</v>
      </c>
      <c r="P34" s="54">
        <f t="shared" ca="1" si="7"/>
        <v>0.65030578460862409</v>
      </c>
      <c r="Q34" s="54">
        <f t="shared" ca="1" si="7"/>
        <v>1.1496503945229131</v>
      </c>
      <c r="R34" s="54">
        <f t="shared" ca="1" si="7"/>
        <v>1.5988306594585604</v>
      </c>
      <c r="S34" s="54">
        <f t="shared" ca="1" si="7"/>
        <v>1.5124780483202589</v>
      </c>
      <c r="T34" s="54">
        <f t="shared" ca="1" si="7"/>
        <v>1.4596693153547966</v>
      </c>
      <c r="U34" s="54">
        <f t="shared" ca="1" si="7"/>
        <v>2.0184691626780857</v>
      </c>
      <c r="V34" s="54">
        <f t="shared" ca="1" si="7"/>
        <v>1.7340855654672127</v>
      </c>
      <c r="W34" s="54">
        <f t="shared" ca="1" si="7"/>
        <v>1.8014261384048571</v>
      </c>
      <c r="X34" s="54">
        <f t="shared" ca="1" si="7"/>
        <v>1.490848000136564</v>
      </c>
      <c r="Y34" s="54">
        <f t="shared" ca="1" si="7"/>
        <v>1.1142234214275855</v>
      </c>
      <c r="Z34" s="54">
        <f t="shared" ca="1" si="7"/>
        <v>1.5157327246375452</v>
      </c>
      <c r="AA34" s="54">
        <f t="shared" ca="1" si="7"/>
        <v>1.156064353975369</v>
      </c>
      <c r="AB34" s="54">
        <f t="shared" ca="1" si="7"/>
        <v>1.8650667247406505</v>
      </c>
      <c r="AC34" s="54">
        <f t="shared" ca="1" si="7"/>
        <v>1.7611045773833294</v>
      </c>
    </row>
    <row r="35" spans="2:29" ht="8" customHeight="1" x14ac:dyDescent="0.45"/>
    <row r="36" spans="2:29" ht="22.05" customHeight="1" x14ac:dyDescent="0.5">
      <c r="B36" s="7" t="s">
        <v>192</v>
      </c>
      <c r="C36" s="8"/>
      <c r="D36" s="8"/>
      <c r="E36" s="8"/>
      <c r="F36" s="8"/>
      <c r="G36" s="8"/>
      <c r="H36" s="8"/>
      <c r="I36" s="8"/>
      <c r="J36" s="8"/>
      <c r="K36" s="8"/>
      <c r="L36" s="8"/>
      <c r="M36" s="8"/>
      <c r="N36" s="8"/>
      <c r="O36" s="8"/>
      <c r="P36" s="8"/>
      <c r="Q36" s="8"/>
      <c r="R36" s="8"/>
      <c r="S36" s="8"/>
      <c r="T36" s="8"/>
      <c r="U36" s="8"/>
      <c r="V36" s="8"/>
      <c r="W36" s="8"/>
      <c r="X36" s="8"/>
      <c r="Y36" s="8"/>
      <c r="Z36" s="8"/>
      <c r="AA36" s="8"/>
      <c r="AB36" s="8"/>
      <c r="AC36" s="8"/>
    </row>
    <row r="37" spans="2:29" ht="18" customHeight="1" x14ac:dyDescent="0.45">
      <c r="B37" s="13" t="s">
        <v>193</v>
      </c>
    </row>
    <row r="38" spans="2:29" ht="18" customHeight="1" x14ac:dyDescent="0.45">
      <c r="B38" s="40" t="s">
        <v>194</v>
      </c>
      <c r="C38" s="40" t="s">
        <v>95</v>
      </c>
      <c r="D38" s="42" t="s">
        <v>157</v>
      </c>
      <c r="E38" s="5"/>
      <c r="F38" s="40" t="s">
        <v>195</v>
      </c>
      <c r="G38" s="5"/>
      <c r="H38" s="5"/>
      <c r="I38" s="5"/>
      <c r="J38" s="5"/>
      <c r="K38" s="5"/>
      <c r="L38" s="5"/>
      <c r="M38" s="5"/>
      <c r="N38" s="5"/>
      <c r="O38" s="5"/>
      <c r="P38" s="5"/>
      <c r="Q38" s="5"/>
      <c r="R38" s="5"/>
      <c r="S38" s="5"/>
      <c r="T38" s="5"/>
      <c r="U38" s="5"/>
      <c r="V38" s="5"/>
      <c r="W38" s="5"/>
      <c r="X38" s="5"/>
      <c r="Y38" s="5"/>
      <c r="Z38" s="5"/>
      <c r="AA38" s="5"/>
      <c r="AB38" s="5"/>
      <c r="AC38" s="5"/>
    </row>
    <row r="39" spans="2:29" x14ac:dyDescent="0.45">
      <c r="B39" s="25" t="s">
        <v>196</v>
      </c>
      <c r="C39" s="26" t="s">
        <v>175</v>
      </c>
      <c r="D39" s="55" cm="1">
        <f t="array" aca="1" ref="D39" ca="1">_xll.VoseOutput("Revenue Unhedged","US$m")+D27</f>
        <v>169.28023367432641</v>
      </c>
      <c r="E39" s="28"/>
      <c r="F39" s="26" t="s">
        <v>197</v>
      </c>
      <c r="G39" s="28"/>
      <c r="H39" s="28"/>
      <c r="I39" s="28"/>
      <c r="J39" s="28"/>
      <c r="K39" s="28"/>
      <c r="L39" s="28"/>
      <c r="M39" s="28"/>
      <c r="N39" s="28"/>
      <c r="O39" s="28"/>
      <c r="P39" s="28"/>
      <c r="Q39" s="28"/>
      <c r="R39" s="28"/>
      <c r="S39" s="28"/>
      <c r="T39" s="28"/>
      <c r="U39" s="28"/>
      <c r="V39" s="28"/>
      <c r="W39" s="28"/>
      <c r="X39" s="28"/>
      <c r="Y39" s="28"/>
      <c r="Z39" s="28"/>
      <c r="AA39" s="28"/>
      <c r="AB39" s="28"/>
      <c r="AC39" s="28"/>
    </row>
    <row r="40" spans="2:29" x14ac:dyDescent="0.45">
      <c r="B40" s="25" t="s">
        <v>198</v>
      </c>
      <c r="C40" s="26" t="s">
        <v>175</v>
      </c>
      <c r="D40" s="55" cm="1">
        <f t="array" aca="1" ref="D40" ca="1">_xll.VoseOutput("Revenue Swap","US$m")+D27+D32</f>
        <v>217.95856200194925</v>
      </c>
      <c r="E40" s="28"/>
      <c r="F40" s="26"/>
      <c r="G40" s="28"/>
      <c r="H40" s="28"/>
      <c r="I40" s="28"/>
      <c r="J40" s="28"/>
      <c r="K40" s="28"/>
      <c r="L40" s="28"/>
      <c r="M40" s="28"/>
      <c r="N40" s="28"/>
      <c r="O40" s="28"/>
      <c r="P40" s="28"/>
      <c r="Q40" s="28"/>
      <c r="R40" s="28"/>
      <c r="S40" s="28"/>
      <c r="T40" s="28"/>
      <c r="U40" s="28"/>
      <c r="V40" s="28"/>
      <c r="W40" s="28"/>
      <c r="X40" s="28"/>
      <c r="Y40" s="28"/>
      <c r="Z40" s="28"/>
      <c r="AA40" s="28"/>
      <c r="AB40" s="28"/>
      <c r="AC40" s="28"/>
    </row>
    <row r="41" spans="2:29" x14ac:dyDescent="0.45">
      <c r="B41" s="25" t="s">
        <v>199</v>
      </c>
      <c r="C41" s="26" t="s">
        <v>175</v>
      </c>
      <c r="D41" s="55" cm="1">
        <f t="array" aca="1" ref="D41" ca="1">_xll.VoseOutput("Revenue Costless collar","US$m")+D27+D33</f>
        <v>200.13397283117877</v>
      </c>
      <c r="E41" s="28"/>
      <c r="F41" s="26"/>
      <c r="G41" s="28"/>
      <c r="H41" s="28"/>
      <c r="I41" s="28"/>
      <c r="J41" s="28"/>
      <c r="K41" s="28"/>
      <c r="L41" s="28"/>
      <c r="M41" s="28"/>
      <c r="N41" s="28"/>
      <c r="O41" s="28"/>
      <c r="P41" s="28"/>
      <c r="Q41" s="28"/>
      <c r="R41" s="28"/>
      <c r="S41" s="28"/>
      <c r="T41" s="28"/>
      <c r="U41" s="28"/>
      <c r="V41" s="28"/>
      <c r="W41" s="28"/>
      <c r="X41" s="28"/>
      <c r="Y41" s="28"/>
      <c r="Z41" s="28"/>
      <c r="AA41" s="28"/>
      <c r="AB41" s="28"/>
      <c r="AC41" s="28"/>
    </row>
    <row r="42" spans="2:29" x14ac:dyDescent="0.45">
      <c r="B42" s="25" t="s">
        <v>200</v>
      </c>
      <c r="C42" s="26" t="s">
        <v>175</v>
      </c>
      <c r="D42" s="55" cm="1">
        <f t="array" aca="1" ref="D42" ca="1">_xll.VoseOutput("Revenue Bought puts","US$m")+D27+D34</f>
        <v>190.95397283117876</v>
      </c>
      <c r="E42" s="28"/>
      <c r="F42" s="26"/>
      <c r="G42" s="28"/>
      <c r="H42" s="28"/>
      <c r="I42" s="28"/>
      <c r="J42" s="28"/>
      <c r="K42" s="28"/>
      <c r="L42" s="28"/>
      <c r="M42" s="28"/>
      <c r="N42" s="28"/>
      <c r="O42" s="28"/>
      <c r="P42" s="28"/>
      <c r="Q42" s="28"/>
      <c r="R42" s="28"/>
      <c r="S42" s="28"/>
      <c r="T42" s="28"/>
      <c r="U42" s="28"/>
      <c r="V42" s="28"/>
      <c r="W42" s="28"/>
      <c r="X42" s="28"/>
      <c r="Y42" s="28"/>
      <c r="Z42" s="28"/>
      <c r="AA42" s="28"/>
      <c r="AB42" s="28"/>
      <c r="AC42" s="28"/>
    </row>
    <row r="43" spans="2:29" x14ac:dyDescent="0.45">
      <c r="B43" s="25" t="s">
        <v>201</v>
      </c>
      <c r="C43" s="26" t="s">
        <v>175</v>
      </c>
      <c r="D43" s="55" cm="1">
        <f t="array" aca="1" ref="D43" ca="1">_xll.VoseOutput("Shortfall Unhedged","US$m")+PlanRevenue-Rev_U</f>
        <v>89.919766325673578</v>
      </c>
      <c r="E43" s="28"/>
      <c r="F43" s="26" t="s">
        <v>202</v>
      </c>
      <c r="G43" s="28"/>
      <c r="H43" s="28"/>
      <c r="I43" s="28"/>
      <c r="J43" s="28"/>
      <c r="K43" s="28"/>
      <c r="L43" s="28"/>
      <c r="M43" s="28"/>
      <c r="N43" s="28"/>
      <c r="O43" s="28"/>
      <c r="P43" s="28"/>
      <c r="Q43" s="28"/>
      <c r="R43" s="28"/>
      <c r="S43" s="28"/>
      <c r="T43" s="28"/>
      <c r="U43" s="28"/>
      <c r="V43" s="28"/>
      <c r="W43" s="28"/>
      <c r="X43" s="28"/>
      <c r="Y43" s="28"/>
      <c r="Z43" s="28"/>
      <c r="AA43" s="28"/>
      <c r="AB43" s="28"/>
      <c r="AC43" s="28"/>
    </row>
    <row r="44" spans="2:29" x14ac:dyDescent="0.45">
      <c r="B44" s="25" t="s">
        <v>203</v>
      </c>
      <c r="C44" s="26" t="s">
        <v>175</v>
      </c>
      <c r="D44" s="55" cm="1">
        <f t="array" aca="1" ref="D44" ca="1">_xll.VoseOutput("Shortfall Swap","US$m")+PlanRevenue-Rev_S</f>
        <v>41.241437998050742</v>
      </c>
      <c r="E44" s="28"/>
      <c r="F44" s="26"/>
      <c r="G44" s="28"/>
      <c r="H44" s="28"/>
      <c r="I44" s="28"/>
      <c r="J44" s="28"/>
      <c r="K44" s="28"/>
      <c r="L44" s="28"/>
      <c r="M44" s="28"/>
      <c r="N44" s="28"/>
      <c r="O44" s="28"/>
      <c r="P44" s="28"/>
      <c r="Q44" s="28"/>
      <c r="R44" s="28"/>
      <c r="S44" s="28"/>
      <c r="T44" s="28"/>
      <c r="U44" s="28"/>
      <c r="V44" s="28"/>
      <c r="W44" s="28"/>
      <c r="X44" s="28"/>
      <c r="Y44" s="28"/>
      <c r="Z44" s="28"/>
      <c r="AA44" s="28"/>
      <c r="AB44" s="28"/>
      <c r="AC44" s="28"/>
    </row>
    <row r="45" spans="2:29" x14ac:dyDescent="0.45">
      <c r="B45" s="25" t="s">
        <v>204</v>
      </c>
      <c r="C45" s="26" t="s">
        <v>175</v>
      </c>
      <c r="D45" s="55" cm="1">
        <f t="array" aca="1" ref="D45" ca="1">_xll.VoseOutput("Shortfall Costless collar","US$m")+PlanRevenue-Rev_C</f>
        <v>59.066027168821222</v>
      </c>
      <c r="E45" s="28"/>
      <c r="F45" s="26"/>
      <c r="G45" s="28"/>
      <c r="H45" s="28"/>
      <c r="I45" s="28"/>
      <c r="J45" s="28"/>
      <c r="K45" s="28"/>
      <c r="L45" s="28"/>
      <c r="M45" s="28"/>
      <c r="N45" s="28"/>
      <c r="O45" s="28"/>
      <c r="P45" s="28"/>
      <c r="Q45" s="28"/>
      <c r="R45" s="28"/>
      <c r="S45" s="28"/>
      <c r="T45" s="28"/>
      <c r="U45" s="28"/>
      <c r="V45" s="28"/>
      <c r="W45" s="28"/>
      <c r="X45" s="28"/>
      <c r="Y45" s="28"/>
      <c r="Z45" s="28"/>
      <c r="AA45" s="28"/>
      <c r="AB45" s="28"/>
      <c r="AC45" s="28"/>
    </row>
    <row r="46" spans="2:29" x14ac:dyDescent="0.45">
      <c r="B46" s="25" t="s">
        <v>205</v>
      </c>
      <c r="C46" s="26" t="s">
        <v>175</v>
      </c>
      <c r="D46" s="55" cm="1">
        <f t="array" aca="1" ref="D46" ca="1">_xll.VoseOutput("Shortfall Bought puts","US$m")+PlanRevenue-Rev_P</f>
        <v>68.246027168821229</v>
      </c>
      <c r="E46" s="28"/>
      <c r="F46" s="26"/>
      <c r="G46" s="28"/>
      <c r="H46" s="28"/>
      <c r="I46" s="28"/>
      <c r="J46" s="28"/>
      <c r="K46" s="28"/>
      <c r="L46" s="28"/>
      <c r="M46" s="28"/>
      <c r="N46" s="28"/>
      <c r="O46" s="28"/>
      <c r="P46" s="28"/>
      <c r="Q46" s="28"/>
      <c r="R46" s="28"/>
      <c r="S46" s="28"/>
      <c r="T46" s="28"/>
      <c r="U46" s="28"/>
      <c r="V46" s="28"/>
      <c r="W46" s="28"/>
      <c r="X46" s="28"/>
      <c r="Y46" s="28"/>
      <c r="Z46" s="28"/>
      <c r="AA46" s="28"/>
      <c r="AB46" s="28"/>
      <c r="AC46" s="28"/>
    </row>
    <row r="47" spans="2:29" x14ac:dyDescent="0.45">
      <c r="B47" s="25" t="s">
        <v>206</v>
      </c>
      <c r="C47" s="26" t="s">
        <v>175</v>
      </c>
      <c r="D47" s="55" cm="1">
        <f t="array" aca="1" ref="D47" ca="1">_xll.VoseOutput("Hedge payoff swap","US$m")+D32</f>
        <v>48.678328327622829</v>
      </c>
      <c r="E47" s="28"/>
      <c r="F47" s="26" t="s">
        <v>207</v>
      </c>
      <c r="G47" s="28"/>
      <c r="H47" s="28"/>
      <c r="I47" s="28"/>
      <c r="J47" s="28"/>
      <c r="K47" s="28"/>
      <c r="L47" s="28"/>
      <c r="M47" s="28"/>
      <c r="N47" s="28"/>
      <c r="O47" s="28"/>
      <c r="P47" s="28"/>
      <c r="Q47" s="28"/>
      <c r="R47" s="28"/>
      <c r="S47" s="28"/>
      <c r="T47" s="28"/>
      <c r="U47" s="28"/>
      <c r="V47" s="28"/>
      <c r="W47" s="28"/>
      <c r="X47" s="28"/>
      <c r="Y47" s="28"/>
      <c r="Z47" s="28"/>
      <c r="AA47" s="28"/>
      <c r="AB47" s="28"/>
      <c r="AC47" s="28"/>
    </row>
    <row r="48" spans="2:29" x14ac:dyDescent="0.45">
      <c r="B48" s="25" t="s">
        <v>208</v>
      </c>
      <c r="C48" s="26" t="s">
        <v>175</v>
      </c>
      <c r="D48" s="55" cm="1">
        <f t="array" aca="1" ref="D48" ca="1">_xll.VoseOutput("Hedge payoff collar","US$m")+D33</f>
        <v>30.853739156852356</v>
      </c>
      <c r="E48" s="28"/>
      <c r="F48" s="26"/>
      <c r="G48" s="28"/>
      <c r="H48" s="28"/>
      <c r="I48" s="28"/>
      <c r="J48" s="28"/>
      <c r="K48" s="28"/>
      <c r="L48" s="28"/>
      <c r="M48" s="28"/>
      <c r="N48" s="28"/>
      <c r="O48" s="28"/>
      <c r="P48" s="28"/>
      <c r="Q48" s="28"/>
      <c r="R48" s="28"/>
      <c r="S48" s="28"/>
      <c r="T48" s="28"/>
      <c r="U48" s="28"/>
      <c r="V48" s="28"/>
      <c r="W48" s="28"/>
      <c r="X48" s="28"/>
      <c r="Y48" s="28"/>
      <c r="Z48" s="28"/>
      <c r="AA48" s="28"/>
      <c r="AB48" s="28"/>
      <c r="AC48" s="28"/>
    </row>
    <row r="49" spans="2:29" x14ac:dyDescent="0.45">
      <c r="B49" s="25" t="s">
        <v>209</v>
      </c>
      <c r="C49" s="26" t="s">
        <v>175</v>
      </c>
      <c r="D49" s="55" cm="1">
        <f t="array" aca="1" ref="D49" ca="1">_xll.VoseOutput("Hedge payoff puts, after the premium","US$m")+D34</f>
        <v>21.67373915685236</v>
      </c>
      <c r="E49" s="28"/>
      <c r="F49" s="26"/>
      <c r="G49" s="28"/>
      <c r="H49" s="28"/>
      <c r="I49" s="28"/>
      <c r="J49" s="28"/>
      <c r="K49" s="28"/>
      <c r="L49" s="28"/>
      <c r="M49" s="28"/>
      <c r="N49" s="28"/>
      <c r="O49" s="28"/>
      <c r="P49" s="28"/>
      <c r="Q49" s="28"/>
      <c r="R49" s="28"/>
      <c r="S49" s="28"/>
      <c r="T49" s="28"/>
      <c r="U49" s="28"/>
      <c r="V49" s="28"/>
      <c r="W49" s="28"/>
      <c r="X49" s="28"/>
      <c r="Y49" s="28"/>
      <c r="Z49" s="28"/>
      <c r="AA49" s="28"/>
      <c r="AB49" s="28"/>
      <c r="AC49" s="28"/>
    </row>
    <row r="50" spans="2:29" x14ac:dyDescent="0.45">
      <c r="B50" s="25" t="s">
        <v>210</v>
      </c>
      <c r="C50" s="26" t="s">
        <v>121</v>
      </c>
      <c r="D50" s="56" cm="1">
        <f t="array" aca="1" ref="D50" ca="1">_xll.VoseOutput("Average price","US$/bbl")+AVERAGE(F23:AC23)</f>
        <v>49.463736885359793</v>
      </c>
      <c r="E50" s="28"/>
      <c r="F50" s="26"/>
      <c r="G50" s="28"/>
      <c r="H50" s="28"/>
      <c r="I50" s="28"/>
      <c r="J50" s="28"/>
      <c r="K50" s="28"/>
      <c r="L50" s="28"/>
      <c r="M50" s="28"/>
      <c r="N50" s="28"/>
      <c r="O50" s="28"/>
      <c r="P50" s="28"/>
      <c r="Q50" s="28"/>
      <c r="R50" s="28"/>
      <c r="S50" s="28"/>
      <c r="T50" s="28"/>
      <c r="U50" s="28"/>
      <c r="V50" s="28"/>
      <c r="W50" s="28"/>
      <c r="X50" s="28"/>
      <c r="Y50" s="28"/>
      <c r="Z50" s="28"/>
      <c r="AA50" s="28"/>
      <c r="AB50" s="28"/>
      <c r="AC50" s="28"/>
    </row>
    <row r="51" spans="2:29" ht="8" customHeight="1" x14ac:dyDescent="0.45"/>
    <row r="52" spans="2:29" ht="22.05" customHeight="1" x14ac:dyDescent="0.5">
      <c r="B52" s="7" t="s">
        <v>211</v>
      </c>
      <c r="C52" s="8"/>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2:29" ht="18" customHeight="1" x14ac:dyDescent="0.45">
      <c r="B53" s="13" t="s">
        <v>212</v>
      </c>
    </row>
    <row r="54" spans="2:29" x14ac:dyDescent="0.45">
      <c r="B54" s="25" t="s">
        <v>213</v>
      </c>
      <c r="C54" s="28"/>
      <c r="D54" s="57" t="str">
        <f>IF(PutStrike&lt;CallStrike,"OK","CHECK")</f>
        <v>OK</v>
      </c>
      <c r="E54" s="28"/>
      <c r="F54" s="28"/>
      <c r="G54" s="28"/>
      <c r="H54" s="28"/>
      <c r="I54" s="28"/>
      <c r="J54" s="28"/>
      <c r="K54" s="28"/>
      <c r="L54" s="28"/>
      <c r="M54" s="28"/>
      <c r="N54" s="28"/>
      <c r="O54" s="28"/>
      <c r="P54" s="28"/>
      <c r="Q54" s="28"/>
      <c r="R54" s="28"/>
      <c r="S54" s="28"/>
      <c r="T54" s="28"/>
      <c r="U54" s="28"/>
      <c r="V54" s="28"/>
      <c r="W54" s="28"/>
      <c r="X54" s="28"/>
      <c r="Y54" s="28"/>
      <c r="Z54" s="28"/>
      <c r="AA54" s="28"/>
      <c r="AB54" s="28"/>
      <c r="AC54" s="28"/>
    </row>
    <row r="55" spans="2:29" x14ac:dyDescent="0.45">
      <c r="B55" s="25" t="s">
        <v>214</v>
      </c>
      <c r="C55" s="28"/>
      <c r="D55" s="57" t="str">
        <f>IF(AND(HedgeRatio&gt;=0,HedgeRatio&lt;=1),"OK","CHECK")</f>
        <v>OK</v>
      </c>
      <c r="E55" s="28"/>
      <c r="F55" s="28"/>
      <c r="G55" s="28"/>
      <c r="H55" s="28"/>
      <c r="I55" s="28"/>
      <c r="J55" s="28"/>
      <c r="K55" s="28"/>
      <c r="L55" s="28"/>
      <c r="M55" s="28"/>
      <c r="N55" s="28"/>
      <c r="O55" s="28"/>
      <c r="P55" s="28"/>
      <c r="Q55" s="28"/>
      <c r="R55" s="28"/>
      <c r="S55" s="28"/>
      <c r="T55" s="28"/>
      <c r="U55" s="28"/>
      <c r="V55" s="28"/>
      <c r="W55" s="28"/>
      <c r="X55" s="28"/>
      <c r="Y55" s="28"/>
      <c r="Z55" s="28"/>
      <c r="AA55" s="28"/>
      <c r="AB55" s="28"/>
      <c r="AC55" s="28"/>
    </row>
    <row r="56" spans="2:29" x14ac:dyDescent="0.45">
      <c r="B56" s="25" t="s">
        <v>215</v>
      </c>
      <c r="C56" s="28"/>
      <c r="D56" s="57" t="str">
        <f ca="1">IF(COUNT(F23:AC23)=MonthsHedged,"OK","CHECK")</f>
        <v>OK</v>
      </c>
      <c r="E56" s="28"/>
      <c r="F56" s="28"/>
      <c r="G56" s="28"/>
      <c r="H56" s="28"/>
      <c r="I56" s="28"/>
      <c r="J56" s="28"/>
      <c r="K56" s="28"/>
      <c r="L56" s="28"/>
      <c r="M56" s="28"/>
      <c r="N56" s="28"/>
      <c r="O56" s="28"/>
      <c r="P56" s="28"/>
      <c r="Q56" s="28"/>
      <c r="R56" s="28"/>
      <c r="S56" s="28"/>
      <c r="T56" s="28"/>
      <c r="U56" s="28"/>
      <c r="V56" s="28"/>
      <c r="W56" s="28"/>
      <c r="X56" s="28"/>
      <c r="Y56" s="28"/>
      <c r="Z56" s="28"/>
      <c r="AA56" s="28"/>
      <c r="AB56" s="28"/>
      <c r="AC56" s="28"/>
    </row>
    <row r="57" spans="2:29" ht="14" customHeight="1" x14ac:dyDescent="0.45"/>
  </sheetData>
  <conditionalFormatting sqref="D54:D56">
    <cfRule type="expression" dxfId="3" priority="1">
      <formula>D54="CHECK"</formula>
    </cfRule>
  </conditionalFormatting>
  <hyperlinks>
    <hyperlink ref="B4" location="'Inputs'!A1" display="◂  Inputs" xr:uid="{00000000-0004-0000-0200-000000000000}"/>
    <hyperlink ref="AC4" location="'Results'!A1" display="Next:  Results  ▸" xr:uid="{00000000-0004-0000-0200-000001000000}"/>
  </hyperlinks>
  <printOptions horizontalCentered="1"/>
  <pageMargins left="0.4" right="0.4" top="0.5" bottom="0.6" header="0.25" footer="0.25"/>
  <pageSetup paperSize="8" scale="65"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9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216</v>
      </c>
      <c r="C3" s="1"/>
      <c r="D3" s="1"/>
      <c r="E3" s="1"/>
      <c r="F3" s="1"/>
      <c r="G3" s="1"/>
      <c r="H3" s="1"/>
      <c r="I3" s="1"/>
      <c r="J3" s="1"/>
      <c r="K3" s="1"/>
      <c r="L3" s="1"/>
      <c r="M3" s="1"/>
      <c r="N3" s="1"/>
      <c r="O3" s="1"/>
      <c r="P3" s="1"/>
      <c r="Q3" s="1"/>
      <c r="R3" s="1"/>
    </row>
    <row r="4" spans="1:18" ht="20" customHeight="1" x14ac:dyDescent="0.45">
      <c r="A4" s="5"/>
      <c r="B4" s="22" t="s">
        <v>217</v>
      </c>
      <c r="C4" s="5"/>
      <c r="D4" s="5"/>
      <c r="E4" s="5"/>
      <c r="F4" s="5"/>
      <c r="G4" s="5"/>
      <c r="H4" s="5"/>
      <c r="I4" s="5"/>
      <c r="J4" s="5"/>
      <c r="K4" s="5"/>
      <c r="L4" s="5"/>
      <c r="M4" s="5"/>
      <c r="N4" s="5"/>
      <c r="O4" s="5"/>
      <c r="P4" s="5"/>
      <c r="Q4" s="5"/>
      <c r="R4" s="5"/>
    </row>
    <row r="5" spans="1:18" ht="8" customHeight="1" x14ac:dyDescent="0.45"/>
    <row r="6" spans="1:18" ht="26" customHeight="1" x14ac:dyDescent="0.45">
      <c r="B6" s="58" t="str" cm="1">
        <f t="array" aca="1" ref="B6" ca="1">IF(ISNUMBER(_xll.VoseSimMean(Rev_U)),"✔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9"/>
      <c r="D6" s="59"/>
      <c r="E6" s="59"/>
      <c r="F6" s="59"/>
      <c r="G6" s="59"/>
    </row>
    <row r="7" spans="1:18" x14ac:dyDescent="0.45">
      <c r="B7" s="60"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218</v>
      </c>
      <c r="C9" s="8"/>
      <c r="D9" s="8"/>
      <c r="E9" s="8"/>
      <c r="F9" s="8"/>
      <c r="G9" s="8"/>
      <c r="I9" s="61" t="s">
        <v>219</v>
      </c>
      <c r="J9" s="8"/>
      <c r="K9" s="8"/>
      <c r="L9" s="8"/>
      <c r="M9" s="8"/>
      <c r="N9" s="8"/>
      <c r="O9" s="8"/>
      <c r="P9" s="8"/>
      <c r="Q9" s="8"/>
      <c r="R9" s="8"/>
    </row>
    <row r="10" spans="1:18" ht="18" customHeight="1" x14ac:dyDescent="0.45">
      <c r="B10" s="13" t="s">
        <v>220</v>
      </c>
    </row>
    <row r="11" spans="1:18" ht="18" customHeight="1" x14ac:dyDescent="0.45">
      <c r="B11" s="62" t="s">
        <v>221</v>
      </c>
      <c r="C11" s="63" t="s">
        <v>101</v>
      </c>
      <c r="D11" s="63" t="s">
        <v>222</v>
      </c>
      <c r="E11" s="63" t="s">
        <v>223</v>
      </c>
      <c r="F11" s="63" t="s">
        <v>224</v>
      </c>
      <c r="G11" s="63" t="s">
        <v>225</v>
      </c>
    </row>
    <row r="12" spans="1:18" x14ac:dyDescent="0.45">
      <c r="B12" s="64"/>
      <c r="C12" s="64" t="s">
        <v>175</v>
      </c>
      <c r="D12" s="64" t="s">
        <v>175</v>
      </c>
      <c r="E12" s="64" t="s">
        <v>175</v>
      </c>
      <c r="F12" s="64" t="s">
        <v>226</v>
      </c>
      <c r="G12" s="64" t="s">
        <v>227</v>
      </c>
    </row>
    <row r="13" spans="1:18" x14ac:dyDescent="0.45">
      <c r="B13" s="25" t="s">
        <v>228</v>
      </c>
      <c r="C13" s="65" cm="1">
        <f t="array" aca="1" ref="C13" ca="1">_xll.VoseSimMean(Rev_U)</f>
        <v>246.31975492121089</v>
      </c>
      <c r="D13" s="65" cm="1">
        <f t="array" aca="1" ref="D13" ca="1">_xll.VoseSimPercentile(Rev_U,0.05)</f>
        <v>159.17778838416689</v>
      </c>
      <c r="E13" s="65" cm="1">
        <f t="array" aca="1" ref="E13" ca="1">_xll.VoseSimPercentile(Rev_U,0.95)</f>
        <v>361.7304469403565</v>
      </c>
      <c r="F13" s="65" cm="1">
        <f t="array" aca="1" ref="F13" ca="1">IFERROR(PlanRevenue-_xll.VoseSimCVARp(Short_U,0.05),"–")</f>
        <v>144.92290282304504</v>
      </c>
      <c r="G13" s="66" cm="1">
        <f t="array" aca="1" ref="G13" ca="1">_xll.VoseSimProbability(Rev_U,BudgetRevenue)</f>
        <v>0.42285771422857715</v>
      </c>
    </row>
    <row r="14" spans="1:18" x14ac:dyDescent="0.45">
      <c r="B14" s="25" t="s">
        <v>189</v>
      </c>
      <c r="C14" s="65" cm="1">
        <f t="array" aca="1" ref="C14" ca="1">_xll.VoseSimMean(Rev_S)</f>
        <v>246.16796098015266</v>
      </c>
      <c r="D14" s="65" cm="1">
        <f t="array" aca="1" ref="D14" ca="1">_xll.VoseSimPercentile(Rev_S,0.05)</f>
        <v>211.9655195427444</v>
      </c>
      <c r="E14" s="65" cm="1">
        <f t="array" aca="1" ref="E14" ca="1">_xll.VoseSimPercentile(Rev_S,0.95)</f>
        <v>289.99555447154648</v>
      </c>
      <c r="F14" s="65" cm="1">
        <f t="array" aca="1" ref="F14" ca="1">IFERROR(PlanRevenue-_xll.VoseSimCVARp(Short_S,0.05),"–")</f>
        <v>205.37210560428628</v>
      </c>
      <c r="G14" s="66" cm="1">
        <f t="array" aca="1" ref="G14" ca="1">_xll.VoseSimProbability(Rev_S,BudgetRevenue)</f>
        <v>0.21497850214978503</v>
      </c>
    </row>
    <row r="15" spans="1:18" x14ac:dyDescent="0.45">
      <c r="B15" s="25" t="s">
        <v>229</v>
      </c>
      <c r="C15" s="65" cm="1">
        <f t="array" aca="1" ref="C15" ca="1">_xll.VoseSimMean(Rev_C)</f>
        <v>246.61297462330361</v>
      </c>
      <c r="D15" s="65" cm="1">
        <f t="array" aca="1" ref="D15" ca="1">_xll.VoseSimPercentile(Rev_C,0.05)</f>
        <v>192.7098063048997</v>
      </c>
      <c r="E15" s="65" cm="1">
        <f t="array" aca="1" ref="E15" ca="1">_xll.VoseSimPercentile(Rev_C,0.95)</f>
        <v>318.28696431692862</v>
      </c>
      <c r="F15" s="65" cm="1">
        <f t="array" aca="1" ref="F15" ca="1">IFERROR(PlanRevenue-_xll.VoseSimCVARp(Short_C,0.05),"–")</f>
        <v>185.68856698750452</v>
      </c>
      <c r="G15" s="66" cm="1">
        <f t="array" aca="1" ref="G15" ca="1">_xll.VoseSimProbability(Rev_C,BudgetRevenue)</f>
        <v>0.38586141385861417</v>
      </c>
    </row>
    <row r="16" spans="1:18" x14ac:dyDescent="0.45">
      <c r="B16" s="25" t="s">
        <v>230</v>
      </c>
      <c r="C16" s="65" cm="1">
        <f t="array" aca="1" ref="C16" ca="1">_xll.VoseSimMean(Rev_P)</f>
        <v>245.39187226398937</v>
      </c>
      <c r="D16" s="65" cm="1">
        <f t="array" aca="1" ref="D16" ca="1">_xll.VoseSimPercentile(Rev_P,0.05)</f>
        <v>183.52980630489969</v>
      </c>
      <c r="E16" s="65" cm="1">
        <f t="array" aca="1" ref="E16" ca="1">_xll.VoseSimPercentile(Rev_P,0.95)</f>
        <v>352.55044694035649</v>
      </c>
      <c r="F16" s="65" cm="1">
        <f t="array" aca="1" ref="F16" ca="1">IFERROR(PlanRevenue-_xll.VoseSimCVARp(Short_P,0.05),"–")</f>
        <v>176.50865998780489</v>
      </c>
      <c r="G16" s="66" cm="1">
        <f t="array" aca="1" ref="G16" ca="1">_xll.VoseSimProbability(Rev_P,BudgetRevenue)</f>
        <v>0.45975402459754022</v>
      </c>
    </row>
    <row r="17" spans="2:7" x14ac:dyDescent="0.45">
      <c r="B17" s="67" t="s">
        <v>231</v>
      </c>
    </row>
    <row r="18" spans="2:7" ht="18" customHeight="1" x14ac:dyDescent="0.45">
      <c r="B18" s="23" t="s">
        <v>232</v>
      </c>
      <c r="C18" s="23" t="s">
        <v>95</v>
      </c>
      <c r="D18" s="24" t="s">
        <v>157</v>
      </c>
      <c r="E18" s="5"/>
      <c r="F18" s="5"/>
      <c r="G18" s="5"/>
    </row>
    <row r="19" spans="2:7" x14ac:dyDescent="0.45">
      <c r="B19" s="68" t="s">
        <v>233</v>
      </c>
      <c r="C19" s="26" t="s">
        <v>175</v>
      </c>
      <c r="D19" s="48">
        <f>BudgetRevenue</f>
        <v>226.98</v>
      </c>
      <c r="E19" s="28"/>
      <c r="F19" s="28"/>
      <c r="G19" s="28"/>
    </row>
    <row r="20" spans="2:7" x14ac:dyDescent="0.45">
      <c r="B20" s="68" t="s">
        <v>174</v>
      </c>
      <c r="C20" s="26" t="s">
        <v>175</v>
      </c>
      <c r="D20" s="48">
        <f>PlanRevenue</f>
        <v>259.2</v>
      </c>
      <c r="E20" s="28"/>
      <c r="F20" s="28"/>
      <c r="G20" s="28"/>
    </row>
    <row r="21" spans="2:7" ht="8" customHeight="1" x14ac:dyDescent="0.45"/>
    <row r="22" spans="2:7" ht="22.05" customHeight="1" x14ac:dyDescent="0.5">
      <c r="B22" s="7" t="s">
        <v>234</v>
      </c>
      <c r="C22" s="8"/>
      <c r="D22" s="8"/>
      <c r="E22" s="8"/>
      <c r="F22" s="8"/>
      <c r="G22" s="8"/>
    </row>
    <row r="23" spans="2:7" ht="18" customHeight="1" x14ac:dyDescent="0.45">
      <c r="B23" s="13" t="s">
        <v>235</v>
      </c>
    </row>
    <row r="24" spans="2:7" ht="18" customHeight="1" x14ac:dyDescent="0.45">
      <c r="B24" s="23" t="s">
        <v>232</v>
      </c>
      <c r="C24" s="23" t="s">
        <v>95</v>
      </c>
      <c r="D24" s="24" t="s">
        <v>157</v>
      </c>
      <c r="E24" s="5"/>
      <c r="F24" s="5"/>
      <c r="G24" s="5"/>
    </row>
    <row r="25" spans="2:7" x14ac:dyDescent="0.45">
      <c r="B25" s="25" t="s">
        <v>189</v>
      </c>
      <c r="C25" s="26" t="s">
        <v>175</v>
      </c>
      <c r="D25" s="69" cm="1">
        <f t="array" aca="1" ref="D25" ca="1">_xll.VoseSimMean(Pay_S)</f>
        <v>-0.15179394105867708</v>
      </c>
      <c r="E25" s="28"/>
      <c r="F25" s="28"/>
      <c r="G25" s="28"/>
    </row>
    <row r="26" spans="2:7" x14ac:dyDescent="0.45">
      <c r="B26" s="25" t="s">
        <v>229</v>
      </c>
      <c r="C26" s="26" t="s">
        <v>175</v>
      </c>
      <c r="D26" s="69" cm="1">
        <f t="array" aca="1" ref="D26" ca="1">_xll.VoseSimMean(Pay_C)</f>
        <v>0.29321970209291565</v>
      </c>
      <c r="E26" s="28"/>
      <c r="F26" s="28"/>
      <c r="G26" s="28"/>
    </row>
    <row r="27" spans="2:7" x14ac:dyDescent="0.45">
      <c r="B27" s="25" t="s">
        <v>191</v>
      </c>
      <c r="C27" s="26" t="s">
        <v>175</v>
      </c>
      <c r="D27" s="69" cm="1">
        <f t="array" aca="1" ref="D27" ca="1">_xll.VoseSimMean(Pay_P)</f>
        <v>-0.92788265722282903</v>
      </c>
      <c r="E27" s="28"/>
      <c r="F27" s="28"/>
      <c r="G27" s="28"/>
    </row>
    <row r="28" spans="2:7" x14ac:dyDescent="0.45">
      <c r="B28" s="68" t="s">
        <v>236</v>
      </c>
      <c r="C28" s="26" t="s">
        <v>175</v>
      </c>
      <c r="D28" s="54">
        <f>PutPremium*HedgeRatio*PlanVolume*MonthsHedged/1000</f>
        <v>9.18</v>
      </c>
      <c r="E28" s="28"/>
      <c r="F28" s="28"/>
      <c r="G28" s="28"/>
    </row>
    <row r="29" spans="2:7" x14ac:dyDescent="0.45">
      <c r="B29" s="25" t="s">
        <v>237</v>
      </c>
      <c r="C29" s="26" t="s">
        <v>121</v>
      </c>
      <c r="D29" s="69" cm="1">
        <f t="array" aca="1" ref="D29" ca="1">_xll.VoseSimMean(AvgPrice)</f>
        <v>72.070274972712383</v>
      </c>
      <c r="E29" s="28"/>
      <c r="F29" s="28"/>
      <c r="G29" s="28"/>
    </row>
    <row r="30" spans="2:7" ht="8" customHeight="1" x14ac:dyDescent="0.45"/>
    <row r="31" spans="2:7" ht="22.05" customHeight="1" x14ac:dyDescent="0.5">
      <c r="B31" s="7" t="s">
        <v>238</v>
      </c>
      <c r="C31" s="8"/>
      <c r="D31" s="8"/>
      <c r="E31" s="8"/>
      <c r="F31" s="8"/>
      <c r="G31" s="8"/>
    </row>
    <row r="32" spans="2:7" ht="32" customHeight="1" x14ac:dyDescent="0.45">
      <c r="B32" s="74" t="s">
        <v>239</v>
      </c>
      <c r="C32" s="73"/>
      <c r="D32" s="73"/>
      <c r="E32" s="73"/>
      <c r="F32" s="73"/>
      <c r="G32" s="73"/>
    </row>
    <row r="33" spans="2:7" ht="45" customHeight="1" x14ac:dyDescent="0.45">
      <c r="B33" s="74" t="s">
        <v>240</v>
      </c>
      <c r="C33" s="73"/>
      <c r="D33" s="73"/>
      <c r="E33" s="73"/>
      <c r="F33" s="73"/>
      <c r="G33" s="73"/>
    </row>
    <row r="34" spans="2:7" ht="32" customHeight="1" x14ac:dyDescent="0.45">
      <c r="B34" s="74" t="s">
        <v>241</v>
      </c>
      <c r="C34" s="73"/>
      <c r="D34" s="73"/>
      <c r="E34" s="73"/>
      <c r="F34" s="73"/>
      <c r="G34" s="73"/>
    </row>
    <row r="35" spans="2:7" ht="32" customHeight="1" x14ac:dyDescent="0.45">
      <c r="B35" s="74" t="s">
        <v>242</v>
      </c>
      <c r="C35" s="73"/>
      <c r="D35" s="73"/>
      <c r="E35" s="73"/>
      <c r="F35" s="73"/>
      <c r="G35" s="73"/>
    </row>
    <row r="36" spans="2:7" ht="32" customHeight="1" x14ac:dyDescent="0.45">
      <c r="B36" s="74" t="s">
        <v>243</v>
      </c>
      <c r="C36" s="73"/>
      <c r="D36" s="73"/>
      <c r="E36" s="73"/>
      <c r="F36" s="73"/>
      <c r="G36" s="73"/>
    </row>
    <row r="37" spans="2:7" ht="14" customHeight="1" x14ac:dyDescent="0.45"/>
    <row r="38" spans="2:7" ht="14" customHeight="1" x14ac:dyDescent="0.45"/>
    <row r="39" spans="2:7" ht="22.05" customHeight="1" x14ac:dyDescent="0.5">
      <c r="B39" s="7" t="s">
        <v>244</v>
      </c>
      <c r="C39" s="8"/>
      <c r="D39" s="8"/>
      <c r="E39" s="8"/>
      <c r="F39" s="8"/>
      <c r="G39" s="8"/>
    </row>
    <row r="40" spans="2:7" ht="18" customHeight="1" x14ac:dyDescent="0.45">
      <c r="B40" s="13" t="s">
        <v>245</v>
      </c>
    </row>
    <row r="41" spans="2:7" ht="28.05" hidden="1" customHeight="1" outlineLevel="1" x14ac:dyDescent="0.45">
      <c r="B41" s="24" t="s">
        <v>246</v>
      </c>
      <c r="C41" s="24" t="s">
        <v>247</v>
      </c>
      <c r="D41" s="24" t="s">
        <v>248</v>
      </c>
      <c r="E41" s="24" t="s">
        <v>249</v>
      </c>
      <c r="F41" s="24" t="s">
        <v>250</v>
      </c>
      <c r="G41" s="24" t="s">
        <v>251</v>
      </c>
    </row>
    <row r="42" spans="2:7" hidden="1" outlineLevel="1" x14ac:dyDescent="0.45">
      <c r="B42" s="70">
        <v>0.01</v>
      </c>
      <c r="C42" s="70">
        <f t="shared" ref="C42:C73" si="0">1-B42</f>
        <v>0.99</v>
      </c>
      <c r="D42" s="71" cm="1">
        <f t="array" aca="1" ref="D42" ca="1">IF(ISNUMBER(_xll.VoseSimPercentile(Rev_U,$B42)),_xll.VoseSimPercentile(Rev_U,$B42),NA())</f>
        <v>135.76718418531129</v>
      </c>
      <c r="E42" s="71" cm="1">
        <f t="array" aca="1" ref="E42" ca="1">IF(ISNUMBER(_xll.VoseSimPercentile(Rev_S,$B42)),_xll.VoseSimPercentile(Rev_S,$B42),NA())</f>
        <v>200.94352926979411</v>
      </c>
      <c r="F42" s="71" cm="1">
        <f t="array" aca="1" ref="F42" ca="1">IF(ISNUMBER(_xll.VoseSimPercentile(Rev_C,$B42)),_xll.VoseSimPercentile(Rev_C,$B42),NA())</f>
        <v>181.0433520635012</v>
      </c>
      <c r="G42" s="71" cm="1">
        <f t="array" aca="1" ref="G42" ca="1">IF(ISNUMBER(_xll.VoseSimPercentile(Rev_P,$B42)),_xll.VoseSimPercentile(Rev_P,$B42),NA())</f>
        <v>171.8633520635012</v>
      </c>
    </row>
    <row r="43" spans="2:7" hidden="1" outlineLevel="1" x14ac:dyDescent="0.45">
      <c r="B43" s="70">
        <v>0.03</v>
      </c>
      <c r="C43" s="70">
        <f t="shared" si="0"/>
        <v>0.97</v>
      </c>
      <c r="D43" s="71" cm="1">
        <f t="array" aca="1" ref="D43" ca="1">IF(ISNUMBER(_xll.VoseSimPercentile(Rev_U,$B43)),_xll.VoseSimPercentile(Rev_U,$B43),NA())</f>
        <v>150.44094874340982</v>
      </c>
      <c r="E43" s="71" cm="1">
        <f t="array" aca="1" ref="E43" ca="1">IF(ISNUMBER(_xll.VoseSimPercentile(Rev_S,$B43)),_xll.VoseSimPercentile(Rev_S,$B43),NA())</f>
        <v>208.03974966180112</v>
      </c>
      <c r="F43" s="71" cm="1">
        <f t="array" aca="1" ref="F43" ca="1">IF(ISNUMBER(_xll.VoseSimPercentile(Rev_C,$B43)),_xll.VoseSimPercentile(Rev_C,$B43),NA())</f>
        <v>188.60192276579807</v>
      </c>
      <c r="G43" s="71" cm="1">
        <f t="array" aca="1" ref="G43" ca="1">IF(ISNUMBER(_xll.VoseSimPercentile(Rev_P,$B43)),_xll.VoseSimPercentile(Rev_P,$B43),NA())</f>
        <v>179.42192276579806</v>
      </c>
    </row>
    <row r="44" spans="2:7" hidden="1" outlineLevel="1" x14ac:dyDescent="0.45">
      <c r="B44" s="70">
        <v>0.05</v>
      </c>
      <c r="C44" s="70">
        <f t="shared" si="0"/>
        <v>0.95</v>
      </c>
      <c r="D44" s="71" cm="1">
        <f t="array" aca="1" ref="D44" ca="1">IF(ISNUMBER(_xll.VoseSimPercentile(Rev_U,$B44)),_xll.VoseSimPercentile(Rev_U,$B44),NA())</f>
        <v>159.17778838416689</v>
      </c>
      <c r="E44" s="71" cm="1">
        <f t="array" aca="1" ref="E44" ca="1">IF(ISNUMBER(_xll.VoseSimPercentile(Rev_S,$B44)),_xll.VoseSimPercentile(Rev_S,$B44),NA())</f>
        <v>211.9655195427444</v>
      </c>
      <c r="F44" s="71" cm="1">
        <f t="array" aca="1" ref="F44" ca="1">IF(ISNUMBER(_xll.VoseSimPercentile(Rev_C,$B44)),_xll.VoseSimPercentile(Rev_C,$B44),NA())</f>
        <v>192.7098063048997</v>
      </c>
      <c r="G44" s="71" cm="1">
        <f t="array" aca="1" ref="G44" ca="1">IF(ISNUMBER(_xll.VoseSimPercentile(Rev_P,$B44)),_xll.VoseSimPercentile(Rev_P,$B44),NA())</f>
        <v>183.52980630489969</v>
      </c>
    </row>
    <row r="45" spans="2:7" hidden="1" outlineLevel="1" x14ac:dyDescent="0.45">
      <c r="B45" s="70">
        <v>7.0000000000000007E-2</v>
      </c>
      <c r="C45" s="70">
        <f t="shared" si="0"/>
        <v>0.92999999999999994</v>
      </c>
      <c r="D45" s="71" cm="1">
        <f t="array" aca="1" ref="D45" ca="1">IF(ISNUMBER(_xll.VoseSimPercentile(Rev_U,$B45)),_xll.VoseSimPercentile(Rev_U,$B45),NA())</f>
        <v>165.99142879668463</v>
      </c>
      <c r="E45" s="71" cm="1">
        <f t="array" aca="1" ref="E45" ca="1">IF(ISNUMBER(_xll.VoseSimPercentile(Rev_S,$B45)),_xll.VoseSimPercentile(Rev_S,$B45),NA())</f>
        <v>214.82646591516948</v>
      </c>
      <c r="F45" s="71" cm="1">
        <f t="array" aca="1" ref="F45" ca="1">IF(ISNUMBER(_xll.VoseSimPercentile(Rev_C,$B45)),_xll.VoseSimPercentile(Rev_C,$B45),NA())</f>
        <v>196.00773748806762</v>
      </c>
      <c r="G45" s="71" cm="1">
        <f t="array" aca="1" ref="G45" ca="1">IF(ISNUMBER(_xll.VoseSimPercentile(Rev_P,$B45)),_xll.VoseSimPercentile(Rev_P,$B45),NA())</f>
        <v>186.82773748806761</v>
      </c>
    </row>
    <row r="46" spans="2:7" hidden="1" outlineLevel="1" x14ac:dyDescent="0.45">
      <c r="B46" s="70">
        <v>0.09</v>
      </c>
      <c r="C46" s="70">
        <f t="shared" si="0"/>
        <v>0.91</v>
      </c>
      <c r="D46" s="71" cm="1">
        <f t="array" aca="1" ref="D46" ca="1">IF(ISNUMBER(_xll.VoseSimPercentile(Rev_U,$B46)),_xll.VoseSimPercentile(Rev_U,$B46),NA())</f>
        <v>171.5388708618035</v>
      </c>
      <c r="E46" s="71" cm="1">
        <f t="array" aca="1" ref="E46" ca="1">IF(ISNUMBER(_xll.VoseSimPercentile(Rev_S,$B46)),_xll.VoseSimPercentile(Rev_S,$B46),NA())</f>
        <v>217.29232053993445</v>
      </c>
      <c r="F46" s="71" cm="1">
        <f t="array" aca="1" ref="F46" ca="1">IF(ISNUMBER(_xll.VoseSimPercentile(Rev_C,$B46)),_xll.VoseSimPercentile(Rev_C,$B46),NA())</f>
        <v>198.62299545212809</v>
      </c>
      <c r="G46" s="71" cm="1">
        <f t="array" aca="1" ref="G46" ca="1">IF(ISNUMBER(_xll.VoseSimPercentile(Rev_P,$B46)),_xll.VoseSimPercentile(Rev_P,$B46),NA())</f>
        <v>189.45115195146212</v>
      </c>
    </row>
    <row r="47" spans="2:7" hidden="1" outlineLevel="1" x14ac:dyDescent="0.45">
      <c r="B47" s="70">
        <v>0.11</v>
      </c>
      <c r="C47" s="70">
        <f t="shared" si="0"/>
        <v>0.89</v>
      </c>
      <c r="D47" s="71" cm="1">
        <f t="array" aca="1" ref="D47" ca="1">IF(ISNUMBER(_xll.VoseSimPercentile(Rev_U,$B47)),_xll.VoseSimPercentile(Rev_U,$B47),NA())</f>
        <v>176.44063977452851</v>
      </c>
      <c r="E47" s="71" cm="1">
        <f t="array" aca="1" ref="E47" ca="1">IF(ISNUMBER(_xll.VoseSimPercentile(Rev_S,$B47)),_xll.VoseSimPercentile(Rev_S,$B47),NA())</f>
        <v>219.37547052143333</v>
      </c>
      <c r="F47" s="71" cm="1">
        <f t="array" aca="1" ref="F47" ca="1">IF(ISNUMBER(_xll.VoseSimPercentile(Rev_C,$B47)),_xll.VoseSimPercentile(Rev_C,$B47),NA())</f>
        <v>200.99035979409086</v>
      </c>
      <c r="G47" s="71" cm="1">
        <f t="array" aca="1" ref="G47" ca="1">IF(ISNUMBER(_xll.VoseSimPercentile(Rev_P,$B47)),_xll.VoseSimPercentile(Rev_P,$B47),NA())</f>
        <v>191.81035979409089</v>
      </c>
    </row>
    <row r="48" spans="2:7" hidden="1" outlineLevel="1" x14ac:dyDescent="0.45">
      <c r="B48" s="70">
        <v>0.13</v>
      </c>
      <c r="C48" s="70">
        <f t="shared" si="0"/>
        <v>0.87</v>
      </c>
      <c r="D48" s="71" cm="1">
        <f t="array" aca="1" ref="D48" ca="1">IF(ISNUMBER(_xll.VoseSimPercentile(Rev_U,$B48)),_xll.VoseSimPercentile(Rev_U,$B48),NA())</f>
        <v>180.51447985595189</v>
      </c>
      <c r="E48" s="71" cm="1">
        <f t="array" aca="1" ref="E48" ca="1">IF(ISNUMBER(_xll.VoseSimPercentile(Rev_S,$B48)),_xll.VoseSimPercentile(Rev_S,$B48),NA())</f>
        <v>221.0472464575879</v>
      </c>
      <c r="F48" s="71" cm="1">
        <f t="array" aca="1" ref="F48" ca="1">IF(ISNUMBER(_xll.VoseSimPercentile(Rev_C,$B48)),_xll.VoseSimPercentile(Rev_C,$B48),NA())</f>
        <v>202.93277522640793</v>
      </c>
      <c r="G48" s="71" cm="1">
        <f t="array" aca="1" ref="G48" ca="1">IF(ISNUMBER(_xll.VoseSimPercentile(Rev_P,$B48)),_xll.VoseSimPercentile(Rev_P,$B48),NA())</f>
        <v>193.75468796705783</v>
      </c>
    </row>
    <row r="49" spans="2:7" hidden="1" outlineLevel="1" x14ac:dyDescent="0.45">
      <c r="B49" s="70">
        <v>0.15</v>
      </c>
      <c r="C49" s="70">
        <f t="shared" si="0"/>
        <v>0.85</v>
      </c>
      <c r="D49" s="71" cm="1">
        <f t="array" aca="1" ref="D49" ca="1">IF(ISNUMBER(_xll.VoseSimPercentile(Rev_U,$B49)),_xll.VoseSimPercentile(Rev_U,$B49),NA())</f>
        <v>184.57158726193475</v>
      </c>
      <c r="E49" s="71" cm="1">
        <f t="array" aca="1" ref="E49" ca="1">IF(ISNUMBER(_xll.VoseSimPercentile(Rev_S,$B49)),_xll.VoseSimPercentile(Rev_S,$B49),NA())</f>
        <v>222.67226284439943</v>
      </c>
      <c r="F49" s="71" cm="1">
        <f t="array" aca="1" ref="F49" ca="1">IF(ISNUMBER(_xll.VoseSimPercentile(Rev_C,$B49)),_xll.VoseSimPercentile(Rev_C,$B49),NA())</f>
        <v>204.655249039105</v>
      </c>
      <c r="G49" s="71" cm="1">
        <f t="array" aca="1" ref="G49" ca="1">IF(ISNUMBER(_xll.VoseSimPercentile(Rev_P,$B49)),_xll.VoseSimPercentile(Rev_P,$B49),NA())</f>
        <v>195.48064183565756</v>
      </c>
    </row>
    <row r="50" spans="2:7" hidden="1" outlineLevel="1" x14ac:dyDescent="0.45">
      <c r="B50" s="70">
        <v>0.17</v>
      </c>
      <c r="C50" s="70">
        <f t="shared" si="0"/>
        <v>0.83</v>
      </c>
      <c r="D50" s="71" cm="1">
        <f t="array" aca="1" ref="D50" ca="1">IF(ISNUMBER(_xll.VoseSimPercentile(Rev_U,$B50)),_xll.VoseSimPercentile(Rev_U,$B50),NA())</f>
        <v>187.97488682260536</v>
      </c>
      <c r="E50" s="71" cm="1">
        <f t="array" aca="1" ref="E50" ca="1">IF(ISNUMBER(_xll.VoseSimPercentile(Rev_S,$B50)),_xll.VoseSimPercentile(Rev_S,$B50),NA())</f>
        <v>224.09853327611776</v>
      </c>
      <c r="F50" s="71" cm="1">
        <f t="array" aca="1" ref="F50" ca="1">IF(ISNUMBER(_xll.VoseSimPercentile(Rev_C,$B50)),_xll.VoseSimPercentile(Rev_C,$B50),NA())</f>
        <v>206.40074113818221</v>
      </c>
      <c r="G50" s="71" cm="1">
        <f t="array" aca="1" ref="G50" ca="1">IF(ISNUMBER(_xll.VoseSimPercentile(Rev_P,$B50)),_xll.VoseSimPercentile(Rev_P,$B50),NA())</f>
        <v>197.25175506676197</v>
      </c>
    </row>
    <row r="51" spans="2:7" hidden="1" outlineLevel="1" x14ac:dyDescent="0.45">
      <c r="B51" s="70">
        <v>0.19</v>
      </c>
      <c r="C51" s="70">
        <f t="shared" si="0"/>
        <v>0.81</v>
      </c>
      <c r="D51" s="71" cm="1">
        <f t="array" aca="1" ref="D51" ca="1">IF(ISNUMBER(_xll.VoseSimPercentile(Rev_U,$B51)),_xll.VoseSimPercentile(Rev_U,$B51),NA())</f>
        <v>191.10528440704715</v>
      </c>
      <c r="E51" s="71" cm="1">
        <f t="array" aca="1" ref="E51" ca="1">IF(ISNUMBER(_xll.VoseSimPercentile(Rev_S,$B51)),_xll.VoseSimPercentile(Rev_S,$B51),NA())</f>
        <v>225.52456205058854</v>
      </c>
      <c r="F51" s="71" cm="1">
        <f t="array" aca="1" ref="F51" ca="1">IF(ISNUMBER(_xll.VoseSimPercentile(Rev_C,$B51)),_xll.VoseSimPercentile(Rev_C,$B51),NA())</f>
        <v>208.2664989994795</v>
      </c>
      <c r="G51" s="71" cm="1">
        <f t="array" aca="1" ref="G51" ca="1">IF(ISNUMBER(_xll.VoseSimPercentile(Rev_P,$B51)),_xll.VoseSimPercentile(Rev_P,$B51),NA())</f>
        <v>199.10694960241315</v>
      </c>
    </row>
    <row r="52" spans="2:7" hidden="1" outlineLevel="1" x14ac:dyDescent="0.45">
      <c r="B52" s="70">
        <v>0.21</v>
      </c>
      <c r="C52" s="70">
        <f t="shared" si="0"/>
        <v>0.79</v>
      </c>
      <c r="D52" s="71" cm="1">
        <f t="array" aca="1" ref="D52" ca="1">IF(ISNUMBER(_xll.VoseSimPercentile(Rev_U,$B52)),_xll.VoseSimPercentile(Rev_U,$B52),NA())</f>
        <v>194.38374208172738</v>
      </c>
      <c r="E52" s="71" cm="1">
        <f t="array" aca="1" ref="E52" ca="1">IF(ISNUMBER(_xll.VoseSimPercentile(Rev_S,$B52)),_xll.VoseSimPercentile(Rev_S,$B52),NA())</f>
        <v>226.62875432163554</v>
      </c>
      <c r="F52" s="71" cm="1">
        <f t="array" aca="1" ref="F52" ca="1">IF(ISNUMBER(_xll.VoseSimPercentile(Rev_C,$B52)),_xll.VoseSimPercentile(Rev_C,$B52),NA())</f>
        <v>209.89353728635484</v>
      </c>
      <c r="G52" s="71" cm="1">
        <f t="array" aca="1" ref="G52" ca="1">IF(ISNUMBER(_xll.VoseSimPercentile(Rev_P,$B52)),_xll.VoseSimPercentile(Rev_P,$B52),NA())</f>
        <v>200.72513718629901</v>
      </c>
    </row>
    <row r="53" spans="2:7" hidden="1" outlineLevel="1" x14ac:dyDescent="0.45">
      <c r="B53" s="70">
        <v>0.23</v>
      </c>
      <c r="C53" s="70">
        <f t="shared" si="0"/>
        <v>0.77</v>
      </c>
      <c r="D53" s="71" cm="1">
        <f t="array" aca="1" ref="D53" ca="1">IF(ISNUMBER(_xll.VoseSimPercentile(Rev_U,$B53)),_xll.VoseSimPercentile(Rev_U,$B53),NA())</f>
        <v>197.61474840311101</v>
      </c>
      <c r="E53" s="71" cm="1">
        <f t="array" aca="1" ref="E53" ca="1">IF(ISNUMBER(_xll.VoseSimPercentile(Rev_S,$B53)),_xll.VoseSimPercentile(Rev_S,$B53),NA())</f>
        <v>227.84493661680852</v>
      </c>
      <c r="F53" s="71" cm="1">
        <f t="array" aca="1" ref="F53" ca="1">IF(ISNUMBER(_xll.VoseSimPercentile(Rev_C,$B53)),_xll.VoseSimPercentile(Rev_C,$B53),NA())</f>
        <v>211.63564478920358</v>
      </c>
      <c r="G53" s="71" cm="1">
        <f t="array" aca="1" ref="G53" ca="1">IF(ISNUMBER(_xll.VoseSimPercentile(Rev_P,$B53)),_xll.VoseSimPercentile(Rev_P,$B53),NA())</f>
        <v>202.48431827544024</v>
      </c>
    </row>
    <row r="54" spans="2:7" hidden="1" outlineLevel="1" x14ac:dyDescent="0.45">
      <c r="B54" s="70">
        <v>0.25</v>
      </c>
      <c r="C54" s="70">
        <f t="shared" si="0"/>
        <v>0.75</v>
      </c>
      <c r="D54" s="71" cm="1">
        <f t="array" aca="1" ref="D54" ca="1">IF(ISNUMBER(_xll.VoseSimPercentile(Rev_U,$B54)),_xll.VoseSimPercentile(Rev_U,$B54),NA())</f>
        <v>200.87060564926475</v>
      </c>
      <c r="E54" s="71" cm="1">
        <f t="array" aca="1" ref="E54" ca="1">IF(ISNUMBER(_xll.VoseSimPercentile(Rev_S,$B54)),_xll.VoseSimPercentile(Rev_S,$B54),NA())</f>
        <v>229.14887233429715</v>
      </c>
      <c r="F54" s="71" cm="1">
        <f t="array" aca="1" ref="F54" ca="1">IF(ISNUMBER(_xll.VoseSimPercentile(Rev_C,$B54)),_xll.VoseSimPercentile(Rev_C,$B54),NA())</f>
        <v>213.48150254516963</v>
      </c>
      <c r="G54" s="71" cm="1">
        <f t="array" aca="1" ref="G54" ca="1">IF(ISNUMBER(_xll.VoseSimPercentile(Rev_P,$B54)),_xll.VoseSimPercentile(Rev_P,$B54),NA())</f>
        <v>204.32097295941207</v>
      </c>
    </row>
    <row r="55" spans="2:7" hidden="1" outlineLevel="1" x14ac:dyDescent="0.45">
      <c r="B55" s="70">
        <v>0.27</v>
      </c>
      <c r="C55" s="70">
        <f t="shared" si="0"/>
        <v>0.73</v>
      </c>
      <c r="D55" s="71" cm="1">
        <f t="array" aca="1" ref="D55" ca="1">IF(ISNUMBER(_xll.VoseSimPercentile(Rev_U,$B55)),_xll.VoseSimPercentile(Rev_U,$B55),NA())</f>
        <v>204.11335808595348</v>
      </c>
      <c r="E55" s="71" cm="1">
        <f t="array" aca="1" ref="E55" ca="1">IF(ISNUMBER(_xll.VoseSimPercentile(Rev_S,$B55)),_xll.VoseSimPercentile(Rev_S,$B55),NA())</f>
        <v>230.26884216700068</v>
      </c>
      <c r="F55" s="71" cm="1">
        <f t="array" aca="1" ref="F55" ca="1">IF(ISNUMBER(_xll.VoseSimPercentile(Rev_C,$B55)),_xll.VoseSimPercentile(Rev_C,$B55),NA())</f>
        <v>215.27525914599289</v>
      </c>
      <c r="G55" s="71" cm="1">
        <f t="array" aca="1" ref="G55" ca="1">IF(ISNUMBER(_xll.VoseSimPercentile(Rev_P,$B55)),_xll.VoseSimPercentile(Rev_P,$B55),NA())</f>
        <v>206.15847942955415</v>
      </c>
    </row>
    <row r="56" spans="2:7" hidden="1" outlineLevel="1" x14ac:dyDescent="0.45">
      <c r="B56" s="70">
        <v>0.28999999999999998</v>
      </c>
      <c r="C56" s="70">
        <f t="shared" si="0"/>
        <v>0.71</v>
      </c>
      <c r="D56" s="71" cm="1">
        <f t="array" aca="1" ref="D56" ca="1">IF(ISNUMBER(_xll.VoseSimPercentile(Rev_U,$B56)),_xll.VoseSimPercentile(Rev_U,$B56),NA())</f>
        <v>206.91684242696843</v>
      </c>
      <c r="E56" s="71" cm="1">
        <f t="array" aca="1" ref="E56" ca="1">IF(ISNUMBER(_xll.VoseSimPercentile(Rev_S,$B56)),_xll.VoseSimPercentile(Rev_S,$B56),NA())</f>
        <v>231.43761316142562</v>
      </c>
      <c r="F56" s="71" cm="1">
        <f t="array" aca="1" ref="F56" ca="1">IF(ISNUMBER(_xll.VoseSimPercentile(Rev_C,$B56)),_xll.VoseSimPercentile(Rev_C,$B56),NA())</f>
        <v>217.05474167986173</v>
      </c>
      <c r="G56" s="71" cm="1">
        <f t="array" aca="1" ref="G56" ca="1">IF(ISNUMBER(_xll.VoseSimPercentile(Rev_P,$B56)),_xll.VoseSimPercentile(Rev_P,$B56),NA())</f>
        <v>207.89209363011693</v>
      </c>
    </row>
    <row r="57" spans="2:7" hidden="1" outlineLevel="1" x14ac:dyDescent="0.45">
      <c r="B57" s="70">
        <v>0.31</v>
      </c>
      <c r="C57" s="70">
        <f t="shared" si="0"/>
        <v>0.69</v>
      </c>
      <c r="D57" s="71" cm="1">
        <f t="array" aca="1" ref="D57" ca="1">IF(ISNUMBER(_xll.VoseSimPercentile(Rev_U,$B57)),_xll.VoseSimPercentile(Rev_U,$B57),NA())</f>
        <v>209.98860399844583</v>
      </c>
      <c r="E57" s="71" cm="1">
        <f t="array" aca="1" ref="E57" ca="1">IF(ISNUMBER(_xll.VoseSimPercentile(Rev_S,$B57)),_xll.VoseSimPercentile(Rev_S,$B57),NA())</f>
        <v>232.61284987049527</v>
      </c>
      <c r="F57" s="71" cm="1">
        <f t="array" aca="1" ref="F57" ca="1">IF(ISNUMBER(_xll.VoseSimPercentile(Rev_C,$B57)),_xll.VoseSimPercentile(Rev_C,$B57),NA())</f>
        <v>218.85357812372655</v>
      </c>
      <c r="G57" s="71" cm="1">
        <f t="array" aca="1" ref="G57" ca="1">IF(ISNUMBER(_xll.VoseSimPercentile(Rev_P,$B57)),_xll.VoseSimPercentile(Rev_P,$B57),NA())</f>
        <v>209.82148555751874</v>
      </c>
    </row>
    <row r="58" spans="2:7" hidden="1" outlineLevel="1" x14ac:dyDescent="0.45">
      <c r="B58" s="70">
        <v>0.33</v>
      </c>
      <c r="C58" s="70">
        <f t="shared" si="0"/>
        <v>0.66999999999999993</v>
      </c>
      <c r="D58" s="71" cm="1">
        <f t="array" aca="1" ref="D58" ca="1">IF(ISNUMBER(_xll.VoseSimPercentile(Rev_U,$B58)),_xll.VoseSimPercentile(Rev_U,$B58),NA())</f>
        <v>213.00337728850383</v>
      </c>
      <c r="E58" s="71" cm="1">
        <f t="array" aca="1" ref="E58" ca="1">IF(ISNUMBER(_xll.VoseSimPercentile(Rev_S,$B58)),_xll.VoseSimPercentile(Rev_S,$B58),NA())</f>
        <v>233.72398677011557</v>
      </c>
      <c r="F58" s="71" cm="1">
        <f t="array" aca="1" ref="F58" ca="1">IF(ISNUMBER(_xll.VoseSimPercentile(Rev_C,$B58)),_xll.VoseSimPercentile(Rev_C,$B58),NA())</f>
        <v>220.95630713721152</v>
      </c>
      <c r="G58" s="71" cm="1">
        <f t="array" aca="1" ref="G58" ca="1">IF(ISNUMBER(_xll.VoseSimPercentile(Rev_P,$B58)),_xll.VoseSimPercentile(Rev_P,$B58),NA())</f>
        <v>211.85202374589841</v>
      </c>
    </row>
    <row r="59" spans="2:7" hidden="1" outlineLevel="1" x14ac:dyDescent="0.45">
      <c r="B59" s="70">
        <v>0.35</v>
      </c>
      <c r="C59" s="70">
        <f t="shared" si="0"/>
        <v>0.65</v>
      </c>
      <c r="D59" s="71" cm="1">
        <f t="array" aca="1" ref="D59" ca="1">IF(ISNUMBER(_xll.VoseSimPercentile(Rev_U,$B59)),_xll.VoseSimPercentile(Rev_U,$B59),NA())</f>
        <v>215.90145093648005</v>
      </c>
      <c r="E59" s="71" cm="1">
        <f t="array" aca="1" ref="E59" ca="1">IF(ISNUMBER(_xll.VoseSimPercentile(Rev_S,$B59)),_xll.VoseSimPercentile(Rev_S,$B59),NA())</f>
        <v>234.82141674072847</v>
      </c>
      <c r="F59" s="71" cm="1">
        <f t="array" aca="1" ref="F59" ca="1">IF(ISNUMBER(_xll.VoseSimPercentile(Rev_C,$B59)),_xll.VoseSimPercentile(Rev_C,$B59),NA())</f>
        <v>223.04887148106405</v>
      </c>
      <c r="G59" s="71" cm="1">
        <f t="array" aca="1" ref="G59" ca="1">IF(ISNUMBER(_xll.VoseSimPercentile(Rev_P,$B59)),_xll.VoseSimPercentile(Rev_P,$B59),NA())</f>
        <v>213.98413179585469</v>
      </c>
    </row>
    <row r="60" spans="2:7" hidden="1" outlineLevel="1" x14ac:dyDescent="0.45">
      <c r="B60" s="70">
        <v>0.37</v>
      </c>
      <c r="C60" s="70">
        <f t="shared" si="0"/>
        <v>0.63</v>
      </c>
      <c r="D60" s="71" cm="1">
        <f t="array" aca="1" ref="D60" ca="1">IF(ISNUMBER(_xll.VoseSimPercentile(Rev_U,$B60)),_xll.VoseSimPercentile(Rev_U,$B60),NA())</f>
        <v>218.90655479429878</v>
      </c>
      <c r="E60" s="71" cm="1">
        <f t="array" aca="1" ref="E60" ca="1">IF(ISNUMBER(_xll.VoseSimPercentile(Rev_S,$B60)),_xll.VoseSimPercentile(Rev_S,$B60),NA())</f>
        <v>236.08680878425054</v>
      </c>
      <c r="F60" s="71" cm="1">
        <f t="array" aca="1" ref="F60" ca="1">IF(ISNUMBER(_xll.VoseSimPercentile(Rev_C,$B60)),_xll.VoseSimPercentile(Rev_C,$B60),NA())</f>
        <v>225.20736046230797</v>
      </c>
      <c r="G60" s="71" cm="1">
        <f t="array" aca="1" ref="G60" ca="1">IF(ISNUMBER(_xll.VoseSimPercentile(Rev_P,$B60)),_xll.VoseSimPercentile(Rev_P,$B60),NA())</f>
        <v>216.17283121564628</v>
      </c>
    </row>
    <row r="61" spans="2:7" hidden="1" outlineLevel="1" x14ac:dyDescent="0.45">
      <c r="B61" s="70">
        <v>0.39</v>
      </c>
      <c r="C61" s="70">
        <f t="shared" si="0"/>
        <v>0.61</v>
      </c>
      <c r="D61" s="71" cm="1">
        <f t="array" aca="1" ref="D61" ca="1">IF(ISNUMBER(_xll.VoseSimPercentile(Rev_U,$B61)),_xll.VoseSimPercentile(Rev_U,$B61),NA())</f>
        <v>221.91925461169447</v>
      </c>
      <c r="E61" s="71" cm="1">
        <f t="array" aca="1" ref="E61" ca="1">IF(ISNUMBER(_xll.VoseSimPercentile(Rev_S,$B61)),_xll.VoseSimPercentile(Rev_S,$B61),NA())</f>
        <v>237.2045284977566</v>
      </c>
      <c r="F61" s="71" cm="1">
        <f t="array" aca="1" ref="F61" ca="1">IF(ISNUMBER(_xll.VoseSimPercentile(Rev_C,$B61)),_xll.VoseSimPercentile(Rev_C,$B61),NA())</f>
        <v>227.4100721634029</v>
      </c>
      <c r="G61" s="71" cm="1">
        <f t="array" aca="1" ref="G61" ca="1">IF(ISNUMBER(_xll.VoseSimPercentile(Rev_P,$B61)),_xll.VoseSimPercentile(Rev_P,$B61),NA())</f>
        <v>218.41773378722462</v>
      </c>
    </row>
    <row r="62" spans="2:7" hidden="1" outlineLevel="1" x14ac:dyDescent="0.45">
      <c r="B62" s="70">
        <v>0.41</v>
      </c>
      <c r="C62" s="70">
        <f t="shared" si="0"/>
        <v>0.59000000000000008</v>
      </c>
      <c r="D62" s="71" cm="1">
        <f t="array" aca="1" ref="D62" ca="1">IF(ISNUMBER(_xll.VoseSimPercentile(Rev_U,$B62)),_xll.VoseSimPercentile(Rev_U,$B62),NA())</f>
        <v>225.03982621193748</v>
      </c>
      <c r="E62" s="71" cm="1">
        <f t="array" aca="1" ref="E62" ca="1">IF(ISNUMBER(_xll.VoseSimPercentile(Rev_S,$B62)),_xll.VoseSimPercentile(Rev_S,$B62),NA())</f>
        <v>238.3544480551534</v>
      </c>
      <c r="F62" s="71" cm="1">
        <f t="array" aca="1" ref="F62" ca="1">IF(ISNUMBER(_xll.VoseSimPercentile(Rev_C,$B62)),_xll.VoseSimPercentile(Rev_C,$B62),NA())</f>
        <v>229.65672676396233</v>
      </c>
      <c r="G62" s="71" cm="1">
        <f t="array" aca="1" ref="G62" ca="1">IF(ISNUMBER(_xll.VoseSimPercentile(Rev_P,$B62)),_xll.VoseSimPercentile(Rev_P,$B62),NA())</f>
        <v>220.71232713208485</v>
      </c>
    </row>
    <row r="63" spans="2:7" hidden="1" outlineLevel="1" x14ac:dyDescent="0.45">
      <c r="B63" s="70">
        <v>0.43</v>
      </c>
      <c r="C63" s="70">
        <f t="shared" si="0"/>
        <v>0.57000000000000006</v>
      </c>
      <c r="D63" s="71" cm="1">
        <f t="array" aca="1" ref="D63" ca="1">IF(ISNUMBER(_xll.VoseSimPercentile(Rev_U,$B63)),_xll.VoseSimPercentile(Rev_U,$B63),NA())</f>
        <v>227.93919141601813</v>
      </c>
      <c r="E63" s="71" cm="1">
        <f t="array" aca="1" ref="E63" ca="1">IF(ISNUMBER(_xll.VoseSimPercentile(Rev_S,$B63)),_xll.VoseSimPercentile(Rev_S,$B63),NA())</f>
        <v>239.59337682366123</v>
      </c>
      <c r="F63" s="71" cm="1">
        <f t="array" aca="1" ref="F63" ca="1">IF(ISNUMBER(_xll.VoseSimPercentile(Rev_C,$B63)),_xll.VoseSimPercentile(Rev_C,$B63),NA())</f>
        <v>232.17538254880265</v>
      </c>
      <c r="G63" s="71" cm="1">
        <f t="array" aca="1" ref="G63" ca="1">IF(ISNUMBER(_xll.VoseSimPercentile(Rev_P,$B63)),_xll.VoseSimPercentile(Rev_P,$B63),NA())</f>
        <v>223.21259324421422</v>
      </c>
    </row>
    <row r="64" spans="2:7" hidden="1" outlineLevel="1" x14ac:dyDescent="0.45">
      <c r="B64" s="70">
        <v>0.45</v>
      </c>
      <c r="C64" s="70">
        <f t="shared" si="0"/>
        <v>0.55000000000000004</v>
      </c>
      <c r="D64" s="71" cm="1">
        <f t="array" aca="1" ref="D64" ca="1">IF(ISNUMBER(_xll.VoseSimPercentile(Rev_U,$B64)),_xll.VoseSimPercentile(Rev_U,$B64),NA())</f>
        <v>231.0110080531833</v>
      </c>
      <c r="E64" s="71" cm="1">
        <f t="array" aca="1" ref="E64" ca="1">IF(ISNUMBER(_xll.VoseSimPercentile(Rev_S,$B64)),_xll.VoseSimPercentile(Rev_S,$B64),NA())</f>
        <v>240.723201551648</v>
      </c>
      <c r="F64" s="71" cm="1">
        <f t="array" aca="1" ref="F64" ca="1">IF(ISNUMBER(_xll.VoseSimPercentile(Rev_C,$B64)),_xll.VoseSimPercentile(Rev_C,$B64),NA())</f>
        <v>234.47914262960953</v>
      </c>
      <c r="G64" s="71" cm="1">
        <f t="array" aca="1" ref="G64" ca="1">IF(ISNUMBER(_xll.VoseSimPercentile(Rev_P,$B64)),_xll.VoseSimPercentile(Rev_P,$B64),NA())</f>
        <v>225.6972837163205</v>
      </c>
    </row>
    <row r="65" spans="2:7" hidden="1" outlineLevel="1" x14ac:dyDescent="0.45">
      <c r="B65" s="70">
        <v>0.47</v>
      </c>
      <c r="C65" s="70">
        <f t="shared" si="0"/>
        <v>0.53</v>
      </c>
      <c r="D65" s="71" cm="1">
        <f t="array" aca="1" ref="D65" ca="1">IF(ISNUMBER(_xll.VoseSimPercentile(Rev_U,$B65)),_xll.VoseSimPercentile(Rev_U,$B65),NA())</f>
        <v>234.09066869395934</v>
      </c>
      <c r="E65" s="71" cm="1">
        <f t="array" aca="1" ref="E65" ca="1">IF(ISNUMBER(_xll.VoseSimPercentile(Rev_S,$B65)),_xll.VoseSimPercentile(Rev_S,$B65),NA())</f>
        <v>241.82341260988568</v>
      </c>
      <c r="F65" s="71" cm="1">
        <f t="array" aca="1" ref="F65" ca="1">IF(ISNUMBER(_xll.VoseSimPercentile(Rev_C,$B65)),_xll.VoseSimPercentile(Rev_C,$B65),NA())</f>
        <v>237.09626990300043</v>
      </c>
      <c r="G65" s="71" cm="1">
        <f t="array" aca="1" ref="G65" ca="1">IF(ISNUMBER(_xll.VoseSimPercentile(Rev_P,$B65)),_xll.VoseSimPercentile(Rev_P,$B65),NA())</f>
        <v>228.35500565696523</v>
      </c>
    </row>
    <row r="66" spans="2:7" hidden="1" outlineLevel="1" x14ac:dyDescent="0.45">
      <c r="B66" s="70">
        <v>0.49</v>
      </c>
      <c r="C66" s="70">
        <f t="shared" si="0"/>
        <v>0.51</v>
      </c>
      <c r="D66" s="71" cm="1">
        <f t="array" aca="1" ref="D66" ca="1">IF(ISNUMBER(_xll.VoseSimPercentile(Rev_U,$B66)),_xll.VoseSimPercentile(Rev_U,$B66),NA())</f>
        <v>237.24685169150612</v>
      </c>
      <c r="E66" s="71" cm="1">
        <f t="array" aca="1" ref="E66" ca="1">IF(ISNUMBER(_xll.VoseSimPercentile(Rev_S,$B66)),_xll.VoseSimPercentile(Rev_S,$B66),NA())</f>
        <v>243.04569055915985</v>
      </c>
      <c r="F66" s="71" cm="1">
        <f t="array" aca="1" ref="F66" ca="1">IF(ISNUMBER(_xll.VoseSimPercentile(Rev_C,$B66)),_xll.VoseSimPercentile(Rev_C,$B66),NA())</f>
        <v>239.77257679491714</v>
      </c>
      <c r="G66" s="71" cm="1">
        <f t="array" aca="1" ref="G66" ca="1">IF(ISNUMBER(_xll.VoseSimPercentile(Rev_P,$B66)),_xll.VoseSimPercentile(Rev_P,$B66),NA())</f>
        <v>231.04954507379071</v>
      </c>
    </row>
    <row r="67" spans="2:7" hidden="1" outlineLevel="1" x14ac:dyDescent="0.45">
      <c r="B67" s="70">
        <v>0.51</v>
      </c>
      <c r="C67" s="70">
        <f t="shared" si="0"/>
        <v>0.49</v>
      </c>
      <c r="D67" s="71" cm="1">
        <f t="array" aca="1" ref="D67" ca="1">IF(ISNUMBER(_xll.VoseSimPercentile(Rev_U,$B67)),_xll.VoseSimPercentile(Rev_U,$B67),NA())</f>
        <v>240.41364452023717</v>
      </c>
      <c r="E67" s="71" cm="1">
        <f t="array" aca="1" ref="E67" ca="1">IF(ISNUMBER(_xll.VoseSimPercentile(Rev_S,$B67)),_xll.VoseSimPercentile(Rev_S,$B67),NA())</f>
        <v>244.26923407161431</v>
      </c>
      <c r="F67" s="71" cm="1">
        <f t="array" aca="1" ref="F67" ca="1">IF(ISNUMBER(_xll.VoseSimPercentile(Rev_C,$B67)),_xll.VoseSimPercentile(Rev_C,$B67),NA())</f>
        <v>242.30499682943636</v>
      </c>
      <c r="G67" s="71" cm="1">
        <f t="array" aca="1" ref="G67" ca="1">IF(ISNUMBER(_xll.VoseSimPercentile(Rev_P,$B67)),_xll.VoseSimPercentile(Rev_P,$B67),NA())</f>
        <v>233.66205100253276</v>
      </c>
    </row>
    <row r="68" spans="2:7" hidden="1" outlineLevel="1" x14ac:dyDescent="0.45">
      <c r="B68" s="70">
        <v>0.53</v>
      </c>
      <c r="C68" s="70">
        <f t="shared" si="0"/>
        <v>0.47</v>
      </c>
      <c r="D68" s="71" cm="1">
        <f t="array" aca="1" ref="D68" ca="1">IF(ISNUMBER(_xll.VoseSimPercentile(Rev_U,$B68)),_xll.VoseSimPercentile(Rev_U,$B68),NA())</f>
        <v>243.18186385234219</v>
      </c>
      <c r="E68" s="71" cm="1">
        <f t="array" aca="1" ref="E68" ca="1">IF(ISNUMBER(_xll.VoseSimPercentile(Rev_S,$B68)),_xll.VoseSimPercentile(Rev_S,$B68),NA())</f>
        <v>245.38196972694723</v>
      </c>
      <c r="F68" s="71" cm="1">
        <f t="array" aca="1" ref="F68" ca="1">IF(ISNUMBER(_xll.VoseSimPercentile(Rev_C,$B68)),_xll.VoseSimPercentile(Rev_C,$B68),NA())</f>
        <v>244.48172729777536</v>
      </c>
      <c r="G68" s="71" cm="1">
        <f t="array" aca="1" ref="G68" ca="1">IF(ISNUMBER(_xll.VoseSimPercentile(Rev_P,$B68)),_xll.VoseSimPercentile(Rev_P,$B68),NA())</f>
        <v>236.19019400071895</v>
      </c>
    </row>
    <row r="69" spans="2:7" hidden="1" outlineLevel="1" x14ac:dyDescent="0.45">
      <c r="B69" s="70">
        <v>0.55000000000000004</v>
      </c>
      <c r="C69" s="70">
        <f t="shared" si="0"/>
        <v>0.44999999999999996</v>
      </c>
      <c r="D69" s="71" cm="1">
        <f t="array" aca="1" ref="D69" ca="1">IF(ISNUMBER(_xll.VoseSimPercentile(Rev_U,$B69)),_xll.VoseSimPercentile(Rev_U,$B69),NA())</f>
        <v>246.20865272142143</v>
      </c>
      <c r="E69" s="71" cm="1">
        <f t="array" aca="1" ref="E69" ca="1">IF(ISNUMBER(_xll.VoseSimPercentile(Rev_S,$B69)),_xll.VoseSimPercentile(Rev_S,$B69),NA())</f>
        <v>246.44987882443351</v>
      </c>
      <c r="F69" s="71" cm="1">
        <f t="array" aca="1" ref="F69" ca="1">IF(ISNUMBER(_xll.VoseSimPercentile(Rev_C,$B69)),_xll.VoseSimPercentile(Rev_C,$B69),NA())</f>
        <v>246.99495791757266</v>
      </c>
      <c r="G69" s="71" cm="1">
        <f t="array" aca="1" ref="G69" ca="1">IF(ISNUMBER(_xll.VoseSimPercentile(Rev_P,$B69)),_xll.VoseSimPercentile(Rev_P,$B69),NA())</f>
        <v>238.76320856638989</v>
      </c>
    </row>
    <row r="70" spans="2:7" hidden="1" outlineLevel="1" x14ac:dyDescent="0.45">
      <c r="B70" s="70">
        <v>0.56999999999999995</v>
      </c>
      <c r="C70" s="70">
        <f t="shared" si="0"/>
        <v>0.43000000000000005</v>
      </c>
      <c r="D70" s="71" cm="1">
        <f t="array" aca="1" ref="D70" ca="1">IF(ISNUMBER(_xll.VoseSimPercentile(Rev_U,$B70)),_xll.VoseSimPercentile(Rev_U,$B70),NA())</f>
        <v>249.49906483958125</v>
      </c>
      <c r="E70" s="71" cm="1">
        <f t="array" aca="1" ref="E70" ca="1">IF(ISNUMBER(_xll.VoseSimPercentile(Rev_S,$B70)),_xll.VoseSimPercentile(Rev_S,$B70),NA())</f>
        <v>247.52403224128759</v>
      </c>
      <c r="F70" s="71" cm="1">
        <f t="array" aca="1" ref="F70" ca="1">IF(ISNUMBER(_xll.VoseSimPercentile(Rev_C,$B70)),_xll.VoseSimPercentile(Rev_C,$B70),NA())</f>
        <v>249.58431941443877</v>
      </c>
      <c r="G70" s="71" cm="1">
        <f t="array" aca="1" ref="G70" ca="1">IF(ISNUMBER(_xll.VoseSimPercentile(Rev_P,$B70)),_xll.VoseSimPercentile(Rev_P,$B70),NA())</f>
        <v>241.68968590885513</v>
      </c>
    </row>
    <row r="71" spans="2:7" hidden="1" outlineLevel="1" x14ac:dyDescent="0.45">
      <c r="B71" s="70">
        <v>0.59</v>
      </c>
      <c r="C71" s="70">
        <f t="shared" si="0"/>
        <v>0.41000000000000003</v>
      </c>
      <c r="D71" s="71" cm="1">
        <f t="array" aca="1" ref="D71" ca="1">IF(ISNUMBER(_xll.VoseSimPercentile(Rev_U,$B71)),_xll.VoseSimPercentile(Rev_U,$B71),NA())</f>
        <v>252.24493075708813</v>
      </c>
      <c r="E71" s="71" cm="1">
        <f t="array" aca="1" ref="E71" ca="1">IF(ISNUMBER(_xll.VoseSimPercentile(Rev_S,$B71)),_xll.VoseSimPercentile(Rev_S,$B71),NA())</f>
        <v>248.73508464682249</v>
      </c>
      <c r="F71" s="71" cm="1">
        <f t="array" aca="1" ref="F71" ca="1">IF(ISNUMBER(_xll.VoseSimPercentile(Rev_C,$B71)),_xll.VoseSimPercentile(Rev_C,$B71),NA())</f>
        <v>251.99894343285703</v>
      </c>
      <c r="G71" s="71" cm="1">
        <f t="array" aca="1" ref="G71" ca="1">IF(ISNUMBER(_xll.VoseSimPercentile(Rev_P,$B71)),_xll.VoseSimPercentile(Rev_P,$B71),NA())</f>
        <v>244.28668181088238</v>
      </c>
    </row>
    <row r="72" spans="2:7" hidden="1" outlineLevel="1" x14ac:dyDescent="0.45">
      <c r="B72" s="70">
        <v>0.61</v>
      </c>
      <c r="C72" s="70">
        <f t="shared" si="0"/>
        <v>0.39</v>
      </c>
      <c r="D72" s="71" cm="1">
        <f t="array" aca="1" ref="D72" ca="1">IF(ISNUMBER(_xll.VoseSimPercentile(Rev_U,$B72)),_xll.VoseSimPercentile(Rev_U,$B72),NA())</f>
        <v>255.19742946380541</v>
      </c>
      <c r="E72" s="71" cm="1">
        <f t="array" aca="1" ref="E72" ca="1">IF(ISNUMBER(_xll.VoseSimPercentile(Rev_S,$B72)),_xll.VoseSimPercentile(Rev_S,$B72),NA())</f>
        <v>249.95538117101492</v>
      </c>
      <c r="F72" s="71" cm="1">
        <f t="array" aca="1" ref="F72" ca="1">IF(ISNUMBER(_xll.VoseSimPercentile(Rev_C,$B72)),_xll.VoseSimPercentile(Rev_C,$B72),NA())</f>
        <v>254.64505611557857</v>
      </c>
      <c r="G72" s="71" cm="1">
        <f t="array" aca="1" ref="G72" ca="1">IF(ISNUMBER(_xll.VoseSimPercentile(Rev_P,$B72)),_xll.VoseSimPercentile(Rev_P,$B72),NA())</f>
        <v>247.36375135484846</v>
      </c>
    </row>
    <row r="73" spans="2:7" hidden="1" outlineLevel="1" x14ac:dyDescent="0.45">
      <c r="B73" s="70">
        <v>0.63</v>
      </c>
      <c r="C73" s="70">
        <f t="shared" si="0"/>
        <v>0.37</v>
      </c>
      <c r="D73" s="71" cm="1">
        <f t="array" aca="1" ref="D73" ca="1">IF(ISNUMBER(_xll.VoseSimPercentile(Rev_U,$B73)),_xll.VoseSimPercentile(Rev_U,$B73),NA())</f>
        <v>258.60098942883707</v>
      </c>
      <c r="E73" s="71" cm="1">
        <f t="array" aca="1" ref="E73" ca="1">IF(ISNUMBER(_xll.VoseSimPercentile(Rev_S,$B73)),_xll.VoseSimPercentile(Rev_S,$B73),NA())</f>
        <v>251.0635534919621</v>
      </c>
      <c r="F73" s="71" cm="1">
        <f t="array" aca="1" ref="F73" ca="1">IF(ISNUMBER(_xll.VoseSimPercentile(Rev_C,$B73)),_xll.VoseSimPercentile(Rev_C,$B73),NA())</f>
        <v>257.43240736047437</v>
      </c>
      <c r="G73" s="71" cm="1">
        <f t="array" aca="1" ref="G73" ca="1">IF(ISNUMBER(_xll.VoseSimPercentile(Rev_P,$B73)),_xll.VoseSimPercentile(Rev_P,$B73),NA())</f>
        <v>250.50036634957345</v>
      </c>
    </row>
    <row r="74" spans="2:7" hidden="1" outlineLevel="1" x14ac:dyDescent="0.45">
      <c r="B74" s="70">
        <v>0.65</v>
      </c>
      <c r="C74" s="70">
        <f t="shared" ref="C74:C105" si="1">1-B74</f>
        <v>0.35</v>
      </c>
      <c r="D74" s="71" cm="1">
        <f t="array" aca="1" ref="D74" ca="1">IF(ISNUMBER(_xll.VoseSimPercentile(Rev_U,$B74)),_xll.VoseSimPercentile(Rev_U,$B74),NA())</f>
        <v>262.34153136382957</v>
      </c>
      <c r="E74" s="71" cm="1">
        <f t="array" aca="1" ref="E74" ca="1">IF(ISNUMBER(_xll.VoseSimPercentile(Rev_S,$B74)),_xll.VoseSimPercentile(Rev_S,$B74),NA())</f>
        <v>252.52666343458972</v>
      </c>
      <c r="F74" s="71" cm="1">
        <f t="array" aca="1" ref="F74" ca="1">IF(ISNUMBER(_xll.VoseSimPercentile(Rev_C,$B74)),_xll.VoseSimPercentile(Rev_C,$B74),NA())</f>
        <v>260.41724517659463</v>
      </c>
      <c r="G74" s="71" cm="1">
        <f t="array" aca="1" ref="G74" ca="1">IF(ISNUMBER(_xll.VoseSimPercentile(Rev_P,$B74)),_xll.VoseSimPercentile(Rev_P,$B74),NA())</f>
        <v>253.87581841169447</v>
      </c>
    </row>
    <row r="75" spans="2:7" hidden="1" outlineLevel="1" x14ac:dyDescent="0.45">
      <c r="B75" s="70">
        <v>0.67</v>
      </c>
      <c r="C75" s="70">
        <f t="shared" si="1"/>
        <v>0.32999999999999996</v>
      </c>
      <c r="D75" s="71" cm="1">
        <f t="array" aca="1" ref="D75" ca="1">IF(ISNUMBER(_xll.VoseSimPercentile(Rev_U,$B75)),_xll.VoseSimPercentile(Rev_U,$B75),NA())</f>
        <v>265.79189048475666</v>
      </c>
      <c r="E75" s="71" cm="1">
        <f t="array" aca="1" ref="E75" ca="1">IF(ISNUMBER(_xll.VoseSimPercentile(Rev_S,$B75)),_xll.VoseSimPercentile(Rev_S,$B75),NA())</f>
        <v>253.9544959132169</v>
      </c>
      <c r="F75" s="71" cm="1">
        <f t="array" aca="1" ref="F75" ca="1">IF(ISNUMBER(_xll.VoseSimPercentile(Rev_C,$B75)),_xll.VoseSimPercentile(Rev_C,$B75),NA())</f>
        <v>263.09815539293891</v>
      </c>
      <c r="G75" s="71" cm="1">
        <f t="array" aca="1" ref="G75" ca="1">IF(ISNUMBER(_xll.VoseSimPercentile(Rev_P,$B75)),_xll.VoseSimPercentile(Rev_P,$B75),NA())</f>
        <v>257.2361026137628</v>
      </c>
    </row>
    <row r="76" spans="2:7" hidden="1" outlineLevel="1" x14ac:dyDescent="0.45">
      <c r="B76" s="70">
        <v>0.69</v>
      </c>
      <c r="C76" s="70">
        <f t="shared" si="1"/>
        <v>0.31000000000000005</v>
      </c>
      <c r="D76" s="71" cm="1">
        <f t="array" aca="1" ref="D76" ca="1">IF(ISNUMBER(_xll.VoseSimPercentile(Rev_U,$B76)),_xll.VoseSimPercentile(Rev_U,$B76),NA())</f>
        <v>269.53997255250397</v>
      </c>
      <c r="E76" s="71" cm="1">
        <f t="array" aca="1" ref="E76" ca="1">IF(ISNUMBER(_xll.VoseSimPercentile(Rev_S,$B76)),_xll.VoseSimPercentile(Rev_S,$B76),NA())</f>
        <v>255.34030386094429</v>
      </c>
      <c r="F76" s="71" cm="1">
        <f t="array" aca="1" ref="F76" ca="1">IF(ISNUMBER(_xll.VoseSimPercentile(Rev_C,$B76)),_xll.VoseSimPercentile(Rev_C,$B76),NA())</f>
        <v>265.96538504039853</v>
      </c>
      <c r="G76" s="71" cm="1">
        <f t="array" aca="1" ref="G76" ca="1">IF(ISNUMBER(_xll.VoseSimPercentile(Rev_P,$B76)),_xll.VoseSimPercentile(Rev_P,$B76),NA())</f>
        <v>260.77720252681422</v>
      </c>
    </row>
    <row r="77" spans="2:7" hidden="1" outlineLevel="1" x14ac:dyDescent="0.45">
      <c r="B77" s="70">
        <v>0.71</v>
      </c>
      <c r="C77" s="70">
        <f t="shared" si="1"/>
        <v>0.29000000000000004</v>
      </c>
      <c r="D77" s="71" cm="1">
        <f t="array" aca="1" ref="D77" ca="1">IF(ISNUMBER(_xll.VoseSimPercentile(Rev_U,$B77)),_xll.VoseSimPercentile(Rev_U,$B77),NA())</f>
        <v>273.07823642053575</v>
      </c>
      <c r="E77" s="71" cm="1">
        <f t="array" aca="1" ref="E77" ca="1">IF(ISNUMBER(_xll.VoseSimPercentile(Rev_S,$B77)),_xll.VoseSimPercentile(Rev_S,$B77),NA())</f>
        <v>256.60181886469479</v>
      </c>
      <c r="F77" s="71" cm="1">
        <f t="array" aca="1" ref="F77" ca="1">IF(ISNUMBER(_xll.VoseSimPercentile(Rev_C,$B77)),_xll.VoseSimPercentile(Rev_C,$B77),NA())</f>
        <v>268.90180889367821</v>
      </c>
      <c r="G77" s="71" cm="1">
        <f t="array" aca="1" ref="G77" ca="1">IF(ISNUMBER(_xll.VoseSimPercentile(Rev_P,$B77)),_xll.VoseSimPercentile(Rev_P,$B77),NA())</f>
        <v>264.32772052068663</v>
      </c>
    </row>
    <row r="78" spans="2:7" hidden="1" outlineLevel="1" x14ac:dyDescent="0.45">
      <c r="B78" s="70">
        <v>0.73</v>
      </c>
      <c r="C78" s="70">
        <f t="shared" si="1"/>
        <v>0.27</v>
      </c>
      <c r="D78" s="71" cm="1">
        <f t="array" aca="1" ref="D78" ca="1">IF(ISNUMBER(_xll.VoseSimPercentile(Rev_U,$B78)),_xll.VoseSimPercentile(Rev_U,$B78),NA())</f>
        <v>277.02172801917646</v>
      </c>
      <c r="E78" s="71" cm="1">
        <f t="array" aca="1" ref="E78" ca="1">IF(ISNUMBER(_xll.VoseSimPercentile(Rev_S,$B78)),_xll.VoseSimPercentile(Rev_S,$B78),NA())</f>
        <v>257.91326444322067</v>
      </c>
      <c r="F78" s="71" cm="1">
        <f t="array" aca="1" ref="F78" ca="1">IF(ISNUMBER(_xll.VoseSimPercentile(Rev_C,$B78)),_xll.VoseSimPercentile(Rev_C,$B78),NA())</f>
        <v>272.08352995442505</v>
      </c>
      <c r="G78" s="71" cm="1">
        <f t="array" aca="1" ref="G78" ca="1">IF(ISNUMBER(_xll.VoseSimPercentile(Rev_P,$B78)),_xll.VoseSimPercentile(Rev_P,$B78),NA())</f>
        <v>268.18112975961338</v>
      </c>
    </row>
    <row r="79" spans="2:7" hidden="1" outlineLevel="1" x14ac:dyDescent="0.45">
      <c r="B79" s="70">
        <v>0.75</v>
      </c>
      <c r="C79" s="70">
        <f t="shared" si="1"/>
        <v>0.25</v>
      </c>
      <c r="D79" s="71" cm="1">
        <f t="array" aca="1" ref="D79" ca="1">IF(ISNUMBER(_xll.VoseSimPercentile(Rev_U,$B79)),_xll.VoseSimPercentile(Rev_U,$B79),NA())</f>
        <v>281.00984029116654</v>
      </c>
      <c r="E79" s="71" cm="1">
        <f t="array" aca="1" ref="E79" ca="1">IF(ISNUMBER(_xll.VoseSimPercentile(Rev_S,$B79)),_xll.VoseSimPercentile(Rev_S,$B79),NA())</f>
        <v>259.54892609969596</v>
      </c>
      <c r="F79" s="71" cm="1">
        <f t="array" aca="1" ref="F79" ca="1">IF(ISNUMBER(_xll.VoseSimPercentile(Rev_C,$B79)),_xll.VoseSimPercentile(Rev_C,$B79),NA())</f>
        <v>275.14226415545505</v>
      </c>
      <c r="G79" s="71" cm="1">
        <f t="array" aca="1" ref="G79" ca="1">IF(ISNUMBER(_xll.VoseSimPercentile(Rev_P,$B79)),_xll.VoseSimPercentile(Rev_P,$B79),NA())</f>
        <v>272.08185102914325</v>
      </c>
    </row>
    <row r="80" spans="2:7" hidden="1" outlineLevel="1" x14ac:dyDescent="0.45">
      <c r="B80" s="70">
        <v>0.77</v>
      </c>
      <c r="C80" s="70">
        <f t="shared" si="1"/>
        <v>0.22999999999999998</v>
      </c>
      <c r="D80" s="71" cm="1">
        <f t="array" aca="1" ref="D80" ca="1">IF(ISNUMBER(_xll.VoseSimPercentile(Rev_U,$B80)),_xll.VoseSimPercentile(Rev_U,$B80),NA())</f>
        <v>285.95272692917672</v>
      </c>
      <c r="E80" s="71" cm="1">
        <f t="array" aca="1" ref="E80" ca="1">IF(ISNUMBER(_xll.VoseSimPercentile(Rev_S,$B80)),_xll.VoseSimPercentile(Rev_S,$B80),NA())</f>
        <v>261.47498021037876</v>
      </c>
      <c r="F80" s="71" cm="1">
        <f t="array" aca="1" ref="F80" ca="1">IF(ISNUMBER(_xll.VoseSimPercentile(Rev_C,$B80)),_xll.VoseSimPercentile(Rev_C,$B80),NA())</f>
        <v>278.42770871867106</v>
      </c>
      <c r="G80" s="71" cm="1">
        <f t="array" aca="1" ref="G80" ca="1">IF(ISNUMBER(_xll.VoseSimPercentile(Rev_P,$B80)),_xll.VoseSimPercentile(Rev_P,$B80),NA())</f>
        <v>276.92060229816218</v>
      </c>
    </row>
    <row r="81" spans="2:7" hidden="1" outlineLevel="1" x14ac:dyDescent="0.45">
      <c r="B81" s="70">
        <v>0.79</v>
      </c>
      <c r="C81" s="70">
        <f t="shared" si="1"/>
        <v>0.20999999999999996</v>
      </c>
      <c r="D81" s="71" cm="1">
        <f t="array" aca="1" ref="D81" ca="1">IF(ISNUMBER(_xll.VoseSimPercentile(Rev_U,$B81)),_xll.VoseSimPercentile(Rev_U,$B81),NA())</f>
        <v>290.85723620912466</v>
      </c>
      <c r="E81" s="71" cm="1">
        <f t="array" aca="1" ref="E81" ca="1">IF(ISNUMBER(_xll.VoseSimPercentile(Rev_S,$B81)),_xll.VoseSimPercentile(Rev_S,$B81),NA())</f>
        <v>263.36529658977958</v>
      </c>
      <c r="F81" s="71" cm="1">
        <f t="array" aca="1" ref="F81" ca="1">IF(ISNUMBER(_xll.VoseSimPercentile(Rev_C,$B81)),_xll.VoseSimPercentile(Rev_C,$B81),NA())</f>
        <v>281.6564742862804</v>
      </c>
      <c r="G81" s="71" cm="1">
        <f t="array" aca="1" ref="G81" ca="1">IF(ISNUMBER(_xll.VoseSimPercentile(Rev_P,$B81)),_xll.VoseSimPercentile(Rev_P,$B81),NA())</f>
        <v>281.72371816574616</v>
      </c>
    </row>
    <row r="82" spans="2:7" hidden="1" outlineLevel="1" x14ac:dyDescent="0.45">
      <c r="B82" s="70">
        <v>0.81</v>
      </c>
      <c r="C82" s="70">
        <f t="shared" si="1"/>
        <v>0.18999999999999995</v>
      </c>
      <c r="D82" s="71" cm="1">
        <f t="array" aca="1" ref="D82" ca="1">IF(ISNUMBER(_xll.VoseSimPercentile(Rev_U,$B82)),_xll.VoseSimPercentile(Rev_U,$B82),NA())</f>
        <v>296.7059607237191</v>
      </c>
      <c r="E82" s="71" cm="1">
        <f t="array" aca="1" ref="E82" ca="1">IF(ISNUMBER(_xll.VoseSimPercentile(Rev_S,$B82)),_xll.VoseSimPercentile(Rev_S,$B82),NA())</f>
        <v>265.36257487523136</v>
      </c>
      <c r="F82" s="71" cm="1">
        <f t="array" aca="1" ref="F82" ca="1">IF(ISNUMBER(_xll.VoseSimPercentile(Rev_C,$B82)),_xll.VoseSimPercentile(Rev_C,$B82),NA())</f>
        <v>285.40805544475506</v>
      </c>
      <c r="G82" s="71" cm="1">
        <f t="array" aca="1" ref="G82" ca="1">IF(ISNUMBER(_xll.VoseSimPercentile(Rev_P,$B82)),_xll.VoseSimPercentile(Rev_P,$B82),NA())</f>
        <v>287.54418757517703</v>
      </c>
    </row>
    <row r="83" spans="2:7" hidden="1" outlineLevel="1" x14ac:dyDescent="0.45">
      <c r="B83" s="70">
        <v>0.83</v>
      </c>
      <c r="C83" s="70">
        <f t="shared" si="1"/>
        <v>0.17000000000000004</v>
      </c>
      <c r="D83" s="71" cm="1">
        <f t="array" aca="1" ref="D83" ca="1">IF(ISNUMBER(_xll.VoseSimPercentile(Rev_U,$B83)),_xll.VoseSimPercentile(Rev_U,$B83),NA())</f>
        <v>302.67869166578413</v>
      </c>
      <c r="E83" s="71" cm="1">
        <f t="array" aca="1" ref="E83" ca="1">IF(ISNUMBER(_xll.VoseSimPercentile(Rev_S,$B83)),_xll.VoseSimPercentile(Rev_S,$B83),NA())</f>
        <v>267.65988609574856</v>
      </c>
      <c r="F83" s="71" cm="1">
        <f t="array" aca="1" ref="F83" ca="1">IF(ISNUMBER(_xll.VoseSimPercentile(Rev_C,$B83)),_xll.VoseSimPercentile(Rev_C,$B83),NA())</f>
        <v>289.34910621193296</v>
      </c>
      <c r="G83" s="71" cm="1">
        <f t="array" aca="1" ref="G83" ca="1">IF(ISNUMBER(_xll.VoseSimPercentile(Rev_P,$B83)),_xll.VoseSimPercentile(Rev_P,$B83),NA())</f>
        <v>293.51048270143741</v>
      </c>
    </row>
    <row r="84" spans="2:7" hidden="1" outlineLevel="1" x14ac:dyDescent="0.45">
      <c r="B84" s="70">
        <v>0.85</v>
      </c>
      <c r="C84" s="70">
        <f t="shared" si="1"/>
        <v>0.15000000000000002</v>
      </c>
      <c r="D84" s="71" cm="1">
        <f t="array" aca="1" ref="D84" ca="1">IF(ISNUMBER(_xll.VoseSimPercentile(Rev_U,$B84)),_xll.VoseSimPercentile(Rev_U,$B84),NA())</f>
        <v>308.52364360301817</v>
      </c>
      <c r="E84" s="71" cm="1">
        <f t="array" aca="1" ref="E84" ca="1">IF(ISNUMBER(_xll.VoseSimPercentile(Rev_S,$B84)),_xll.VoseSimPercentile(Rev_S,$B84),NA())</f>
        <v>269.8491368453594</v>
      </c>
      <c r="F84" s="71" cm="1">
        <f t="array" aca="1" ref="F84" ca="1">IF(ISNUMBER(_xll.VoseSimPercentile(Rev_C,$B84)),_xll.VoseSimPercentile(Rev_C,$B84),NA())</f>
        <v>293.02131875886386</v>
      </c>
      <c r="G84" s="71" cm="1">
        <f t="array" aca="1" ref="G84" ca="1">IF(ISNUMBER(_xll.VoseSimPercentile(Rev_P,$B84)),_xll.VoseSimPercentile(Rev_P,$B84),NA())</f>
        <v>299.41678121396893</v>
      </c>
    </row>
    <row r="85" spans="2:7" hidden="1" outlineLevel="1" x14ac:dyDescent="0.45">
      <c r="B85" s="70">
        <v>0.87</v>
      </c>
      <c r="C85" s="70">
        <f t="shared" si="1"/>
        <v>0.13</v>
      </c>
      <c r="D85" s="71" cm="1">
        <f t="array" aca="1" ref="D85" ca="1">IF(ISNUMBER(_xll.VoseSimPercentile(Rev_U,$B85)),_xll.VoseSimPercentile(Rev_U,$B85),NA())</f>
        <v>315.55332080259359</v>
      </c>
      <c r="E85" s="71" cm="1">
        <f t="array" aca="1" ref="E85" ca="1">IF(ISNUMBER(_xll.VoseSimPercentile(Rev_S,$B85)),_xll.VoseSimPercentile(Rev_S,$B85),NA())</f>
        <v>272.503587466635</v>
      </c>
      <c r="F85" s="71" cm="1">
        <f t="array" aca="1" ref="F85" ca="1">IF(ISNUMBER(_xll.VoseSimPercentile(Rev_C,$B85)),_xll.VoseSimPercentile(Rev_C,$B85),NA())</f>
        <v>296.70110372021446</v>
      </c>
      <c r="G85" s="71" cm="1">
        <f t="array" aca="1" ref="G85" ca="1">IF(ISNUMBER(_xll.VoseSimPercentile(Rev_P,$B85)),_xll.VoseSimPercentile(Rev_P,$B85),NA())</f>
        <v>306.7488877538388</v>
      </c>
    </row>
    <row r="86" spans="2:7" hidden="1" outlineLevel="1" x14ac:dyDescent="0.45">
      <c r="B86" s="70">
        <v>0.89</v>
      </c>
      <c r="C86" s="70">
        <f t="shared" si="1"/>
        <v>0.10999999999999999</v>
      </c>
      <c r="D86" s="71" cm="1">
        <f t="array" aca="1" ref="D86" ca="1">IF(ISNUMBER(_xll.VoseSimPercentile(Rev_U,$B86)),_xll.VoseSimPercentile(Rev_U,$B86),NA())</f>
        <v>323.84172052187301</v>
      </c>
      <c r="E86" s="71" cm="1">
        <f t="array" aca="1" ref="E86" ca="1">IF(ISNUMBER(_xll.VoseSimPercentile(Rev_S,$B86)),_xll.VoseSimPercentile(Rev_S,$B86),NA())</f>
        <v>275.51598378576449</v>
      </c>
      <c r="F86" s="71" cm="1">
        <f t="array" aca="1" ref="F86" ca="1">IF(ISNUMBER(_xll.VoseSimPercentile(Rev_C,$B86)),_xll.VoseSimPercentile(Rev_C,$B86),NA())</f>
        <v>301.1207279195724</v>
      </c>
      <c r="G86" s="71" cm="1">
        <f t="array" aca="1" ref="G86" ca="1">IF(ISNUMBER(_xll.VoseSimPercentile(Rev_P,$B86)),_xll.VoseSimPercentile(Rev_P,$B86),NA())</f>
        <v>314.77744362488556</v>
      </c>
    </row>
    <row r="87" spans="2:7" hidden="1" outlineLevel="1" x14ac:dyDescent="0.45">
      <c r="B87" s="70">
        <v>0.91</v>
      </c>
      <c r="C87" s="70">
        <f t="shared" si="1"/>
        <v>8.9999999999999969E-2</v>
      </c>
      <c r="D87" s="71" cm="1">
        <f t="array" aca="1" ref="D87" ca="1">IF(ISNUMBER(_xll.VoseSimPercentile(Rev_U,$B87)),_xll.VoseSimPercentile(Rev_U,$B87),NA())</f>
        <v>333.17215072816475</v>
      </c>
      <c r="E87" s="71" cm="1">
        <f t="array" aca="1" ref="E87" ca="1">IF(ISNUMBER(_xll.VoseSimPercentile(Rev_S,$B87)),_xll.VoseSimPercentile(Rev_S,$B87),NA())</f>
        <v>279.37079128869038</v>
      </c>
      <c r="F87" s="71" cm="1">
        <f t="array" aca="1" ref="F87" ca="1">IF(ISNUMBER(_xll.VoseSimPercentile(Rev_C,$B87)),_xll.VoseSimPercentile(Rev_C,$B87),NA())</f>
        <v>306.14688610344268</v>
      </c>
      <c r="G87" s="71" cm="1">
        <f t="array" aca="1" ref="G87" ca="1">IF(ISNUMBER(_xll.VoseSimPercentile(Rev_P,$B87)),_xll.VoseSimPercentile(Rev_P,$B87),NA())</f>
        <v>323.99215072816475</v>
      </c>
    </row>
    <row r="88" spans="2:7" hidden="1" outlineLevel="1" x14ac:dyDescent="0.45">
      <c r="B88" s="70">
        <v>0.93</v>
      </c>
      <c r="C88" s="70">
        <f t="shared" si="1"/>
        <v>6.9999999999999951E-2</v>
      </c>
      <c r="D88" s="71" cm="1">
        <f t="array" aca="1" ref="D88" ca="1">IF(ISNUMBER(_xll.VoseSimPercentile(Rev_U,$B88)),_xll.VoseSimPercentile(Rev_U,$B88),NA())</f>
        <v>345.48670616574702</v>
      </c>
      <c r="E88" s="71" cm="1">
        <f t="array" aca="1" ref="E88" ca="1">IF(ISNUMBER(_xll.VoseSimPercentile(Rev_S,$B88)),_xll.VoseSimPercentile(Rev_S,$B88),NA())</f>
        <v>283.86171541784796</v>
      </c>
      <c r="F88" s="71" cm="1">
        <f t="array" aca="1" ref="F88" ca="1">IF(ISNUMBER(_xll.VoseSimPercentile(Rev_C,$B88)),_xll.VoseSimPercentile(Rev_C,$B88),NA())</f>
        <v>311.35880760909538</v>
      </c>
      <c r="G88" s="71" cm="1">
        <f t="array" aca="1" ref="G88" ca="1">IF(ISNUMBER(_xll.VoseSimPercentile(Rev_P,$B88)),_xll.VoseSimPercentile(Rev_P,$B88),NA())</f>
        <v>336.30670616574702</v>
      </c>
    </row>
    <row r="89" spans="2:7" hidden="1" outlineLevel="1" x14ac:dyDescent="0.45">
      <c r="B89" s="70">
        <v>0.95</v>
      </c>
      <c r="C89" s="70">
        <f t="shared" si="1"/>
        <v>5.0000000000000044E-2</v>
      </c>
      <c r="D89" s="71" cm="1">
        <f t="array" aca="1" ref="D89" ca="1">IF(ISNUMBER(_xll.VoseSimPercentile(Rev_U,$B89)),_xll.VoseSimPercentile(Rev_U,$B89),NA())</f>
        <v>361.7304469403565</v>
      </c>
      <c r="E89" s="71" cm="1">
        <f t="array" aca="1" ref="E89" ca="1">IF(ISNUMBER(_xll.VoseSimPercentile(Rev_S,$B89)),_xll.VoseSimPercentile(Rev_S,$B89),NA())</f>
        <v>289.99555447154648</v>
      </c>
      <c r="F89" s="71" cm="1">
        <f t="array" aca="1" ref="F89" ca="1">IF(ISNUMBER(_xll.VoseSimPercentile(Rev_C,$B89)),_xll.VoseSimPercentile(Rev_C,$B89),NA())</f>
        <v>318.28696431692862</v>
      </c>
      <c r="G89" s="71" cm="1">
        <f t="array" aca="1" ref="G89" ca="1">IF(ISNUMBER(_xll.VoseSimPercentile(Rev_P,$B89)),_xll.VoseSimPercentile(Rev_P,$B89),NA())</f>
        <v>352.55044694035649</v>
      </c>
    </row>
    <row r="90" spans="2:7" hidden="1" outlineLevel="1" x14ac:dyDescent="0.45">
      <c r="B90" s="70">
        <v>0.97</v>
      </c>
      <c r="C90" s="70">
        <f t="shared" si="1"/>
        <v>3.0000000000000027E-2</v>
      </c>
      <c r="D90" s="71" cm="1">
        <f t="array" aca="1" ref="D90" ca="1">IF(ISNUMBER(_xll.VoseSimPercentile(Rev_U,$B90)),_xll.VoseSimPercentile(Rev_U,$B90),NA())</f>
        <v>387.26919764123124</v>
      </c>
      <c r="E90" s="71" cm="1">
        <f t="array" aca="1" ref="E90" ca="1">IF(ISNUMBER(_xll.VoseSimPercentile(Rev_S,$B90)),_xll.VoseSimPercentile(Rev_S,$B90),NA())</f>
        <v>299.12625169057964</v>
      </c>
      <c r="F90" s="71" cm="1">
        <f t="array" aca="1" ref="F90" ca="1">IF(ISNUMBER(_xll.VoseSimPercentile(Rev_C,$B90)),_xll.VoseSimPercentile(Rev_C,$B90),NA())</f>
        <v>328.41986556893721</v>
      </c>
      <c r="G90" s="71" cm="1">
        <f t="array" aca="1" ref="G90" ca="1">IF(ISNUMBER(_xll.VoseSimPercentile(Rev_P,$B90)),_xll.VoseSimPercentile(Rev_P,$B90),NA())</f>
        <v>378.08919764123124</v>
      </c>
    </row>
    <row r="91" spans="2:7" hidden="1" outlineLevel="1" x14ac:dyDescent="0.45">
      <c r="B91" s="70">
        <v>0.99</v>
      </c>
      <c r="C91" s="70">
        <f t="shared" si="1"/>
        <v>1.0000000000000009E-2</v>
      </c>
      <c r="D91" s="71" cm="1">
        <f t="array" aca="1" ref="D91" ca="1">IF(ISNUMBER(_xll.VoseSimPercentile(Rev_U,$B91)),_xll.VoseSimPercentile(Rev_U,$B91),NA())</f>
        <v>433.39839434866172</v>
      </c>
      <c r="E91" s="71" cm="1">
        <f t="array" aca="1" ref="E91" ca="1">IF(ISNUMBER(_xll.VoseSimPercentile(Rev_S,$B91)),_xll.VoseSimPercentile(Rev_S,$B91),NA())</f>
        <v>317.11286223190291</v>
      </c>
      <c r="F91" s="71" cm="1">
        <f t="array" aca="1" ref="F91" ca="1">IF(ISNUMBER(_xll.VoseSimPercentile(Rev_C,$B91)),_xll.VoseSimPercentile(Rev_C,$B91),NA())</f>
        <v>346.56109534238459</v>
      </c>
      <c r="G91" s="71" cm="1">
        <f t="array" aca="1" ref="G91" ca="1">IF(ISNUMBER(_xll.VoseSimPercentile(Rev_P,$B91)),_xll.VoseSimPercentile(Rev_P,$B91),NA())</f>
        <v>424.21839434866172</v>
      </c>
    </row>
  </sheetData>
  <mergeCells count="5">
    <mergeCell ref="B34:G34"/>
    <mergeCell ref="B36:G36"/>
    <mergeCell ref="B32:G32"/>
    <mergeCell ref="B35:G35"/>
    <mergeCell ref="B33:G33"/>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42:G91">
    <cfRule type="expression" dxfId="0" priority="3">
      <formula>ISNA(D42)</formula>
    </cfRule>
  </conditionalFormatting>
  <hyperlinks>
    <hyperlink ref="B4" location="'Hedges'!A1" display="◂  Hedg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888FE-8978-405D-9CE3-12CAB5D7AA80}">
  <dimension ref="A1:B1"/>
  <sheetViews>
    <sheetView workbookViewId="0"/>
  </sheetViews>
  <sheetFormatPr defaultRowHeight="14.25" x14ac:dyDescent="0.45"/>
  <sheetData>
    <row r="1" spans="1:2" x14ac:dyDescent="0.45">
      <c r="A1" s="76" t="s">
        <v>252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EAF22-923B-4DF8-AD82-769DDF073D53}">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6B61E-645D-4764-8DBF-6AF333276C69}">
  <dimension ref="B3:B132"/>
  <sheetViews>
    <sheetView workbookViewId="0"/>
  </sheetViews>
  <sheetFormatPr defaultRowHeight="14.25" x14ac:dyDescent="0.45"/>
  <sheetData>
    <row r="3" spans="2:2" x14ac:dyDescent="0.45">
      <c r="B3">
        <v>1899</v>
      </c>
    </row>
    <row r="4" spans="2:2" x14ac:dyDescent="0.45">
      <c r="B4">
        <v>0</v>
      </c>
    </row>
    <row r="5" spans="2:2" x14ac:dyDescent="0.45">
      <c r="B5">
        <v>0</v>
      </c>
    </row>
    <row r="6" spans="2:2" x14ac:dyDescent="0.45">
      <c r="B6">
        <v>0</v>
      </c>
    </row>
    <row r="7" spans="2:2" x14ac:dyDescent="0.45">
      <c r="B7">
        <v>0</v>
      </c>
    </row>
    <row r="8" spans="2:2" x14ac:dyDescent="0.45">
      <c r="B8">
        <v>0</v>
      </c>
    </row>
    <row r="9" spans="2:2" x14ac:dyDescent="0.45">
      <c r="B9">
        <v>0</v>
      </c>
    </row>
    <row r="10" spans="2:2" x14ac:dyDescent="0.45">
      <c r="B10">
        <v>0</v>
      </c>
    </row>
    <row r="11" spans="2:2" x14ac:dyDescent="0.45">
      <c r="B11">
        <v>0</v>
      </c>
    </row>
    <row r="12" spans="2:2" x14ac:dyDescent="0.45">
      <c r="B12">
        <v>101</v>
      </c>
    </row>
    <row r="13" spans="2:2" x14ac:dyDescent="0.45">
      <c r="B13">
        <v>67</v>
      </c>
    </row>
    <row r="14" spans="2:2" x14ac:dyDescent="0.45">
      <c r="B14">
        <v>376</v>
      </c>
    </row>
    <row r="15" spans="2:2" x14ac:dyDescent="0.45">
      <c r="B15">
        <v>570</v>
      </c>
    </row>
    <row r="16" spans="2:2" x14ac:dyDescent="0.45">
      <c r="B16">
        <v>518</v>
      </c>
    </row>
    <row r="17" spans="2:2" x14ac:dyDescent="0.45">
      <c r="B17">
        <v>267</v>
      </c>
    </row>
    <row r="18" spans="2:2" x14ac:dyDescent="0.45">
      <c r="B18">
        <v>127</v>
      </c>
    </row>
    <row r="19" spans="2:2" x14ac:dyDescent="0.45">
      <c r="B19">
        <v>49</v>
      </c>
    </row>
    <row r="20" spans="2:2" x14ac:dyDescent="0.45">
      <c r="B20">
        <v>13</v>
      </c>
    </row>
    <row r="21" spans="2:2" x14ac:dyDescent="0.45">
      <c r="B21">
        <v>5</v>
      </c>
    </row>
    <row r="22" spans="2:2" x14ac:dyDescent="0.45">
      <c r="B22">
        <v>8</v>
      </c>
    </row>
    <row r="23" spans="2:2" x14ac:dyDescent="0.45">
      <c r="B23">
        <v>43</v>
      </c>
    </row>
    <row r="24" spans="2:2" x14ac:dyDescent="0.45">
      <c r="B24">
        <v>251</v>
      </c>
    </row>
    <row r="25" spans="2:2" x14ac:dyDescent="0.45">
      <c r="B25">
        <v>571</v>
      </c>
    </row>
    <row r="26" spans="2:2" x14ac:dyDescent="0.45">
      <c r="B26">
        <v>534</v>
      </c>
    </row>
    <row r="27" spans="2:2" x14ac:dyDescent="0.45">
      <c r="B27">
        <v>369</v>
      </c>
    </row>
    <row r="28" spans="2:2" x14ac:dyDescent="0.45">
      <c r="B28">
        <v>150</v>
      </c>
    </row>
    <row r="29" spans="2:2" x14ac:dyDescent="0.45">
      <c r="B29">
        <v>57</v>
      </c>
    </row>
    <row r="30" spans="2:2" x14ac:dyDescent="0.45">
      <c r="B30">
        <v>12</v>
      </c>
    </row>
    <row r="31" spans="2:2" x14ac:dyDescent="0.45">
      <c r="B31">
        <v>5</v>
      </c>
    </row>
    <row r="32" spans="2:2" x14ac:dyDescent="0.45">
      <c r="B32">
        <v>8</v>
      </c>
    </row>
    <row r="33" spans="2:2" x14ac:dyDescent="0.45">
      <c r="B33">
        <v>71</v>
      </c>
    </row>
    <row r="34" spans="2:2" x14ac:dyDescent="0.45">
      <c r="B34">
        <v>384</v>
      </c>
    </row>
    <row r="35" spans="2:2" x14ac:dyDescent="0.45">
      <c r="B35">
        <v>430</v>
      </c>
    </row>
    <row r="36" spans="2:2" x14ac:dyDescent="0.45">
      <c r="B36">
        <v>340</v>
      </c>
    </row>
    <row r="37" spans="2:2" x14ac:dyDescent="0.45">
      <c r="B37">
        <v>311</v>
      </c>
    </row>
    <row r="38" spans="2:2" x14ac:dyDescent="0.45">
      <c r="B38">
        <v>241</v>
      </c>
    </row>
    <row r="39" spans="2:2" x14ac:dyDescent="0.45">
      <c r="B39">
        <v>150</v>
      </c>
    </row>
    <row r="40" spans="2:2" x14ac:dyDescent="0.45">
      <c r="B40">
        <v>53</v>
      </c>
    </row>
    <row r="41" spans="2:2" x14ac:dyDescent="0.45">
      <c r="B41">
        <v>9</v>
      </c>
    </row>
    <row r="42" spans="2:2" x14ac:dyDescent="0.45">
      <c r="B42">
        <v>11</v>
      </c>
    </row>
    <row r="43" spans="2:2" x14ac:dyDescent="0.45">
      <c r="B43">
        <v>313</v>
      </c>
    </row>
    <row r="44" spans="2:2" x14ac:dyDescent="0.45">
      <c r="B44">
        <v>703</v>
      </c>
    </row>
    <row r="45" spans="2:2" x14ac:dyDescent="0.45">
      <c r="B45">
        <v>491</v>
      </c>
    </row>
    <row r="46" spans="2:2" x14ac:dyDescent="0.45">
      <c r="B46">
        <v>260</v>
      </c>
    </row>
    <row r="47" spans="2:2" x14ac:dyDescent="0.45">
      <c r="B47">
        <v>140</v>
      </c>
    </row>
    <row r="48" spans="2:2" x14ac:dyDescent="0.45">
      <c r="B48">
        <v>50</v>
      </c>
    </row>
    <row r="49" spans="2:2" x14ac:dyDescent="0.45">
      <c r="B49">
        <v>23</v>
      </c>
    </row>
    <row r="50" spans="2:2" x14ac:dyDescent="0.45">
      <c r="B50">
        <v>9</v>
      </c>
    </row>
    <row r="51" spans="2:2" x14ac:dyDescent="0.45">
      <c r="B51">
        <v>4</v>
      </c>
    </row>
    <row r="52" spans="2:2" x14ac:dyDescent="0.45">
      <c r="B52">
        <v>7</v>
      </c>
    </row>
    <row r="53" spans="2:2" x14ac:dyDescent="0.45">
      <c r="B53">
        <v>8</v>
      </c>
    </row>
    <row r="54" spans="2:2" x14ac:dyDescent="0.45">
      <c r="B54">
        <v>5</v>
      </c>
    </row>
    <row r="55" spans="2:2" x14ac:dyDescent="0.45">
      <c r="B55">
        <v>13</v>
      </c>
    </row>
    <row r="56" spans="2:2" x14ac:dyDescent="0.45">
      <c r="B56">
        <v>49</v>
      </c>
    </row>
    <row r="57" spans="2:2" x14ac:dyDescent="0.45">
      <c r="B57">
        <v>128</v>
      </c>
    </row>
    <row r="58" spans="2:2" x14ac:dyDescent="0.45">
      <c r="B58">
        <v>269</v>
      </c>
    </row>
    <row r="59" spans="2:2" x14ac:dyDescent="0.45">
      <c r="B59">
        <v>520</v>
      </c>
    </row>
    <row r="60" spans="2:2" x14ac:dyDescent="0.45">
      <c r="B60">
        <v>572</v>
      </c>
    </row>
    <row r="61" spans="2:2" x14ac:dyDescent="0.45">
      <c r="B61">
        <v>369</v>
      </c>
    </row>
    <row r="62" spans="2:2" x14ac:dyDescent="0.45">
      <c r="B62">
        <v>67</v>
      </c>
    </row>
    <row r="63" spans="2:2" x14ac:dyDescent="0.45">
      <c r="B63">
        <v>8</v>
      </c>
    </row>
    <row r="64" spans="2:2" x14ac:dyDescent="0.45">
      <c r="B64">
        <v>5</v>
      </c>
    </row>
    <row r="65" spans="2:2" x14ac:dyDescent="0.45">
      <c r="B65">
        <v>13</v>
      </c>
    </row>
    <row r="66" spans="2:2" x14ac:dyDescent="0.45">
      <c r="B66">
        <v>56</v>
      </c>
    </row>
    <row r="67" spans="2:2" x14ac:dyDescent="0.45">
      <c r="B67">
        <v>150</v>
      </c>
    </row>
    <row r="68" spans="2:2" x14ac:dyDescent="0.45">
      <c r="B68">
        <v>376</v>
      </c>
    </row>
    <row r="69" spans="2:2" x14ac:dyDescent="0.45">
      <c r="B69">
        <v>533</v>
      </c>
    </row>
    <row r="70" spans="2:2" x14ac:dyDescent="0.45">
      <c r="B70">
        <v>571</v>
      </c>
    </row>
    <row r="71" spans="2:2" x14ac:dyDescent="0.45">
      <c r="B71">
        <v>246</v>
      </c>
    </row>
    <row r="72" spans="2:2" x14ac:dyDescent="0.45">
      <c r="B72">
        <v>42</v>
      </c>
    </row>
    <row r="73" spans="2:2" x14ac:dyDescent="0.45">
      <c r="B73">
        <v>11</v>
      </c>
    </row>
    <row r="74" spans="2:2" x14ac:dyDescent="0.45">
      <c r="B74">
        <v>10</v>
      </c>
    </row>
    <row r="75" spans="2:2" x14ac:dyDescent="0.45">
      <c r="B75">
        <v>53</v>
      </c>
    </row>
    <row r="76" spans="2:2" x14ac:dyDescent="0.45">
      <c r="B76">
        <v>150</v>
      </c>
    </row>
    <row r="77" spans="2:2" x14ac:dyDescent="0.45">
      <c r="B77">
        <v>244</v>
      </c>
    </row>
    <row r="78" spans="2:2" x14ac:dyDescent="0.45">
      <c r="B78">
        <v>310</v>
      </c>
    </row>
    <row r="79" spans="2:2" x14ac:dyDescent="0.45">
      <c r="B79">
        <v>337</v>
      </c>
    </row>
    <row r="80" spans="2:2" x14ac:dyDescent="0.45">
      <c r="B80">
        <v>432</v>
      </c>
    </row>
    <row r="81" spans="2:2" x14ac:dyDescent="0.45">
      <c r="B81">
        <v>385</v>
      </c>
    </row>
    <row r="82" spans="2:2" x14ac:dyDescent="0.45">
      <c r="B82">
        <v>68</v>
      </c>
    </row>
    <row r="83" spans="2:2" x14ac:dyDescent="0.45">
      <c r="B83">
        <v>7</v>
      </c>
    </row>
    <row r="84" spans="2:2" x14ac:dyDescent="0.45">
      <c r="B84">
        <v>4</v>
      </c>
    </row>
    <row r="85" spans="2:2" x14ac:dyDescent="0.45">
      <c r="B85">
        <v>9</v>
      </c>
    </row>
    <row r="86" spans="2:2" x14ac:dyDescent="0.45">
      <c r="B86">
        <v>24</v>
      </c>
    </row>
    <row r="87" spans="2:2" x14ac:dyDescent="0.45">
      <c r="B87">
        <v>50</v>
      </c>
    </row>
    <row r="88" spans="2:2" x14ac:dyDescent="0.45">
      <c r="B88">
        <v>139</v>
      </c>
    </row>
    <row r="89" spans="2:2" x14ac:dyDescent="0.45">
      <c r="B89">
        <v>261</v>
      </c>
    </row>
    <row r="90" spans="2:2" x14ac:dyDescent="0.45">
      <c r="B90">
        <v>495</v>
      </c>
    </row>
    <row r="91" spans="2:2" x14ac:dyDescent="0.45">
      <c r="B91">
        <v>704</v>
      </c>
    </row>
    <row r="92" spans="2:2" x14ac:dyDescent="0.45">
      <c r="B92">
        <v>307</v>
      </c>
    </row>
    <row r="93" spans="2:2" x14ac:dyDescent="0.45">
      <c r="B93">
        <v>9</v>
      </c>
    </row>
    <row r="94" spans="2:2" x14ac:dyDescent="0.45">
      <c r="B94">
        <v>4</v>
      </c>
    </row>
    <row r="95" spans="2:2" x14ac:dyDescent="0.45">
      <c r="B95">
        <v>13</v>
      </c>
    </row>
    <row r="96" spans="2:2" x14ac:dyDescent="0.45">
      <c r="B96">
        <v>48</v>
      </c>
    </row>
    <row r="97" spans="2:2" x14ac:dyDescent="0.45">
      <c r="B97">
        <v>135</v>
      </c>
    </row>
    <row r="98" spans="2:2" x14ac:dyDescent="0.45">
      <c r="B98">
        <v>267</v>
      </c>
    </row>
    <row r="99" spans="2:2" x14ac:dyDescent="0.45">
      <c r="B99">
        <v>524</v>
      </c>
    </row>
    <row r="100" spans="2:2" x14ac:dyDescent="0.45">
      <c r="B100">
        <v>573</v>
      </c>
    </row>
    <row r="101" spans="2:2" x14ac:dyDescent="0.45">
      <c r="B101">
        <v>366</v>
      </c>
    </row>
    <row r="102" spans="2:2" x14ac:dyDescent="0.45">
      <c r="B102">
        <v>61</v>
      </c>
    </row>
    <row r="103" spans="2:2" x14ac:dyDescent="0.45">
      <c r="B103">
        <v>7</v>
      </c>
    </row>
    <row r="104" spans="2:2" x14ac:dyDescent="0.45">
      <c r="B104">
        <v>5</v>
      </c>
    </row>
    <row r="105" spans="2:2" x14ac:dyDescent="0.45">
      <c r="B105">
        <v>7</v>
      </c>
    </row>
    <row r="106" spans="2:2" x14ac:dyDescent="0.45">
      <c r="B106">
        <v>19</v>
      </c>
    </row>
    <row r="107" spans="2:2" x14ac:dyDescent="0.45">
      <c r="B107">
        <v>41</v>
      </c>
    </row>
    <row r="108" spans="2:2" x14ac:dyDescent="0.45">
      <c r="B108">
        <v>130</v>
      </c>
    </row>
    <row r="109" spans="2:2" x14ac:dyDescent="0.45">
      <c r="B109">
        <v>465</v>
      </c>
    </row>
    <row r="110" spans="2:2" x14ac:dyDescent="0.45">
      <c r="B110">
        <v>1035</v>
      </c>
    </row>
    <row r="111" spans="2:2" x14ac:dyDescent="0.45">
      <c r="B111">
        <v>251</v>
      </c>
    </row>
    <row r="112" spans="2:2" x14ac:dyDescent="0.45">
      <c r="B112">
        <v>40</v>
      </c>
    </row>
    <row r="113" spans="2:2" x14ac:dyDescent="0.45">
      <c r="B113">
        <v>1269</v>
      </c>
    </row>
    <row r="114" spans="2:2" x14ac:dyDescent="0.45">
      <c r="B114">
        <v>237</v>
      </c>
    </row>
    <row r="115" spans="2:2" x14ac:dyDescent="0.45">
      <c r="B115">
        <v>179</v>
      </c>
    </row>
    <row r="116" spans="2:2" x14ac:dyDescent="0.45">
      <c r="B116">
        <v>116</v>
      </c>
    </row>
    <row r="117" spans="2:2" x14ac:dyDescent="0.45">
      <c r="B117">
        <v>77</v>
      </c>
    </row>
    <row r="118" spans="2:2" x14ac:dyDescent="0.45">
      <c r="B118">
        <v>62</v>
      </c>
    </row>
    <row r="119" spans="2:2" x14ac:dyDescent="0.45">
      <c r="B119">
        <v>35</v>
      </c>
    </row>
    <row r="120" spans="2:2" x14ac:dyDescent="0.45">
      <c r="B120">
        <v>14</v>
      </c>
    </row>
    <row r="121" spans="2:2" x14ac:dyDescent="0.45">
      <c r="B121">
        <v>9</v>
      </c>
    </row>
    <row r="122" spans="2:2" x14ac:dyDescent="0.45">
      <c r="B122">
        <v>2</v>
      </c>
    </row>
    <row r="123" spans="2:2" x14ac:dyDescent="0.45">
      <c r="B123">
        <v>61</v>
      </c>
    </row>
    <row r="124" spans="2:2" x14ac:dyDescent="0.45">
      <c r="B124">
        <v>372</v>
      </c>
    </row>
    <row r="125" spans="2:2" x14ac:dyDescent="0.45">
      <c r="B125">
        <v>570</v>
      </c>
    </row>
    <row r="126" spans="2:2" x14ac:dyDescent="0.45">
      <c r="B126">
        <v>531</v>
      </c>
    </row>
    <row r="127" spans="2:2" x14ac:dyDescent="0.45">
      <c r="B127">
        <v>260</v>
      </c>
    </row>
    <row r="128" spans="2:2" x14ac:dyDescent="0.45">
      <c r="B128">
        <v>132</v>
      </c>
    </row>
    <row r="129" spans="2:2" x14ac:dyDescent="0.45">
      <c r="B129">
        <v>49</v>
      </c>
    </row>
    <row r="130" spans="2:2" x14ac:dyDescent="0.45">
      <c r="B130">
        <v>12</v>
      </c>
    </row>
    <row r="131" spans="2:2" x14ac:dyDescent="0.45">
      <c r="B131">
        <v>4</v>
      </c>
    </row>
    <row r="132" spans="2:2" x14ac:dyDescent="0.45">
      <c r="B132">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88104600-98FF-4650-A715-5155E10FFE49}">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43</vt:i4>
      </vt:variant>
    </vt:vector>
  </HeadingPairs>
  <TitlesOfParts>
    <vt:vector size="50" baseType="lpstr">
      <vt:lpstr>About</vt:lpstr>
      <vt:lpstr>Inputs</vt:lpstr>
      <vt:lpstr>Hedges</vt:lpstr>
      <vt:lpstr>Results</vt:lpstr>
      <vt:lpstr>ModelRiskDSN</vt:lpstr>
      <vt:lpstr>ModelRiskSYS1</vt:lpstr>
      <vt:lpstr>ModelRiskCharts</vt:lpstr>
      <vt:lpstr>AvgPrice</vt:lpstr>
      <vt:lpstr>BudgetPrice</vt:lpstr>
      <vt:lpstr>BudgetRevenue</vt:lpstr>
      <vt:lpstr>BudgetUptime</vt:lpstr>
      <vt:lpstr>CallStrike</vt:lpstr>
      <vt:lpstr>Checks</vt:lpstr>
      <vt:lpstr>FirstYear</vt:lpstr>
      <vt:lpstr>HedgeRatio</vt:lpstr>
      <vt:lpstr>InputMeans</vt:lpstr>
      <vt:lpstr>MonthsHedged</vt:lpstr>
      <vt:lpstr>Mu_m</vt:lpstr>
      <vt:lpstr>Outage</vt:lpstr>
      <vt:lpstr>OutageMonths</vt:lpstr>
      <vt:lpstr>OutageStart</vt:lpstr>
      <vt:lpstr>Pay_C</vt:lpstr>
      <vt:lpstr>Pay_P</vt:lpstr>
      <vt:lpstr>Pay_S</vt:lpstr>
      <vt:lpstr>PlanRevenue</vt:lpstr>
      <vt:lpstr>PlanVolume</vt:lpstr>
      <vt:lpstr>PriceNow</vt:lpstr>
      <vt:lpstr>Results!Print_Area</vt:lpstr>
      <vt:lpstr>Hedges!Print_Titles</vt:lpstr>
      <vt:lpstr>Inputs!Print_Titles</vt:lpstr>
      <vt:lpstr>Results!Print_Titles</vt:lpstr>
      <vt:lpstr>Prob_Outage</vt:lpstr>
      <vt:lpstr>PutPremium</vt:lpstr>
      <vt:lpstr>PutStrike</vt:lpstr>
      <vt:lpstr>Rev_C</vt:lpstr>
      <vt:lpstr>Rev_P</vt:lpstr>
      <vt:lpstr>Rev_S</vt:lpstr>
      <vt:lpstr>Rev_U</vt:lpstr>
      <vt:lpstr>Short_C</vt:lpstr>
      <vt:lpstr>Short_P</vt:lpstr>
      <vt:lpstr>Short_S</vt:lpstr>
      <vt:lpstr>Short_U</vt:lpstr>
      <vt:lpstr>Sigma_m</vt:lpstr>
      <vt:lpstr>StartMonth</vt:lpstr>
      <vt:lpstr>SwapPrice</vt:lpstr>
      <vt:lpstr>Uptime_Hi</vt:lpstr>
      <vt:lpstr>Uptime_Lo</vt:lpstr>
      <vt:lpstr>Uptime_Mean</vt:lpstr>
      <vt:lpstr>Uptime_ML</vt:lpstr>
      <vt:lpstr>Volatility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OG-09 Hedging Production with Swaps and Collars</dc:title>
  <dc:subject>ModelRisk industry example library — Oil and gas</dc:subject>
  <dc:creator>Vose Software</dc:creator>
  <cp:keywords>ModelRisk; Monte Carlo; Oil and gas</cp:keywords>
  <dc:description>Comparing no hedge, a swap, a costless collar and bought puts on two years of oil production revenue.</dc:description>
  <cp:lastModifiedBy>Timour Koupeev</cp:lastModifiedBy>
  <cp:lastPrinted>2026-10-05T17:20:10Z</cp:lastPrinted>
  <dcterms:created xsi:type="dcterms:W3CDTF">2026-10-05T17:15:08Z</dcterms:created>
  <dcterms:modified xsi:type="dcterms:W3CDTF">2026-10-05T17:20:11Z</dcterms:modified>
</cp:coreProperties>
</file>