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Oil and gas\"/>
    </mc:Choice>
  </mc:AlternateContent>
  <xr:revisionPtr revIDLastSave="0" documentId="8_{6503B86A-6CE2-4E5A-B6C9-6490220493DB}"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Concepts" sheetId="3" r:id="rId3"/>
    <sheet name="Results" sheetId="4" r:id="rId4"/>
    <sheet name="ModelRiskDSN" sheetId="5" state="hidden" r:id="rId5"/>
    <sheet name="ModelRiskSYS1" sheetId="6" state="hidden" r:id="rId6"/>
    <sheet name="ModelRiskCharts" sheetId="7" state="hidden" r:id="rId7"/>
  </sheets>
  <definedNames>
    <definedName name="A_Aband">Concepts!$F$32</definedName>
    <definedName name="A_Cap">Concepts!$F$25</definedName>
    <definedName name="A_Cap2">Concepts!$F$26</definedName>
    <definedName name="A_Cap2From">Concepts!$F$27</definedName>
    <definedName name="A_Capex">Concepts!$F$23</definedName>
    <definedName name="A_Capex2">Concepts!$F$24</definedName>
    <definedName name="A_CostBbl">Concepts!$F$30</definedName>
    <definedName name="A_FirstOil">Concepts!$F$28</definedName>
    <definedName name="A_Fixed">Concepts!$F$31</definedName>
    <definedName name="A_LastProd">Concepts!$F$29</definedName>
    <definedName name="Aband_A">Inputs!$D$41</definedName>
    <definedName name="Aband_B">Inputs!$D$53</definedName>
    <definedName name="B_Aband">Concepts!$G$32</definedName>
    <definedName name="B_Cap">Concepts!$G$25</definedName>
    <definedName name="B_Cap2">Concepts!$G$26</definedName>
    <definedName name="B_Cap2From">Concepts!$G$27</definedName>
    <definedName name="B_Capex">Concepts!$G$23</definedName>
    <definedName name="B_Capex2">Concepts!$G$24</definedName>
    <definedName name="B_CostBbl">Concepts!$G$30</definedName>
    <definedName name="B_FirstOil">Concepts!$G$28</definedName>
    <definedName name="B_Fixed">Concepts!$G$31</definedName>
    <definedName name="B_LastProd">Concepts!$G$29</definedName>
    <definedName name="Best">Concepts!$D$108</definedName>
    <definedName name="BuildC2">Inputs!$D$62</definedName>
    <definedName name="C_Aband">Concepts!$H$32</definedName>
    <definedName name="C_Cap">Concepts!$H$25</definedName>
    <definedName name="C_Cap2">Concepts!$H$26</definedName>
    <definedName name="C_Cap2From">Concepts!$H$27</definedName>
    <definedName name="C_Capex">Concepts!$H$23</definedName>
    <definedName name="C_Capex2">Concepts!$H$24</definedName>
    <definedName name="C_CostBbl">Concepts!$H$30</definedName>
    <definedName name="C_FirstOil">Concepts!$H$28</definedName>
    <definedName name="C_Fixed">Concepts!$H$31</definedName>
    <definedName name="C_LastProd">Concepts!$H$29</definedName>
    <definedName name="Cap_A">Inputs!$D$35</definedName>
    <definedName name="Cap_B">Inputs!$D$47</definedName>
    <definedName name="Cap_C2">Inputs!$D$63</definedName>
    <definedName name="Capex_A">Inputs!$D$34</definedName>
    <definedName name="Capex_B">Inputs!$D$46</definedName>
    <definedName name="Capex_C2">Inputs!$D$61</definedName>
    <definedName name="CapexFactor">Inputs!$D$27</definedName>
    <definedName name="CapexFactor_Hi">Inputs!$H$27</definedName>
    <definedName name="CapexFactor_Lo">Inputs!$F$27</definedName>
    <definedName name="CapexFactor_Mean">Inputs!$I$27</definedName>
    <definedName name="CapexFactor_ML">Inputs!$G$27</definedName>
    <definedName name="Checks">Concepts!$D$113:$D$116</definedName>
    <definedName name="DecisionYear">Inputs!$D$58</definedName>
    <definedName name="Delay_B">Inputs!$D$50</definedName>
    <definedName name="Deliverability">Inputs!$D$12</definedName>
    <definedName name="Deliverability_Hi">Inputs!$H$12</definedName>
    <definedName name="Deliverability_Lo">Inputs!$F$12</definedName>
    <definedName name="Deliverability_Mean">Inputs!$I$12</definedName>
    <definedName name="Deliverability_ML">Inputs!$G$12</definedName>
    <definedName name="DiscRate">Inputs!$D$28</definedName>
    <definedName name="End_C">Concepts!$D$18</definedName>
    <definedName name="EstError">Inputs!$D$60</definedName>
    <definedName name="Estimate">Concepts!$D$16</definedName>
    <definedName name="Expand">Concepts!$D$17</definedName>
    <definedName name="ExpandOut">Concepts!$D$109</definedName>
    <definedName name="FirstOil_A">Inputs!$D$36</definedName>
    <definedName name="FirstOil_B">Inputs!$D$48</definedName>
    <definedName name="FirstYearShare">Inputs!$D$14</definedName>
    <definedName name="Fixed_A">Inputs!$D$39</definedName>
    <definedName name="Fixed_B">Inputs!$D$52</definedName>
    <definedName name="FO_B">Concepts!$D$15</definedName>
    <definedName name="HostEnd">Concepts!$D$14</definedName>
    <definedName name="HostExt">Inputs!$D$64</definedName>
    <definedName name="HostLife">Inputs!$D$40</definedName>
    <definedName name="HostLife_Hi">Inputs!$H$40</definedName>
    <definedName name="HostLife_Lo">Inputs!$F$40</definedName>
    <definedName name="HostLife_Mean">Inputs!$I$40</definedName>
    <definedName name="HostLife_ML">Inputs!$G$40</definedName>
    <definedName name="InputMeans">Inputs!$I$11:$I$40</definedName>
    <definedName name="LastYear">Concepts!$D$12</definedName>
    <definedName name="MMbblPerKbd">Concepts!$D$13</definedName>
    <definedName name="NPV_A">Concepts!$D$102</definedName>
    <definedName name="NPV_B">Concepts!$D$103</definedName>
    <definedName name="NPV_C">Concepts!$D$104</definedName>
    <definedName name="PhaseA_Check">Inputs!$D$70</definedName>
    <definedName name="PhaseA_Share">Inputs!$F$70:$H$70</definedName>
    <definedName name="PhaseA_Year">Inputs!$F$69:$H$69</definedName>
    <definedName name="PhaseB_Check">Inputs!$D$72</definedName>
    <definedName name="PhaseB_Share">Inputs!$F$72:$I$72</definedName>
    <definedName name="PhaseB_Year">Inputs!$F$71:$I$71</definedName>
    <definedName name="PhaseB_YearNow">Inputs!$F$74:$I$74</definedName>
    <definedName name="PhaseC2_Check">Inputs!$D$76</definedName>
    <definedName name="PhaseC2_Share">Inputs!$F$76:$G$76</definedName>
    <definedName name="PhaseC2_Year">Inputs!$F$75:$G$75</definedName>
    <definedName name="Price_Alpha">Inputs!$D$22</definedName>
    <definedName name="Price_LT">Inputs!$D$20</definedName>
    <definedName name="Price_LT_Hi">Inputs!$H$20</definedName>
    <definedName name="Price_LT_Lo">Inputs!$F$20</definedName>
    <definedName name="Price_LT_Mean">Inputs!$I$20</definedName>
    <definedName name="Price_LT_ML">Inputs!$G$20</definedName>
    <definedName name="Price_Vol">Inputs!$D$21</definedName>
    <definedName name="Price_Y0">Inputs!$D$19</definedName>
    <definedName name="_xlnm.Print_Area" localSheetId="3">Results!$A$1:$R$53</definedName>
    <definedName name="_xlnm.Print_Titles" localSheetId="2">Concepts!$6:$7,Concepts!$A:$D</definedName>
    <definedName name="_xlnm.Print_Titles" localSheetId="1">Inputs!$1:$4</definedName>
    <definedName name="_xlnm.Print_Titles" localSheetId="3">Results!$1:$4</definedName>
    <definedName name="Prob_DelayB">Inputs!$D$49</definedName>
    <definedName name="Recoverable">Inputs!$D$11</definedName>
    <definedName name="Recoverable_Hi">Inputs!$H$11</definedName>
    <definedName name="Recoverable_Lo">Inputs!$F$11</definedName>
    <definedName name="Recoverable_Mean">Inputs!$I$11</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tartYear">Inputs!$D$29</definedName>
    <definedName name="Tariff_A">Inputs!$D$37</definedName>
    <definedName name="Threshold">Inputs!$D$59</definedName>
    <definedName name="Uptime">Inputs!$D$13</definedName>
    <definedName name="Var_A">Inputs!$D$38</definedName>
    <definedName name="Var_B">Inputs!$D$51</definedName>
    <definedName name="Vol_A">Concepts!$D$105</definedName>
    <definedName name="Vol_B">Concepts!$D$106</definedName>
    <definedName name="Vol_C">Concepts!$D$107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8" i="4" l="1"/>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15" i="4"/>
  <c r="C14" i="4"/>
  <c r="C13" i="4"/>
  <c r="D115" i="3"/>
  <c r="F37" i="3"/>
  <c r="F36" i="3"/>
  <c r="H32" i="3"/>
  <c r="G32" i="3"/>
  <c r="F32" i="3"/>
  <c r="H31" i="3"/>
  <c r="G31" i="3"/>
  <c r="F31" i="3"/>
  <c r="H30" i="3"/>
  <c r="G30" i="3"/>
  <c r="F30" i="3"/>
  <c r="H28" i="3"/>
  <c r="F28" i="3"/>
  <c r="H27" i="3"/>
  <c r="H25" i="3"/>
  <c r="G25" i="3"/>
  <c r="F25" i="3"/>
  <c r="F44" i="3"/>
  <c r="F45" i="3" s="1"/>
  <c r="H23" i="3"/>
  <c r="G23" i="3"/>
  <c r="F23" i="3"/>
  <c r="D13" i="3"/>
  <c r="F7" i="3"/>
  <c r="G6" i="3"/>
  <c r="H6" i="3"/>
  <c r="D76" i="2"/>
  <c r="D72" i="2"/>
  <c r="D70" i="2"/>
  <c r="I20" i="2" a="1"/>
  <c r="D12" i="2" a="1"/>
  <c r="D40" i="2" a="1"/>
  <c r="I40" i="2" a="1"/>
  <c r="D20" i="2" a="1"/>
  <c r="I12" i="2" a="1"/>
  <c r="D50" i="2" a="1"/>
  <c r="I27" i="2" a="1"/>
  <c r="D27" i="2" a="1"/>
  <c r="D11" i="2" a="1"/>
  <c r="I11" i="2" a="1"/>
  <c r="H7" i="3" l="1"/>
  <c r="I6" i="3"/>
  <c r="H42" i="3"/>
  <c r="G37" i="3"/>
  <c r="G41" i="3"/>
  <c r="G42" i="3"/>
  <c r="G7" i="3"/>
  <c r="H44" i="3"/>
  <c r="H45" i="3" s="1"/>
  <c r="H37" i="3"/>
  <c r="G44" i="3"/>
  <c r="G45" i="3" s="1"/>
  <c r="G64" i="3"/>
  <c r="F64" i="3"/>
  <c r="H64" i="3"/>
  <c r="F84" i="3"/>
  <c r="F85" i="3" s="1"/>
  <c r="H84" i="3"/>
  <c r="H85" i="3" s="1"/>
  <c r="G84" i="3"/>
  <c r="G85" i="3" s="1"/>
  <c r="I11" i="2"/>
  <c r="D113" i="3" s="1"/>
  <c r="D11" i="2"/>
  <c r="D27" i="2"/>
  <c r="H62" i="3" s="1"/>
  <c r="I27" i="2"/>
  <c r="D50" i="2"/>
  <c r="D15" i="3" s="1"/>
  <c r="G28" i="3" s="1"/>
  <c r="I12" i="2"/>
  <c r="D20" i="2"/>
  <c r="G36" i="3" s="1" a="1"/>
  <c r="I40" i="2"/>
  <c r="D40" i="2"/>
  <c r="D14" i="3" s="1"/>
  <c r="D12" i="2"/>
  <c r="I20" i="2"/>
  <c r="D33" i="4" a="1"/>
  <c r="D33" i="4" l="1"/>
  <c r="H81" i="3"/>
  <c r="F41" i="3"/>
  <c r="F65" i="3"/>
  <c r="H41" i="3"/>
  <c r="G62" i="3"/>
  <c r="F42" i="3"/>
  <c r="F81" i="3"/>
  <c r="F62" i="3"/>
  <c r="G65" i="3"/>
  <c r="X36" i="3"/>
  <c r="AC36" i="3"/>
  <c r="K36" i="3"/>
  <c r="O36" i="3"/>
  <c r="AD36" i="3"/>
  <c r="V36" i="3"/>
  <c r="I36" i="3"/>
  <c r="R36" i="3"/>
  <c r="U36" i="3"/>
  <c r="Z36" i="3"/>
  <c r="N36" i="3"/>
  <c r="P36" i="3"/>
  <c r="M36" i="3"/>
  <c r="G36" i="3"/>
  <c r="W36" i="3"/>
  <c r="AB36" i="3"/>
  <c r="H36" i="3"/>
  <c r="S36" i="3"/>
  <c r="J36" i="3"/>
  <c r="Y36" i="3"/>
  <c r="AE36" i="3"/>
  <c r="Q36" i="3"/>
  <c r="L36" i="3"/>
  <c r="T36" i="3"/>
  <c r="AA36" i="3"/>
  <c r="F46" i="3"/>
  <c r="F66" i="3"/>
  <c r="F86" i="3"/>
  <c r="G81" i="3"/>
  <c r="J6" i="3"/>
  <c r="I42" i="3"/>
  <c r="I62" i="3"/>
  <c r="I41" i="3"/>
  <c r="I37" i="3"/>
  <c r="I7" i="3"/>
  <c r="I81" i="3"/>
  <c r="I64" i="3"/>
  <c r="I65" i="3" s="1"/>
  <c r="I44" i="3"/>
  <c r="I45" i="3" s="1"/>
  <c r="I84" i="3"/>
  <c r="I85" i="3" s="1"/>
  <c r="F29" i="3"/>
  <c r="I43" i="3" s="1"/>
  <c r="H65" i="3"/>
  <c r="H74" i="2"/>
  <c r="I74" i="2"/>
  <c r="F74" i="2"/>
  <c r="G74" i="2"/>
  <c r="D16" i="3" a="1"/>
  <c r="I61" i="3" l="1"/>
  <c r="D16" i="3"/>
  <c r="D17" i="3" s="1"/>
  <c r="F61" i="3"/>
  <c r="G61" i="3"/>
  <c r="H61" i="3"/>
  <c r="F43" i="3"/>
  <c r="H43" i="3"/>
  <c r="G43" i="3"/>
  <c r="J81" i="3"/>
  <c r="J41" i="3"/>
  <c r="J42" i="3"/>
  <c r="J7" i="3"/>
  <c r="J43" i="3"/>
  <c r="J62" i="3"/>
  <c r="J37" i="3"/>
  <c r="J61" i="3"/>
  <c r="K6" i="3"/>
  <c r="J84" i="3"/>
  <c r="J85" i="3" s="1"/>
  <c r="J64" i="3"/>
  <c r="J65" i="3" s="1"/>
  <c r="J44" i="3"/>
  <c r="J45" i="3" s="1"/>
  <c r="F47" i="3" l="1"/>
  <c r="K61" i="3"/>
  <c r="K42" i="3"/>
  <c r="K81" i="3"/>
  <c r="K62" i="3"/>
  <c r="K7" i="3"/>
  <c r="K41" i="3"/>
  <c r="K37" i="3"/>
  <c r="L6" i="3"/>
  <c r="K43" i="3"/>
  <c r="K64" i="3"/>
  <c r="K65" i="3" s="1"/>
  <c r="K84" i="3"/>
  <c r="K85" i="3" s="1"/>
  <c r="K44" i="3"/>
  <c r="K45" i="3" s="1"/>
  <c r="H26" i="3"/>
  <c r="D109" i="3" a="1"/>
  <c r="D109" i="3" s="1"/>
  <c r="H24" i="3"/>
  <c r="D18" i="3"/>
  <c r="H29" i="3" s="1"/>
  <c r="D32" i="4" a="1"/>
  <c r="D32" i="4" l="1"/>
  <c r="F83" i="3"/>
  <c r="H83" i="3"/>
  <c r="G83" i="3"/>
  <c r="I83" i="3"/>
  <c r="J83" i="3"/>
  <c r="K83" i="3"/>
  <c r="F82" i="3"/>
  <c r="H82" i="3"/>
  <c r="G82" i="3"/>
  <c r="I82" i="3"/>
  <c r="J82" i="3"/>
  <c r="L62" i="3"/>
  <c r="L37" i="3"/>
  <c r="L41" i="3"/>
  <c r="L43" i="3"/>
  <c r="M6" i="3"/>
  <c r="L82" i="3"/>
  <c r="L83" i="3"/>
  <c r="L42" i="3"/>
  <c r="L61" i="3"/>
  <c r="L7" i="3"/>
  <c r="L81" i="3"/>
  <c r="L84" i="3"/>
  <c r="L85" i="3" s="1"/>
  <c r="L44" i="3"/>
  <c r="L45" i="3" s="1"/>
  <c r="L64" i="3"/>
  <c r="L65" i="3" s="1"/>
  <c r="K82" i="3"/>
  <c r="F48" i="3"/>
  <c r="F49" i="3" s="1"/>
  <c r="M82" i="3" l="1"/>
  <c r="M43" i="3"/>
  <c r="M62" i="3"/>
  <c r="M37" i="3"/>
  <c r="M7" i="3"/>
  <c r="M61" i="3"/>
  <c r="M83" i="3"/>
  <c r="M81" i="3"/>
  <c r="N6" i="3"/>
  <c r="M41" i="3"/>
  <c r="M42" i="3"/>
  <c r="M64" i="3"/>
  <c r="M65" i="3" s="1"/>
  <c r="M44" i="3"/>
  <c r="M45" i="3" s="1"/>
  <c r="M84" i="3"/>
  <c r="M85" i="3" s="1"/>
  <c r="F87" i="3"/>
  <c r="F50" i="3"/>
  <c r="F53" i="3" s="1"/>
  <c r="N83" i="3" l="1"/>
  <c r="O6" i="3"/>
  <c r="N82" i="3"/>
  <c r="N7" i="3"/>
  <c r="N43" i="3"/>
  <c r="N61" i="3"/>
  <c r="N41" i="3"/>
  <c r="N37" i="3"/>
  <c r="N42" i="3"/>
  <c r="N62" i="3"/>
  <c r="N81" i="3"/>
  <c r="N44" i="3"/>
  <c r="N45" i="3" s="1"/>
  <c r="N64" i="3"/>
  <c r="N65" i="3" s="1"/>
  <c r="N84" i="3"/>
  <c r="N85" i="3" s="1"/>
  <c r="F52" i="3"/>
  <c r="F51" i="3"/>
  <c r="F88" i="3"/>
  <c r="F89" i="3" s="1"/>
  <c r="F90" i="3" s="1"/>
  <c r="G46" i="3" l="1"/>
  <c r="G47" i="3" s="1"/>
  <c r="O62" i="3"/>
  <c r="O82" i="3"/>
  <c r="O83" i="3"/>
  <c r="O61" i="3"/>
  <c r="O42" i="3"/>
  <c r="O7" i="3"/>
  <c r="P6" i="3"/>
  <c r="O81" i="3"/>
  <c r="O43" i="3"/>
  <c r="O84" i="3"/>
  <c r="O85" i="3" s="1"/>
  <c r="O37" i="3"/>
  <c r="O41" i="3"/>
  <c r="O64" i="3"/>
  <c r="O65" i="3" s="1"/>
  <c r="O44" i="3"/>
  <c r="O45" i="3" s="1"/>
  <c r="F91" i="3"/>
  <c r="F92" i="3"/>
  <c r="F93" i="3"/>
  <c r="P42" i="3" l="1"/>
  <c r="P7" i="3"/>
  <c r="P41" i="3"/>
  <c r="P62" i="3"/>
  <c r="P43" i="3"/>
  <c r="P61" i="3"/>
  <c r="P37" i="3"/>
  <c r="P83" i="3"/>
  <c r="Q6" i="3"/>
  <c r="P82" i="3"/>
  <c r="P81" i="3"/>
  <c r="P84" i="3"/>
  <c r="P85" i="3" s="1"/>
  <c r="P64" i="3"/>
  <c r="P65" i="3" s="1"/>
  <c r="P44" i="3"/>
  <c r="P45" i="3" s="1"/>
  <c r="G48" i="3"/>
  <c r="G49" i="3" s="1"/>
  <c r="G50" i="3" s="1"/>
  <c r="G86" i="3"/>
  <c r="G87" i="3" s="1"/>
  <c r="G52" i="3" l="1"/>
  <c r="G51" i="3"/>
  <c r="G53" i="3"/>
  <c r="Q37" i="3"/>
  <c r="Q43" i="3"/>
  <c r="Q41" i="3"/>
  <c r="Q81" i="3"/>
  <c r="Q42" i="3"/>
  <c r="Q82" i="3"/>
  <c r="Q62" i="3"/>
  <c r="Q61" i="3"/>
  <c r="R6" i="3"/>
  <c r="Q7" i="3"/>
  <c r="Q83" i="3"/>
  <c r="Q64" i="3"/>
  <c r="Q65" i="3" s="1"/>
  <c r="Q84" i="3"/>
  <c r="Q85" i="3" s="1"/>
  <c r="Q44" i="3"/>
  <c r="Q45" i="3" s="1"/>
  <c r="G88" i="3"/>
  <c r="G89" i="3" s="1"/>
  <c r="H46" i="3" l="1"/>
  <c r="H47" i="3" s="1"/>
  <c r="S6" i="3"/>
  <c r="R81" i="3"/>
  <c r="R37" i="3"/>
  <c r="R62" i="3"/>
  <c r="R43" i="3"/>
  <c r="R61" i="3"/>
  <c r="R7" i="3"/>
  <c r="R42" i="3"/>
  <c r="R82" i="3"/>
  <c r="R83" i="3"/>
  <c r="R41" i="3"/>
  <c r="R64" i="3"/>
  <c r="R65" i="3" s="1"/>
  <c r="R44" i="3"/>
  <c r="R45" i="3" s="1"/>
  <c r="R84" i="3"/>
  <c r="R85" i="3" s="1"/>
  <c r="G90" i="3"/>
  <c r="T6" i="3" l="1"/>
  <c r="S83" i="3"/>
  <c r="S61" i="3"/>
  <c r="S7" i="3"/>
  <c r="S37" i="3"/>
  <c r="S82" i="3"/>
  <c r="S42" i="3"/>
  <c r="S81" i="3"/>
  <c r="S41" i="3"/>
  <c r="S43" i="3"/>
  <c r="S62" i="3"/>
  <c r="S44" i="3"/>
  <c r="S45" i="3" s="1"/>
  <c r="S84" i="3"/>
  <c r="S85" i="3" s="1"/>
  <c r="S64" i="3"/>
  <c r="S65" i="3" s="1"/>
  <c r="G92" i="3"/>
  <c r="G91" i="3"/>
  <c r="G93" i="3"/>
  <c r="H48" i="3"/>
  <c r="H49" i="3" s="1"/>
  <c r="H86" i="3" l="1"/>
  <c r="H87" i="3" s="1"/>
  <c r="H50" i="3"/>
  <c r="H53" i="3" s="1"/>
  <c r="T41" i="3"/>
  <c r="U6" i="3"/>
  <c r="T37" i="3"/>
  <c r="T61" i="3"/>
  <c r="T82" i="3"/>
  <c r="T7" i="3"/>
  <c r="T81" i="3"/>
  <c r="T83" i="3"/>
  <c r="T43" i="3"/>
  <c r="T62" i="3"/>
  <c r="T84" i="3"/>
  <c r="T85" i="3" s="1"/>
  <c r="T42" i="3"/>
  <c r="T44" i="3"/>
  <c r="T45" i="3" s="1"/>
  <c r="T64" i="3"/>
  <c r="T65" i="3" s="1"/>
  <c r="H88" i="3" l="1"/>
  <c r="H89" i="3" s="1"/>
  <c r="H90" i="3" s="1"/>
  <c r="H52" i="3"/>
  <c r="H51" i="3"/>
  <c r="U62" i="3"/>
  <c r="V6" i="3"/>
  <c r="U42" i="3"/>
  <c r="U7" i="3"/>
  <c r="U83" i="3"/>
  <c r="U41" i="3"/>
  <c r="U81" i="3"/>
  <c r="U82" i="3"/>
  <c r="U61" i="3"/>
  <c r="U37" i="3"/>
  <c r="U43" i="3"/>
  <c r="U84" i="3"/>
  <c r="U85" i="3" s="1"/>
  <c r="U44" i="3"/>
  <c r="U45" i="3" s="1"/>
  <c r="U64" i="3"/>
  <c r="U65" i="3" s="1"/>
  <c r="H92" i="3" l="1"/>
  <c r="H91" i="3"/>
  <c r="V42" i="3"/>
  <c r="V62" i="3"/>
  <c r="V82" i="3"/>
  <c r="V83" i="3"/>
  <c r="V41" i="3"/>
  <c r="V43" i="3"/>
  <c r="W6" i="3"/>
  <c r="V61" i="3"/>
  <c r="V37" i="3"/>
  <c r="V81" i="3"/>
  <c r="V7" i="3"/>
  <c r="V84" i="3"/>
  <c r="V85" i="3" s="1"/>
  <c r="V64" i="3"/>
  <c r="V65" i="3" s="1"/>
  <c r="V44" i="3"/>
  <c r="V45" i="3" s="1"/>
  <c r="I46" i="3"/>
  <c r="I47" i="3" s="1"/>
  <c r="H93" i="3"/>
  <c r="I86" i="3" l="1"/>
  <c r="I87" i="3" s="1"/>
  <c r="W37" i="3"/>
  <c r="W7" i="3"/>
  <c r="W62" i="3"/>
  <c r="W83" i="3"/>
  <c r="W81" i="3"/>
  <c r="W43" i="3"/>
  <c r="W41" i="3"/>
  <c r="W82" i="3"/>
  <c r="W61" i="3"/>
  <c r="W42" i="3"/>
  <c r="X6" i="3"/>
  <c r="W44" i="3"/>
  <c r="W45" i="3" s="1"/>
  <c r="W64" i="3"/>
  <c r="W65" i="3" s="1"/>
  <c r="W84" i="3"/>
  <c r="W85" i="3" s="1"/>
  <c r="I48" i="3"/>
  <c r="I49" i="3" s="1"/>
  <c r="I50" i="3" s="1"/>
  <c r="I52" i="3" l="1"/>
  <c r="I51" i="3"/>
  <c r="X61" i="3"/>
  <c r="X41" i="3"/>
  <c r="X42" i="3"/>
  <c r="X7" i="3"/>
  <c r="X43" i="3"/>
  <c r="X37" i="3"/>
  <c r="X81" i="3"/>
  <c r="X62" i="3"/>
  <c r="Y6" i="3"/>
  <c r="X83" i="3"/>
  <c r="X82" i="3"/>
  <c r="X84" i="3"/>
  <c r="X85" i="3" s="1"/>
  <c r="X44" i="3"/>
  <c r="X45" i="3" s="1"/>
  <c r="X64" i="3"/>
  <c r="X65" i="3" s="1"/>
  <c r="I53" i="3"/>
  <c r="I88" i="3"/>
  <c r="I89" i="3" s="1"/>
  <c r="I90" i="3" s="1"/>
  <c r="I92" i="3" l="1"/>
  <c r="I91" i="3"/>
  <c r="Y37" i="3"/>
  <c r="Y42" i="3"/>
  <c r="Z6" i="3"/>
  <c r="Y7" i="3"/>
  <c r="Y81" i="3"/>
  <c r="Y83" i="3"/>
  <c r="Y61" i="3"/>
  <c r="Y43" i="3"/>
  <c r="Y41" i="3"/>
  <c r="Y82" i="3"/>
  <c r="Y62" i="3"/>
  <c r="Y64" i="3"/>
  <c r="Y65" i="3" s="1"/>
  <c r="Y84" i="3"/>
  <c r="Y85" i="3" s="1"/>
  <c r="Y44" i="3"/>
  <c r="Y45" i="3" s="1"/>
  <c r="I93" i="3"/>
  <c r="J46" i="3"/>
  <c r="J47" i="3" s="1"/>
  <c r="J86" i="3" l="1"/>
  <c r="J87" i="3" s="1"/>
  <c r="J48" i="3"/>
  <c r="J49" i="3" s="1"/>
  <c r="Z82" i="3"/>
  <c r="Z42" i="3"/>
  <c r="Z43" i="3"/>
  <c r="Z81" i="3"/>
  <c r="AA6" i="3"/>
  <c r="Z62" i="3"/>
  <c r="Z7" i="3"/>
  <c r="Z61" i="3"/>
  <c r="Z41" i="3"/>
  <c r="Z37" i="3"/>
  <c r="Z83" i="3"/>
  <c r="Z64" i="3"/>
  <c r="Z65" i="3" s="1"/>
  <c r="Z84" i="3"/>
  <c r="Z85" i="3" s="1"/>
  <c r="Z44" i="3"/>
  <c r="Z45" i="3" s="1"/>
  <c r="J88" i="3" l="1"/>
  <c r="J89" i="3" s="1"/>
  <c r="J90" i="3" s="1"/>
  <c r="J50" i="3"/>
  <c r="AA41" i="3"/>
  <c r="AA61" i="3"/>
  <c r="AA37" i="3"/>
  <c r="AA43" i="3"/>
  <c r="AB6" i="3"/>
  <c r="AA7" i="3"/>
  <c r="AA81" i="3"/>
  <c r="AA62" i="3"/>
  <c r="AA42" i="3"/>
  <c r="AA82" i="3"/>
  <c r="AA83" i="3"/>
  <c r="AA44" i="3"/>
  <c r="AA45" i="3" s="1"/>
  <c r="AA84" i="3"/>
  <c r="AA85" i="3" s="1"/>
  <c r="AA64" i="3"/>
  <c r="AA65" i="3" s="1"/>
  <c r="J92" i="3" l="1"/>
  <c r="J91" i="3"/>
  <c r="J93" i="3"/>
  <c r="J52" i="3"/>
  <c r="J51" i="3"/>
  <c r="J53" i="3"/>
  <c r="AB41" i="3"/>
  <c r="AB61" i="3"/>
  <c r="AB83" i="3"/>
  <c r="AB37" i="3"/>
  <c r="AB81" i="3"/>
  <c r="AC6" i="3"/>
  <c r="AB62" i="3"/>
  <c r="AB42" i="3"/>
  <c r="AB7" i="3"/>
  <c r="AB43" i="3"/>
  <c r="AB82" i="3"/>
  <c r="AB44" i="3"/>
  <c r="AB45" i="3" s="1"/>
  <c r="AB84" i="3"/>
  <c r="AB85" i="3" s="1"/>
  <c r="AB64" i="3"/>
  <c r="AB65" i="3" s="1"/>
  <c r="K46" i="3" l="1"/>
  <c r="K47" i="3" s="1"/>
  <c r="K86" i="3"/>
  <c r="K87" i="3" s="1"/>
  <c r="AC43" i="3"/>
  <c r="AC62" i="3"/>
  <c r="AC7" i="3"/>
  <c r="AC82" i="3"/>
  <c r="AC83" i="3"/>
  <c r="AC61" i="3"/>
  <c r="AC37" i="3"/>
  <c r="AC42" i="3"/>
  <c r="AD6" i="3"/>
  <c r="AC81" i="3"/>
  <c r="AC41" i="3"/>
  <c r="AC44" i="3"/>
  <c r="AC45" i="3" s="1"/>
  <c r="AC64" i="3"/>
  <c r="AC65" i="3" s="1"/>
  <c r="AC84" i="3"/>
  <c r="AC85" i="3" s="1"/>
  <c r="K88" i="3" l="1"/>
  <c r="K89" i="3" s="1"/>
  <c r="K48" i="3"/>
  <c r="K49" i="3" s="1"/>
  <c r="AD81" i="3"/>
  <c r="AD43" i="3"/>
  <c r="AD83" i="3"/>
  <c r="AD41" i="3"/>
  <c r="AD62" i="3"/>
  <c r="AD7" i="3"/>
  <c r="AD82" i="3"/>
  <c r="AD61" i="3"/>
  <c r="AE6" i="3"/>
  <c r="AD42" i="3"/>
  <c r="AD37" i="3"/>
  <c r="AD44" i="3"/>
  <c r="AD45" i="3" s="1"/>
  <c r="AD64" i="3"/>
  <c r="AD65" i="3" s="1"/>
  <c r="AD84" i="3"/>
  <c r="AD85" i="3" s="1"/>
  <c r="AE61" i="3" l="1"/>
  <c r="D61" i="3" s="1"/>
  <c r="AE62" i="3"/>
  <c r="D62" i="3" s="1"/>
  <c r="AE41" i="3"/>
  <c r="D41" i="3" s="1"/>
  <c r="AE42" i="3"/>
  <c r="D42" i="3" s="1"/>
  <c r="AE82" i="3"/>
  <c r="D82" i="3" s="1"/>
  <c r="AE37" i="3"/>
  <c r="AE7" i="3"/>
  <c r="AE81" i="3"/>
  <c r="D81" i="3" s="1"/>
  <c r="AE83" i="3"/>
  <c r="AE43" i="3"/>
  <c r="AE44" i="3"/>
  <c r="AE45" i="3" s="1"/>
  <c r="AE84" i="3"/>
  <c r="AE85" i="3" s="1"/>
  <c r="AE64" i="3"/>
  <c r="AE65" i="3" s="1"/>
  <c r="D12" i="3"/>
  <c r="K54" i="3" s="1"/>
  <c r="K55" i="3" s="1"/>
  <c r="K50" i="3"/>
  <c r="K53" i="3" s="1"/>
  <c r="K93" i="3"/>
  <c r="K90" i="3"/>
  <c r="D116" i="3" l="1"/>
  <c r="K92" i="3"/>
  <c r="K91" i="3"/>
  <c r="G29" i="3"/>
  <c r="F54" i="3"/>
  <c r="F94" i="3"/>
  <c r="G54" i="3"/>
  <c r="G55" i="3" s="1"/>
  <c r="G56" i="3" s="1"/>
  <c r="G57" i="3" s="1"/>
  <c r="G94" i="3"/>
  <c r="G95" i="3" s="1"/>
  <c r="G96" i="3" s="1"/>
  <c r="G97" i="3" s="1"/>
  <c r="H54" i="3"/>
  <c r="H55" i="3" s="1"/>
  <c r="H56" i="3" s="1"/>
  <c r="H57" i="3" s="1"/>
  <c r="H94" i="3"/>
  <c r="H95" i="3" s="1"/>
  <c r="H96" i="3" s="1"/>
  <c r="H97" i="3" s="1"/>
  <c r="I54" i="3"/>
  <c r="I55" i="3" s="1"/>
  <c r="I56" i="3" s="1"/>
  <c r="I57" i="3" s="1"/>
  <c r="I94" i="3"/>
  <c r="I95" i="3" s="1"/>
  <c r="I96" i="3" s="1"/>
  <c r="I97" i="3" s="1"/>
  <c r="J54" i="3"/>
  <c r="J55" i="3" s="1"/>
  <c r="J56" i="3" s="1"/>
  <c r="J57" i="3" s="1"/>
  <c r="J94" i="3"/>
  <c r="J95" i="3" s="1"/>
  <c r="J96" i="3" s="1"/>
  <c r="J97" i="3" s="1"/>
  <c r="K94" i="3"/>
  <c r="K95" i="3" s="1"/>
  <c r="K52" i="3"/>
  <c r="K56" i="3" s="1"/>
  <c r="K57" i="3" s="1"/>
  <c r="K51" i="3"/>
  <c r="L86" i="3" l="1"/>
  <c r="L87" i="3" s="1"/>
  <c r="K96" i="3"/>
  <c r="K97" i="3" s="1"/>
  <c r="F95" i="3"/>
  <c r="F55" i="3"/>
  <c r="H63" i="3"/>
  <c r="I63" i="3"/>
  <c r="F63" i="3"/>
  <c r="G63" i="3"/>
  <c r="J63" i="3"/>
  <c r="K63" i="3"/>
  <c r="L63" i="3"/>
  <c r="M63" i="3"/>
  <c r="N63" i="3"/>
  <c r="O63" i="3"/>
  <c r="P63" i="3"/>
  <c r="Q63" i="3"/>
  <c r="R63" i="3"/>
  <c r="S63" i="3"/>
  <c r="T63" i="3"/>
  <c r="U63" i="3"/>
  <c r="V63" i="3"/>
  <c r="W63" i="3"/>
  <c r="X63" i="3"/>
  <c r="Y63" i="3"/>
  <c r="Z63" i="3"/>
  <c r="AA63" i="3"/>
  <c r="AB63" i="3"/>
  <c r="AC63" i="3"/>
  <c r="AD63" i="3"/>
  <c r="AE63" i="3"/>
  <c r="L46" i="3"/>
  <c r="L47" i="3" s="1"/>
  <c r="F96" i="3" l="1"/>
  <c r="L48" i="3"/>
  <c r="L49" i="3" s="1"/>
  <c r="F56" i="3"/>
  <c r="F67" i="3"/>
  <c r="L88" i="3"/>
  <c r="L89" i="3" s="1"/>
  <c r="F97" i="3" l="1"/>
  <c r="L94" i="3"/>
  <c r="L90" i="3"/>
  <c r="F68" i="3"/>
  <c r="F69" i="3" s="1"/>
  <c r="F70" i="3" s="1"/>
  <c r="F57" i="3"/>
  <c r="L54" i="3"/>
  <c r="L50" i="3"/>
  <c r="L55" i="3" l="1"/>
  <c r="L92" i="3"/>
  <c r="L91" i="3"/>
  <c r="L52" i="3"/>
  <c r="L51" i="3"/>
  <c r="L53" i="3"/>
  <c r="L93" i="3"/>
  <c r="F72" i="3"/>
  <c r="F71" i="3"/>
  <c r="L95" i="3"/>
  <c r="F73" i="3"/>
  <c r="F74" i="3"/>
  <c r="M46" i="3" l="1"/>
  <c r="M47" i="3" s="1"/>
  <c r="L56" i="3"/>
  <c r="M86" i="3"/>
  <c r="M87" i="3" s="1"/>
  <c r="G66" i="3"/>
  <c r="G67" i="3" s="1"/>
  <c r="L96" i="3"/>
  <c r="F75" i="3"/>
  <c r="F76" i="3" s="1"/>
  <c r="M88" i="3" l="1"/>
  <c r="M89" i="3" s="1"/>
  <c r="M90" i="3" s="1"/>
  <c r="L57" i="3"/>
  <c r="M48" i="3"/>
  <c r="M49" i="3" s="1"/>
  <c r="M50" i="3" s="1"/>
  <c r="L97" i="3"/>
  <c r="F77" i="3"/>
  <c r="G68" i="3"/>
  <c r="G69" i="3" s="1"/>
  <c r="G70" i="3" s="1"/>
  <c r="G72" i="3" l="1"/>
  <c r="G71" i="3"/>
  <c r="M52" i="3"/>
  <c r="M51" i="3"/>
  <c r="M53" i="3"/>
  <c r="M54" i="3"/>
  <c r="G73" i="3"/>
  <c r="G74" i="3"/>
  <c r="M92" i="3"/>
  <c r="M91" i="3"/>
  <c r="M93" i="3"/>
  <c r="M94" i="3"/>
  <c r="N46" i="3" l="1"/>
  <c r="N47" i="3" s="1"/>
  <c r="M95" i="3"/>
  <c r="G75" i="3"/>
  <c r="G76" i="3" s="1"/>
  <c r="N86" i="3"/>
  <c r="N87" i="3" s="1"/>
  <c r="H66" i="3"/>
  <c r="H67" i="3" s="1"/>
  <c r="M96" i="3"/>
  <c r="M55" i="3"/>
  <c r="M56" i="3" s="1"/>
  <c r="M97" i="3" l="1"/>
  <c r="G77" i="3"/>
  <c r="M57" i="3"/>
  <c r="H68" i="3"/>
  <c r="H69" i="3" s="1"/>
  <c r="H70" i="3" s="1"/>
  <c r="N88" i="3"/>
  <c r="N89" i="3" s="1"/>
  <c r="N90" i="3" s="1"/>
  <c r="N48" i="3"/>
  <c r="N49" i="3" s="1"/>
  <c r="N50" i="3" s="1"/>
  <c r="N52" i="3" l="1"/>
  <c r="N51" i="3"/>
  <c r="N92" i="3"/>
  <c r="N91" i="3"/>
  <c r="H72" i="3"/>
  <c r="H71" i="3"/>
  <c r="N53" i="3"/>
  <c r="N54" i="3"/>
  <c r="N93" i="3"/>
  <c r="N94" i="3"/>
  <c r="H73" i="3"/>
  <c r="H74" i="3"/>
  <c r="N95" i="3" l="1"/>
  <c r="N96" i="3" s="1"/>
  <c r="I66" i="3"/>
  <c r="I67" i="3" s="1"/>
  <c r="N55" i="3"/>
  <c r="N56" i="3" s="1"/>
  <c r="O86" i="3"/>
  <c r="O87" i="3" s="1"/>
  <c r="O46" i="3"/>
  <c r="O47" i="3" s="1"/>
  <c r="H75" i="3"/>
  <c r="N57" i="3" l="1"/>
  <c r="N97" i="3"/>
  <c r="I68" i="3"/>
  <c r="I69" i="3" s="1"/>
  <c r="I70" i="3" s="1"/>
  <c r="O48" i="3"/>
  <c r="O49" i="3" s="1"/>
  <c r="O88" i="3"/>
  <c r="O89" i="3" s="1"/>
  <c r="O90" i="3" s="1"/>
  <c r="H76" i="3"/>
  <c r="I72" i="3" l="1"/>
  <c r="I71" i="3"/>
  <c r="O54" i="3"/>
  <c r="I73" i="3"/>
  <c r="I74" i="3"/>
  <c r="H77" i="3"/>
  <c r="O92" i="3"/>
  <c r="O91" i="3"/>
  <c r="O93" i="3"/>
  <c r="O94" i="3"/>
  <c r="O50" i="3"/>
  <c r="P86" i="3" l="1"/>
  <c r="P87" i="3" s="1"/>
  <c r="O55" i="3"/>
  <c r="O52" i="3"/>
  <c r="O51" i="3"/>
  <c r="O95" i="3"/>
  <c r="O96" i="3" s="1"/>
  <c r="O53" i="3"/>
  <c r="I75" i="3"/>
  <c r="I76" i="3" s="1"/>
  <c r="J66" i="3"/>
  <c r="J67" i="3" s="1"/>
  <c r="O56" i="3" l="1"/>
  <c r="O57" i="3" s="1"/>
  <c r="I77" i="3"/>
  <c r="J68" i="3"/>
  <c r="J69" i="3" s="1"/>
  <c r="J70" i="3" s="1"/>
  <c r="P46" i="3"/>
  <c r="P47" i="3" s="1"/>
  <c r="O97" i="3"/>
  <c r="P88" i="3"/>
  <c r="P89" i="3" s="1"/>
  <c r="J72" i="3" l="1"/>
  <c r="J71" i="3"/>
  <c r="P48" i="3"/>
  <c r="P49" i="3" s="1"/>
  <c r="P50" i="3" s="1"/>
  <c r="J73" i="3"/>
  <c r="J74" i="3"/>
  <c r="P94" i="3"/>
  <c r="P95" i="3" s="1"/>
  <c r="P90" i="3"/>
  <c r="P92" i="3" l="1"/>
  <c r="P91" i="3"/>
  <c r="P52" i="3"/>
  <c r="P51" i="3"/>
  <c r="P53" i="3"/>
  <c r="P54" i="3"/>
  <c r="P55" i="3" s="1"/>
  <c r="P93" i="3"/>
  <c r="K66" i="3"/>
  <c r="K67" i="3" s="1"/>
  <c r="J75" i="3"/>
  <c r="J76" i="3" s="1"/>
  <c r="Q46" i="3" l="1"/>
  <c r="Q47" i="3" s="1"/>
  <c r="K68" i="3"/>
  <c r="K69" i="3" s="1"/>
  <c r="K70" i="3" s="1"/>
  <c r="P56" i="3"/>
  <c r="P57" i="3" s="1"/>
  <c r="Q86" i="3"/>
  <c r="Q87" i="3" s="1"/>
  <c r="J77" i="3"/>
  <c r="P96" i="3"/>
  <c r="P97" i="3" s="1"/>
  <c r="K72" i="3" l="1"/>
  <c r="K71" i="3"/>
  <c r="Q88" i="3"/>
  <c r="Q89" i="3" s="1"/>
  <c r="Q48" i="3"/>
  <c r="Q49" i="3" s="1"/>
  <c r="Q50" i="3" s="1"/>
  <c r="K73" i="3"/>
  <c r="K74" i="3"/>
  <c r="K75" i="3" s="1"/>
  <c r="Q94" i="3" l="1"/>
  <c r="Q95" i="3" s="1"/>
  <c r="Q52" i="3"/>
  <c r="Q51" i="3"/>
  <c r="Q53" i="3"/>
  <c r="Q54" i="3"/>
  <c r="Q55" i="3" s="1"/>
  <c r="Q90" i="3"/>
  <c r="L66" i="3"/>
  <c r="L67" i="3" s="1"/>
  <c r="K76" i="3"/>
  <c r="K77" i="3" s="1"/>
  <c r="L68" i="3" l="1"/>
  <c r="L69" i="3" s="1"/>
  <c r="Q56" i="3"/>
  <c r="Q57" i="3" s="1"/>
  <c r="Q92" i="3"/>
  <c r="Q91" i="3"/>
  <c r="R46" i="3"/>
  <c r="R47" i="3" s="1"/>
  <c r="Q93" i="3"/>
  <c r="Q96" i="3" l="1"/>
  <c r="Q97" i="3" s="1"/>
  <c r="L74" i="3"/>
  <c r="L75" i="3" s="1"/>
  <c r="R48" i="3"/>
  <c r="R49" i="3" s="1"/>
  <c r="R50" i="3" s="1"/>
  <c r="R86" i="3"/>
  <c r="R87" i="3" s="1"/>
  <c r="L70" i="3"/>
  <c r="R53" i="3" l="1"/>
  <c r="R54" i="3"/>
  <c r="R55" i="3" s="1"/>
  <c r="R52" i="3"/>
  <c r="R51" i="3"/>
  <c r="L72" i="3"/>
  <c r="L71" i="3"/>
  <c r="L73" i="3"/>
  <c r="R88" i="3"/>
  <c r="R89" i="3" s="1"/>
  <c r="R90" i="3" s="1"/>
  <c r="L76" i="3" l="1"/>
  <c r="L77" i="3" s="1"/>
  <c r="R92" i="3"/>
  <c r="R91" i="3"/>
  <c r="S46" i="3"/>
  <c r="S47" i="3" s="1"/>
  <c r="R56" i="3"/>
  <c r="R57" i="3" s="1"/>
  <c r="M66" i="3"/>
  <c r="M67" i="3" s="1"/>
  <c r="R93" i="3"/>
  <c r="R94" i="3"/>
  <c r="R95" i="3" s="1"/>
  <c r="S48" i="3" l="1"/>
  <c r="S49" i="3" s="1"/>
  <c r="S86" i="3"/>
  <c r="S87" i="3" s="1"/>
  <c r="M68" i="3"/>
  <c r="M69" i="3" s="1"/>
  <c r="M70" i="3" s="1"/>
  <c r="R96" i="3"/>
  <c r="R97" i="3" s="1"/>
  <c r="M72" i="3" l="1"/>
  <c r="M71" i="3"/>
  <c r="M73" i="3"/>
  <c r="M74" i="3"/>
  <c r="M75" i="3" s="1"/>
  <c r="S54" i="3"/>
  <c r="S55" i="3" s="1"/>
  <c r="S88" i="3"/>
  <c r="S89" i="3" s="1"/>
  <c r="S50" i="3"/>
  <c r="S53" i="3" s="1"/>
  <c r="S94" i="3" l="1"/>
  <c r="S95" i="3" s="1"/>
  <c r="N66" i="3"/>
  <c r="N67" i="3" s="1"/>
  <c r="S52" i="3"/>
  <c r="S56" i="3" s="1"/>
  <c r="S57" i="3" s="1"/>
  <c r="S51" i="3"/>
  <c r="S90" i="3"/>
  <c r="M76" i="3"/>
  <c r="M77" i="3" s="1"/>
  <c r="S92" i="3" l="1"/>
  <c r="S91" i="3"/>
  <c r="S93" i="3"/>
  <c r="T46" i="3"/>
  <c r="T47" i="3" s="1"/>
  <c r="N68" i="3"/>
  <c r="N69" i="3" s="1"/>
  <c r="S96" i="3" l="1"/>
  <c r="S97" i="3" s="1"/>
  <c r="N74" i="3"/>
  <c r="N75" i="3" s="1"/>
  <c r="N70" i="3"/>
  <c r="T48" i="3"/>
  <c r="T49" i="3" s="1"/>
  <c r="T50" i="3" s="1"/>
  <c r="T86" i="3"/>
  <c r="T87" i="3" s="1"/>
  <c r="T52" i="3" l="1"/>
  <c r="T51" i="3"/>
  <c r="N72" i="3"/>
  <c r="N71" i="3"/>
  <c r="T53" i="3"/>
  <c r="T54" i="3"/>
  <c r="T55" i="3" s="1"/>
  <c r="T88" i="3"/>
  <c r="T89" i="3" s="1"/>
  <c r="T90" i="3" s="1"/>
  <c r="N73" i="3"/>
  <c r="T92" i="3" l="1"/>
  <c r="T91" i="3"/>
  <c r="O66" i="3"/>
  <c r="O67" i="3" s="1"/>
  <c r="U46" i="3"/>
  <c r="U47" i="3" s="1"/>
  <c r="N76" i="3"/>
  <c r="N77" i="3" s="1"/>
  <c r="T93" i="3"/>
  <c r="T94" i="3"/>
  <c r="T95" i="3" s="1"/>
  <c r="T56" i="3"/>
  <c r="T57" i="3" s="1"/>
  <c r="O68" i="3" l="1"/>
  <c r="O69" i="3" s="1"/>
  <c r="O70" i="3" s="1"/>
  <c r="U48" i="3"/>
  <c r="U49" i="3" s="1"/>
  <c r="U50" i="3" s="1"/>
  <c r="U86" i="3"/>
  <c r="U87" i="3" s="1"/>
  <c r="T96" i="3"/>
  <c r="T97" i="3" s="1"/>
  <c r="U52" i="3" l="1"/>
  <c r="U51" i="3"/>
  <c r="O72" i="3"/>
  <c r="O71" i="3"/>
  <c r="U53" i="3"/>
  <c r="U54" i="3"/>
  <c r="U55" i="3" s="1"/>
  <c r="U88" i="3"/>
  <c r="U89" i="3" s="1"/>
  <c r="U90" i="3" s="1"/>
  <c r="O73" i="3"/>
  <c r="O74" i="3"/>
  <c r="O75" i="3" s="1"/>
  <c r="U92" i="3" l="1"/>
  <c r="U91" i="3"/>
  <c r="P66" i="3"/>
  <c r="P67" i="3" s="1"/>
  <c r="O76" i="3"/>
  <c r="O77" i="3" s="1"/>
  <c r="V46" i="3"/>
  <c r="V47" i="3" s="1"/>
  <c r="U93" i="3"/>
  <c r="U94" i="3"/>
  <c r="U95" i="3" s="1"/>
  <c r="U56" i="3"/>
  <c r="U57" i="3" s="1"/>
  <c r="P68" i="3" l="1"/>
  <c r="P69" i="3" s="1"/>
  <c r="P70" i="3" s="1"/>
  <c r="V48" i="3"/>
  <c r="V49" i="3" s="1"/>
  <c r="V86" i="3"/>
  <c r="V87" i="3" s="1"/>
  <c r="U96" i="3"/>
  <c r="U97" i="3" s="1"/>
  <c r="V54" i="3" l="1"/>
  <c r="V55" i="3" s="1"/>
  <c r="V88" i="3"/>
  <c r="V89" i="3" s="1"/>
  <c r="V50" i="3"/>
  <c r="P73" i="3"/>
  <c r="P74" i="3"/>
  <c r="P75" i="3" s="1"/>
  <c r="P72" i="3"/>
  <c r="P71" i="3"/>
  <c r="V52" i="3" l="1"/>
  <c r="V51" i="3"/>
  <c r="V94" i="3"/>
  <c r="V95" i="3" s="1"/>
  <c r="Q66" i="3"/>
  <c r="Q67" i="3" s="1"/>
  <c r="V90" i="3"/>
  <c r="V93" i="3" s="1"/>
  <c r="P76" i="3"/>
  <c r="P77" i="3" s="1"/>
  <c r="V53" i="3"/>
  <c r="Q68" i="3" l="1"/>
  <c r="Q69" i="3" s="1"/>
  <c r="Q70" i="3" s="1"/>
  <c r="W46" i="3"/>
  <c r="W47" i="3" s="1"/>
  <c r="V92" i="3"/>
  <c r="V96" i="3" s="1"/>
  <c r="V97" i="3" s="1"/>
  <c r="V91" i="3"/>
  <c r="V56" i="3"/>
  <c r="V57" i="3" s="1"/>
  <c r="W86" i="3" l="1"/>
  <c r="W87" i="3" s="1"/>
  <c r="W48" i="3"/>
  <c r="W49" i="3" s="1"/>
  <c r="Q72" i="3"/>
  <c r="Q71" i="3"/>
  <c r="Q73" i="3"/>
  <c r="Q74" i="3"/>
  <c r="Q75" i="3" s="1"/>
  <c r="W54" i="3" l="1"/>
  <c r="W55" i="3" s="1"/>
  <c r="Q76" i="3"/>
  <c r="Q77" i="3" s="1"/>
  <c r="W50" i="3"/>
  <c r="R66" i="3"/>
  <c r="R67" i="3" s="1"/>
  <c r="W88" i="3"/>
  <c r="W89" i="3" s="1"/>
  <c r="W90" i="3" s="1"/>
  <c r="R68" i="3" l="1"/>
  <c r="R69" i="3" s="1"/>
  <c r="R70" i="3" s="1"/>
  <c r="W52" i="3"/>
  <c r="W51" i="3"/>
  <c r="W92" i="3"/>
  <c r="W91" i="3"/>
  <c r="W53" i="3"/>
  <c r="W93" i="3"/>
  <c r="W94" i="3"/>
  <c r="W95" i="3" s="1"/>
  <c r="W96" i="3" l="1"/>
  <c r="W97" i="3" s="1"/>
  <c r="R72" i="3"/>
  <c r="R71" i="3"/>
  <c r="X46" i="3"/>
  <c r="X47" i="3" s="1"/>
  <c r="W56" i="3"/>
  <c r="W57" i="3" s="1"/>
  <c r="X86" i="3"/>
  <c r="X87" i="3" s="1"/>
  <c r="R73" i="3"/>
  <c r="R74" i="3"/>
  <c r="R75" i="3" s="1"/>
  <c r="X88" i="3" l="1"/>
  <c r="X89" i="3" s="1"/>
  <c r="X90" i="3" s="1"/>
  <c r="X48" i="3"/>
  <c r="X49" i="3" s="1"/>
  <c r="S66" i="3"/>
  <c r="S67" i="3" s="1"/>
  <c r="R76" i="3"/>
  <c r="R77" i="3" s="1"/>
  <c r="X92" i="3" l="1"/>
  <c r="X91" i="3"/>
  <c r="X54" i="3"/>
  <c r="X55" i="3" s="1"/>
  <c r="X50" i="3"/>
  <c r="S68" i="3"/>
  <c r="S69" i="3" s="1"/>
  <c r="X93" i="3"/>
  <c r="X94" i="3"/>
  <c r="X95" i="3" s="1"/>
  <c r="S74" i="3" l="1"/>
  <c r="S75" i="3" s="1"/>
  <c r="X52" i="3"/>
  <c r="X51" i="3"/>
  <c r="X53" i="3"/>
  <c r="Y86" i="3"/>
  <c r="Y87" i="3" s="1"/>
  <c r="S70" i="3"/>
  <c r="X96" i="3"/>
  <c r="X97" i="3" s="1"/>
  <c r="X56" i="3" l="1"/>
  <c r="X57" i="3" s="1"/>
  <c r="S72" i="3"/>
  <c r="S71" i="3"/>
  <c r="S73" i="3"/>
  <c r="Y46" i="3"/>
  <c r="Y47" i="3" s="1"/>
  <c r="Y88" i="3"/>
  <c r="Y89" i="3" s="1"/>
  <c r="Y90" i="3" s="1"/>
  <c r="Y92" i="3" l="1"/>
  <c r="Y91" i="3"/>
  <c r="T66" i="3"/>
  <c r="T67" i="3" s="1"/>
  <c r="Y93" i="3"/>
  <c r="Y94" i="3"/>
  <c r="Y95" i="3" s="1"/>
  <c r="Y48" i="3"/>
  <c r="Y49" i="3" s="1"/>
  <c r="S76" i="3"/>
  <c r="S77" i="3" s="1"/>
  <c r="T68" i="3" l="1"/>
  <c r="T69" i="3" s="1"/>
  <c r="T70" i="3" s="1"/>
  <c r="Y54" i="3"/>
  <c r="Y55" i="3" s="1"/>
  <c r="Z86" i="3"/>
  <c r="Z87" i="3" s="1"/>
  <c r="Y50" i="3"/>
  <c r="Y53" i="3" s="1"/>
  <c r="Y96" i="3"/>
  <c r="Y97" i="3" s="1"/>
  <c r="Z88" i="3" l="1"/>
  <c r="Z89" i="3" s="1"/>
  <c r="T72" i="3"/>
  <c r="T71" i="3"/>
  <c r="Y52" i="3"/>
  <c r="Y56" i="3" s="1"/>
  <c r="Y57" i="3" s="1"/>
  <c r="Y51" i="3"/>
  <c r="T73" i="3"/>
  <c r="T74" i="3"/>
  <c r="T75" i="3" s="1"/>
  <c r="T76" i="3" l="1"/>
  <c r="T77" i="3" s="1"/>
  <c r="U66" i="3"/>
  <c r="U67" i="3" s="1"/>
  <c r="Z94" i="3"/>
  <c r="Z95" i="3" s="1"/>
  <c r="Z46" i="3"/>
  <c r="Z47" i="3" s="1"/>
  <c r="Z90" i="3"/>
  <c r="Z93" i="3" s="1"/>
  <c r="U68" i="3" l="1"/>
  <c r="U69" i="3" s="1"/>
  <c r="U70" i="3" s="1"/>
  <c r="Z92" i="3"/>
  <c r="Z96" i="3" s="1"/>
  <c r="Z97" i="3" s="1"/>
  <c r="Z91" i="3"/>
  <c r="Z48" i="3"/>
  <c r="Z49" i="3" s="1"/>
  <c r="Z50" i="3" s="1"/>
  <c r="U72" i="3" l="1"/>
  <c r="U71" i="3"/>
  <c r="Z52" i="3"/>
  <c r="Z51" i="3"/>
  <c r="Z53" i="3"/>
  <c r="Z54" i="3"/>
  <c r="Z55" i="3" s="1"/>
  <c r="AA86" i="3"/>
  <c r="AA87" i="3" s="1"/>
  <c r="U73" i="3"/>
  <c r="U74" i="3"/>
  <c r="U75" i="3" s="1"/>
  <c r="AA46" i="3" l="1"/>
  <c r="AA47" i="3" s="1"/>
  <c r="Z56" i="3"/>
  <c r="Z57" i="3" s="1"/>
  <c r="AA88" i="3"/>
  <c r="AA89" i="3" s="1"/>
  <c r="V66" i="3"/>
  <c r="V67" i="3" s="1"/>
  <c r="U76" i="3"/>
  <c r="U77" i="3" s="1"/>
  <c r="V68" i="3" l="1"/>
  <c r="V69" i="3" s="1"/>
  <c r="V70" i="3" s="1"/>
  <c r="AA94" i="3"/>
  <c r="AA95" i="3" s="1"/>
  <c r="AA90" i="3"/>
  <c r="AA48" i="3"/>
  <c r="AA49" i="3" s="1"/>
  <c r="AA50" i="3" s="1"/>
  <c r="AA52" i="3" l="1"/>
  <c r="AA51" i="3"/>
  <c r="V72" i="3"/>
  <c r="V71" i="3"/>
  <c r="AA92" i="3"/>
  <c r="AA91" i="3"/>
  <c r="AA93" i="3"/>
  <c r="AA53" i="3"/>
  <c r="AA54" i="3"/>
  <c r="AA55" i="3" s="1"/>
  <c r="V73" i="3"/>
  <c r="V74" i="3"/>
  <c r="V75" i="3" s="1"/>
  <c r="AA56" i="3" l="1"/>
  <c r="AA57" i="3" s="1"/>
  <c r="V76" i="3"/>
  <c r="V77" i="3" s="1"/>
  <c r="AB86" i="3"/>
  <c r="AB87" i="3" s="1"/>
  <c r="AA96" i="3"/>
  <c r="AA97" i="3" s="1"/>
  <c r="W66" i="3"/>
  <c r="W67" i="3" s="1"/>
  <c r="AB46" i="3"/>
  <c r="AB47" i="3" s="1"/>
  <c r="AB88" i="3" l="1"/>
  <c r="AB89" i="3" s="1"/>
  <c r="AB90" i="3" s="1"/>
  <c r="W68" i="3"/>
  <c r="W69" i="3" s="1"/>
  <c r="AB48" i="3"/>
  <c r="AB49" i="3" s="1"/>
  <c r="AB50" i="3" s="1"/>
  <c r="AB92" i="3" l="1"/>
  <c r="AB91" i="3"/>
  <c r="W74" i="3"/>
  <c r="W75" i="3" s="1"/>
  <c r="AB52" i="3"/>
  <c r="AB51" i="3"/>
  <c r="AB53" i="3"/>
  <c r="AB54" i="3"/>
  <c r="AB55" i="3" s="1"/>
  <c r="W70" i="3"/>
  <c r="AB93" i="3"/>
  <c r="AB94" i="3"/>
  <c r="AB95" i="3" s="1"/>
  <c r="AB56" i="3" l="1"/>
  <c r="AB57" i="3" s="1"/>
  <c r="W72" i="3"/>
  <c r="W71" i="3"/>
  <c r="AC46" i="3"/>
  <c r="AC47" i="3" s="1"/>
  <c r="AC86" i="3"/>
  <c r="AC87" i="3" s="1"/>
  <c r="W73" i="3"/>
  <c r="AB96" i="3"/>
  <c r="AB97" i="3" s="1"/>
  <c r="AC88" i="3" l="1"/>
  <c r="AC89" i="3" s="1"/>
  <c r="AC90" i="3" s="1"/>
  <c r="AC48" i="3"/>
  <c r="AC49" i="3" s="1"/>
  <c r="AC50" i="3" s="1"/>
  <c r="X66" i="3"/>
  <c r="X67" i="3" s="1"/>
  <c r="W76" i="3"/>
  <c r="W77" i="3" s="1"/>
  <c r="AC52" i="3" l="1"/>
  <c r="AC51" i="3"/>
  <c r="AC92" i="3"/>
  <c r="AC91" i="3"/>
  <c r="X68" i="3"/>
  <c r="X69" i="3" s="1"/>
  <c r="X70" i="3" s="1"/>
  <c r="AC53" i="3"/>
  <c r="AC54" i="3"/>
  <c r="AC55" i="3" s="1"/>
  <c r="AC93" i="3"/>
  <c r="AC94" i="3"/>
  <c r="AC95" i="3" s="1"/>
  <c r="X72" i="3" l="1"/>
  <c r="X71" i="3"/>
  <c r="AC96" i="3"/>
  <c r="AC97" i="3" s="1"/>
  <c r="AD46" i="3"/>
  <c r="AD47" i="3" s="1"/>
  <c r="X73" i="3"/>
  <c r="X74" i="3"/>
  <c r="X75" i="3" s="1"/>
  <c r="AD86" i="3"/>
  <c r="AD87" i="3" s="1"/>
  <c r="AC56" i="3"/>
  <c r="AC57" i="3" s="1"/>
  <c r="AD48" i="3" l="1"/>
  <c r="AD49" i="3" s="1"/>
  <c r="AD50" i="3" s="1"/>
  <c r="AD88" i="3"/>
  <c r="AD89" i="3" s="1"/>
  <c r="Y66" i="3"/>
  <c r="Y67" i="3" s="1"/>
  <c r="X76" i="3"/>
  <c r="X77" i="3" s="1"/>
  <c r="AD52" i="3" l="1"/>
  <c r="AD51" i="3"/>
  <c r="AD94" i="3"/>
  <c r="AD95" i="3" s="1"/>
  <c r="Y68" i="3"/>
  <c r="Y69" i="3" s="1"/>
  <c r="AD90" i="3"/>
  <c r="AD93" i="3" s="1"/>
  <c r="AD53" i="3"/>
  <c r="AD54" i="3"/>
  <c r="AD55" i="3" s="1"/>
  <c r="AE46" i="3" l="1"/>
  <c r="AE47" i="3" s="1"/>
  <c r="Y74" i="3"/>
  <c r="Y75" i="3" s="1"/>
  <c r="Y70" i="3"/>
  <c r="AD92" i="3"/>
  <c r="AD96" i="3" s="1"/>
  <c r="AD97" i="3" s="1"/>
  <c r="AD91" i="3"/>
  <c r="AD56" i="3"/>
  <c r="AD57" i="3" s="1"/>
  <c r="AE48" i="3" l="1"/>
  <c r="AE49" i="3" s="1"/>
  <c r="AE50" i="3" s="1"/>
  <c r="Y72" i="3"/>
  <c r="Y71" i="3"/>
  <c r="Y73" i="3"/>
  <c r="AE86" i="3"/>
  <c r="AE87" i="3" s="1"/>
  <c r="Z66" i="3" l="1"/>
  <c r="Z67" i="3" s="1"/>
  <c r="AE52" i="3"/>
  <c r="D50" i="3"/>
  <c r="D105" i="3" s="1" a="1"/>
  <c r="D105" i="3" s="1"/>
  <c r="AE51" i="3"/>
  <c r="AE88" i="3"/>
  <c r="AE89" i="3" s="1"/>
  <c r="AE90" i="3" s="1"/>
  <c r="Y76" i="3"/>
  <c r="Y77" i="3" s="1"/>
  <c r="AE53" i="3"/>
  <c r="D53" i="3" s="1"/>
  <c r="D49" i="3"/>
  <c r="AE54" i="3"/>
  <c r="D34" i="4" a="1"/>
  <c r="D34" i="4" l="1"/>
  <c r="AE92" i="3"/>
  <c r="D90" i="3"/>
  <c r="D107" i="3" s="1" a="1"/>
  <c r="D107" i="3" s="1"/>
  <c r="AE91" i="3"/>
  <c r="AE55" i="3"/>
  <c r="D55" i="3" s="1"/>
  <c r="D54" i="3"/>
  <c r="Z68" i="3"/>
  <c r="Z69" i="3" s="1"/>
  <c r="AE93" i="3"/>
  <c r="D93" i="3" s="1"/>
  <c r="D89" i="3"/>
  <c r="AE94" i="3"/>
  <c r="D52" i="3"/>
  <c r="D36" i="4" a="1"/>
  <c r="D36" i="4" l="1"/>
  <c r="Z74" i="3"/>
  <c r="Z75" i="3" s="1"/>
  <c r="AE95" i="3"/>
  <c r="D95" i="3" s="1"/>
  <c r="D94" i="3"/>
  <c r="Z70" i="3"/>
  <c r="AE56" i="3"/>
  <c r="D92" i="3"/>
  <c r="Z72" i="3" l="1"/>
  <c r="Z71" i="3"/>
  <c r="AE57" i="3"/>
  <c r="D57" i="3" s="1"/>
  <c r="D102" i="3" s="1" a="1"/>
  <c r="D102" i="3" s="1"/>
  <c r="D56" i="3"/>
  <c r="AE96" i="3"/>
  <c r="Z73" i="3"/>
  <c r="D77" i="4" a="1"/>
  <c r="D106" i="4" a="1"/>
  <c r="D100" i="4" a="1"/>
  <c r="D102" i="4" a="1"/>
  <c r="D95" i="4" a="1"/>
  <c r="D82" i="4" a="1"/>
  <c r="D59" i="4" a="1"/>
  <c r="D86" i="4" a="1"/>
  <c r="D96" i="4" a="1"/>
  <c r="D60" i="4" a="1"/>
  <c r="D81" i="4" a="1"/>
  <c r="D91" i="4" a="1"/>
  <c r="D63" i="4" a="1"/>
  <c r="D13" i="4" a="1"/>
  <c r="D90" i="4" a="1"/>
  <c r="D83" i="4" a="1"/>
  <c r="D68" i="4" a="1"/>
  <c r="D88" i="4" a="1"/>
  <c r="D64" i="4" a="1"/>
  <c r="D73" i="4" a="1"/>
  <c r="D74" i="4" a="1"/>
  <c r="D79" i="4" a="1"/>
  <c r="D84" i="4" a="1"/>
  <c r="D70" i="4" a="1"/>
  <c r="D107" i="4" a="1"/>
  <c r="D75" i="4" a="1"/>
  <c r="F13" i="4" a="1"/>
  <c r="D80" i="4" a="1"/>
  <c r="D93" i="4" a="1"/>
  <c r="D61" i="4" a="1"/>
  <c r="D66" i="4" a="1"/>
  <c r="D87" i="4" a="1"/>
  <c r="D92" i="4" a="1"/>
  <c r="D94" i="4" a="1"/>
  <c r="D69" i="4" a="1"/>
  <c r="D65" i="4" a="1"/>
  <c r="D108" i="4" a="1"/>
  <c r="D89" i="4" a="1"/>
  <c r="E13" i="4" a="1"/>
  <c r="D78" i="4" a="1"/>
  <c r="G13" i="4" a="1"/>
  <c r="D105" i="4" a="1"/>
  <c r="D101" i="4" a="1"/>
  <c r="D97" i="4" a="1"/>
  <c r="D103" i="4" a="1"/>
  <c r="D71" i="4" a="1"/>
  <c r="D76" i="4" a="1"/>
  <c r="D99" i="4" a="1"/>
  <c r="D67" i="4" a="1"/>
  <c r="D104" i="4" a="1"/>
  <c r="D72" i="4" a="1"/>
  <c r="D85" i="4" a="1"/>
  <c r="D98" i="4" a="1"/>
  <c r="D62" i="4" a="1"/>
  <c r="D62" i="4" l="1"/>
  <c r="D98" i="4"/>
  <c r="D85" i="4"/>
  <c r="D72" i="4"/>
  <c r="D104" i="4"/>
  <c r="D67" i="4"/>
  <c r="D99" i="4"/>
  <c r="D76" i="4"/>
  <c r="D71" i="4"/>
  <c r="D103" i="4"/>
  <c r="D97" i="4"/>
  <c r="D101" i="4"/>
  <c r="D105" i="4"/>
  <c r="G13" i="4"/>
  <c r="D78" i="4"/>
  <c r="E13" i="4"/>
  <c r="D89" i="4"/>
  <c r="D108" i="4"/>
  <c r="D65" i="4"/>
  <c r="D69" i="4"/>
  <c r="D94" i="4"/>
  <c r="D92" i="4"/>
  <c r="D87" i="4"/>
  <c r="D66" i="4"/>
  <c r="D61" i="4"/>
  <c r="D93" i="4"/>
  <c r="D80" i="4"/>
  <c r="F13" i="4"/>
  <c r="D75" i="4"/>
  <c r="D107" i="4"/>
  <c r="D70" i="4"/>
  <c r="D84" i="4"/>
  <c r="D79" i="4"/>
  <c r="D74" i="4"/>
  <c r="D73" i="4"/>
  <c r="D64" i="4"/>
  <c r="D88" i="4"/>
  <c r="D68" i="4"/>
  <c r="D83" i="4"/>
  <c r="D90" i="4"/>
  <c r="D13" i="4"/>
  <c r="D63" i="4"/>
  <c r="D91" i="4"/>
  <c r="D81" i="4"/>
  <c r="D60" i="4"/>
  <c r="D96" i="4"/>
  <c r="D86" i="4"/>
  <c r="D59" i="4"/>
  <c r="D82" i="4"/>
  <c r="D95" i="4"/>
  <c r="D102" i="4"/>
  <c r="D100" i="4"/>
  <c r="D106" i="4"/>
  <c r="D77" i="4"/>
  <c r="Z76" i="3"/>
  <c r="Z77" i="3" s="1"/>
  <c r="AE97" i="3"/>
  <c r="D97" i="3" s="1"/>
  <c r="D104" i="3" s="1" a="1"/>
  <c r="D104" i="3" s="1"/>
  <c r="D96" i="3"/>
  <c r="AA66" i="3"/>
  <c r="AA67" i="3" s="1"/>
  <c r="E15" i="4" a="1"/>
  <c r="F95" i="4" a="1"/>
  <c r="F89" i="4" a="1"/>
  <c r="F63" i="4" a="1"/>
  <c r="F82" i="4" a="1"/>
  <c r="B6" i="4" a="1"/>
  <c r="F15" i="4" a="1"/>
  <c r="F91" i="4" a="1"/>
  <c r="F72" i="4" a="1"/>
  <c r="F108" i="4" a="1"/>
  <c r="F73" i="4" a="1"/>
  <c r="F102" i="4" a="1"/>
  <c r="F62" i="4" a="1"/>
  <c r="F79" i="4" a="1"/>
  <c r="F68" i="4" a="1"/>
  <c r="F88" i="4" a="1"/>
  <c r="F104" i="4" a="1"/>
  <c r="G15" i="4" a="1"/>
  <c r="D115" i="4" a="1"/>
  <c r="F106" i="4" a="1"/>
  <c r="F83" i="4" a="1"/>
  <c r="F105" i="4" a="1"/>
  <c r="F101" i="4" a="1"/>
  <c r="F69" i="4" a="1"/>
  <c r="F98" i="4" a="1"/>
  <c r="F107" i="4" a="1"/>
  <c r="F75" i="4" a="1"/>
  <c r="F92" i="4" a="1"/>
  <c r="F96" i="4" a="1"/>
  <c r="B41" i="4" a="1"/>
  <c r="F85" i="4" a="1"/>
  <c r="F59" i="4" a="1"/>
  <c r="F70" i="4" a="1"/>
  <c r="F60" i="4" a="1"/>
  <c r="F77" i="4" a="1"/>
  <c r="F66" i="4" a="1"/>
  <c r="F97" i="4" a="1"/>
  <c r="F65" i="4" a="1"/>
  <c r="F94" i="4" a="1"/>
  <c r="F103" i="4" a="1"/>
  <c r="F71" i="4" a="1"/>
  <c r="F76" i="4" a="1"/>
  <c r="F80" i="4" a="1"/>
  <c r="F90" i="4" a="1"/>
  <c r="F78" i="4" a="1"/>
  <c r="F100" i="4" a="1"/>
  <c r="F81" i="4" a="1"/>
  <c r="F74" i="4" a="1"/>
  <c r="F87" i="4" a="1"/>
  <c r="F84" i="4" a="1"/>
  <c r="F93" i="4" a="1"/>
  <c r="F61" i="4" a="1"/>
  <c r="F86" i="4" a="1"/>
  <c r="F99" i="4" a="1"/>
  <c r="F67" i="4" a="1"/>
  <c r="F64" i="4" a="1"/>
  <c r="D15" i="4" a="1"/>
  <c r="D15" i="4" l="1"/>
  <c r="F64" i="4"/>
  <c r="F67" i="4"/>
  <c r="F99" i="4"/>
  <c r="F86" i="4"/>
  <c r="F61" i="4"/>
  <c r="F93" i="4"/>
  <c r="F84" i="4"/>
  <c r="F87" i="4"/>
  <c r="F74" i="4"/>
  <c r="F81" i="4"/>
  <c r="F100" i="4"/>
  <c r="F78" i="4"/>
  <c r="F90" i="4"/>
  <c r="F80" i="4"/>
  <c r="F76" i="4"/>
  <c r="F71" i="4"/>
  <c r="F103" i="4"/>
  <c r="F94" i="4"/>
  <c r="F65" i="4"/>
  <c r="F97" i="4"/>
  <c r="F66" i="4"/>
  <c r="F77" i="4"/>
  <c r="F60" i="4"/>
  <c r="F70" i="4"/>
  <c r="F59" i="4"/>
  <c r="F85" i="4"/>
  <c r="D47" i="4"/>
  <c r="B43" i="4"/>
  <c r="B119" i="4" s="1"/>
  <c r="B44" i="4"/>
  <c r="B120" i="4" s="1"/>
  <c r="C43" i="4"/>
  <c r="G119" i="4" s="1"/>
  <c r="B47" i="4"/>
  <c r="B123" i="4" s="1"/>
  <c r="E43" i="4"/>
  <c r="B45" i="4"/>
  <c r="B121" i="4" s="1"/>
  <c r="D45" i="4"/>
  <c r="D42" i="4"/>
  <c r="F118" i="4" s="1"/>
  <c r="E42" i="4"/>
  <c r="E45" i="4"/>
  <c r="B46" i="4"/>
  <c r="B122" i="4" s="1"/>
  <c r="D46" i="4"/>
  <c r="F122" i="4" s="1"/>
  <c r="D43" i="4"/>
  <c r="E46" i="4"/>
  <c r="C45" i="4"/>
  <c r="C42" i="4"/>
  <c r="G118" i="4" s="1"/>
  <c r="E47" i="4"/>
  <c r="B42" i="4"/>
  <c r="B118" i="4" s="1"/>
  <c r="D41" i="4"/>
  <c r="F117" i="4" s="1"/>
  <c r="E44" i="4"/>
  <c r="C41" i="4"/>
  <c r="C47" i="4"/>
  <c r="C46" i="4"/>
  <c r="B41" i="4"/>
  <c r="B117" i="4" s="1"/>
  <c r="C44" i="4"/>
  <c r="G120" i="4" s="1"/>
  <c r="E41" i="4"/>
  <c r="D44" i="4"/>
  <c r="F120" i="4" s="1"/>
  <c r="F96" i="4"/>
  <c r="F92" i="4"/>
  <c r="F75" i="4"/>
  <c r="F107" i="4"/>
  <c r="F98" i="4"/>
  <c r="F69" i="4"/>
  <c r="F101" i="4"/>
  <c r="F105" i="4"/>
  <c r="F83" i="4"/>
  <c r="F106" i="4"/>
  <c r="D115" i="4"/>
  <c r="G15" i="4"/>
  <c r="F104" i="4"/>
  <c r="F88" i="4"/>
  <c r="F68" i="4"/>
  <c r="F79" i="4"/>
  <c r="F62" i="4"/>
  <c r="F102" i="4"/>
  <c r="F73" i="4"/>
  <c r="F108" i="4"/>
  <c r="F72" i="4"/>
  <c r="F91" i="4"/>
  <c r="F15" i="4"/>
  <c r="B6" i="4"/>
  <c r="F82" i="4"/>
  <c r="F63" i="4"/>
  <c r="F89" i="4"/>
  <c r="F95" i="4"/>
  <c r="E15" i="4"/>
  <c r="AA68" i="3"/>
  <c r="AA69" i="3" s="1"/>
  <c r="AA70" i="3" s="1"/>
  <c r="F123" i="4" l="1"/>
  <c r="G122" i="4"/>
  <c r="G121" i="4"/>
  <c r="F121" i="4"/>
  <c r="G123" i="4"/>
  <c r="G117" i="4"/>
  <c r="F119" i="4"/>
  <c r="D30" i="4"/>
  <c r="AA72" i="3"/>
  <c r="AA71" i="3"/>
  <c r="AA73" i="3"/>
  <c r="AA74" i="3"/>
  <c r="AA75" i="3" s="1"/>
  <c r="AB66" i="3" l="1"/>
  <c r="AB67" i="3" s="1"/>
  <c r="AA76" i="3"/>
  <c r="AA77" i="3" s="1"/>
  <c r="AB68" i="3" l="1"/>
  <c r="AB69" i="3" s="1"/>
  <c r="AB70" i="3" s="1"/>
  <c r="AB72" i="3" l="1"/>
  <c r="AB71" i="3"/>
  <c r="AB73" i="3"/>
  <c r="AB74" i="3"/>
  <c r="AB75" i="3" s="1"/>
  <c r="AC66" i="3" l="1"/>
  <c r="AC67" i="3" s="1"/>
  <c r="AB76" i="3"/>
  <c r="AB77" i="3" s="1"/>
  <c r="AC68" i="3" l="1"/>
  <c r="AC69" i="3" s="1"/>
  <c r="AC70" i="3" s="1"/>
  <c r="AC72" i="3" l="1"/>
  <c r="AC71" i="3"/>
  <c r="AC73" i="3"/>
  <c r="AC74" i="3"/>
  <c r="AC75" i="3" s="1"/>
  <c r="AD66" i="3" l="1"/>
  <c r="AD67" i="3" s="1"/>
  <c r="AC76" i="3"/>
  <c r="AC77" i="3" s="1"/>
  <c r="AD68" i="3" l="1"/>
  <c r="AD69" i="3" s="1"/>
  <c r="AD74" i="3" l="1"/>
  <c r="AD75" i="3" s="1"/>
  <c r="AD70" i="3"/>
  <c r="AD72" i="3" l="1"/>
  <c r="AD71" i="3"/>
  <c r="AD73" i="3"/>
  <c r="AE66" i="3" l="1"/>
  <c r="AE67" i="3" s="1"/>
  <c r="AD76" i="3"/>
  <c r="AD77" i="3" s="1"/>
  <c r="AE68" i="3" l="1"/>
  <c r="AE69" i="3" s="1"/>
  <c r="AE70" i="3" s="1"/>
  <c r="AE72" i="3" l="1"/>
  <c r="D70" i="3"/>
  <c r="D106" i="3" s="1" a="1"/>
  <c r="D106" i="3" s="1"/>
  <c r="AE71" i="3"/>
  <c r="AE73" i="3"/>
  <c r="D73" i="3" s="1"/>
  <c r="D69" i="3"/>
  <c r="AE74" i="3"/>
  <c r="D35" i="4" a="1"/>
  <c r="D35" i="4" l="1"/>
  <c r="D114" i="3"/>
  <c r="B7" i="4" s="1"/>
  <c r="AE75" i="3"/>
  <c r="D75" i="3" s="1"/>
  <c r="D74" i="3"/>
  <c r="AE76" i="3"/>
  <c r="D72" i="3"/>
  <c r="AE77" i="3" l="1"/>
  <c r="D77" i="3" s="1"/>
  <c r="D103" i="3" s="1" a="1"/>
  <c r="D103" i="3" s="1"/>
  <c r="D76" i="3"/>
  <c r="E93" i="4" a="1"/>
  <c r="E88" i="4" a="1"/>
  <c r="E66" i="4" a="1"/>
  <c r="E98" i="4" a="1"/>
  <c r="E94" i="4" a="1"/>
  <c r="E84" i="4" a="1"/>
  <c r="E83" i="4" a="1"/>
  <c r="E89" i="4" a="1"/>
  <c r="E62" i="4" a="1"/>
  <c r="D14" i="4" a="1"/>
  <c r="E59" i="4" a="1"/>
  <c r="E77" i="4" a="1"/>
  <c r="E107" i="4" a="1"/>
  <c r="E80" i="4" a="1"/>
  <c r="E108" i="4" a="1"/>
  <c r="E81" i="4" a="1"/>
  <c r="E99" i="4" a="1"/>
  <c r="E104" i="4" a="1"/>
  <c r="E87" i="4" a="1"/>
  <c r="E85" i="4" a="1"/>
  <c r="E71" i="4" a="1"/>
  <c r="E65" i="4" a="1"/>
  <c r="E86" i="4" a="1"/>
  <c r="E82" i="4" a="1"/>
  <c r="E100" i="4" a="1"/>
  <c r="E68" i="4" a="1"/>
  <c r="E105" i="4" a="1"/>
  <c r="G14" i="4" a="1"/>
  <c r="E78" i="4" a="1"/>
  <c r="E14" i="4" a="1"/>
  <c r="E75" i="4" a="1"/>
  <c r="E73" i="4" a="1"/>
  <c r="F14" i="4" a="1"/>
  <c r="E76" i="4" a="1"/>
  <c r="E103" i="4" a="1"/>
  <c r="E69" i="4" a="1"/>
  <c r="E96" i="4" a="1"/>
  <c r="E64" i="4" a="1"/>
  <c r="E106" i="4" a="1"/>
  <c r="E67" i="4" a="1"/>
  <c r="E90" i="4" a="1"/>
  <c r="E72" i="4" a="1"/>
  <c r="E61" i="4" a="1"/>
  <c r="E91" i="4" a="1"/>
  <c r="E101" i="4" a="1"/>
  <c r="E74" i="4" a="1"/>
  <c r="E95" i="4" a="1"/>
  <c r="E92" i="4" a="1"/>
  <c r="E60" i="4" a="1"/>
  <c r="E97" i="4" a="1"/>
  <c r="E102" i="4" a="1"/>
  <c r="E70" i="4" a="1"/>
  <c r="E79" i="4" a="1"/>
  <c r="E63" i="4" a="1"/>
  <c r="E63" i="4" l="1"/>
  <c r="E79" i="4"/>
  <c r="E70" i="4"/>
  <c r="E102" i="4"/>
  <c r="E97" i="4"/>
  <c r="E60" i="4"/>
  <c r="E92" i="4"/>
  <c r="E95" i="4"/>
  <c r="E74" i="4"/>
  <c r="E101" i="4"/>
  <c r="E91" i="4"/>
  <c r="E61" i="4"/>
  <c r="E72" i="4"/>
  <c r="E90" i="4"/>
  <c r="E67" i="4"/>
  <c r="E106" i="4"/>
  <c r="E64" i="4"/>
  <c r="E96" i="4"/>
  <c r="E69" i="4"/>
  <c r="E103" i="4"/>
  <c r="E76" i="4"/>
  <c r="F14" i="4"/>
  <c r="E73" i="4"/>
  <c r="E75" i="4"/>
  <c r="E14" i="4"/>
  <c r="E78" i="4"/>
  <c r="G14" i="4"/>
  <c r="E105" i="4"/>
  <c r="E68" i="4"/>
  <c r="E100" i="4"/>
  <c r="E82" i="4"/>
  <c r="E86" i="4"/>
  <c r="E65" i="4"/>
  <c r="E71" i="4"/>
  <c r="E85" i="4"/>
  <c r="E87" i="4"/>
  <c r="E104" i="4"/>
  <c r="E99" i="4"/>
  <c r="E81" i="4"/>
  <c r="E108" i="4"/>
  <c r="E80" i="4"/>
  <c r="E107" i="4"/>
  <c r="E77" i="4"/>
  <c r="E59" i="4"/>
  <c r="D14" i="4"/>
  <c r="E62" i="4"/>
  <c r="E89" i="4"/>
  <c r="E83" i="4"/>
  <c r="E84" i="4"/>
  <c r="E94" i="4"/>
  <c r="E98" i="4"/>
  <c r="E66" i="4"/>
  <c r="E88" i="4"/>
  <c r="E93" i="4"/>
  <c r="D108" i="3" a="1"/>
  <c r="D108" i="3" s="1"/>
  <c r="D112" i="4" a="1"/>
  <c r="D111" i="4" a="1"/>
  <c r="D111" i="4" l="1"/>
  <c r="D22" i="4" s="1"/>
  <c r="D112" i="4"/>
  <c r="D16" i="4" a="1"/>
  <c r="D16" i="4" s="1"/>
  <c r="D31" i="4"/>
  <c r="D23" i="4" l="1"/>
  <c r="D24" i="4"/>
  <c r="D25"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<sst xmlns="http://schemas.openxmlformats.org/spreadsheetml/2006/main" count="632" uniqueCount="373">
  <si>
    <t>Field Development Concept Selection</t>
  </si>
  <si>
    <t>ModelRisk example  ·  Oil and gas  ·  OG-08</t>
  </si>
  <si>
    <t>Tieback, FPSO, or start small and expand?  Three development concepts for the Osprey discovery, and the value of flexibility.</t>
  </si>
  <si>
    <t>Next:  Inputs  ▸</t>
  </si>
  <si>
    <t>Model card</t>
  </si>
  <si>
    <t>Industry</t>
  </si>
  <si>
    <t>Oil and gas</t>
  </si>
  <si>
    <t>Difficulty</t>
  </si>
  <si>
    <t>★★★★☆   Three 25-year development cash-flow models on common random numbers, with a decision rule inside the simulation.</t>
  </si>
  <si>
    <t>Business question</t>
  </si>
  <si>
    <t>Which development concept should the company choose for the Osprey discovery while the size of the reservoir is still uncertain: a cheap subsea tieback to a nearby host, a large standalone FPSO, or a tieback with the option to expand if the reservoir proves large — and what is that option worth?</t>
  </si>
  <si>
    <t>Who it is for</t>
  </si>
  <si>
    <t>Asset and development managers, concept-select teams, reservoir and facilities engineers, and investment committees.</t>
  </si>
  <si>
    <t>Main outputs</t>
  </si>
  <si>
    <t>For each concept: expected NPV (EMV), chance of losing money, range of NPV, volume produced · how often each concept turns out best · the value of the option to expand · what drives the value of the flexible concept.</t>
  </si>
  <si>
    <t>ModelRisk techniques</t>
  </si>
  <si>
    <t>Lognormal recoverable volume (P90/P10) · mean-reverting oil price (VoseTimeGBMVR) · capacity- and deliverability-limited production with an economic limit · common random numbers across concepts · a decision rule on an imperfect estimate inside the simulation (real option) · frequency of the best decision.</t>
  </si>
  <si>
    <t>File</t>
  </si>
  <si>
    <t>OG-08 Field development concept selection  ·  Version 1.0  ·  October 2026  ·  built with ModelRisk 10</t>
  </si>
  <si>
    <t>The business question</t>
  </si>
  <si>
    <t>Osprey is an oil discovery 25 km from the Kestrel platform, which has spare processing capacity for a few more years. The appraisal wells leave a wide range for the recoverable volume. A subsea tieback to Kestrel is cheap and quick, but its throughput is capped by the host's spare capacity and it must stop when Kestrel shuts down, leaving oil behind if the reservoir is large. A standalone floating production vessel (FPSO) has the capacity and the life to produce a large reservoir, but it costs more than twice as much and loses money if the reservoir is small. The third concept starts as a tieback and keeps an option: after two years of production, when the reservoir is better known, it adds a second phase — more capacity and a longer host life — if the estimate of the volume exceeds a threshold. The model evaluates the three concepts on the same simulated reservoir and oil price, so that their differences come from the concepts alone, and puts a value on the flexibility.</t>
  </si>
  <si>
    <t>How the model works</t>
  </si>
  <si>
    <t>Three sheets after this one, read from left to right. Each one feeds the next.</t>
  </si>
  <si>
    <t>1  Inputs</t>
  </si>
  <si>
    <t>The recoverable volume (Lognormal from P90 and P10), how fast the reservoir can deliver, the oil price model, a common cost overrun factor, and for each concept its capital cost, capacity, first-oil year, operating costs and constraints — the host's remaining life for the tiebacks, a possible one-year delay for the FPSO, the expansion rule for the third concept.</t>
  </si>
  <si>
    <t>2  Concepts</t>
  </si>
  <si>
    <t>Each year, production is the smaller of the facility's capacity and what the reservoir can deliver (a share of the remaining volume). Production stops at the economic limit, or when the host shuts down. For the third concept, the volume is estimated with an error after two years of production; if the estimate exceeds the threshold, the expansion is built. The three concepts are the same block of rows; they differ only in the parameter table at the top of the sheet and in their capital phasing. Cash flows are discounted at 10% (real, pre-tax).</t>
  </si>
  <si>
    <t>3  Results</t>
  </si>
  <si>
    <t>EMV, chance of loss and range of NPV for each concept, how often each one turns out best, the value of the option to expand, and the drivers of the flexible concept's value.</t>
  </si>
  <si>
    <t>How to use it</t>
  </si>
  <si>
    <t>Step 1</t>
  </si>
  <si>
    <t>Review the reservoir range and each concept's costs and constraints on the Inputs sheet.</t>
  </si>
  <si>
    <t>Step 2</t>
  </si>
  <si>
    <t>Press F9 on the Concepts sheet to see how the three concepts play out on one reservoir and one price path.</t>
  </si>
  <si>
    <t>Step 3</t>
  </si>
  <si>
    <t>Run a simulation from the ModelRisk ribbon (10,000 samples with a fixed seed are set).</t>
  </si>
  <si>
    <t>Step 4</t>
  </si>
  <si>
    <t>Change the expansion threshold or the cost of the second phase and simulate again to see how the option's value changes.</t>
  </si>
  <si>
    <t>Workbook map</t>
  </si>
  <si>
    <t>Inputs</t>
  </si>
  <si>
    <t>Reservoir, price, shared costs, and the parameters of the three concepts.</t>
  </si>
  <si>
    <t>Concepts</t>
  </si>
  <si>
    <t>This iteration's draws, what differs between the concepts, then 25 years of production and cash flow for each concept; outputs and checks.</t>
  </si>
  <si>
    <t>Results</t>
  </si>
  <si>
    <t>Concept comparison, the best concept in hindsight, the value of flexibility, drivers.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</si>
  <si>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</si>
  <si>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</si>
  <si>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</si>
  <si>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</si>
  <si>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</si>
  <si>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</si>
  <si>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</si>
  <si>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</si>
  <si>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</si>
  <si>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</si>
  <si>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</si>
  <si>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</si>
  <si>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</si>
  <si>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 real 2026 terms; NPV at a 10% real discount rate, mid-year, before tax.</t>
  </si>
  <si>
    <t>Volumes</t>
  </si>
  <si>
    <t>MMbbl = million barrels; kb/d = thousand barrels per day.</t>
  </si>
  <si>
    <t>Years</t>
  </si>
  <si>
    <t>Year 0 is the investment decision (2026); first oil follows in year 3 or 4.</t>
  </si>
  <si>
    <t>P90 / P10</t>
  </si>
  <si>
    <t>Petroleum convention for the recoverable volume: P90 is the low estimate (90% chance of being exceeded).</t>
  </si>
  <si>
    <t>Key assumptions and limitations</t>
  </si>
  <si>
    <t>Production</t>
  </si>
  <si>
    <t>Each year, the reservoir can deliver at most a fixed share of the volume still in place; the facility caps the rest. No ramp-down of the host's ullage, no water handling limits.</t>
  </si>
  <si>
    <t>Option</t>
  </si>
  <si>
    <t>The volume estimate at the expansion decision has a 15% error (Lognormal). The second phase takes two years to build and also buys eight more years of host life.</t>
  </si>
  <si>
    <t>Economics</t>
  </si>
  <si>
    <t>Pre-tax, real terms; no inflation, no fiscal regime; costs are certain apart from a common overrun factor.</t>
  </si>
  <si>
    <t>Data</t>
  </si>
  <si>
    <t>The discovery, the host and all costs are invented for this example.</t>
  </si>
  <si>
    <t>ModelRisk functions used</t>
  </si>
  <si>
    <t>VoseLognormalAlt, VosePERT, VoseBernoulli, VoseNormal</t>
  </si>
  <si>
    <t>Recoverable volume, deliverability, long-term price, overrun, host life, FPSO delay and the error of the volume estimate.</t>
  </si>
  <si>
    <t>VoseTimeGBMVR</t>
  </si>
  <si>
    <t>A 25-year mean-reverting oil price path, shared by the three concepts.</t>
  </si>
  <si>
    <t>VoseInput, VoseOutput</t>
  </si>
  <si>
    <t>Name the uncertain inputs and the outputs for the Results Viewer and the sensitivity analysis.</t>
  </si>
  <si>
    <t>VoseSimMean, VoseSimPercentile, VoseSimProbability</t>
  </si>
  <si>
    <t>Statistics of the simulation for the tables and charts on the Results sheet.</t>
  </si>
  <si>
    <t>VoseSimSensitivityMean</t>
  </si>
  <si>
    <t>The tornado chart: every VoseInput ranked by how far the mean NPV of concept C moves across its range.</t>
  </si>
  <si>
    <t>Further reading</t>
  </si>
  <si>
    <t>Flexibility</t>
  </si>
  <si>
    <t>de Neufville, R. and Scholtes, S. (2011). Flexibility in Engineering Design. MIT Press.</t>
  </si>
  <si>
    <t>Petroleum economics</t>
  </si>
  <si>
    <t>Mian, M. A. (2011). Project Economics and Decision Analysis, Volume II: Probabilistic Models, 2nd edition. PennWell.</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</si>
  <si>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</si>
  <si>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</si>
  <si>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</si>
  <si>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Concepts  ▸</t>
  </si>
  <si>
    <t>How to read this sheet:  yellow cells are inputs.  Orange cells hold ModelRisk distributions and show the current random sample (press F9 to draw again).  Low / Most likely / High are the minimum, most likely and maximum for PERT; the P90 (low) and P10 (high) estimates for Lognormal — P90 means a 90% chance of being exceeded.  Mean is the distribution's average (VoseMean); it shows ✗ if a range is out of order.  A phasing table gives the year of each payment and the share of the cost paid in it.</t>
  </si>
  <si>
    <t>1   Reservoir</t>
  </si>
  <si>
    <t>Shared by all three concepts: how much oil there is and how fast it can be produced.</t>
  </si>
  <si>
    <t>Assumption</t>
  </si>
  <si>
    <t>Unit</t>
  </si>
  <si>
    <t>Value in model</t>
  </si>
  <si>
    <t>Uncertainty</t>
  </si>
  <si>
    <t>Low</t>
  </si>
  <si>
    <t>Most likely</t>
  </si>
  <si>
    <t>High</t>
  </si>
  <si>
    <t>Mean</t>
  </si>
  <si>
    <t>Basis / source (illustrative)</t>
  </si>
  <si>
    <t>Recoverable volume</t>
  </si>
  <si>
    <t>MMbbl</t>
  </si>
  <si>
    <t>Lognormal  · P90, P10</t>
  </si>
  <si>
    <t>–</t>
  </si>
  <si>
    <t>Appraisal wells and seismic: wide range because the eastern fault block is untested.</t>
  </si>
  <si>
    <t>Deliverability: maximum production per year</t>
  </si>
  <si>
    <t>of remaining</t>
  </si>
  <si>
    <t>PERT</t>
  </si>
  <si>
    <t>The most the wells can produce in a year, as a share of the oil still in place; sets the decline once capacity no longer binds.</t>
  </si>
  <si>
    <t>Production uptime</t>
  </si>
  <si>
    <t>share of the year</t>
  </si>
  <si>
    <t>Fixed</t>
  </si>
  <si>
    <t>Planned and unplanned shutdowns.</t>
  </si>
  <si>
    <t>Production in the first-oil year</t>
  </si>
  <si>
    <t>share of capacity</t>
  </si>
  <si>
    <t>Start-up: the wells come on stream through the year.</t>
  </si>
  <si>
    <t>2   Oil price</t>
  </si>
  <si>
    <t>A mean-reverting price path (VoseTimeGBMVR), the same for all concepts.</t>
  </si>
  <si>
    <t>Oil price now</t>
  </si>
  <si>
    <t>US$/bbl</t>
  </si>
  <si>
    <t>Brent, real 2026.</t>
  </si>
  <si>
    <t>Long-term oil price</t>
  </si>
  <si>
    <t>Company planning range.</t>
  </si>
  <si>
    <t>Annual price volatility</t>
  </si>
  <si>
    <t>Standard deviation of annual log returns.</t>
  </si>
  <si>
    <t>Reversion factor</t>
  </si>
  <si>
    <t>per year</t>
  </si>
  <si>
    <t>Share of the gap to the long-term price closed each year.</t>
  </si>
  <si>
    <t>3   Shared costs and timing</t>
  </si>
  <si>
    <t>Shared by all concepts.</t>
  </si>
  <si>
    <t>Capital cost overrun factor</t>
  </si>
  <si>
    <t>×</t>
  </si>
  <si>
    <t>Applied to every concept's capital cost: market rates and execution risk.</t>
  </si>
  <si>
    <t>Discount rate</t>
  </si>
  <si>
    <t>real, per year</t>
  </si>
  <si>
    <t>Company hurdle rate for development projects.</t>
  </si>
  <si>
    <t>Year of the investment decision</t>
  </si>
  <si>
    <t>year</t>
  </si>
  <si>
    <t>Year 0 of the cash flows.</t>
  </si>
  <si>
    <t>4   Concept A: subsea tieback</t>
  </si>
  <si>
    <t>Wells and a 25 km pipeline to the Kestrel platform, which processes the oil for a tariff.</t>
  </si>
  <si>
    <t>Capital cost</t>
  </si>
  <si>
    <t>US$m</t>
  </si>
  <si>
    <t>Subsea wells, manifold, pipeline and host modifications; phased as in the table below.</t>
  </si>
  <si>
    <t>Capacity  (host spare capacity)</t>
  </si>
  <si>
    <t>kb/d</t>
  </si>
  <si>
    <t>Kestrel's ullage is the limit.</t>
  </si>
  <si>
    <t>First oil</t>
  </si>
  <si>
    <t>Two years of execution after the investment decision.</t>
  </si>
  <si>
    <t>Processing tariff</t>
  </si>
  <si>
    <t>Paid to Kestrel's owners for each barrel.</t>
  </si>
  <si>
    <t>Variable operating cost</t>
  </si>
  <si>
    <t>Chemicals, power, transport.</t>
  </si>
  <si>
    <t>Fixed operating cost</t>
  </si>
  <si>
    <t>US$m per year</t>
  </si>
  <si>
    <t>Subsea intervention and inspection.</t>
  </si>
  <si>
    <t>Kestrel's remaining life</t>
  </si>
  <si>
    <t>years from now</t>
  </si>
  <si>
    <t>The host shuts down when its own fields deplete; rounded to whole years in the model.</t>
  </si>
  <si>
    <t>Abandonment cost</t>
  </si>
  <si>
    <t>The year after production stops.</t>
  </si>
  <si>
    <t>5   Concept B: standalone FPSO</t>
  </si>
  <si>
    <t>A leased floating production vessel over the field: no host constraints.</t>
  </si>
  <si>
    <t>Wells, risers, mooring and the FPSO conversion; phased as in the table below.</t>
  </si>
  <si>
    <t>Capacity</t>
  </si>
  <si>
    <t>Sized for the high case.</t>
  </si>
  <si>
    <t>First oil, on schedule</t>
  </si>
  <si>
    <t>Three years of execution.</t>
  </si>
  <si>
    <t>Chance that first oil slips by a year</t>
  </si>
  <si>
    <t>probability</t>
  </si>
  <si>
    <t>The conversion yard has delivered three of its last ten vessels late.</t>
  </si>
  <si>
    <t>First oil delayed by a year?</t>
  </si>
  <si>
    <t>1 = yes</t>
  </si>
  <si>
    <t>Bernoulli</t>
  </si>
  <si>
    <t>Drawn in every iteration from the chance above.</t>
  </si>
  <si>
    <t>Chemicals, fuel, offloading.</t>
  </si>
  <si>
    <t>Vessel lease, crew, maintenance.</t>
  </si>
  <si>
    <t>6   Concept C: tieback with option to expand</t>
  </si>
  <si>
    <t>Starts as concept A. A second phase is built if the volume, estimated after two years of production, is above the threshold.</t>
  </si>
  <si>
    <t>Expansion decision</t>
  </si>
  <si>
    <t>After two years of production history.</t>
  </si>
  <si>
    <t>Expand if the estimated volume exceeds</t>
  </si>
  <si>
    <t>The volume that pays for the second phase.</t>
  </si>
  <si>
    <t>Error of the volume estimate at the decision</t>
  </si>
  <si>
    <t>standard deviation</t>
  </si>
  <si>
    <t>Lognormal error: the estimate is within about ±15% of the true volume two times in three.</t>
  </si>
  <si>
    <t>Capital cost of the second phase</t>
  </si>
  <si>
    <t>Infill wells, a second flowline, host debottlenecking; phased as in the table below.</t>
  </si>
  <si>
    <t>Years to build the second phase</t>
  </si>
  <si>
    <t>years</t>
  </si>
  <si>
    <t>Its capacity is available this many years after the decision.</t>
  </si>
  <si>
    <t>Extra capacity</t>
  </si>
  <si>
    <t>Available once the second phase is built.</t>
  </si>
  <si>
    <t>Host life extension</t>
  </si>
  <si>
    <t>Bought with the second phase: Kestrel stays on for Osprey.</t>
  </si>
  <si>
    <t>7   Capital phasing</t>
  </si>
  <si>
    <t>When each concept's capital is paid: the year of each payment and its share of the capital cost.</t>
  </si>
  <si>
    <t>Total</t>
  </si>
  <si>
    <t>Payment 1</t>
  </si>
  <si>
    <t>Payment 2</t>
  </si>
  <si>
    <t>Payment 3</t>
  </si>
  <si>
    <t>Payment 4</t>
  </si>
  <si>
    <t>Concept A, and C's first phase: paid in year</t>
  </si>
  <si>
    <t>Fixed  · phasing</t>
  </si>
  <si>
    <t>Years after the investment decision.</t>
  </si>
  <si>
    <t>share of the cost paid</t>
  </si>
  <si>
    <t>share</t>
  </si>
  <si>
    <t>must total 100%</t>
  </si>
  <si>
    <t>The shares must add up to 100%.</t>
  </si>
  <si>
    <t>Concept B: paid in year</t>
  </si>
  <si>
    <t>Wells, risers and mooring first; the FPSO conversion in the last two payments.</t>
  </si>
  <si>
    <t>moves a year later if first oil slips  (1 = yes)</t>
  </si>
  <si>
    <t>1 / 0</t>
  </si>
  <si>
    <t>year in this iteration</t>
  </si>
  <si>
    <t>Calculated</t>
  </si>
  <si>
    <t>The conversion payments move with a late first oil.</t>
  </si>
  <si>
    <t>Concept C's second phase: paid in year after the decision</t>
  </si>
  <si>
    <t>Spent while the second phase is built.</t>
  </si>
  <si>
    <t>CONCEPTS   ·   The three concepts on the same reservoir and price: 25 years of production and cash flow (US$m).</t>
  </si>
  <si>
    <t>◂  Inputs</t>
  </si>
  <si>
    <t>Next:  Results  ▸</t>
  </si>
  <si>
    <t>Year after the investment decision</t>
  </si>
  <si>
    <t>Open</t>
  </si>
  <si>
    <t>Calendar year</t>
  </si>
  <si>
    <t>1   This iteration's reservoir and decisions</t>
  </si>
  <si>
    <t>Single values drawn once per iteration and used by the timelines below.</t>
  </si>
  <si>
    <t>Quantity</t>
  </si>
  <si>
    <t>Value</t>
  </si>
  <si>
    <t>How it is calculated</t>
  </si>
  <si>
    <t>Last year of the cash flows</t>
  </si>
  <si>
    <t>The year columns of this sheet</t>
  </si>
  <si>
    <t>One thousand barrels a day, for a year</t>
  </si>
  <si>
    <t>365 days ÷ 1,000</t>
  </si>
  <si>
    <t>Kestrel shuts down after year</t>
  </si>
  <si>
    <t>Host life, rounded to whole years</t>
  </si>
  <si>
    <t>FPSO first oil</t>
  </si>
  <si>
    <t>On schedule, or one year late</t>
  </si>
  <si>
    <t>Concept C: volume estimate at the decision</t>
  </si>
  <si>
    <t>True volume × a Lognormal error</t>
  </si>
  <si>
    <t>Concept C: build the second phase?  (1 = yes)</t>
  </si>
  <si>
    <t>The decision rule: expand if the estimate exceeds the threshold</t>
  </si>
  <si>
    <t>Concept C: Kestrel shuts down after year</t>
  </si>
  <si>
    <t>Extended if the second phase is built</t>
  </si>
  <si>
    <t>2   What differs between the concepts</t>
  </si>
  <si>
    <t>One column per concept — A, B and C, not years. The three blocks below are the same rows; each reads only its own column.</t>
  </si>
  <si>
    <t>Parameter</t>
  </si>
  <si>
    <t>A</t>
  </si>
  <si>
    <t>B</t>
  </si>
  <si>
    <t>C</t>
  </si>
  <si>
    <t>Capital cost, first phase</t>
  </si>
  <si>
    <t>Capital cost, second phase</t>
  </si>
  <si>
    <t>C only, and only in the iterations where it expands</t>
  </si>
  <si>
    <t>Extra capacity from the second phase</t>
  </si>
  <si>
    <t>As above</t>
  </si>
  <si>
    <t>…available from year</t>
  </si>
  <si>
    <t>The decision year plus the years to build</t>
  </si>
  <si>
    <t>B's is a year late in some iterations</t>
  </si>
  <si>
    <t>Last year production is possible</t>
  </si>
  <si>
    <t>The tiebacks stop when Kestrel shuts down; the FPSO has no host</t>
  </si>
  <si>
    <t>Cost per barrel produced</t>
  </si>
  <si>
    <t>Variable cost, plus Kestrel's tariff for the tiebacks</t>
  </si>
  <si>
    <t>3   Oil price and discounting</t>
  </si>
  <si>
    <t>One price path per iteration, shared by the concepts.</t>
  </si>
  <si>
    <t>Oil price (real)</t>
  </si>
  <si>
    <t>Discount factor  (mid-year)</t>
  </si>
  <si>
    <t>4   Concept A: Subsea tieback</t>
  </si>
  <si>
    <t>Capped by the host's spare capacity; stops when Kestrel shuts down.</t>
  </si>
  <si>
    <t>Capital spend, first phase</t>
  </si>
  <si>
    <t>Capital spend, second phase</t>
  </si>
  <si>
    <t>Production possible  (1 = yes)</t>
  </si>
  <si>
    <t>Capacity this year</t>
  </si>
  <si>
    <t>Volume remaining, start of year</t>
  </si>
  <si>
    <t>Potential production</t>
  </si>
  <si>
    <t>Operating margin if produced</t>
  </si>
  <si>
    <t>Producing  (1 = yes)</t>
  </si>
  <si>
    <t>Oil production</t>
  </si>
  <si>
    <t>Cumulative production</t>
  </si>
  <si>
    <t>Revenue</t>
  </si>
  <si>
    <t>Operating cost</t>
  </si>
  <si>
    <t>Abandoned this year  (1 = yes)</t>
  </si>
  <si>
    <t>Abandonment</t>
  </si>
  <si>
    <t>Net cash flow</t>
  </si>
  <si>
    <t>Present value</t>
  </si>
  <si>
    <t>5   Concept B: Standalone FPSO</t>
  </si>
  <si>
    <t>Larger capacity, no host limit; first oil a year later, or two if the yard is late.</t>
  </si>
  <si>
    <t>6   Concept C: Tieback with option to expand</t>
  </si>
  <si>
    <t>As A, plus the second phase if the volume estimate is above the threshold.</t>
  </si>
  <si>
    <t>7   Value in this iteration</t>
  </si>
  <si>
    <t>Key outputs, recorded by ModelRisk at every sample (VoseOutput). Their statistics appear on the Results sheet.</t>
  </si>
  <si>
    <t>Output</t>
  </si>
  <si>
    <t>Meaning</t>
  </si>
  <si>
    <t>NPV, concept A: subsea tieback</t>
  </si>
  <si>
    <t>Sum of the present values.</t>
  </si>
  <si>
    <t>NPV, concept B: standalone FPSO</t>
  </si>
  <si>
    <t>NPV, concept C: tieback with option to expand</t>
  </si>
  <si>
    <t>Oil produced, concept A</t>
  </si>
  <si>
    <t>Compare with the recoverable volume: oil left behind.</t>
  </si>
  <si>
    <t>Oil produced, concept B</t>
  </si>
  <si>
    <t>Oil produced, concept C</t>
  </si>
  <si>
    <t>Best concept in this iteration  (1 = A, 2 = B, 3 = C)</t>
  </si>
  <si>
    <t>1 / 2 / 3</t>
  </si>
  <si>
    <t>The concept with the highest NPV, with hindsight.</t>
  </si>
  <si>
    <t>Concept C expands?  (1 = yes)</t>
  </si>
  <si>
    <t>8   Model checks</t>
  </si>
  <si>
    <t>Should all read OK. A CHECK means an input has been set outside the range the model is built for.</t>
  </si>
  <si>
    <t>Every range on the Inputs sheet is in order  (no ✗ under Mean)</t>
  </si>
  <si>
    <t>No concept produces more than the recoverable volume</t>
  </si>
  <si>
    <t>Concept C's decision comes after its first oil</t>
  </si>
  <si>
    <t>Every concept spends its full capital cost  (the phasing tables)</t>
  </si>
  <si>
    <t>RESULTS   ·   Filled in automatically from the last simulation. Run a simulation after changing any input.</t>
  </si>
  <si>
    <t>◂  Concepts</t>
  </si>
  <si>
    <t>1   Which concept?</t>
  </si>
  <si>
    <t>NPV of each concept — cumulative probability</t>
  </si>
  <si>
    <t>Expected NPV (EMV), chance of losing money and the range of NPV, on the same simulated reservoirs and prices.</t>
  </si>
  <si>
    <t>Concept</t>
  </si>
  <si>
    <t>Capital</t>
  </si>
  <si>
    <t>EMV</t>
  </si>
  <si>
    <t>Loses money</t>
  </si>
  <si>
    <t>10th pct</t>
  </si>
  <si>
    <t>90th pct</t>
  </si>
  <si>
    <t>chance</t>
  </si>
  <si>
    <t>A  Subsea tieback</t>
  </si>
  <si>
    <t>B  Standalone FPSO</t>
  </si>
  <si>
    <t>C  Tieback with option to expand</t>
  </si>
  <si>
    <t>Highest EMV</t>
  </si>
  <si>
    <t>Concept C's capital is phase 1 only; its second phase (Inputs sheet) is spent only if the option is exercised.</t>
  </si>
  <si>
    <t>2   Which concept turns out best?</t>
  </si>
  <si>
    <t>Share of simulated futures in which each concept has the highest NPV, with hindsight.</t>
  </si>
  <si>
    <t>Best concept in hindsight</t>
  </si>
  <si>
    <t>Probability</t>
  </si>
  <si>
    <t>3   The value of flexibility</t>
  </si>
  <si>
    <t>What the option to expand is worth, and what it does with the oil.</t>
  </si>
  <si>
    <t>Measure</t>
  </si>
  <si>
    <t>Value of the option: EMV of C − EMV of A</t>
  </si>
  <si>
    <t>EMV of C − EMV of B</t>
  </si>
  <si>
    <t>Chance that concept C expands</t>
  </si>
  <si>
    <t>Mean recoverable volume</t>
  </si>
  <si>
    <t>Mean oil produced, A  (tieback)</t>
  </si>
  <si>
    <t>Mean oil produced, B  (FPSO)</t>
  </si>
  <si>
    <t>Mean oil produced, C  (tieback with option)</t>
  </si>
  <si>
    <t>4   What drives the value of the flexible concept</t>
  </si>
  <si>
    <t>What drives the NPV of concept C  (US$m)</t>
  </si>
  <si>
    <t>Lowest and highest mean NPV of concept C over ten equal groups of each input (VoseSimSensitivityMean), drawn from the overall mean.</t>
  </si>
  <si>
    <t>Input (ranked by influence)</t>
  </si>
  <si>
    <t>Lowest mean</t>
  </si>
  <si>
    <t>Highest mean</t>
  </si>
  <si>
    <t>Rank</t>
  </si>
  <si>
    <t>5   How to read these results</t>
  </si>
  <si>
    <t>•  The tieback is cheap and rarely loses money, but its capacity and the host's life cap what it can produce: a large reservoir is left partly in the ground. The FPSO can produce a large reservoir, but its cost makes a loss likely if the reservoir is small.</t>
  </si>
  <si>
    <t>•  The tieback with an option to expand keeps the tieback's protection on the downside and captures much of the FPSO's upside: it spends the extra capital only when the reservoir has shown that it deserves it. The difference in EMV is the value of that flexibility.</t>
  </si>
  <si>
    <t>•  The concept that is best most often is not necessarily the one with the highest EMV: EMV also counts how much a concept wins by. With hindsight the option is sometimes exercised when it should not have been, because the volume estimate has an error; it is still worth having.</t>
  </si>
  <si>
    <t>•  All three concepts are evaluated on the same reservoir and price in every iteration (common random numbers), so the differences between them are real, not sampling noise.</t>
  </si>
  <si>
    <t>Chart data</t>
  </si>
  <si>
    <t>Statistics of the last simulation behind the charts and the ranking above. Grouped: click + in the left margin to show them.</t>
  </si>
  <si>
    <t>Cumulative probability</t>
  </si>
  <si>
    <t>Exceedance</t>
  </si>
  <si>
    <t>NPV_A</t>
  </si>
  <si>
    <t>NPV_B</t>
  </si>
  <si>
    <t>NPV_C</t>
  </si>
  <si>
    <t>Outcome helper: Best</t>
  </si>
  <si>
    <t>Below</t>
  </si>
  <si>
    <t>Cumulative</t>
  </si>
  <si>
    <t>Overall mean of NPV_C</t>
  </si>
  <si>
    <t>Ranked input (chart)</t>
  </si>
  <si>
    <t>Highest − mean</t>
  </si>
  <si>
    <t>Lowest − mean</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</si>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</sst>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_);\(#,##0.0\);&quot;–&quot;_)"/>
    <numFmt numFmtId="165" formatCode="#,##0_);\(#,##0\);&quot;–&quot;_)"/>
    <numFmt numFmtId="166" formatCode="0.000"/>
    <numFmt numFmtId="167" formatCode="#,##0.00_);\(#,##0.00\);&quot;–&quot;_)"/>
    <numFmt numFmtId="168" formatCode="#,##0_);\(#,##0\);&quot;–&quot;_);&quot;–&quot;"/>
    <numFmt numFmtId="169" formatCode="0.0%;\-0.0%;0.0%;&quot;–&quot;"/>
    <numFmt numFmtId="170" formatCode="#,##0.0_);\(#,##0.0\);&quot;–&quot;_);&quot;–&quot;"/>
    <numFmt numFmtId="171" formatCode="0;\-0;0;&quot;–&quot;"/>
    <numFmt numFmtId="172" formatCode="0.0"/>
  </numFmts>
  <fonts count="28"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9"/>
      <color rgb="FF8AA0BA"/>
      <name val="Calibri"/>
    </font>
    <font>
      <sz val="10"/>
      <color rgb="FF3F5876"/>
      <name val="Calibri"/>
    </font>
    <font>
      <b/>
      <sz val="9"/>
      <color rgb="FF0F2A47"/>
      <name val="Calibri"/>
    </font>
    <font>
      <b/>
      <sz val="9"/>
      <color rgb="FF8AA0BA"/>
      <name val="Calibri"/>
    </font>
    <font>
      <sz val="10"/>
      <color rgb="FF8AA0BA"/>
      <name val="Calibri"/>
    </font>
    <font>
      <b/>
      <sz val="10"/>
      <color rgb="FF15803D"/>
      <name val="Calibri"/>
    </font>
    <font>
      <sz val="8"/>
      <color rgb="FF3F5876"/>
      <name val="Calibri"/>
    </font>
    <font>
      <b/>
      <sz val="11"/>
      <color rgb="FF15803D"/>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3">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right/>
      <top style="thin">
        <color rgb="FF3F5876"/>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
      <left/>
      <right/>
      <top style="thin">
        <color rgb="FF3F5876"/>
      </top>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101">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2" fillId="3" borderId="7" xfId="2" applyNumberFormat="1" applyBorder="1">
      <alignment horizontal="right" vertical="center"/>
    </xf>
    <xf numFmtId="164" fontId="1" fillId="2" borderId="7" xfId="1" applyNumberFormat="1" applyBorder="1">
      <alignment horizontal="right" vertical="center"/>
    </xf>
    <xf numFmtId="0" fontId="19" fillId="0" borderId="6" xfId="0" applyFont="1" applyBorder="1" applyAlignment="1">
      <alignment horizontal="center" vertical="center"/>
    </xf>
    <xf numFmtId="164" fontId="3" fillId="0" borderId="8" xfId="3" applyNumberFormat="1" applyBorder="1">
      <alignment horizontal="right" vertical="center"/>
    </xf>
    <xf numFmtId="0" fontId="18" fillId="0" borderId="6" xfId="0" applyFont="1" applyBorder="1" applyAlignment="1">
      <alignment horizontal="left" vertical="center" wrapText="1" indent="1"/>
    </xf>
    <xf numFmtId="9" fontId="2" fillId="3" borderId="7" xfId="2" applyNumberFormat="1" applyBorder="1">
      <alignment horizontal="right" vertical="center"/>
    </xf>
    <xf numFmtId="9" fontId="1" fillId="2" borderId="7" xfId="1" applyNumberFormat="1" applyBorder="1">
      <alignment horizontal="right" vertical="center"/>
    </xf>
    <xf numFmtId="9" fontId="3" fillId="0" borderId="8" xfId="3" applyNumberFormat="1" applyBorder="1">
      <alignment horizontal="right" vertical="center"/>
    </xf>
    <xf numFmtId="0" fontId="0" fillId="0" borderId="6" xfId="0" applyBorder="1"/>
    <xf numFmtId="2" fontId="1" fillId="2" borderId="7" xfId="1" applyNumberFormat="1" applyBorder="1">
      <alignment horizontal="right" vertical="center"/>
    </xf>
    <xf numFmtId="2" fontId="2" fillId="3" borderId="7" xfId="2" applyNumberFormat="1" applyBorder="1">
      <alignment horizontal="right" vertical="center"/>
    </xf>
    <xf numFmtId="2" fontId="3" fillId="0" borderId="8" xfId="3" applyNumberFormat="1" applyBorder="1">
      <alignment horizontal="right" vertical="center"/>
    </xf>
    <xf numFmtId="1" fontId="1" fillId="2" borderId="7" xfId="1" applyNumberFormat="1" applyBorder="1">
      <alignment horizontal="right" vertical="center"/>
    </xf>
    <xf numFmtId="165" fontId="1" fillId="2" borderId="7" xfId="1" applyNumberFormat="1" applyBorder="1">
      <alignment horizontal="right" vertical="center"/>
    </xf>
    <xf numFmtId="1" fontId="2" fillId="3" borderId="7" xfId="2" applyNumberFormat="1" applyBorder="1">
      <alignment horizontal="right" vertical="center"/>
    </xf>
    <xf numFmtId="0" fontId="20" fillId="0" borderId="6" xfId="0" applyFont="1" applyBorder="1" applyAlignment="1">
      <alignment horizontal="left" vertical="center" indent="3"/>
    </xf>
    <xf numFmtId="1" fontId="3" fillId="0" borderId="8" xfId="3" applyNumberFormat="1" applyBorder="1">
      <alignment horizontal="right" vertical="center"/>
    </xf>
    <xf numFmtId="0" fontId="17" fillId="7" borderId="0" xfId="0" applyFont="1" applyFill="1" applyAlignment="1">
      <alignment horizontal="left" vertical="center" indent="1"/>
    </xf>
    <xf numFmtId="0" fontId="0" fillId="7" borderId="0" xfId="0" applyFill="1"/>
    <xf numFmtId="0" fontId="17" fillId="7" borderId="0" xfId="0" applyFont="1" applyFill="1" applyAlignment="1">
      <alignment horizontal="right" vertical="center"/>
    </xf>
    <xf numFmtId="0" fontId="22" fillId="7" borderId="0" xfId="0" applyFont="1" applyFill="1" applyAlignment="1">
      <alignment horizontal="right" vertical="center"/>
    </xf>
    <xf numFmtId="1" fontId="21" fillId="7" borderId="0" xfId="0" applyNumberFormat="1" applyFont="1" applyFill="1" applyAlignment="1">
      <alignment horizontal="right" vertical="center"/>
    </xf>
    <xf numFmtId="0" fontId="17" fillId="7" borderId="4" xfId="0" applyFont="1" applyFill="1" applyBorder="1" applyAlignment="1">
      <alignment horizontal="left" vertical="center" indent="1"/>
    </xf>
    <xf numFmtId="1" fontId="18" fillId="7" borderId="4" xfId="0" applyNumberFormat="1" applyFont="1" applyFill="1" applyBorder="1" applyAlignment="1">
      <alignment horizontal="right" vertical="center"/>
    </xf>
    <xf numFmtId="0" fontId="17" fillId="7" borderId="4" xfId="0" applyFont="1" applyFill="1" applyBorder="1" applyAlignment="1">
      <alignment horizontal="right" vertical="center"/>
    </xf>
    <xf numFmtId="166" fontId="3" fillId="0" borderId="8" xfId="3" applyNumberFormat="1" applyBorder="1">
      <alignment horizontal="right" vertical="center"/>
    </xf>
    <xf numFmtId="165" fontId="3" fillId="0" borderId="8" xfId="3" applyNumberFormat="1" applyBorder="1">
      <alignment horizontal="right" vertical="center"/>
    </xf>
    <xf numFmtId="165" fontId="12" fillId="0" borderId="8" xfId="3" applyNumberFormat="1" applyFont="1" applyBorder="1">
      <alignment horizontal="right" vertical="center"/>
    </xf>
    <xf numFmtId="167" fontId="3" fillId="0" borderId="8" xfId="3" applyNumberFormat="1" applyBorder="1">
      <alignment horizontal="right" vertical="center"/>
    </xf>
    <xf numFmtId="1" fontId="12" fillId="0" borderId="8" xfId="3" applyNumberFormat="1" applyFont="1" applyBorder="1">
      <alignment horizontal="right" vertical="center"/>
    </xf>
    <xf numFmtId="1" fontId="23" fillId="0" borderId="8" xfId="3" applyNumberFormat="1" applyFont="1" applyBorder="1">
      <alignment horizontal="right" vertical="center"/>
    </xf>
    <xf numFmtId="167" fontId="12" fillId="0" borderId="8" xfId="3" applyNumberFormat="1" applyFont="1" applyBorder="1">
      <alignment horizontal="right" vertical="center"/>
    </xf>
    <xf numFmtId="164" fontId="23" fillId="0" borderId="8" xfId="3" applyNumberFormat="1" applyFont="1" applyBorder="1">
      <alignment horizontal="right" vertical="center"/>
    </xf>
    <xf numFmtId="0" fontId="12" fillId="0" borderId="9" xfId="0" applyFont="1" applyBorder="1" applyAlignment="1">
      <alignment horizontal="left" vertical="center" indent="1"/>
    </xf>
    <xf numFmtId="0" fontId="18" fillId="0" borderId="9" xfId="0" applyFont="1" applyBorder="1" applyAlignment="1">
      <alignment horizontal="left" vertical="center" indent="1"/>
    </xf>
    <xf numFmtId="165" fontId="12" fillId="0" borderId="9" xfId="3" applyNumberFormat="1" applyFont="1" applyBorder="1">
      <alignment horizontal="right" vertical="center"/>
    </xf>
    <xf numFmtId="0" fontId="0" fillId="0" borderId="9" xfId="0" applyBorder="1"/>
    <xf numFmtId="165" fontId="4" fillId="4" borderId="10" xfId="4" applyNumberFormat="1" applyBorder="1">
      <alignment horizontal="right" vertical="center"/>
    </xf>
    <xf numFmtId="164" fontId="4" fillId="4" borderId="10" xfId="4" applyNumberFormat="1" applyBorder="1">
      <alignment horizontal="right" vertical="center"/>
    </xf>
    <xf numFmtId="1" fontId="4" fillId="4" borderId="10" xfId="4" applyNumberFormat="1" applyBorder="1">
      <alignment horizontal="right" vertical="center"/>
    </xf>
    <xf numFmtId="0" fontId="24"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18" fillId="0" borderId="0" xfId="0" applyFont="1" applyAlignment="1">
      <alignment horizontal="left" vertical="center" indent="1"/>
    </xf>
    <xf numFmtId="0" fontId="27" fillId="0" borderId="5" xfId="0" applyFont="1" applyBorder="1"/>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0" fontId="25" fillId="7" borderId="4" xfId="0" applyFont="1" applyFill="1" applyBorder="1" applyAlignment="1">
      <alignment horizontal="right" vertical="center"/>
    </xf>
    <xf numFmtId="168" fontId="1" fillId="5" borderId="7" xfId="5" applyNumberFormat="1" applyBorder="1">
      <alignment horizontal="right" vertical="center"/>
    </xf>
    <xf numFmtId="169" fontId="1" fillId="5" borderId="7" xfId="5" applyNumberFormat="1" applyBorder="1">
      <alignment horizontal="right" vertical="center"/>
    </xf>
    <xf numFmtId="0" fontId="26" fillId="0" borderId="9" xfId="0" applyFont="1" applyBorder="1" applyAlignment="1">
      <alignment horizontal="left" vertical="center" indent="1"/>
    </xf>
    <xf numFmtId="0" fontId="13" fillId="0" borderId="0" xfId="0" applyFont="1" applyAlignment="1">
      <alignment horizontal="left" vertical="center" indent="1"/>
    </xf>
    <xf numFmtId="169" fontId="1" fillId="5" borderId="1" xfId="5" applyNumberFormat="1">
      <alignment horizontal="right" vertical="center"/>
    </xf>
    <xf numFmtId="0" fontId="12" fillId="0" borderId="12" xfId="0" applyFont="1" applyBorder="1" applyAlignment="1">
      <alignment horizontal="left" vertical="center" indent="1"/>
    </xf>
    <xf numFmtId="0" fontId="0" fillId="0" borderId="12" xfId="0" applyBorder="1"/>
    <xf numFmtId="169" fontId="12" fillId="0" borderId="12" xfId="3" applyNumberFormat="1" applyFont="1" applyBorder="1">
      <alignment horizontal="right" vertical="center"/>
    </xf>
    <xf numFmtId="0" fontId="12" fillId="0" borderId="6" xfId="0" applyFont="1" applyBorder="1" applyAlignment="1">
      <alignment horizontal="left" vertical="center" indent="1"/>
    </xf>
    <xf numFmtId="170" fontId="1" fillId="5" borderId="7" xfId="5" applyNumberFormat="1" applyBorder="1">
      <alignment horizontal="right" vertical="center"/>
    </xf>
    <xf numFmtId="0" fontId="17" fillId="7" borderId="4" xfId="0" applyFont="1" applyFill="1" applyBorder="1" applyAlignment="1">
      <alignment horizontal="center" vertical="center" wrapText="1"/>
    </xf>
    <xf numFmtId="171"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20" fillId="0" borderId="0" xfId="0" applyFont="1"/>
    <xf numFmtId="172" fontId="3" fillId="0" borderId="2" xfId="3" applyNumberFormat="1">
      <alignment horizontal="right" vertical="center"/>
    </xf>
    <xf numFmtId="169" fontId="3" fillId="0" borderId="2" xfId="3" applyNumberFormat="1">
      <alignment horizontal="right" vertical="center"/>
    </xf>
    <xf numFmtId="0" fontId="3" fillId="0" borderId="0" xfId="0" applyFont="1" applyAlignment="1">
      <alignment horizontal="left" vertical="center" indent="1"/>
    </xf>
    <xf numFmtId="168" fontId="1" fillId="5" borderId="1" xfId="5" applyNumberFormat="1">
      <alignment horizontal="right" vertical="center"/>
    </xf>
    <xf numFmtId="0" fontId="20" fillId="0" borderId="0" xfId="0" applyFont="1" applyAlignment="1">
      <alignment horizontal="left" vertical="center" indent="1"/>
    </xf>
    <xf numFmtId="165" fontId="3" fillId="0" borderId="2" xfId="3" applyNumberFormat="1">
      <alignment horizontal="right" vertical="center"/>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12">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A  Subsea tieback</c:v>
          </c:tx>
          <c:spPr>
            <a:ln w="25400">
              <a:solidFill>
                <a:srgbClr val="0E4F92"/>
              </a:solidFill>
              <a:prstDash val="solid"/>
            </a:ln>
          </c:spPr>
          <c:marker>
            <c:symbol val="none"/>
          </c:marker>
          <c:xVal>
            <c:numRef>
              <c:f>Results!$D$59:$D$108</c:f>
              <c:numCache>
                <c:formatCode>#,##0.00</c:formatCode>
                <c:ptCount val="50"/>
                <c:pt idx="0">
                  <c:v>199.36077662734323</c:v>
                </c:pt>
                <c:pt idx="1">
                  <c:v>498.0239059746001</c:v>
                </c:pt>
                <c:pt idx="2">
                  <c:v>656.46809212908693</c:v>
                </c:pt>
                <c:pt idx="3">
                  <c:v>800.92487536122474</c:v>
                </c:pt>
                <c:pt idx="4">
                  <c:v>896.73555677803301</c:v>
                </c:pt>
                <c:pt idx="5">
                  <c:v>980.05817165652627</c:v>
                </c:pt>
                <c:pt idx="6">
                  <c:v>1075.3782802837159</c:v>
                </c:pt>
                <c:pt idx="7">
                  <c:v>1155.7864606580856</c:v>
                </c:pt>
                <c:pt idx="8">
                  <c:v>1226.0562656777986</c:v>
                </c:pt>
                <c:pt idx="9">
                  <c:v>1307.6555214250523</c:v>
                </c:pt>
                <c:pt idx="10">
                  <c:v>1383.6138028013104</c:v>
                </c:pt>
                <c:pt idx="11">
                  <c:v>1447.8982516039664</c:v>
                </c:pt>
                <c:pt idx="12">
                  <c:v>1512.668327165303</c:v>
                </c:pt>
                <c:pt idx="13">
                  <c:v>1577.1396174693778</c:v>
                </c:pt>
                <c:pt idx="14">
                  <c:v>1634.6418884051307</c:v>
                </c:pt>
                <c:pt idx="15">
                  <c:v>1698.2494795668674</c:v>
                </c:pt>
                <c:pt idx="16">
                  <c:v>1756.5590569894541</c:v>
                </c:pt>
                <c:pt idx="17">
                  <c:v>1817.0753407910288</c:v>
                </c:pt>
                <c:pt idx="18">
                  <c:v>1874.5643243262475</c:v>
                </c:pt>
                <c:pt idx="19">
                  <c:v>1927.2561804741663</c:v>
                </c:pt>
                <c:pt idx="20">
                  <c:v>1988.6180497349981</c:v>
                </c:pt>
                <c:pt idx="21">
                  <c:v>2056.8877242922972</c:v>
                </c:pt>
                <c:pt idx="22">
                  <c:v>2115.6058670835064</c:v>
                </c:pt>
                <c:pt idx="23">
                  <c:v>2177.8981293275374</c:v>
                </c:pt>
                <c:pt idx="24">
                  <c:v>2235.6953939285809</c:v>
                </c:pt>
                <c:pt idx="25">
                  <c:v>2302.6926051900045</c:v>
                </c:pt>
                <c:pt idx="26">
                  <c:v>2362.7598495984871</c:v>
                </c:pt>
                <c:pt idx="27">
                  <c:v>2428.5295325264956</c:v>
                </c:pt>
                <c:pt idx="28">
                  <c:v>2486.400654861382</c:v>
                </c:pt>
                <c:pt idx="29">
                  <c:v>2544.1487304028487</c:v>
                </c:pt>
                <c:pt idx="30">
                  <c:v>2607.8961870756089</c:v>
                </c:pt>
                <c:pt idx="31">
                  <c:v>2675.3673854375011</c:v>
                </c:pt>
                <c:pt idx="32">
                  <c:v>2744.5219348731312</c:v>
                </c:pt>
                <c:pt idx="33">
                  <c:v>2808.6206294304106</c:v>
                </c:pt>
                <c:pt idx="34">
                  <c:v>2874.9023184169037</c:v>
                </c:pt>
                <c:pt idx="35">
                  <c:v>2948.537221413771</c:v>
                </c:pt>
                <c:pt idx="36">
                  <c:v>3026.5877290450148</c:v>
                </c:pt>
                <c:pt idx="37">
                  <c:v>3115.5341394637594</c:v>
                </c:pt>
                <c:pt idx="38">
                  <c:v>3203.7906039406271</c:v>
                </c:pt>
                <c:pt idx="39">
                  <c:v>3301.3482835939431</c:v>
                </c:pt>
                <c:pt idx="40">
                  <c:v>3393.9854329082491</c:v>
                </c:pt>
                <c:pt idx="41">
                  <c:v>3500.6375576559826</c:v>
                </c:pt>
                <c:pt idx="42">
                  <c:v>3604.2405012193808</c:v>
                </c:pt>
                <c:pt idx="43">
                  <c:v>3730.9222409416038</c:v>
                </c:pt>
                <c:pt idx="44">
                  <c:v>3884.8113491598924</c:v>
                </c:pt>
                <c:pt idx="45">
                  <c:v>4052.1066994919443</c:v>
                </c:pt>
                <c:pt idx="46">
                  <c:v>4248.3035525581217</c:v>
                </c:pt>
                <c:pt idx="47">
                  <c:v>4488.6980996219718</c:v>
                </c:pt>
                <c:pt idx="48">
                  <c:v>4837.9726993974709</c:v>
                </c:pt>
                <c:pt idx="49">
                  <c:v>5611.5712497017421</c:v>
                </c:pt>
              </c:numCache>
            </c:numRef>
          </c:xVal>
          <c:yVal>
            <c:numRef>
              <c:f>Results!$B$59:$B$108</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03E4-4198-8DA3-E7CD665CF41A}"/>
            </c:ext>
          </c:extLst>
        </c:ser>
        <c:ser>
          <c:idx val="1"/>
          <c:order val="1"/>
          <c:tx>
            <c:v>B  Standalone FPSO</c:v>
          </c:tx>
          <c:spPr>
            <a:ln w="25400">
              <a:solidFill>
                <a:srgbClr val="B45309"/>
              </a:solidFill>
              <a:prstDash val="dash"/>
            </a:ln>
          </c:spPr>
          <c:marker>
            <c:symbol val="none"/>
          </c:marker>
          <c:xVal>
            <c:numRef>
              <c:f>Results!$E$59:$E$108</c:f>
              <c:numCache>
                <c:formatCode>#,##0.00</c:formatCode>
                <c:ptCount val="50"/>
                <c:pt idx="0">
                  <c:v>-780.57000228777247</c:v>
                </c:pt>
                <c:pt idx="1">
                  <c:v>-474.78789872383436</c:v>
                </c:pt>
                <c:pt idx="2">
                  <c:v>-273.67230664625282</c:v>
                </c:pt>
                <c:pt idx="3">
                  <c:v>-124.15973419000851</c:v>
                </c:pt>
                <c:pt idx="4">
                  <c:v>-12.467563967752795</c:v>
                </c:pt>
                <c:pt idx="5">
                  <c:v>103.00239905024036</c:v>
                </c:pt>
                <c:pt idx="6">
                  <c:v>199.14843935928121</c:v>
                </c:pt>
                <c:pt idx="7">
                  <c:v>271.73456094177652</c:v>
                </c:pt>
                <c:pt idx="8">
                  <c:v>375.9330248792499</c:v>
                </c:pt>
                <c:pt idx="9">
                  <c:v>471.86852328838063</c:v>
                </c:pt>
                <c:pt idx="10">
                  <c:v>563.97253370837768</c:v>
                </c:pt>
                <c:pt idx="11">
                  <c:v>646.35555370086183</c:v>
                </c:pt>
                <c:pt idx="12">
                  <c:v>727.92213563663188</c:v>
                </c:pt>
                <c:pt idx="13">
                  <c:v>808.13044223465795</c:v>
                </c:pt>
                <c:pt idx="14">
                  <c:v>888.47256726619855</c:v>
                </c:pt>
                <c:pt idx="15">
                  <c:v>963.36203991147795</c:v>
                </c:pt>
                <c:pt idx="16">
                  <c:v>1048.1090408576415</c:v>
                </c:pt>
                <c:pt idx="17">
                  <c:v>1128.0113852828695</c:v>
                </c:pt>
                <c:pt idx="18">
                  <c:v>1218.8740101135777</c:v>
                </c:pt>
                <c:pt idx="19">
                  <c:v>1303.9442756660239</c:v>
                </c:pt>
                <c:pt idx="20">
                  <c:v>1390.0933643900644</c:v>
                </c:pt>
                <c:pt idx="21">
                  <c:v>1481.7738764670976</c:v>
                </c:pt>
                <c:pt idx="22">
                  <c:v>1568.8205038233521</c:v>
                </c:pt>
                <c:pt idx="23">
                  <c:v>1648.3472742549475</c:v>
                </c:pt>
                <c:pt idx="24">
                  <c:v>1743.6482184595188</c:v>
                </c:pt>
                <c:pt idx="25">
                  <c:v>1830.9185693151742</c:v>
                </c:pt>
                <c:pt idx="26">
                  <c:v>1918.3377390899584</c:v>
                </c:pt>
                <c:pt idx="27">
                  <c:v>2024.3640483192173</c:v>
                </c:pt>
                <c:pt idx="28">
                  <c:v>2117.8523651885107</c:v>
                </c:pt>
                <c:pt idx="29">
                  <c:v>2227.5205361970989</c:v>
                </c:pt>
                <c:pt idx="30">
                  <c:v>2334.136712844394</c:v>
                </c:pt>
                <c:pt idx="31">
                  <c:v>2447.3622428319864</c:v>
                </c:pt>
                <c:pt idx="32">
                  <c:v>2560.6974186593484</c:v>
                </c:pt>
                <c:pt idx="33">
                  <c:v>2671.2567594423222</c:v>
                </c:pt>
                <c:pt idx="34">
                  <c:v>2802.0640254786272</c:v>
                </c:pt>
                <c:pt idx="35">
                  <c:v>2918.3824124203343</c:v>
                </c:pt>
                <c:pt idx="36">
                  <c:v>3068.4683372412924</c:v>
                </c:pt>
                <c:pt idx="37">
                  <c:v>3210.1777777592397</c:v>
                </c:pt>
                <c:pt idx="38">
                  <c:v>3368.8212021022086</c:v>
                </c:pt>
                <c:pt idx="39">
                  <c:v>3542.3120226918768</c:v>
                </c:pt>
                <c:pt idx="40">
                  <c:v>3704.4291145012589</c:v>
                </c:pt>
                <c:pt idx="41">
                  <c:v>3902.7996679241919</c:v>
                </c:pt>
                <c:pt idx="42">
                  <c:v>4117.2285582209606</c:v>
                </c:pt>
                <c:pt idx="43">
                  <c:v>4345.0851327777245</c:v>
                </c:pt>
                <c:pt idx="44">
                  <c:v>4579.6054706986151</c:v>
                </c:pt>
                <c:pt idx="45">
                  <c:v>4887.2270453871697</c:v>
                </c:pt>
                <c:pt idx="46">
                  <c:v>5305.6652175852732</c:v>
                </c:pt>
                <c:pt idx="47">
                  <c:v>5845.8505246504164</c:v>
                </c:pt>
                <c:pt idx="48">
                  <c:v>6554.7996775378106</c:v>
                </c:pt>
                <c:pt idx="49">
                  <c:v>8019.0698577370013</c:v>
                </c:pt>
              </c:numCache>
            </c:numRef>
          </c:xVal>
          <c:yVal>
            <c:numRef>
              <c:f>Results!$B$59:$B$108</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03E4-4198-8DA3-E7CD665CF41A}"/>
            </c:ext>
          </c:extLst>
        </c:ser>
        <c:ser>
          <c:idx val="2"/>
          <c:order val="2"/>
          <c:tx>
            <c:v>C  Tieback with option</c:v>
          </c:tx>
          <c:spPr>
            <a:ln w="25400">
              <a:solidFill>
                <a:srgbClr val="15803D"/>
              </a:solidFill>
              <a:prstDash val="solid"/>
            </a:ln>
          </c:spPr>
          <c:marker>
            <c:symbol val="none"/>
          </c:marker>
          <c:xVal>
            <c:numRef>
              <c:f>Results!$F$59:$F$108</c:f>
              <c:numCache>
                <c:formatCode>#,##0.00</c:formatCode>
                <c:ptCount val="50"/>
                <c:pt idx="0">
                  <c:v>181.56402440965684</c:v>
                </c:pt>
                <c:pt idx="1">
                  <c:v>478.26786686843008</c:v>
                </c:pt>
                <c:pt idx="2">
                  <c:v>634.72281084269071</c:v>
                </c:pt>
                <c:pt idx="3">
                  <c:v>776.42145078721455</c:v>
                </c:pt>
                <c:pt idx="4">
                  <c:v>877.19453404461387</c:v>
                </c:pt>
                <c:pt idx="5">
                  <c:v>956.18889078691041</c:v>
                </c:pt>
                <c:pt idx="6">
                  <c:v>1043.1726621287137</c:v>
                </c:pt>
                <c:pt idx="7">
                  <c:v>1129.4402570412292</c:v>
                </c:pt>
                <c:pt idx="8">
                  <c:v>1200.3036720604257</c:v>
                </c:pt>
                <c:pt idx="9">
                  <c:v>1275.7626767449174</c:v>
                </c:pt>
                <c:pt idx="10">
                  <c:v>1354.6338312505654</c:v>
                </c:pt>
                <c:pt idx="11">
                  <c:v>1421.8537843969441</c:v>
                </c:pt>
                <c:pt idx="12">
                  <c:v>1490.4564806450392</c:v>
                </c:pt>
                <c:pt idx="13">
                  <c:v>1557.9484744573244</c:v>
                </c:pt>
                <c:pt idx="14">
                  <c:v>1617.8351997944831</c:v>
                </c:pt>
                <c:pt idx="15">
                  <c:v>1686.4917562570399</c:v>
                </c:pt>
                <c:pt idx="16">
                  <c:v>1756.5590569894541</c:v>
                </c:pt>
                <c:pt idx="17">
                  <c:v>1824.2932828611688</c:v>
                </c:pt>
                <c:pt idx="18">
                  <c:v>1888.3057191951896</c:v>
                </c:pt>
                <c:pt idx="19">
                  <c:v>1953.8473437271196</c:v>
                </c:pt>
                <c:pt idx="20">
                  <c:v>2023.7038776599852</c:v>
                </c:pt>
                <c:pt idx="21">
                  <c:v>2095.4966787707708</c:v>
                </c:pt>
                <c:pt idx="22">
                  <c:v>2177.2037504433438</c:v>
                </c:pt>
                <c:pt idx="23">
                  <c:v>2249.787981569546</c:v>
                </c:pt>
                <c:pt idx="24">
                  <c:v>2321.5895146213256</c:v>
                </c:pt>
                <c:pt idx="25">
                  <c:v>2398.7509432681959</c:v>
                </c:pt>
                <c:pt idx="26">
                  <c:v>2474.3232845074463</c:v>
                </c:pt>
                <c:pt idx="27">
                  <c:v>2556.9622960702964</c:v>
                </c:pt>
                <c:pt idx="28">
                  <c:v>2634.7794318721467</c:v>
                </c:pt>
                <c:pt idx="29">
                  <c:v>2720.1363586479515</c:v>
                </c:pt>
                <c:pt idx="30">
                  <c:v>2804.6942086075924</c:v>
                </c:pt>
                <c:pt idx="31">
                  <c:v>2888.3041030567392</c:v>
                </c:pt>
                <c:pt idx="32">
                  <c:v>2971.7080781305758</c:v>
                </c:pt>
                <c:pt idx="33">
                  <c:v>3068.65718250185</c:v>
                </c:pt>
                <c:pt idx="34">
                  <c:v>3173.2480629773845</c:v>
                </c:pt>
                <c:pt idx="35">
                  <c:v>3286.2434121147371</c:v>
                </c:pt>
                <c:pt idx="36">
                  <c:v>3398.6186371921358</c:v>
                </c:pt>
                <c:pt idx="37">
                  <c:v>3530.7477390406921</c:v>
                </c:pt>
                <c:pt idx="38">
                  <c:v>3648.8594552241971</c:v>
                </c:pt>
                <c:pt idx="39">
                  <c:v>3788.3586885901886</c:v>
                </c:pt>
                <c:pt idx="40">
                  <c:v>3927.3673144869267</c:v>
                </c:pt>
                <c:pt idx="41">
                  <c:v>4071.3696483500235</c:v>
                </c:pt>
                <c:pt idx="42">
                  <c:v>4268.1936458804303</c:v>
                </c:pt>
                <c:pt idx="43">
                  <c:v>4470.0535998378291</c:v>
                </c:pt>
                <c:pt idx="44">
                  <c:v>4676.9561033215587</c:v>
                </c:pt>
                <c:pt idx="45">
                  <c:v>4959.1608102845639</c:v>
                </c:pt>
                <c:pt idx="46">
                  <c:v>5322.9122413518526</c:v>
                </c:pt>
                <c:pt idx="47">
                  <c:v>5747.1300927944794</c:v>
                </c:pt>
                <c:pt idx="48">
                  <c:v>6383.8290773564831</c:v>
                </c:pt>
                <c:pt idx="49">
                  <c:v>7714.5098594790861</c:v>
                </c:pt>
              </c:numCache>
            </c:numRef>
          </c:xVal>
          <c:yVal>
            <c:numRef>
              <c:f>Results!$B$59:$B$108</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03E4-4198-8DA3-E7CD665CF41A}"/>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NPV (US$m)</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Results!$B$117:$B$123</c:f>
              <c:strCache>
                <c:ptCount val="7"/>
                <c:pt idx="0">
                  <c:v>Recoverable volume</c:v>
                </c:pt>
                <c:pt idx="1">
                  <c:v>Volume estimate at decision</c:v>
                </c:pt>
                <c:pt idx="2">
                  <c:v>Long-term oil price</c:v>
                </c:pt>
                <c:pt idx="3">
                  <c:v>Deliverability</c:v>
                </c:pt>
                <c:pt idx="4">
                  <c:v>Capex overrun factor</c:v>
                </c:pt>
                <c:pt idx="5">
                  <c:v>Host remaining life</c:v>
                </c:pt>
                <c:pt idx="6">
                  <c:v>FPSO delay</c:v>
                </c:pt>
              </c:strCache>
            </c:strRef>
          </c:cat>
          <c:val>
            <c:numRef>
              <c:f>Results!$F$117:$F$123</c:f>
              <c:numCache>
                <c:formatCode>#,##0_);\(#,##0\);"–"_)</c:formatCode>
                <c:ptCount val="7"/>
                <c:pt idx="0">
                  <c:v>2489.5871970508761</c:v>
                </c:pt>
                <c:pt idx="1">
                  <c:v>2328.6506491839245</c:v>
                </c:pt>
                <c:pt idx="2">
                  <c:v>820.36745353094739</c:v>
                </c:pt>
                <c:pt idx="3">
                  <c:v>115.18122339795036</c:v>
                </c:pt>
                <c:pt idx="4">
                  <c:v>140.88920966558317</c:v>
                </c:pt>
                <c:pt idx="5">
                  <c:v>82.369828510408297</c:v>
                </c:pt>
                <c:pt idx="6">
                  <c:v>7.108643124351147</c:v>
                </c:pt>
              </c:numCache>
            </c:numRef>
          </c:val>
          <c:extLst>
            <c:ext xmlns:c16="http://schemas.microsoft.com/office/drawing/2014/chart" uri="{C3380CC4-5D6E-409C-BE32-E72D297353CC}">
              <c16:uniqueId val="{00000000-FC72-4F18-8581-66FC37B3E3B3}"/>
            </c:ext>
          </c:extLst>
        </c:ser>
        <c:ser>
          <c:idx val="1"/>
          <c:order val="1"/>
          <c:tx>
            <c:v>Lowest group mean</c:v>
          </c:tx>
          <c:spPr>
            <a:solidFill>
              <a:srgbClr val="B91C1C"/>
            </a:solidFill>
            <a:ln>
              <a:noFill/>
              <a:prstDash val="solid"/>
            </a:ln>
          </c:spPr>
          <c:invertIfNegative val="0"/>
          <c:cat>
            <c:strRef>
              <c:f>Results!$B$117:$B$123</c:f>
              <c:strCache>
                <c:ptCount val="7"/>
                <c:pt idx="0">
                  <c:v>Recoverable volume</c:v>
                </c:pt>
                <c:pt idx="1">
                  <c:v>Volume estimate at decision</c:v>
                </c:pt>
                <c:pt idx="2">
                  <c:v>Long-term oil price</c:v>
                </c:pt>
                <c:pt idx="3">
                  <c:v>Deliverability</c:v>
                </c:pt>
                <c:pt idx="4">
                  <c:v>Capex overrun factor</c:v>
                </c:pt>
                <c:pt idx="5">
                  <c:v>Host remaining life</c:v>
                </c:pt>
                <c:pt idx="6">
                  <c:v>FPSO delay</c:v>
                </c:pt>
              </c:strCache>
            </c:strRef>
          </c:cat>
          <c:val>
            <c:numRef>
              <c:f>Results!$G$117:$G$123</c:f>
              <c:numCache>
                <c:formatCode>#,##0_);\(#,##0\);"–"_)</c:formatCode>
                <c:ptCount val="7"/>
                <c:pt idx="0">
                  <c:v>-1726.0972349535477</c:v>
                </c:pt>
                <c:pt idx="1">
                  <c:v>-1632.2729154478866</c:v>
                </c:pt>
                <c:pt idx="2">
                  <c:v>-700.75856473407407</c:v>
                </c:pt>
                <c:pt idx="3">
                  <c:v>-139.80554540891171</c:v>
                </c:pt>
                <c:pt idx="4">
                  <c:v>-104.29109896146474</c:v>
                </c:pt>
                <c:pt idx="5">
                  <c:v>-80.740735745377151</c:v>
                </c:pt>
                <c:pt idx="6">
                  <c:v>-2.9731085766093202</c:v>
                </c:pt>
              </c:numCache>
            </c:numRef>
          </c:val>
          <c:extLst>
            <c:ext xmlns:c16="http://schemas.microsoft.com/office/drawing/2014/chart" uri="{C3380CC4-5D6E-409C-BE32-E72D297353CC}">
              <c16:uniqueId val="{00000001-FC72-4F18-8581-66FC37B3E3B3}"/>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38</xdr:row>
      <xdr:rowOff>0</xdr:rowOff>
    </xdr:from>
    <xdr:ext cx="6263999" cy="216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3"/>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83" customHeight="1" x14ac:dyDescent="0.45">
      <c r="B16" s="96" t="s">
        <v>20</v>
      </c>
      <c r="C16" s="97"/>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39.4" x14ac:dyDescent="0.45">
      <c r="B28" s="9" t="s">
        <v>23</v>
      </c>
      <c r="C28" s="10" t="s">
        <v>24</v>
      </c>
    </row>
    <row r="29" spans="2:3" ht="52.5"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ht="26.25" x14ac:dyDescent="0.45">
      <c r="B57" s="9" t="s">
        <v>66</v>
      </c>
      <c r="C57" s="10" t="s">
        <v>67</v>
      </c>
    </row>
    <row r="58" spans="2:3" ht="26.25" x14ac:dyDescent="0.45">
      <c r="B58" s="9" t="s">
        <v>68</v>
      </c>
      <c r="C58" s="10" t="s">
        <v>69</v>
      </c>
    </row>
    <row r="59" spans="2:3" x14ac:dyDescent="0.45">
      <c r="B59" s="9" t="s">
        <v>70</v>
      </c>
      <c r="C59" s="10" t="s">
        <v>71</v>
      </c>
    </row>
    <row r="60" spans="2:3" x14ac:dyDescent="0.45">
      <c r="B60" s="9" t="s">
        <v>72</v>
      </c>
      <c r="C60" s="10" t="s">
        <v>73</v>
      </c>
    </row>
    <row r="61" spans="2:3" ht="12" customHeight="1" x14ac:dyDescent="0.45"/>
    <row r="62" spans="2:3" ht="22.05" customHeight="1" x14ac:dyDescent="0.5">
      <c r="B62" s="7" t="s">
        <v>74</v>
      </c>
      <c r="C62" s="8"/>
    </row>
    <row r="63" spans="2:3" ht="26.25" x14ac:dyDescent="0.45">
      <c r="B63" s="20" t="s">
        <v>75</v>
      </c>
      <c r="C63" s="10" t="s">
        <v>76</v>
      </c>
    </row>
    <row r="64" spans="2:3" x14ac:dyDescent="0.45">
      <c r="B64" s="20" t="s">
        <v>77</v>
      </c>
      <c r="C64" s="10" t="s">
        <v>78</v>
      </c>
    </row>
    <row r="65" spans="2:3" x14ac:dyDescent="0.45">
      <c r="B65" s="20" t="s">
        <v>79</v>
      </c>
      <c r="C65" s="10" t="s">
        <v>80</v>
      </c>
    </row>
    <row r="66" spans="2:3" ht="39.4" x14ac:dyDescent="0.45">
      <c r="B66" s="20" t="s">
        <v>81</v>
      </c>
      <c r="C66" s="10" t="s">
        <v>82</v>
      </c>
    </row>
    <row r="67" spans="2:3" x14ac:dyDescent="0.45">
      <c r="B67" s="20" t="s">
        <v>83</v>
      </c>
      <c r="C67" s="10" t="s">
        <v>84</v>
      </c>
    </row>
    <row r="68" spans="2:3" ht="12" customHeight="1" x14ac:dyDescent="0.45"/>
    <row r="69" spans="2:3" ht="22.05" customHeight="1" x14ac:dyDescent="0.5">
      <c r="B69" s="7" t="s">
        <v>85</v>
      </c>
      <c r="C69" s="8"/>
    </row>
    <row r="70" spans="2:3" x14ac:dyDescent="0.45">
      <c r="B70" s="9" t="s">
        <v>86</v>
      </c>
      <c r="C70" s="10" t="s">
        <v>87</v>
      </c>
    </row>
    <row r="71" spans="2:3" x14ac:dyDescent="0.45">
      <c r="B71" s="9" t="s">
        <v>88</v>
      </c>
      <c r="C71" s="10" t="s">
        <v>89</v>
      </c>
    </row>
    <row r="72" spans="2:3" ht="16.05" customHeight="1" x14ac:dyDescent="0.45"/>
    <row r="73" spans="2:3" x14ac:dyDescent="0.45">
      <c r="B73" s="98" t="s">
        <v>90</v>
      </c>
      <c r="C73" s="97"/>
    </row>
  </sheetData>
  <mergeCells count="2">
    <mergeCell ref="B16:C16"/>
    <mergeCell ref="B73:C73"/>
  </mergeCells>
  <hyperlinks>
    <hyperlink ref="D4" location="'Inputs'!A1" display="Next:  Inputs  ▸" xr:uid="{00000000-0004-0000-0000-000000000000}"/>
    <hyperlink ref="B39" location="'Inputs'!A1" display="Inputs" xr:uid="{00000000-0004-0000-0000-000001000000}"/>
    <hyperlink ref="B40" location="'Concepts'!A1" display="Concepts"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77"/>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91</v>
      </c>
      <c r="C3" s="1"/>
      <c r="D3" s="1"/>
      <c r="E3" s="1"/>
      <c r="F3" s="1"/>
      <c r="G3" s="1"/>
      <c r="H3" s="1"/>
      <c r="I3" s="1"/>
      <c r="J3" s="1"/>
    </row>
    <row r="4" spans="1:10" ht="20" customHeight="1" x14ac:dyDescent="0.45">
      <c r="A4" s="5"/>
      <c r="B4" s="22" t="s">
        <v>92</v>
      </c>
      <c r="C4" s="5"/>
      <c r="D4" s="5"/>
      <c r="E4" s="5"/>
      <c r="F4" s="5"/>
      <c r="G4" s="5"/>
      <c r="H4" s="5"/>
      <c r="I4" s="5"/>
      <c r="J4" s="6" t="s">
        <v>93</v>
      </c>
    </row>
    <row r="5" spans="1:10" ht="8" customHeight="1" x14ac:dyDescent="0.45"/>
    <row r="6" spans="1:10" ht="30" customHeight="1" x14ac:dyDescent="0.45">
      <c r="B6" s="99" t="s">
        <v>94</v>
      </c>
      <c r="C6" s="97"/>
      <c r="D6" s="97"/>
      <c r="E6" s="97"/>
      <c r="F6" s="97"/>
      <c r="G6" s="97"/>
      <c r="H6" s="97"/>
      <c r="I6" s="97"/>
      <c r="J6" s="97"/>
    </row>
    <row r="7" spans="1:10" ht="6" customHeight="1" x14ac:dyDescent="0.45"/>
    <row r="8" spans="1:10" ht="22.05" customHeight="1" x14ac:dyDescent="0.5">
      <c r="B8" s="7" t="s">
        <v>95</v>
      </c>
      <c r="C8" s="8"/>
      <c r="D8" s="8"/>
      <c r="E8" s="8"/>
      <c r="F8" s="8"/>
      <c r="G8" s="8"/>
      <c r="H8" s="8"/>
      <c r="I8" s="8"/>
      <c r="J8" s="8"/>
    </row>
    <row r="9" spans="1:10" ht="18" customHeight="1" x14ac:dyDescent="0.45">
      <c r="B9" s="13" t="s">
        <v>96</v>
      </c>
    </row>
    <row r="10" spans="1:10" ht="18" customHeight="1" x14ac:dyDescent="0.45">
      <c r="B10" s="23" t="s">
        <v>97</v>
      </c>
      <c r="C10" s="23" t="s">
        <v>98</v>
      </c>
      <c r="D10" s="24" t="s">
        <v>99</v>
      </c>
      <c r="E10" s="23" t="s">
        <v>100</v>
      </c>
      <c r="F10" s="24" t="s">
        <v>101</v>
      </c>
      <c r="G10" s="24" t="s">
        <v>102</v>
      </c>
      <c r="H10" s="24" t="s">
        <v>103</v>
      </c>
      <c r="I10" s="24" t="s">
        <v>104</v>
      </c>
      <c r="J10" s="23" t="s">
        <v>105</v>
      </c>
    </row>
    <row r="11" spans="1:10" x14ac:dyDescent="0.45">
      <c r="B11" s="25" t="s">
        <v>106</v>
      </c>
      <c r="C11" s="26" t="s">
        <v>107</v>
      </c>
      <c r="D11" s="27" cm="1">
        <f t="array" aca="1" ref="D11" ca="1">_xll.VoseInput("Recoverable volume","MMbbl")+_xll.VoseLognormalAlt(F11,0.1,H11,0.9,0)</f>
        <v>133.9651572621101</v>
      </c>
      <c r="E11" s="26" t="s">
        <v>108</v>
      </c>
      <c r="F11" s="28">
        <v>70</v>
      </c>
      <c r="G11" s="29" t="s">
        <v>109</v>
      </c>
      <c r="H11" s="28">
        <v>220</v>
      </c>
      <c r="I11" s="30" cm="1">
        <f t="array" ref="I11">IF(AND(F11&gt;0,F11&lt;H11),_xll.VoseMean(_xll.VoseLognormalAltObject(F11,0.1,H11,0.9,0)),"✗ range")</f>
        <v>137.12126443883432</v>
      </c>
      <c r="J11" s="31" t="s">
        <v>110</v>
      </c>
    </row>
    <row r="12" spans="1:10" ht="23.25" x14ac:dyDescent="0.45">
      <c r="B12" s="25" t="s">
        <v>111</v>
      </c>
      <c r="C12" s="26" t="s">
        <v>112</v>
      </c>
      <c r="D12" s="32" cm="1">
        <f t="array" aca="1" ref="D12" ca="1">_xll.VoseInput("Deliverability","of remaining")+_xll.VosePERT(F12,G12,H12)</f>
        <v>0.23010108623786851</v>
      </c>
      <c r="E12" s="26" t="s">
        <v>113</v>
      </c>
      <c r="F12" s="33">
        <v>0.15</v>
      </c>
      <c r="G12" s="33">
        <v>0.2</v>
      </c>
      <c r="H12" s="33">
        <v>0.26</v>
      </c>
      <c r="I12" s="34" cm="1">
        <f t="array" ref="I12">IF(AND(F12&lt;=G12,G12&lt;=H12,F12&lt;H12,F12&gt;=0,H12&lt;=1),_xll.VoseMean(_xll.VosePERTObject(F12,G12,H12)),"✗ range")</f>
        <v>0.20166666666666666</v>
      </c>
      <c r="J12" s="31" t="s">
        <v>114</v>
      </c>
    </row>
    <row r="13" spans="1:10" x14ac:dyDescent="0.45">
      <c r="B13" s="25" t="s">
        <v>115</v>
      </c>
      <c r="C13" s="26" t="s">
        <v>116</v>
      </c>
      <c r="D13" s="33">
        <v>0.92</v>
      </c>
      <c r="E13" s="26" t="s">
        <v>117</v>
      </c>
      <c r="F13" s="35"/>
      <c r="G13" s="35"/>
      <c r="H13" s="35"/>
      <c r="I13" s="35"/>
      <c r="J13" s="31" t="s">
        <v>118</v>
      </c>
    </row>
    <row r="14" spans="1:10" x14ac:dyDescent="0.45">
      <c r="B14" s="25" t="s">
        <v>119</v>
      </c>
      <c r="C14" s="26" t="s">
        <v>120</v>
      </c>
      <c r="D14" s="33">
        <v>0.5</v>
      </c>
      <c r="E14" s="26" t="s">
        <v>117</v>
      </c>
      <c r="F14" s="35"/>
      <c r="G14" s="35"/>
      <c r="H14" s="35"/>
      <c r="I14" s="35"/>
      <c r="J14" s="31" t="s">
        <v>121</v>
      </c>
    </row>
    <row r="15" spans="1:10" ht="8" customHeight="1" x14ac:dyDescent="0.45"/>
    <row r="16" spans="1:10" ht="22.05" customHeight="1" x14ac:dyDescent="0.5">
      <c r="B16" s="7" t="s">
        <v>122</v>
      </c>
      <c r="C16" s="8"/>
      <c r="D16" s="8"/>
      <c r="E16" s="8"/>
      <c r="F16" s="8"/>
      <c r="G16" s="8"/>
      <c r="H16" s="8"/>
      <c r="I16" s="8"/>
      <c r="J16" s="8"/>
    </row>
    <row r="17" spans="2:10" ht="18" customHeight="1" x14ac:dyDescent="0.45">
      <c r="B17" s="13" t="s">
        <v>123</v>
      </c>
    </row>
    <row r="18" spans="2:10" ht="18" customHeight="1" x14ac:dyDescent="0.45">
      <c r="B18" s="23" t="s">
        <v>97</v>
      </c>
      <c r="C18" s="23" t="s">
        <v>98</v>
      </c>
      <c r="D18" s="24" t="s">
        <v>99</v>
      </c>
      <c r="E18" s="23" t="s">
        <v>100</v>
      </c>
      <c r="F18" s="24" t="s">
        <v>101</v>
      </c>
      <c r="G18" s="24" t="s">
        <v>102</v>
      </c>
      <c r="H18" s="24" t="s">
        <v>103</v>
      </c>
      <c r="I18" s="24" t="s">
        <v>104</v>
      </c>
      <c r="J18" s="23" t="s">
        <v>105</v>
      </c>
    </row>
    <row r="19" spans="2:10" x14ac:dyDescent="0.45">
      <c r="B19" s="25" t="s">
        <v>124</v>
      </c>
      <c r="C19" s="26" t="s">
        <v>125</v>
      </c>
      <c r="D19" s="28">
        <v>75</v>
      </c>
      <c r="E19" s="26" t="s">
        <v>117</v>
      </c>
      <c r="F19" s="35"/>
      <c r="G19" s="35"/>
      <c r="H19" s="35"/>
      <c r="I19" s="35"/>
      <c r="J19" s="31" t="s">
        <v>126</v>
      </c>
    </row>
    <row r="20" spans="2:10" x14ac:dyDescent="0.45">
      <c r="B20" s="25" t="s">
        <v>127</v>
      </c>
      <c r="C20" s="26" t="s">
        <v>125</v>
      </c>
      <c r="D20" s="27" cm="1">
        <f t="array" aca="1" ref="D20" ca="1">_xll.VoseInput("Long-term oil price","US$/bbl")+_xll.VosePERT(F20,G20,H20)</f>
        <v>63.966857993203227</v>
      </c>
      <c r="E20" s="26" t="s">
        <v>113</v>
      </c>
      <c r="F20" s="28">
        <v>55</v>
      </c>
      <c r="G20" s="28">
        <v>70</v>
      </c>
      <c r="H20" s="28">
        <v>95</v>
      </c>
      <c r="I20" s="30" cm="1">
        <f t="array" ref="I20">IF(AND(F20&lt;=G20,G20&lt;=H20,F20&lt;H20),_xll.VoseMean(_xll.VosePERTObject(F20,G20,H20)),"✗ range")</f>
        <v>71.666666666666671</v>
      </c>
      <c r="J20" s="31" t="s">
        <v>128</v>
      </c>
    </row>
    <row r="21" spans="2:10" x14ac:dyDescent="0.45">
      <c r="B21" s="25" t="s">
        <v>129</v>
      </c>
      <c r="C21" s="26"/>
      <c r="D21" s="33">
        <v>0.25</v>
      </c>
      <c r="E21" s="26" t="s">
        <v>117</v>
      </c>
      <c r="F21" s="35"/>
      <c r="G21" s="35"/>
      <c r="H21" s="35"/>
      <c r="I21" s="35"/>
      <c r="J21" s="31" t="s">
        <v>130</v>
      </c>
    </row>
    <row r="22" spans="2:10" x14ac:dyDescent="0.45">
      <c r="B22" s="25" t="s">
        <v>131</v>
      </c>
      <c r="C22" s="26" t="s">
        <v>132</v>
      </c>
      <c r="D22" s="36">
        <v>0.35</v>
      </c>
      <c r="E22" s="26" t="s">
        <v>117</v>
      </c>
      <c r="F22" s="35"/>
      <c r="G22" s="35"/>
      <c r="H22" s="35"/>
      <c r="I22" s="35"/>
      <c r="J22" s="31" t="s">
        <v>133</v>
      </c>
    </row>
    <row r="23" spans="2:10" ht="8" customHeight="1" x14ac:dyDescent="0.45"/>
    <row r="24" spans="2:10" ht="22.05" customHeight="1" x14ac:dyDescent="0.5">
      <c r="B24" s="7" t="s">
        <v>134</v>
      </c>
      <c r="C24" s="8"/>
      <c r="D24" s="8"/>
      <c r="E24" s="8"/>
      <c r="F24" s="8"/>
      <c r="G24" s="8"/>
      <c r="H24" s="8"/>
      <c r="I24" s="8"/>
      <c r="J24" s="8"/>
    </row>
    <row r="25" spans="2:10" ht="18" customHeight="1" x14ac:dyDescent="0.45">
      <c r="B25" s="13" t="s">
        <v>135</v>
      </c>
    </row>
    <row r="26" spans="2:10" ht="18" customHeight="1" x14ac:dyDescent="0.45">
      <c r="B26" s="23" t="s">
        <v>97</v>
      </c>
      <c r="C26" s="23" t="s">
        <v>98</v>
      </c>
      <c r="D26" s="24" t="s">
        <v>99</v>
      </c>
      <c r="E26" s="23" t="s">
        <v>100</v>
      </c>
      <c r="F26" s="24" t="s">
        <v>101</v>
      </c>
      <c r="G26" s="24" t="s">
        <v>102</v>
      </c>
      <c r="H26" s="24" t="s">
        <v>103</v>
      </c>
      <c r="I26" s="24" t="s">
        <v>104</v>
      </c>
      <c r="J26" s="23" t="s">
        <v>105</v>
      </c>
    </row>
    <row r="27" spans="2:10" x14ac:dyDescent="0.45">
      <c r="B27" s="25" t="s">
        <v>136</v>
      </c>
      <c r="C27" s="26" t="s">
        <v>137</v>
      </c>
      <c r="D27" s="37" cm="1">
        <f t="array" aca="1" ref="D27" ca="1">_xll.VoseInput("Capex overrun factor","×")+_xll.VosePERT(F27,G27,H27)</f>
        <v>1.0574297776532164</v>
      </c>
      <c r="E27" s="26" t="s">
        <v>113</v>
      </c>
      <c r="F27" s="36">
        <v>0.95</v>
      </c>
      <c r="G27" s="36">
        <v>1.05</v>
      </c>
      <c r="H27" s="36">
        <v>1.35</v>
      </c>
      <c r="I27" s="38" cm="1">
        <f t="array" ref="I27">IF(AND(F27&lt;=G27,G27&lt;=H27,F27&lt;H27),_xll.VoseMean(_xll.VosePERTObject(F27,G27,H27)),"✗ range")</f>
        <v>1.0833333333333333</v>
      </c>
      <c r="J27" s="31" t="s">
        <v>138</v>
      </c>
    </row>
    <row r="28" spans="2:10" x14ac:dyDescent="0.45">
      <c r="B28" s="25" t="s">
        <v>139</v>
      </c>
      <c r="C28" s="26" t="s">
        <v>140</v>
      </c>
      <c r="D28" s="33">
        <v>0.1</v>
      </c>
      <c r="E28" s="26" t="s">
        <v>117</v>
      </c>
      <c r="F28" s="35"/>
      <c r="G28" s="35"/>
      <c r="H28" s="35"/>
      <c r="I28" s="35"/>
      <c r="J28" s="31" t="s">
        <v>141</v>
      </c>
    </row>
    <row r="29" spans="2:10" x14ac:dyDescent="0.45">
      <c r="B29" s="25" t="s">
        <v>142</v>
      </c>
      <c r="C29" s="26" t="s">
        <v>143</v>
      </c>
      <c r="D29" s="39">
        <v>2026</v>
      </c>
      <c r="E29" s="26" t="s">
        <v>117</v>
      </c>
      <c r="F29" s="35"/>
      <c r="G29" s="35"/>
      <c r="H29" s="35"/>
      <c r="I29" s="35"/>
      <c r="J29" s="31" t="s">
        <v>144</v>
      </c>
    </row>
    <row r="30" spans="2:10" ht="8" customHeight="1" x14ac:dyDescent="0.45"/>
    <row r="31" spans="2:10" ht="22.05" customHeight="1" x14ac:dyDescent="0.5">
      <c r="B31" s="7" t="s">
        <v>145</v>
      </c>
      <c r="C31" s="8"/>
      <c r="D31" s="8"/>
      <c r="E31" s="8"/>
      <c r="F31" s="8"/>
      <c r="G31" s="8"/>
      <c r="H31" s="8"/>
      <c r="I31" s="8"/>
      <c r="J31" s="8"/>
    </row>
    <row r="32" spans="2:10" ht="18" customHeight="1" x14ac:dyDescent="0.45">
      <c r="B32" s="13" t="s">
        <v>146</v>
      </c>
    </row>
    <row r="33" spans="2:10" ht="18" customHeight="1" x14ac:dyDescent="0.45">
      <c r="B33" s="23" t="s">
        <v>97</v>
      </c>
      <c r="C33" s="23" t="s">
        <v>98</v>
      </c>
      <c r="D33" s="24" t="s">
        <v>99</v>
      </c>
      <c r="E33" s="23" t="s">
        <v>100</v>
      </c>
      <c r="F33" s="24" t="s">
        <v>101</v>
      </c>
      <c r="G33" s="24" t="s">
        <v>102</v>
      </c>
      <c r="H33" s="24" t="s">
        <v>103</v>
      </c>
      <c r="I33" s="24" t="s">
        <v>104</v>
      </c>
      <c r="J33" s="23" t="s">
        <v>105</v>
      </c>
    </row>
    <row r="34" spans="2:10" ht="23.25" x14ac:dyDescent="0.45">
      <c r="B34" s="25" t="s">
        <v>147</v>
      </c>
      <c r="C34" s="26" t="s">
        <v>148</v>
      </c>
      <c r="D34" s="40">
        <v>650</v>
      </c>
      <c r="E34" s="26" t="s">
        <v>117</v>
      </c>
      <c r="F34" s="35"/>
      <c r="G34" s="35"/>
      <c r="H34" s="35"/>
      <c r="I34" s="35"/>
      <c r="J34" s="31" t="s">
        <v>149</v>
      </c>
    </row>
    <row r="35" spans="2:10" x14ac:dyDescent="0.45">
      <c r="B35" s="25" t="s">
        <v>150</v>
      </c>
      <c r="C35" s="26" t="s">
        <v>151</v>
      </c>
      <c r="D35" s="40">
        <v>40</v>
      </c>
      <c r="E35" s="26" t="s">
        <v>117</v>
      </c>
      <c r="F35" s="35"/>
      <c r="G35" s="35"/>
      <c r="H35" s="35"/>
      <c r="I35" s="35"/>
      <c r="J35" s="31" t="s">
        <v>152</v>
      </c>
    </row>
    <row r="36" spans="2:10" x14ac:dyDescent="0.45">
      <c r="B36" s="25" t="s">
        <v>153</v>
      </c>
      <c r="C36" s="26" t="s">
        <v>143</v>
      </c>
      <c r="D36" s="39">
        <v>3</v>
      </c>
      <c r="E36" s="26" t="s">
        <v>117</v>
      </c>
      <c r="F36" s="35"/>
      <c r="G36" s="35"/>
      <c r="H36" s="35"/>
      <c r="I36" s="35"/>
      <c r="J36" s="31" t="s">
        <v>154</v>
      </c>
    </row>
    <row r="37" spans="2:10" x14ac:dyDescent="0.45">
      <c r="B37" s="25" t="s">
        <v>155</v>
      </c>
      <c r="C37" s="26" t="s">
        <v>125</v>
      </c>
      <c r="D37" s="28">
        <v>8</v>
      </c>
      <c r="E37" s="26" t="s">
        <v>117</v>
      </c>
      <c r="F37" s="35"/>
      <c r="G37" s="35"/>
      <c r="H37" s="35"/>
      <c r="I37" s="35"/>
      <c r="J37" s="31" t="s">
        <v>156</v>
      </c>
    </row>
    <row r="38" spans="2:10" x14ac:dyDescent="0.45">
      <c r="B38" s="25" t="s">
        <v>157</v>
      </c>
      <c r="C38" s="26" t="s">
        <v>125</v>
      </c>
      <c r="D38" s="28">
        <v>5</v>
      </c>
      <c r="E38" s="26" t="s">
        <v>117</v>
      </c>
      <c r="F38" s="35"/>
      <c r="G38" s="35"/>
      <c r="H38" s="35"/>
      <c r="I38" s="35"/>
      <c r="J38" s="31" t="s">
        <v>158</v>
      </c>
    </row>
    <row r="39" spans="2:10" x14ac:dyDescent="0.45">
      <c r="B39" s="25" t="s">
        <v>159</v>
      </c>
      <c r="C39" s="26" t="s">
        <v>160</v>
      </c>
      <c r="D39" s="40">
        <v>40</v>
      </c>
      <c r="E39" s="26" t="s">
        <v>117</v>
      </c>
      <c r="F39" s="35"/>
      <c r="G39" s="35"/>
      <c r="H39" s="35"/>
      <c r="I39" s="35"/>
      <c r="J39" s="31" t="s">
        <v>161</v>
      </c>
    </row>
    <row r="40" spans="2:10" ht="23.25" x14ac:dyDescent="0.45">
      <c r="B40" s="25" t="s">
        <v>162</v>
      </c>
      <c r="C40" s="26" t="s">
        <v>163</v>
      </c>
      <c r="D40" s="27" cm="1">
        <f t="array" aca="1" ref="D40" ca="1">_xll.VoseInput("Host remaining life","years from now")+_xll.VosePERT(F40,G40,H40)</f>
        <v>15.614010863988261</v>
      </c>
      <c r="E40" s="26" t="s">
        <v>113</v>
      </c>
      <c r="F40" s="28">
        <v>10</v>
      </c>
      <c r="G40" s="28">
        <v>13</v>
      </c>
      <c r="H40" s="28">
        <v>18</v>
      </c>
      <c r="I40" s="30" cm="1">
        <f t="array" ref="I40">IF(AND(F40&lt;=G40,G40&lt;=H40,F40&lt;H40),_xll.VoseMean(_xll.VosePERTObject(F40,G40,H40)),"✗ range")</f>
        <v>13.333333333333334</v>
      </c>
      <c r="J40" s="31" t="s">
        <v>164</v>
      </c>
    </row>
    <row r="41" spans="2:10" x14ac:dyDescent="0.45">
      <c r="B41" s="25" t="s">
        <v>165</v>
      </c>
      <c r="C41" s="26" t="s">
        <v>148</v>
      </c>
      <c r="D41" s="40">
        <v>80</v>
      </c>
      <c r="E41" s="26" t="s">
        <v>117</v>
      </c>
      <c r="F41" s="35"/>
      <c r="G41" s="35"/>
      <c r="H41" s="35"/>
      <c r="I41" s="35"/>
      <c r="J41" s="31" t="s">
        <v>166</v>
      </c>
    </row>
    <row r="42" spans="2:10" ht="8" customHeight="1" x14ac:dyDescent="0.45"/>
    <row r="43" spans="2:10" ht="22.05" customHeight="1" x14ac:dyDescent="0.5">
      <c r="B43" s="7" t="s">
        <v>167</v>
      </c>
      <c r="C43" s="8"/>
      <c r="D43" s="8"/>
      <c r="E43" s="8"/>
      <c r="F43" s="8"/>
      <c r="G43" s="8"/>
      <c r="H43" s="8"/>
      <c r="I43" s="8"/>
      <c r="J43" s="8"/>
    </row>
    <row r="44" spans="2:10" ht="18" customHeight="1" x14ac:dyDescent="0.45">
      <c r="B44" s="13" t="s">
        <v>168</v>
      </c>
    </row>
    <row r="45" spans="2:10" ht="18" customHeight="1" x14ac:dyDescent="0.45">
      <c r="B45" s="23" t="s">
        <v>97</v>
      </c>
      <c r="C45" s="23" t="s">
        <v>98</v>
      </c>
      <c r="D45" s="24" t="s">
        <v>99</v>
      </c>
      <c r="E45" s="23" t="s">
        <v>100</v>
      </c>
      <c r="F45" s="24" t="s">
        <v>101</v>
      </c>
      <c r="G45" s="24" t="s">
        <v>102</v>
      </c>
      <c r="H45" s="24" t="s">
        <v>103</v>
      </c>
      <c r="I45" s="24" t="s">
        <v>104</v>
      </c>
      <c r="J45" s="23" t="s">
        <v>105</v>
      </c>
    </row>
    <row r="46" spans="2:10" x14ac:dyDescent="0.45">
      <c r="B46" s="25" t="s">
        <v>147</v>
      </c>
      <c r="C46" s="26" t="s">
        <v>148</v>
      </c>
      <c r="D46" s="40">
        <v>1500</v>
      </c>
      <c r="E46" s="26" t="s">
        <v>117</v>
      </c>
      <c r="F46" s="35"/>
      <c r="G46" s="35"/>
      <c r="H46" s="35"/>
      <c r="I46" s="35"/>
      <c r="J46" s="31" t="s">
        <v>169</v>
      </c>
    </row>
    <row r="47" spans="2:10" x14ac:dyDescent="0.45">
      <c r="B47" s="25" t="s">
        <v>170</v>
      </c>
      <c r="C47" s="26" t="s">
        <v>151</v>
      </c>
      <c r="D47" s="40">
        <v>75</v>
      </c>
      <c r="E47" s="26" t="s">
        <v>117</v>
      </c>
      <c r="F47" s="35"/>
      <c r="G47" s="35"/>
      <c r="H47" s="35"/>
      <c r="I47" s="35"/>
      <c r="J47" s="31" t="s">
        <v>171</v>
      </c>
    </row>
    <row r="48" spans="2:10" x14ac:dyDescent="0.45">
      <c r="B48" s="25" t="s">
        <v>172</v>
      </c>
      <c r="C48" s="26" t="s">
        <v>143</v>
      </c>
      <c r="D48" s="39">
        <v>4</v>
      </c>
      <c r="E48" s="26" t="s">
        <v>117</v>
      </c>
      <c r="F48" s="35"/>
      <c r="G48" s="35"/>
      <c r="H48" s="35"/>
      <c r="I48" s="35"/>
      <c r="J48" s="31" t="s">
        <v>173</v>
      </c>
    </row>
    <row r="49" spans="2:10" x14ac:dyDescent="0.45">
      <c r="B49" s="25" t="s">
        <v>174</v>
      </c>
      <c r="C49" s="26" t="s">
        <v>175</v>
      </c>
      <c r="D49" s="33">
        <v>0.3</v>
      </c>
      <c r="E49" s="26" t="s">
        <v>117</v>
      </c>
      <c r="F49" s="35"/>
      <c r="G49" s="35"/>
      <c r="H49" s="35"/>
      <c r="I49" s="35"/>
      <c r="J49" s="31" t="s">
        <v>176</v>
      </c>
    </row>
    <row r="50" spans="2:10" x14ac:dyDescent="0.45">
      <c r="B50" s="25" t="s">
        <v>177</v>
      </c>
      <c r="C50" s="26" t="s">
        <v>178</v>
      </c>
      <c r="D50" s="41" cm="1">
        <f t="array" aca="1" ref="D50" ca="1">_xll.VoseInput("FPSO delay","1 = yes")+_xll.VoseBernoulli(Prob_DelayB)</f>
        <v>0</v>
      </c>
      <c r="E50" s="26" t="s">
        <v>179</v>
      </c>
      <c r="F50" s="29" t="s">
        <v>109</v>
      </c>
      <c r="G50" s="29" t="s">
        <v>109</v>
      </c>
      <c r="H50" s="29" t="s">
        <v>109</v>
      </c>
      <c r="I50" s="35"/>
      <c r="J50" s="31" t="s">
        <v>180</v>
      </c>
    </row>
    <row r="51" spans="2:10" x14ac:dyDescent="0.45">
      <c r="B51" s="25" t="s">
        <v>157</v>
      </c>
      <c r="C51" s="26" t="s">
        <v>125</v>
      </c>
      <c r="D51" s="28">
        <v>5</v>
      </c>
      <c r="E51" s="26" t="s">
        <v>117</v>
      </c>
      <c r="F51" s="35"/>
      <c r="G51" s="35"/>
      <c r="H51" s="35"/>
      <c r="I51" s="35"/>
      <c r="J51" s="31" t="s">
        <v>181</v>
      </c>
    </row>
    <row r="52" spans="2:10" x14ac:dyDescent="0.45">
      <c r="B52" s="25" t="s">
        <v>159</v>
      </c>
      <c r="C52" s="26" t="s">
        <v>160</v>
      </c>
      <c r="D52" s="40">
        <v>110</v>
      </c>
      <c r="E52" s="26" t="s">
        <v>117</v>
      </c>
      <c r="F52" s="35"/>
      <c r="G52" s="35"/>
      <c r="H52" s="35"/>
      <c r="I52" s="35"/>
      <c r="J52" s="31" t="s">
        <v>182</v>
      </c>
    </row>
    <row r="53" spans="2:10" x14ac:dyDescent="0.45">
      <c r="B53" s="25" t="s">
        <v>165</v>
      </c>
      <c r="C53" s="26" t="s">
        <v>148</v>
      </c>
      <c r="D53" s="40">
        <v>250</v>
      </c>
      <c r="E53" s="26" t="s">
        <v>117</v>
      </c>
      <c r="F53" s="35"/>
      <c r="G53" s="35"/>
      <c r="H53" s="35"/>
      <c r="I53" s="35"/>
      <c r="J53" s="31" t="s">
        <v>166</v>
      </c>
    </row>
    <row r="54" spans="2:10" ht="8" customHeight="1" x14ac:dyDescent="0.45"/>
    <row r="55" spans="2:10" ht="22.05" customHeight="1" x14ac:dyDescent="0.5">
      <c r="B55" s="7" t="s">
        <v>183</v>
      </c>
      <c r="C55" s="8"/>
      <c r="D55" s="8"/>
      <c r="E55" s="8"/>
      <c r="F55" s="8"/>
      <c r="G55" s="8"/>
      <c r="H55" s="8"/>
      <c r="I55" s="8"/>
      <c r="J55" s="8"/>
    </row>
    <row r="56" spans="2:10" ht="18" customHeight="1" x14ac:dyDescent="0.45">
      <c r="B56" s="13" t="s">
        <v>184</v>
      </c>
    </row>
    <row r="57" spans="2:10" ht="18" customHeight="1" x14ac:dyDescent="0.45">
      <c r="B57" s="23" t="s">
        <v>97</v>
      </c>
      <c r="C57" s="23" t="s">
        <v>98</v>
      </c>
      <c r="D57" s="24" t="s">
        <v>99</v>
      </c>
      <c r="E57" s="23" t="s">
        <v>100</v>
      </c>
      <c r="F57" s="5"/>
      <c r="G57" s="5"/>
      <c r="H57" s="5"/>
      <c r="I57" s="5"/>
      <c r="J57" s="23" t="s">
        <v>105</v>
      </c>
    </row>
    <row r="58" spans="2:10" x14ac:dyDescent="0.45">
      <c r="B58" s="25" t="s">
        <v>185</v>
      </c>
      <c r="C58" s="26" t="s">
        <v>143</v>
      </c>
      <c r="D58" s="39">
        <v>5</v>
      </c>
      <c r="E58" s="26" t="s">
        <v>117</v>
      </c>
      <c r="F58" s="35"/>
      <c r="G58" s="35"/>
      <c r="H58" s="35"/>
      <c r="I58" s="35"/>
      <c r="J58" s="31" t="s">
        <v>186</v>
      </c>
    </row>
    <row r="59" spans="2:10" x14ac:dyDescent="0.45">
      <c r="B59" s="25" t="s">
        <v>187</v>
      </c>
      <c r="C59" s="26" t="s">
        <v>107</v>
      </c>
      <c r="D59" s="40">
        <v>110</v>
      </c>
      <c r="E59" s="26" t="s">
        <v>117</v>
      </c>
      <c r="F59" s="35"/>
      <c r="G59" s="35"/>
      <c r="H59" s="35"/>
      <c r="I59" s="35"/>
      <c r="J59" s="31" t="s">
        <v>188</v>
      </c>
    </row>
    <row r="60" spans="2:10" ht="23.25" x14ac:dyDescent="0.45">
      <c r="B60" s="25" t="s">
        <v>189</v>
      </c>
      <c r="C60" s="26" t="s">
        <v>190</v>
      </c>
      <c r="D60" s="33">
        <v>0.15</v>
      </c>
      <c r="E60" s="26" t="s">
        <v>117</v>
      </c>
      <c r="F60" s="35"/>
      <c r="G60" s="35"/>
      <c r="H60" s="35"/>
      <c r="I60" s="35"/>
      <c r="J60" s="31" t="s">
        <v>191</v>
      </c>
    </row>
    <row r="61" spans="2:10" x14ac:dyDescent="0.45">
      <c r="B61" s="25" t="s">
        <v>192</v>
      </c>
      <c r="C61" s="26" t="s">
        <v>148</v>
      </c>
      <c r="D61" s="40">
        <v>450</v>
      </c>
      <c r="E61" s="26" t="s">
        <v>117</v>
      </c>
      <c r="F61" s="35"/>
      <c r="G61" s="35"/>
      <c r="H61" s="35"/>
      <c r="I61" s="35"/>
      <c r="J61" s="31" t="s">
        <v>193</v>
      </c>
    </row>
    <row r="62" spans="2:10" x14ac:dyDescent="0.45">
      <c r="B62" s="25" t="s">
        <v>194</v>
      </c>
      <c r="C62" s="26" t="s">
        <v>195</v>
      </c>
      <c r="D62" s="39">
        <v>2</v>
      </c>
      <c r="E62" s="26" t="s">
        <v>117</v>
      </c>
      <c r="F62" s="35"/>
      <c r="G62" s="35"/>
      <c r="H62" s="35"/>
      <c r="I62" s="35"/>
      <c r="J62" s="31" t="s">
        <v>196</v>
      </c>
    </row>
    <row r="63" spans="2:10" x14ac:dyDescent="0.45">
      <c r="B63" s="25" t="s">
        <v>197</v>
      </c>
      <c r="C63" s="26" t="s">
        <v>151</v>
      </c>
      <c r="D63" s="40">
        <v>35</v>
      </c>
      <c r="E63" s="26" t="s">
        <v>117</v>
      </c>
      <c r="F63" s="35"/>
      <c r="G63" s="35"/>
      <c r="H63" s="35"/>
      <c r="I63" s="35"/>
      <c r="J63" s="31" t="s">
        <v>198</v>
      </c>
    </row>
    <row r="64" spans="2:10" x14ac:dyDescent="0.45">
      <c r="B64" s="25" t="s">
        <v>199</v>
      </c>
      <c r="C64" s="26" t="s">
        <v>195</v>
      </c>
      <c r="D64" s="39">
        <v>8</v>
      </c>
      <c r="E64" s="26" t="s">
        <v>117</v>
      </c>
      <c r="F64" s="35"/>
      <c r="G64" s="35"/>
      <c r="H64" s="35"/>
      <c r="I64" s="35"/>
      <c r="J64" s="31" t="s">
        <v>200</v>
      </c>
    </row>
    <row r="65" spans="2:10" ht="8" customHeight="1" x14ac:dyDescent="0.45"/>
    <row r="66" spans="2:10" ht="22.05" customHeight="1" x14ac:dyDescent="0.5">
      <c r="B66" s="7" t="s">
        <v>201</v>
      </c>
      <c r="C66" s="8"/>
      <c r="D66" s="8"/>
      <c r="E66" s="8"/>
      <c r="F66" s="8"/>
      <c r="G66" s="8"/>
      <c r="H66" s="8"/>
      <c r="I66" s="8"/>
      <c r="J66" s="8"/>
    </row>
    <row r="67" spans="2:10" ht="18" customHeight="1" x14ac:dyDescent="0.45">
      <c r="B67" s="13" t="s">
        <v>202</v>
      </c>
    </row>
    <row r="68" spans="2:10" ht="18" customHeight="1" x14ac:dyDescent="0.45">
      <c r="B68" s="23" t="s">
        <v>97</v>
      </c>
      <c r="C68" s="23" t="s">
        <v>98</v>
      </c>
      <c r="D68" s="24" t="s">
        <v>203</v>
      </c>
      <c r="E68" s="23" t="s">
        <v>100</v>
      </c>
      <c r="F68" s="24" t="s">
        <v>204</v>
      </c>
      <c r="G68" s="24" t="s">
        <v>205</v>
      </c>
      <c r="H68" s="24" t="s">
        <v>206</v>
      </c>
      <c r="I68" s="24" t="s">
        <v>207</v>
      </c>
      <c r="J68" s="23" t="s">
        <v>105</v>
      </c>
    </row>
    <row r="69" spans="2:10" x14ac:dyDescent="0.45">
      <c r="B69" s="25" t="s">
        <v>208</v>
      </c>
      <c r="C69" s="26" t="s">
        <v>143</v>
      </c>
      <c r="D69" s="35"/>
      <c r="E69" s="26" t="s">
        <v>209</v>
      </c>
      <c r="F69" s="39">
        <v>0</v>
      </c>
      <c r="G69" s="39">
        <v>1</v>
      </c>
      <c r="H69" s="39">
        <v>2</v>
      </c>
      <c r="I69" s="35"/>
      <c r="J69" s="31" t="s">
        <v>210</v>
      </c>
    </row>
    <row r="70" spans="2:10" x14ac:dyDescent="0.45">
      <c r="B70" s="42" t="s">
        <v>211</v>
      </c>
      <c r="C70" s="26" t="s">
        <v>212</v>
      </c>
      <c r="D70" s="34">
        <f>SUM(F70:H70)</f>
        <v>1</v>
      </c>
      <c r="E70" s="26" t="s">
        <v>213</v>
      </c>
      <c r="F70" s="33">
        <v>0.3</v>
      </c>
      <c r="G70" s="33">
        <v>0.4</v>
      </c>
      <c r="H70" s="33">
        <v>0.3</v>
      </c>
      <c r="I70" s="35"/>
      <c r="J70" s="31" t="s">
        <v>214</v>
      </c>
    </row>
    <row r="71" spans="2:10" x14ac:dyDescent="0.45">
      <c r="B71" s="25" t="s">
        <v>215</v>
      </c>
      <c r="C71" s="26" t="s">
        <v>143</v>
      </c>
      <c r="D71" s="35"/>
      <c r="E71" s="26" t="s">
        <v>209</v>
      </c>
      <c r="F71" s="39">
        <v>0</v>
      </c>
      <c r="G71" s="39">
        <v>1</v>
      </c>
      <c r="H71" s="39">
        <v>2</v>
      </c>
      <c r="I71" s="39">
        <v>3</v>
      </c>
      <c r="J71" s="31" t="s">
        <v>216</v>
      </c>
    </row>
    <row r="72" spans="2:10" x14ac:dyDescent="0.45">
      <c r="B72" s="42" t="s">
        <v>211</v>
      </c>
      <c r="C72" s="26" t="s">
        <v>212</v>
      </c>
      <c r="D72" s="34">
        <f>SUM(F72:I72)</f>
        <v>1</v>
      </c>
      <c r="E72" s="26" t="s">
        <v>213</v>
      </c>
      <c r="F72" s="33">
        <v>0.2</v>
      </c>
      <c r="G72" s="33">
        <v>0.35</v>
      </c>
      <c r="H72" s="33">
        <v>0.3</v>
      </c>
      <c r="I72" s="33">
        <v>0.15</v>
      </c>
      <c r="J72" s="31" t="s">
        <v>214</v>
      </c>
    </row>
    <row r="73" spans="2:10" x14ac:dyDescent="0.45">
      <c r="B73" s="42" t="s">
        <v>217</v>
      </c>
      <c r="C73" s="26" t="s">
        <v>218</v>
      </c>
      <c r="D73" s="35"/>
      <c r="E73" s="26" t="s">
        <v>117</v>
      </c>
      <c r="F73" s="39">
        <v>0</v>
      </c>
      <c r="G73" s="39">
        <v>0</v>
      </c>
      <c r="H73" s="39">
        <v>1</v>
      </c>
      <c r="I73" s="39">
        <v>1</v>
      </c>
      <c r="J73" s="31"/>
    </row>
    <row r="74" spans="2:10" x14ac:dyDescent="0.45">
      <c r="B74" s="42" t="s">
        <v>219</v>
      </c>
      <c r="C74" s="26" t="s">
        <v>143</v>
      </c>
      <c r="D74" s="35"/>
      <c r="E74" s="26" t="s">
        <v>220</v>
      </c>
      <c r="F74" s="43">
        <f ca="1">F71+Delay_B*F73</f>
        <v>0</v>
      </c>
      <c r="G74" s="43">
        <f ca="1">G71+Delay_B*G73</f>
        <v>1</v>
      </c>
      <c r="H74" s="43">
        <f ca="1">H71+Delay_B*H73</f>
        <v>2</v>
      </c>
      <c r="I74" s="43">
        <f ca="1">I71+Delay_B*I73</f>
        <v>3</v>
      </c>
      <c r="J74" s="31" t="s">
        <v>221</v>
      </c>
    </row>
    <row r="75" spans="2:10" x14ac:dyDescent="0.45">
      <c r="B75" s="25" t="s">
        <v>222</v>
      </c>
      <c r="C75" s="26" t="s">
        <v>143</v>
      </c>
      <c r="D75" s="35"/>
      <c r="E75" s="26" t="s">
        <v>209</v>
      </c>
      <c r="F75" s="39">
        <v>0</v>
      </c>
      <c r="G75" s="39">
        <v>1</v>
      </c>
      <c r="H75" s="35"/>
      <c r="I75" s="35"/>
      <c r="J75" s="31" t="s">
        <v>223</v>
      </c>
    </row>
    <row r="76" spans="2:10" x14ac:dyDescent="0.45">
      <c r="B76" s="42" t="s">
        <v>211</v>
      </c>
      <c r="C76" s="26" t="s">
        <v>212</v>
      </c>
      <c r="D76" s="34">
        <f>SUM(F76:G76)</f>
        <v>1</v>
      </c>
      <c r="E76" s="26" t="s">
        <v>213</v>
      </c>
      <c r="F76" s="33">
        <v>0.5</v>
      </c>
      <c r="G76" s="33">
        <v>0.5</v>
      </c>
      <c r="H76" s="35"/>
      <c r="I76" s="35"/>
      <c r="J76" s="31" t="s">
        <v>214</v>
      </c>
    </row>
    <row r="77" spans="2:10" ht="8" customHeight="1" x14ac:dyDescent="0.45"/>
  </sheetData>
  <mergeCells count="1">
    <mergeCell ref="B6:J6"/>
  </mergeCells>
  <conditionalFormatting sqref="D70">
    <cfRule type="expression" dxfId="11" priority="6">
      <formula>ABS($D$70-1)&gt;0.000001</formula>
    </cfRule>
  </conditionalFormatting>
  <conditionalFormatting sqref="D72">
    <cfRule type="expression" dxfId="10" priority="7">
      <formula>ABS($D$72-1)&gt;0.000001</formula>
    </cfRule>
  </conditionalFormatting>
  <conditionalFormatting sqref="D76">
    <cfRule type="expression" dxfId="9" priority="8">
      <formula>ABS($D$76-1)&gt;0.000001</formula>
    </cfRule>
  </conditionalFormatting>
  <conditionalFormatting sqref="I11:I12">
    <cfRule type="expression" dxfId="8" priority="1">
      <formula>LEFT($I11,1)="✗"</formula>
    </cfRule>
  </conditionalFormatting>
  <conditionalFormatting sqref="I20">
    <cfRule type="expression" dxfId="7" priority="3">
      <formula>LEFT($I20,1)="✗"</formula>
    </cfRule>
  </conditionalFormatting>
  <conditionalFormatting sqref="I27">
    <cfRule type="expression" dxfId="6" priority="4">
      <formula>LEFT($I27,1)="✗"</formula>
    </cfRule>
  </conditionalFormatting>
  <conditionalFormatting sqref="I40">
    <cfRule type="expression" dxfId="5" priority="5">
      <formula>LEFT($I40,1)="✗"</formula>
    </cfRule>
  </conditionalFormatting>
  <dataValidations count="12">
    <dataValidation type="custom" showErrorMessage="1" errorTitle="Lognormal range" error="The low estimate must be above the minimum and below the high estimate." sqref="F11:H11" xr:uid="{00000000-0002-0000-0100-000000000000}">
      <formula1>AND($F11&gt;0,$F11&lt;$H11)</formula1>
    </dataValidation>
    <dataValidation type="custom" showErrorMessage="1" errorTitle="PERT range" error="Low must be below High, with Most likely between them, all between 0% and 100%." sqref="F12:H12" xr:uid="{00000000-0002-0000-0100-000001000000}">
      <formula1>AND($F12&lt;=$G12,$G12&lt;=$H12,$F12&lt;$H12,$F12&gt;=0,$H12&lt;=1)</formula1>
    </dataValidation>
    <dataValidation type="decimal" showErrorMessage="1" errorTitle="Probability" error="Enter a value between 0% and 100%." sqref="D60 D49 D28 D13:D14" xr:uid="{00000000-0002-0000-0100-000002000000}">
      <formula1>0</formula1>
      <formula2>1</formula2>
    </dataValidation>
    <dataValidation type="decimal" operator="greaterThan" showErrorMessage="1" errorTitle="Positive value" error="Enter a value greater than zero." sqref="D19 D63 D61 D59 D46:D47 D34:D35 D21" xr:uid="{00000000-0002-0000-0100-000004000000}">
      <formula1>0</formula1>
    </dataValidation>
    <dataValidation type="custom" showErrorMessage="1" errorTitle="PERT range" error="Low must be below High, with Most likely between them." sqref="F20:H20 F40:H40 F27:H27" xr:uid="{00000000-0002-0000-0100-000005000000}">
      <formula1>AND($F20&lt;=$G20,$G20&lt;=$H20,$F20&lt;$H20)</formula1>
    </dataValidation>
    <dataValidation type="decimal" showErrorMessage="1" errorTitle="Factor" error="Enter a value strictly between 0 and 1." sqref="D22" xr:uid="{00000000-0002-0000-0100-000007000000}">
      <formula1>0.01</formula1>
      <formula2>0.99</formula2>
    </dataValidation>
    <dataValidation type="whole" showErrorMessage="1" errorTitle="Year" error="Enter a calendar year." sqref="D29" xr:uid="{00000000-0002-0000-0100-00000A000000}">
      <formula1>1900</formula1>
      <formula2>2200</formula2>
    </dataValidation>
    <dataValidation type="whole" showErrorMessage="1" errorTitle="Whole number" error="Enter a whole number." sqref="D36 D64 D62 D58 D48" xr:uid="{00000000-0002-0000-0100-00000D000000}">
      <formula1>0</formula1>
      <formula2>1000000</formula2>
    </dataValidation>
    <dataValidation type="decimal" showErrorMessage="1" errorTitle="Value" error="Enter a value of zero or more." sqref="D51:D53 D41 D37:D39" xr:uid="{00000000-0002-0000-0100-00000E000000}">
      <formula1>0</formula1>
      <formula2>1000000000000</formula2>
    </dataValidation>
    <dataValidation type="whole" showErrorMessage="1" errorTitle="Year" error="Enter a whole number of years." sqref="F69:H69 F75:G75 F71:I71" xr:uid="{00000000-0002-0000-0100-000021000000}">
      <formula1>0</formula1>
      <formula2>1000</formula2>
    </dataValidation>
    <dataValidation type="decimal" showErrorMessage="1" errorTitle="Share" error="Enter a value between 0% and 100%." sqref="F70:H70 F76:G76 F72:I72" xr:uid="{00000000-0002-0000-0100-000022000000}">
      <formula1>0</formula1>
      <formula2>1</formula2>
    </dataValidation>
    <dataValidation type="whole" showErrorMessage="1" errorTitle="Switch" error="Enter 1 (moves) or 0 (stays)." sqref="F73:I73" xr:uid="{00000000-0002-0000-0100-000025000000}">
      <formula1>0</formula1>
      <formula2>1</formula2>
    </dataValidation>
  </dataValidations>
  <hyperlinks>
    <hyperlink ref="B4" location="'About'!A1" display="◂  About" xr:uid="{00000000-0004-0000-0100-000000000000}"/>
    <hyperlink ref="J4" location="'Concepts'!A1" display="Next:  Concepts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AE117"/>
  <sheetViews>
    <sheetView showGridLines="0" workbookViewId="0">
      <pane xSplit="5" ySplit="7" topLeftCell="F8" activePane="bottomRight" state="frozen"/>
      <selection pane="topRight"/>
      <selection pane="bottomLeft"/>
      <selection pane="bottomRight"/>
    </sheetView>
  </sheetViews>
  <sheetFormatPr defaultRowHeight="14.25" x14ac:dyDescent="0.45"/>
  <cols>
    <col min="1" max="1" width="2" customWidth="1"/>
    <col min="2" max="2" width="46" customWidth="1"/>
    <col min="3" max="4" width="10" customWidth="1"/>
    <col min="5" max="5" width="6" customWidth="1"/>
    <col min="6" max="31" width="7.19921875" customWidth="1"/>
  </cols>
  <sheetData>
    <row r="1" spans="1:31" ht="6" customHeight="1" x14ac:dyDescent="0.45"/>
    <row r="2" spans="1:31" ht="30" customHeight="1" x14ac:dyDescent="0.45">
      <c r="A2" s="1"/>
      <c r="B2" s="21" t="s">
        <v>0</v>
      </c>
      <c r="C2" s="1"/>
      <c r="D2" s="1"/>
      <c r="E2" s="1"/>
      <c r="F2" s="1"/>
      <c r="G2" s="1"/>
      <c r="H2" s="1"/>
      <c r="I2" s="1"/>
      <c r="J2" s="1"/>
      <c r="K2" s="1"/>
      <c r="L2" s="1"/>
      <c r="M2" s="1"/>
      <c r="N2" s="1"/>
      <c r="O2" s="1"/>
      <c r="P2" s="1"/>
      <c r="Q2" s="1"/>
      <c r="R2" s="1"/>
      <c r="S2" s="1"/>
      <c r="T2" s="1"/>
      <c r="U2" s="1"/>
      <c r="V2" s="1"/>
      <c r="W2" s="1"/>
      <c r="X2" s="1"/>
      <c r="Y2" s="1"/>
      <c r="Z2" s="1"/>
      <c r="AA2" s="1"/>
      <c r="AB2" s="1"/>
      <c r="AC2" s="1"/>
      <c r="AD2" s="1"/>
      <c r="AE2" s="3" t="s">
        <v>1</v>
      </c>
    </row>
    <row r="3" spans="1:31" ht="20" customHeight="1" x14ac:dyDescent="0.45">
      <c r="A3" s="1"/>
      <c r="B3" s="4" t="s">
        <v>224</v>
      </c>
      <c r="C3" s="1"/>
      <c r="D3" s="1"/>
      <c r="E3" s="1"/>
      <c r="F3" s="1"/>
      <c r="G3" s="1"/>
      <c r="H3" s="1"/>
      <c r="I3" s="1"/>
      <c r="J3" s="1"/>
      <c r="K3" s="1"/>
      <c r="L3" s="1"/>
      <c r="M3" s="1"/>
      <c r="N3" s="1"/>
      <c r="O3" s="1"/>
      <c r="P3" s="1"/>
      <c r="Q3" s="1"/>
      <c r="R3" s="1"/>
      <c r="S3" s="1"/>
      <c r="T3" s="1"/>
      <c r="U3" s="1"/>
      <c r="V3" s="1"/>
      <c r="W3" s="1"/>
      <c r="X3" s="1"/>
      <c r="Y3" s="1"/>
      <c r="Z3" s="1"/>
      <c r="AA3" s="1"/>
      <c r="AB3" s="1"/>
      <c r="AC3" s="1"/>
      <c r="AD3" s="1"/>
      <c r="AE3" s="1"/>
    </row>
    <row r="4" spans="1:31" ht="20" customHeight="1" x14ac:dyDescent="0.45">
      <c r="A4" s="5"/>
      <c r="B4" s="22" t="s">
        <v>225</v>
      </c>
      <c r="C4" s="5"/>
      <c r="D4" s="5"/>
      <c r="E4" s="5"/>
      <c r="F4" s="5"/>
      <c r="G4" s="5"/>
      <c r="H4" s="5"/>
      <c r="I4" s="5"/>
      <c r="J4" s="5"/>
      <c r="K4" s="5"/>
      <c r="L4" s="5"/>
      <c r="M4" s="5"/>
      <c r="N4" s="5"/>
      <c r="O4" s="5"/>
      <c r="P4" s="5"/>
      <c r="Q4" s="5"/>
      <c r="R4" s="5"/>
      <c r="S4" s="5"/>
      <c r="T4" s="5"/>
      <c r="U4" s="5"/>
      <c r="V4" s="5"/>
      <c r="W4" s="5"/>
      <c r="X4" s="5"/>
      <c r="Y4" s="5"/>
      <c r="Z4" s="5"/>
      <c r="AA4" s="5"/>
      <c r="AB4" s="5"/>
      <c r="AC4" s="5"/>
      <c r="AD4" s="5"/>
      <c r="AE4" s="6" t="s">
        <v>226</v>
      </c>
    </row>
    <row r="5" spans="1:31" ht="8" customHeight="1" x14ac:dyDescent="0.45"/>
    <row r="6" spans="1:31" ht="16.05" customHeight="1" x14ac:dyDescent="0.45">
      <c r="B6" s="44" t="s">
        <v>227</v>
      </c>
      <c r="C6" s="45"/>
      <c r="D6" s="46" t="s">
        <v>203</v>
      </c>
      <c r="E6" s="47" t="s">
        <v>228</v>
      </c>
      <c r="F6" s="48">
        <v>0</v>
      </c>
      <c r="G6" s="48">
        <f t="shared" ref="G6:AE6" si="0">F6+1</f>
        <v>1</v>
      </c>
      <c r="H6" s="48">
        <f t="shared" si="0"/>
        <v>2</v>
      </c>
      <c r="I6" s="48">
        <f t="shared" si="0"/>
        <v>3</v>
      </c>
      <c r="J6" s="48">
        <f t="shared" si="0"/>
        <v>4</v>
      </c>
      <c r="K6" s="48">
        <f t="shared" si="0"/>
        <v>5</v>
      </c>
      <c r="L6" s="48">
        <f t="shared" si="0"/>
        <v>6</v>
      </c>
      <c r="M6" s="48">
        <f t="shared" si="0"/>
        <v>7</v>
      </c>
      <c r="N6" s="48">
        <f t="shared" si="0"/>
        <v>8</v>
      </c>
      <c r="O6" s="48">
        <f t="shared" si="0"/>
        <v>9</v>
      </c>
      <c r="P6" s="48">
        <f t="shared" si="0"/>
        <v>10</v>
      </c>
      <c r="Q6" s="48">
        <f t="shared" si="0"/>
        <v>11</v>
      </c>
      <c r="R6" s="48">
        <f t="shared" si="0"/>
        <v>12</v>
      </c>
      <c r="S6" s="48">
        <f t="shared" si="0"/>
        <v>13</v>
      </c>
      <c r="T6" s="48">
        <f t="shared" si="0"/>
        <v>14</v>
      </c>
      <c r="U6" s="48">
        <f t="shared" si="0"/>
        <v>15</v>
      </c>
      <c r="V6" s="48">
        <f t="shared" si="0"/>
        <v>16</v>
      </c>
      <c r="W6" s="48">
        <f t="shared" si="0"/>
        <v>17</v>
      </c>
      <c r="X6" s="48">
        <f t="shared" si="0"/>
        <v>18</v>
      </c>
      <c r="Y6" s="48">
        <f t="shared" si="0"/>
        <v>19</v>
      </c>
      <c r="Z6" s="48">
        <f t="shared" si="0"/>
        <v>20</v>
      </c>
      <c r="AA6" s="48">
        <f t="shared" si="0"/>
        <v>21</v>
      </c>
      <c r="AB6" s="48">
        <f t="shared" si="0"/>
        <v>22</v>
      </c>
      <c r="AC6" s="48">
        <f t="shared" si="0"/>
        <v>23</v>
      </c>
      <c r="AD6" s="48">
        <f t="shared" si="0"/>
        <v>24</v>
      </c>
      <c r="AE6" s="48">
        <f t="shared" si="0"/>
        <v>25</v>
      </c>
    </row>
    <row r="7" spans="1:31" ht="16.05" customHeight="1" x14ac:dyDescent="0.45">
      <c r="B7" s="49" t="s">
        <v>229</v>
      </c>
      <c r="C7" s="5"/>
      <c r="D7" s="5"/>
      <c r="E7" s="5"/>
      <c r="F7" s="50">
        <f t="shared" ref="F7:AE7" si="1">StartYear+F$6</f>
        <v>2026</v>
      </c>
      <c r="G7" s="50">
        <f t="shared" si="1"/>
        <v>2027</v>
      </c>
      <c r="H7" s="50">
        <f t="shared" si="1"/>
        <v>2028</v>
      </c>
      <c r="I7" s="50">
        <f t="shared" si="1"/>
        <v>2029</v>
      </c>
      <c r="J7" s="50">
        <f t="shared" si="1"/>
        <v>2030</v>
      </c>
      <c r="K7" s="50">
        <f t="shared" si="1"/>
        <v>2031</v>
      </c>
      <c r="L7" s="50">
        <f t="shared" si="1"/>
        <v>2032</v>
      </c>
      <c r="M7" s="50">
        <f t="shared" si="1"/>
        <v>2033</v>
      </c>
      <c r="N7" s="50">
        <f t="shared" si="1"/>
        <v>2034</v>
      </c>
      <c r="O7" s="50">
        <f t="shared" si="1"/>
        <v>2035</v>
      </c>
      <c r="P7" s="50">
        <f t="shared" si="1"/>
        <v>2036</v>
      </c>
      <c r="Q7" s="50">
        <f t="shared" si="1"/>
        <v>2037</v>
      </c>
      <c r="R7" s="50">
        <f t="shared" si="1"/>
        <v>2038</v>
      </c>
      <c r="S7" s="50">
        <f t="shared" si="1"/>
        <v>2039</v>
      </c>
      <c r="T7" s="50">
        <f t="shared" si="1"/>
        <v>2040</v>
      </c>
      <c r="U7" s="50">
        <f t="shared" si="1"/>
        <v>2041</v>
      </c>
      <c r="V7" s="50">
        <f t="shared" si="1"/>
        <v>2042</v>
      </c>
      <c r="W7" s="50">
        <f t="shared" si="1"/>
        <v>2043</v>
      </c>
      <c r="X7" s="50">
        <f t="shared" si="1"/>
        <v>2044</v>
      </c>
      <c r="Y7" s="50">
        <f t="shared" si="1"/>
        <v>2045</v>
      </c>
      <c r="Z7" s="50">
        <f t="shared" si="1"/>
        <v>2046</v>
      </c>
      <c r="AA7" s="50">
        <f t="shared" si="1"/>
        <v>2047</v>
      </c>
      <c r="AB7" s="50">
        <f t="shared" si="1"/>
        <v>2048</v>
      </c>
      <c r="AC7" s="50">
        <f t="shared" si="1"/>
        <v>2049</v>
      </c>
      <c r="AD7" s="50">
        <f t="shared" si="1"/>
        <v>2050</v>
      </c>
      <c r="AE7" s="50">
        <f t="shared" si="1"/>
        <v>2051</v>
      </c>
    </row>
    <row r="8" spans="1:31" ht="6" customHeight="1" x14ac:dyDescent="0.45"/>
    <row r="9" spans="1:31" ht="22.05" customHeight="1" x14ac:dyDescent="0.5">
      <c r="B9" s="7" t="s">
        <v>230</v>
      </c>
      <c r="C9" s="8"/>
      <c r="D9" s="8"/>
      <c r="E9" s="8"/>
      <c r="F9" s="8"/>
      <c r="G9" s="8"/>
      <c r="H9" s="8"/>
      <c r="I9" s="8"/>
      <c r="J9" s="8"/>
      <c r="K9" s="8"/>
      <c r="L9" s="8"/>
      <c r="M9" s="8"/>
      <c r="N9" s="8"/>
      <c r="O9" s="8"/>
      <c r="P9" s="8"/>
      <c r="Q9" s="8"/>
      <c r="R9" s="8"/>
      <c r="S9" s="8"/>
      <c r="T9" s="8"/>
      <c r="U9" s="8"/>
      <c r="V9" s="8"/>
      <c r="W9" s="8"/>
      <c r="X9" s="8"/>
      <c r="Y9" s="8"/>
      <c r="Z9" s="8"/>
      <c r="AA9" s="8"/>
      <c r="AB9" s="8"/>
      <c r="AC9" s="8"/>
      <c r="AD9" s="8"/>
      <c r="AE9" s="8"/>
    </row>
    <row r="10" spans="1:31" ht="18" customHeight="1" x14ac:dyDescent="0.45">
      <c r="B10" s="13" t="s">
        <v>231</v>
      </c>
    </row>
    <row r="11" spans="1:31" ht="18" customHeight="1" x14ac:dyDescent="0.45">
      <c r="B11" s="49" t="s">
        <v>232</v>
      </c>
      <c r="C11" s="49" t="s">
        <v>98</v>
      </c>
      <c r="D11" s="51" t="s">
        <v>233</v>
      </c>
      <c r="E11" s="5"/>
      <c r="F11" s="49" t="s">
        <v>234</v>
      </c>
      <c r="G11" s="5"/>
      <c r="H11" s="5"/>
      <c r="I11" s="5"/>
      <c r="J11" s="5"/>
      <c r="K11" s="5"/>
      <c r="L11" s="5"/>
      <c r="M11" s="5"/>
      <c r="N11" s="5"/>
      <c r="O11" s="5"/>
      <c r="P11" s="5"/>
      <c r="Q11" s="5"/>
      <c r="R11" s="5"/>
      <c r="S11" s="5"/>
      <c r="T11" s="5"/>
      <c r="U11" s="5"/>
      <c r="V11" s="5"/>
      <c r="W11" s="5"/>
      <c r="X11" s="5"/>
      <c r="Y11" s="5"/>
      <c r="Z11" s="5"/>
      <c r="AA11" s="5"/>
      <c r="AB11" s="5"/>
      <c r="AC11" s="5"/>
      <c r="AD11" s="5"/>
      <c r="AE11" s="5"/>
    </row>
    <row r="12" spans="1:31" x14ac:dyDescent="0.45">
      <c r="B12" s="25" t="s">
        <v>235</v>
      </c>
      <c r="C12" s="26" t="s">
        <v>143</v>
      </c>
      <c r="D12" s="43">
        <f>MAX(F6:AE6)</f>
        <v>25</v>
      </c>
      <c r="E12" s="35"/>
      <c r="F12" s="26" t="s">
        <v>236</v>
      </c>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row>
    <row r="13" spans="1:31" x14ac:dyDescent="0.45">
      <c r="B13" s="25" t="s">
        <v>237</v>
      </c>
      <c r="C13" s="26" t="s">
        <v>107</v>
      </c>
      <c r="D13" s="52">
        <f>365/1000</f>
        <v>0.36499999999999999</v>
      </c>
      <c r="E13" s="35"/>
      <c r="F13" s="26" t="s">
        <v>238</v>
      </c>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row>
    <row r="14" spans="1:31" x14ac:dyDescent="0.45">
      <c r="B14" s="25" t="s">
        <v>239</v>
      </c>
      <c r="C14" s="26" t="s">
        <v>143</v>
      </c>
      <c r="D14" s="43">
        <f ca="1">ROUND(HostLife,0)</f>
        <v>16</v>
      </c>
      <c r="E14" s="35"/>
      <c r="F14" s="26" t="s">
        <v>240</v>
      </c>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row>
    <row r="15" spans="1:31" x14ac:dyDescent="0.45">
      <c r="B15" s="25" t="s">
        <v>241</v>
      </c>
      <c r="C15" s="26" t="s">
        <v>143</v>
      </c>
      <c r="D15" s="43">
        <f ca="1">FirstOil_B+Delay_B</f>
        <v>4</v>
      </c>
      <c r="E15" s="35"/>
      <c r="F15" s="26" t="s">
        <v>242</v>
      </c>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row>
    <row r="16" spans="1:31" x14ac:dyDescent="0.45">
      <c r="B16" s="25" t="s">
        <v>243</v>
      </c>
      <c r="C16" s="26" t="s">
        <v>107</v>
      </c>
      <c r="D16" s="27" cm="1">
        <f t="array" aca="1" ref="D16" ca="1">_xll.VoseInput("Volume estimate at decision","MMbbl")+Recoverable*EXP(_xll.VoseNormal(0,EstError))</f>
        <v>136.12285948666769</v>
      </c>
      <c r="E16" s="35"/>
      <c r="F16" s="26" t="s">
        <v>244</v>
      </c>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row>
    <row r="17" spans="2:31" x14ac:dyDescent="0.45">
      <c r="B17" s="25" t="s">
        <v>245</v>
      </c>
      <c r="C17" s="26" t="s">
        <v>218</v>
      </c>
      <c r="D17" s="43">
        <f ca="1">IF(Estimate&gt;Threshold,1,0)</f>
        <v>1</v>
      </c>
      <c r="E17" s="35"/>
      <c r="F17" s="26" t="s">
        <v>246</v>
      </c>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row>
    <row r="18" spans="2:31" x14ac:dyDescent="0.45">
      <c r="B18" s="25" t="s">
        <v>247</v>
      </c>
      <c r="C18" s="26" t="s">
        <v>143</v>
      </c>
      <c r="D18" s="43">
        <f ca="1">HostEnd+Expand*HostExt</f>
        <v>24</v>
      </c>
      <c r="E18" s="35"/>
      <c r="F18" s="26" t="s">
        <v>248</v>
      </c>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row>
    <row r="19" spans="2:31" ht="8" customHeight="1" x14ac:dyDescent="0.45"/>
    <row r="20" spans="2:31" ht="22.05" customHeight="1" x14ac:dyDescent="0.5">
      <c r="B20" s="7" t="s">
        <v>249</v>
      </c>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row>
    <row r="21" spans="2:31" ht="18" customHeight="1" x14ac:dyDescent="0.45">
      <c r="B21" s="13" t="s">
        <v>250</v>
      </c>
    </row>
    <row r="22" spans="2:31" ht="18" customHeight="1" x14ac:dyDescent="0.45">
      <c r="B22" s="49" t="s">
        <v>251</v>
      </c>
      <c r="C22" s="49" t="s">
        <v>98</v>
      </c>
      <c r="D22" s="5"/>
      <c r="E22" s="5"/>
      <c r="F22" s="51" t="s">
        <v>252</v>
      </c>
      <c r="G22" s="51" t="s">
        <v>253</v>
      </c>
      <c r="H22" s="51" t="s">
        <v>254</v>
      </c>
      <c r="I22" s="5"/>
      <c r="J22" s="5"/>
      <c r="K22" s="5"/>
      <c r="L22" s="5"/>
      <c r="M22" s="5"/>
      <c r="N22" s="5"/>
      <c r="O22" s="5"/>
      <c r="P22" s="5"/>
      <c r="Q22" s="5"/>
      <c r="R22" s="5"/>
      <c r="S22" s="5"/>
      <c r="T22" s="5"/>
      <c r="U22" s="5"/>
      <c r="V22" s="5"/>
      <c r="W22" s="5"/>
      <c r="X22" s="5"/>
      <c r="Y22" s="5"/>
      <c r="Z22" s="5"/>
      <c r="AA22" s="5"/>
      <c r="AB22" s="5"/>
      <c r="AC22" s="5"/>
      <c r="AD22" s="5"/>
      <c r="AE22" s="5"/>
    </row>
    <row r="23" spans="2:31" x14ac:dyDescent="0.45">
      <c r="B23" s="25" t="s">
        <v>255</v>
      </c>
      <c r="C23" s="26" t="s">
        <v>148</v>
      </c>
      <c r="D23" s="35"/>
      <c r="E23" s="35"/>
      <c r="F23" s="53">
        <f>Capex_A</f>
        <v>650</v>
      </c>
      <c r="G23" s="53">
        <f>Capex_B</f>
        <v>1500</v>
      </c>
      <c r="H23" s="53">
        <f>Capex_A</f>
        <v>650</v>
      </c>
      <c r="I23" s="35"/>
      <c r="J23" s="35"/>
      <c r="K23" s="35"/>
      <c r="L23" s="35"/>
      <c r="M23" s="35"/>
      <c r="N23" s="35"/>
      <c r="O23" s="35"/>
      <c r="P23" s="35"/>
      <c r="Q23" s="35"/>
      <c r="R23" s="35"/>
      <c r="S23" s="35"/>
      <c r="T23" s="35"/>
      <c r="U23" s="35"/>
      <c r="V23" s="35"/>
      <c r="W23" s="35"/>
      <c r="X23" s="35"/>
      <c r="Y23" s="35"/>
      <c r="Z23" s="35"/>
      <c r="AA23" s="35"/>
      <c r="AB23" s="35"/>
      <c r="AC23" s="35"/>
      <c r="AD23" s="35"/>
      <c r="AE23" s="35"/>
    </row>
    <row r="24" spans="2:31" x14ac:dyDescent="0.45">
      <c r="B24" s="25" t="s">
        <v>256</v>
      </c>
      <c r="C24" s="26" t="s">
        <v>148</v>
      </c>
      <c r="D24" s="35"/>
      <c r="E24" s="35"/>
      <c r="F24" s="53">
        <v>0</v>
      </c>
      <c r="G24" s="53">
        <v>0</v>
      </c>
      <c r="H24" s="53">
        <f ca="1">Capex_C2*Expand</f>
        <v>450</v>
      </c>
      <c r="I24" s="35"/>
      <c r="J24" s="26" t="s">
        <v>257</v>
      </c>
      <c r="K24" s="35"/>
      <c r="L24" s="35"/>
      <c r="M24" s="35"/>
      <c r="N24" s="35"/>
      <c r="O24" s="35"/>
      <c r="P24" s="35"/>
      <c r="Q24" s="35"/>
      <c r="R24" s="35"/>
      <c r="S24" s="35"/>
      <c r="T24" s="35"/>
      <c r="U24" s="35"/>
      <c r="V24" s="35"/>
      <c r="W24" s="35"/>
      <c r="X24" s="35"/>
      <c r="Y24" s="35"/>
      <c r="Z24" s="35"/>
      <c r="AA24" s="35"/>
      <c r="AB24" s="35"/>
      <c r="AC24" s="35"/>
      <c r="AD24" s="35"/>
      <c r="AE24" s="35"/>
    </row>
    <row r="25" spans="2:31" x14ac:dyDescent="0.45">
      <c r="B25" s="25" t="s">
        <v>170</v>
      </c>
      <c r="C25" s="26" t="s">
        <v>151</v>
      </c>
      <c r="D25" s="35"/>
      <c r="E25" s="35"/>
      <c r="F25" s="53">
        <f>Cap_A</f>
        <v>40</v>
      </c>
      <c r="G25" s="53">
        <f>Cap_B</f>
        <v>75</v>
      </c>
      <c r="H25" s="53">
        <f>Cap_A</f>
        <v>40</v>
      </c>
      <c r="I25" s="35"/>
      <c r="J25" s="35"/>
      <c r="K25" s="35"/>
      <c r="L25" s="35"/>
      <c r="M25" s="35"/>
      <c r="N25" s="35"/>
      <c r="O25" s="35"/>
      <c r="P25" s="35"/>
      <c r="Q25" s="35"/>
      <c r="R25" s="35"/>
      <c r="S25" s="35"/>
      <c r="T25" s="35"/>
      <c r="U25" s="35"/>
      <c r="V25" s="35"/>
      <c r="W25" s="35"/>
      <c r="X25" s="35"/>
      <c r="Y25" s="35"/>
      <c r="Z25" s="35"/>
      <c r="AA25" s="35"/>
      <c r="AB25" s="35"/>
      <c r="AC25" s="35"/>
      <c r="AD25" s="35"/>
      <c r="AE25" s="35"/>
    </row>
    <row r="26" spans="2:31" x14ac:dyDescent="0.45">
      <c r="B26" s="25" t="s">
        <v>258</v>
      </c>
      <c r="C26" s="26" t="s">
        <v>151</v>
      </c>
      <c r="D26" s="35"/>
      <c r="E26" s="35"/>
      <c r="F26" s="53">
        <v>0</v>
      </c>
      <c r="G26" s="53">
        <v>0</v>
      </c>
      <c r="H26" s="53">
        <f ca="1">Cap_C2*Expand</f>
        <v>35</v>
      </c>
      <c r="I26" s="35"/>
      <c r="J26" s="26" t="s">
        <v>259</v>
      </c>
      <c r="K26" s="35"/>
      <c r="L26" s="35"/>
      <c r="M26" s="35"/>
      <c r="N26" s="35"/>
      <c r="O26" s="35"/>
      <c r="P26" s="35"/>
      <c r="Q26" s="35"/>
      <c r="R26" s="35"/>
      <c r="S26" s="35"/>
      <c r="T26" s="35"/>
      <c r="U26" s="35"/>
      <c r="V26" s="35"/>
      <c r="W26" s="35"/>
      <c r="X26" s="35"/>
      <c r="Y26" s="35"/>
      <c r="Z26" s="35"/>
      <c r="AA26" s="35"/>
      <c r="AB26" s="35"/>
      <c r="AC26" s="35"/>
      <c r="AD26" s="35"/>
      <c r="AE26" s="35"/>
    </row>
    <row r="27" spans="2:31" x14ac:dyDescent="0.45">
      <c r="B27" s="25" t="s">
        <v>260</v>
      </c>
      <c r="C27" s="26" t="s">
        <v>143</v>
      </c>
      <c r="D27" s="35"/>
      <c r="E27" s="35"/>
      <c r="F27" s="53">
        <v>0</v>
      </c>
      <c r="G27" s="53">
        <v>0</v>
      </c>
      <c r="H27" s="53">
        <f>DecisionYear+BuildC2</f>
        <v>7</v>
      </c>
      <c r="I27" s="35"/>
      <c r="J27" s="26" t="s">
        <v>261</v>
      </c>
      <c r="K27" s="35"/>
      <c r="L27" s="35"/>
      <c r="M27" s="35"/>
      <c r="N27" s="35"/>
      <c r="O27" s="35"/>
      <c r="P27" s="35"/>
      <c r="Q27" s="35"/>
      <c r="R27" s="35"/>
      <c r="S27" s="35"/>
      <c r="T27" s="35"/>
      <c r="U27" s="35"/>
      <c r="V27" s="35"/>
      <c r="W27" s="35"/>
      <c r="X27" s="35"/>
      <c r="Y27" s="35"/>
      <c r="Z27" s="35"/>
      <c r="AA27" s="35"/>
      <c r="AB27" s="35"/>
      <c r="AC27" s="35"/>
      <c r="AD27" s="35"/>
      <c r="AE27" s="35"/>
    </row>
    <row r="28" spans="2:31" x14ac:dyDescent="0.45">
      <c r="B28" s="25" t="s">
        <v>153</v>
      </c>
      <c r="C28" s="26" t="s">
        <v>143</v>
      </c>
      <c r="D28" s="35"/>
      <c r="E28" s="35"/>
      <c r="F28" s="43">
        <f>FirstOil_A</f>
        <v>3</v>
      </c>
      <c r="G28" s="43">
        <f ca="1">FO_B</f>
        <v>4</v>
      </c>
      <c r="H28" s="43">
        <f>FirstOil_A</f>
        <v>3</v>
      </c>
      <c r="I28" s="35"/>
      <c r="J28" s="26" t="s">
        <v>262</v>
      </c>
      <c r="K28" s="35"/>
      <c r="L28" s="35"/>
      <c r="M28" s="35"/>
      <c r="N28" s="35"/>
      <c r="O28" s="35"/>
      <c r="P28" s="35"/>
      <c r="Q28" s="35"/>
      <c r="R28" s="35"/>
      <c r="S28" s="35"/>
      <c r="T28" s="35"/>
      <c r="U28" s="35"/>
      <c r="V28" s="35"/>
      <c r="W28" s="35"/>
      <c r="X28" s="35"/>
      <c r="Y28" s="35"/>
      <c r="Z28" s="35"/>
      <c r="AA28" s="35"/>
      <c r="AB28" s="35"/>
      <c r="AC28" s="35"/>
      <c r="AD28" s="35"/>
      <c r="AE28" s="35"/>
    </row>
    <row r="29" spans="2:31" x14ac:dyDescent="0.45">
      <c r="B29" s="25" t="s">
        <v>263</v>
      </c>
      <c r="C29" s="26" t="s">
        <v>143</v>
      </c>
      <c r="D29" s="35"/>
      <c r="E29" s="35"/>
      <c r="F29" s="43">
        <f ca="1">HostEnd</f>
        <v>16</v>
      </c>
      <c r="G29" s="43">
        <f>LastYear</f>
        <v>25</v>
      </c>
      <c r="H29" s="43">
        <f ca="1">End_C</f>
        <v>24</v>
      </c>
      <c r="I29" s="35"/>
      <c r="J29" s="26" t="s">
        <v>264</v>
      </c>
      <c r="K29" s="35"/>
      <c r="L29" s="35"/>
      <c r="M29" s="35"/>
      <c r="N29" s="35"/>
      <c r="O29" s="35"/>
      <c r="P29" s="35"/>
      <c r="Q29" s="35"/>
      <c r="R29" s="35"/>
      <c r="S29" s="35"/>
      <c r="T29" s="35"/>
      <c r="U29" s="35"/>
      <c r="V29" s="35"/>
      <c r="W29" s="35"/>
      <c r="X29" s="35"/>
      <c r="Y29" s="35"/>
      <c r="Z29" s="35"/>
      <c r="AA29" s="35"/>
      <c r="AB29" s="35"/>
      <c r="AC29" s="35"/>
      <c r="AD29" s="35"/>
      <c r="AE29" s="35"/>
    </row>
    <row r="30" spans="2:31" x14ac:dyDescent="0.45">
      <c r="B30" s="25" t="s">
        <v>265</v>
      </c>
      <c r="C30" s="26" t="s">
        <v>125</v>
      </c>
      <c r="D30" s="35"/>
      <c r="E30" s="35"/>
      <c r="F30" s="30">
        <f>Var_A+Tariff_A</f>
        <v>13</v>
      </c>
      <c r="G30" s="30">
        <f>Var_B</f>
        <v>5</v>
      </c>
      <c r="H30" s="30">
        <f>Var_A+Tariff_A</f>
        <v>13</v>
      </c>
      <c r="I30" s="35"/>
      <c r="J30" s="26" t="s">
        <v>266</v>
      </c>
      <c r="K30" s="35"/>
      <c r="L30" s="35"/>
      <c r="M30" s="35"/>
      <c r="N30" s="35"/>
      <c r="O30" s="35"/>
      <c r="P30" s="35"/>
      <c r="Q30" s="35"/>
      <c r="R30" s="35"/>
      <c r="S30" s="35"/>
      <c r="T30" s="35"/>
      <c r="U30" s="35"/>
      <c r="V30" s="35"/>
      <c r="W30" s="35"/>
      <c r="X30" s="35"/>
      <c r="Y30" s="35"/>
      <c r="Z30" s="35"/>
      <c r="AA30" s="35"/>
      <c r="AB30" s="35"/>
      <c r="AC30" s="35"/>
      <c r="AD30" s="35"/>
      <c r="AE30" s="35"/>
    </row>
    <row r="31" spans="2:31" x14ac:dyDescent="0.45">
      <c r="B31" s="25" t="s">
        <v>159</v>
      </c>
      <c r="C31" s="26" t="s">
        <v>160</v>
      </c>
      <c r="D31" s="35"/>
      <c r="E31" s="35"/>
      <c r="F31" s="53">
        <f>Fixed_A</f>
        <v>40</v>
      </c>
      <c r="G31" s="53">
        <f>Fixed_B</f>
        <v>110</v>
      </c>
      <c r="H31" s="53">
        <f>Fixed_A</f>
        <v>40</v>
      </c>
      <c r="I31" s="35"/>
      <c r="J31" s="35"/>
      <c r="K31" s="35"/>
      <c r="L31" s="35"/>
      <c r="M31" s="35"/>
      <c r="N31" s="35"/>
      <c r="O31" s="35"/>
      <c r="P31" s="35"/>
      <c r="Q31" s="35"/>
      <c r="R31" s="35"/>
      <c r="S31" s="35"/>
      <c r="T31" s="35"/>
      <c r="U31" s="35"/>
      <c r="V31" s="35"/>
      <c r="W31" s="35"/>
      <c r="X31" s="35"/>
      <c r="Y31" s="35"/>
      <c r="Z31" s="35"/>
      <c r="AA31" s="35"/>
      <c r="AB31" s="35"/>
      <c r="AC31" s="35"/>
      <c r="AD31" s="35"/>
      <c r="AE31" s="35"/>
    </row>
    <row r="32" spans="2:31" x14ac:dyDescent="0.45">
      <c r="B32" s="25" t="s">
        <v>165</v>
      </c>
      <c r="C32" s="26" t="s">
        <v>148</v>
      </c>
      <c r="D32" s="35"/>
      <c r="E32" s="35"/>
      <c r="F32" s="53">
        <f>Aband_A</f>
        <v>80</v>
      </c>
      <c r="G32" s="53">
        <f>Aband_B</f>
        <v>250</v>
      </c>
      <c r="H32" s="53">
        <f>Aband_A</f>
        <v>80</v>
      </c>
      <c r="I32" s="35"/>
      <c r="J32" s="35"/>
      <c r="K32" s="35"/>
      <c r="L32" s="35"/>
      <c r="M32" s="35"/>
      <c r="N32" s="35"/>
      <c r="O32" s="35"/>
      <c r="P32" s="35"/>
      <c r="Q32" s="35"/>
      <c r="R32" s="35"/>
      <c r="S32" s="35"/>
      <c r="T32" s="35"/>
      <c r="U32" s="35"/>
      <c r="V32" s="35"/>
      <c r="W32" s="35"/>
      <c r="X32" s="35"/>
      <c r="Y32" s="35"/>
      <c r="Z32" s="35"/>
      <c r="AA32" s="35"/>
      <c r="AB32" s="35"/>
      <c r="AC32" s="35"/>
      <c r="AD32" s="35"/>
      <c r="AE32" s="35"/>
    </row>
    <row r="33" spans="2:31" ht="8" customHeight="1" x14ac:dyDescent="0.45"/>
    <row r="34" spans="2:31" ht="22.05" customHeight="1" x14ac:dyDescent="0.5">
      <c r="B34" s="7" t="s">
        <v>267</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2:31" ht="18" customHeight="1" x14ac:dyDescent="0.45">
      <c r="B35" s="13" t="s">
        <v>268</v>
      </c>
    </row>
    <row r="36" spans="2:31" x14ac:dyDescent="0.45">
      <c r="B36" s="25" t="s">
        <v>269</v>
      </c>
      <c r="C36" s="26" t="s">
        <v>125</v>
      </c>
      <c r="D36" s="35"/>
      <c r="E36" s="35"/>
      <c r="F36" s="30">
        <f>Price_Y0</f>
        <v>75</v>
      </c>
      <c r="G36" s="27">
        <f t="array" aca="1" ref="G36:AE36" ca="1">_xll.VoseTimeGBMVR(Price_LT,Price_Vol,Price_Alpha,Price_Y0)</f>
        <v>68.97731617326464</v>
      </c>
      <c r="H36" s="27">
        <f ca="1"/>
        <v>72.350940334634927</v>
      </c>
      <c r="I36" s="27">
        <f ca="1"/>
        <v>83.27060711268669</v>
      </c>
      <c r="J36" s="27">
        <f ca="1"/>
        <v>78.763247384930764</v>
      </c>
      <c r="K36" s="27">
        <f ca="1"/>
        <v>84.7159897525774</v>
      </c>
      <c r="L36" s="27">
        <f ca="1"/>
        <v>82.779089592817343</v>
      </c>
      <c r="M36" s="27">
        <f ca="1"/>
        <v>120.73776124741923</v>
      </c>
      <c r="N36" s="27">
        <f ca="1"/>
        <v>77.583756014917839</v>
      </c>
      <c r="O36" s="27">
        <f ca="1"/>
        <v>101.23447334624667</v>
      </c>
      <c r="P36" s="27">
        <f ca="1"/>
        <v>103.72802424786164</v>
      </c>
      <c r="Q36" s="27">
        <f ca="1"/>
        <v>91.084159724016317</v>
      </c>
      <c r="R36" s="27">
        <f ca="1"/>
        <v>66.02298397198858</v>
      </c>
      <c r="S36" s="27">
        <f ca="1"/>
        <v>72.385907112931307</v>
      </c>
      <c r="T36" s="27">
        <f ca="1"/>
        <v>75.372500775215542</v>
      </c>
      <c r="U36" s="27">
        <f ca="1"/>
        <v>54.708611107894185</v>
      </c>
      <c r="V36" s="27">
        <f ca="1"/>
        <v>77.601824203302186</v>
      </c>
      <c r="W36" s="27">
        <f ca="1"/>
        <v>75.810784686181862</v>
      </c>
      <c r="X36" s="27">
        <f ca="1"/>
        <v>98.149286194587532</v>
      </c>
      <c r="Y36" s="27">
        <f ca="1"/>
        <v>94.424580130625742</v>
      </c>
      <c r="Z36" s="27">
        <f ca="1"/>
        <v>68.350421378198064</v>
      </c>
      <c r="AA36" s="27">
        <f ca="1"/>
        <v>83.541291626389693</v>
      </c>
      <c r="AB36" s="27">
        <f ca="1"/>
        <v>89.144177301858875</v>
      </c>
      <c r="AC36" s="27">
        <f ca="1"/>
        <v>61.226569324694509</v>
      </c>
      <c r="AD36" s="27">
        <f ca="1"/>
        <v>58.054308711057125</v>
      </c>
      <c r="AE36" s="27">
        <f ca="1"/>
        <v>87.901853743574705</v>
      </c>
    </row>
    <row r="37" spans="2:31" x14ac:dyDescent="0.45">
      <c r="B37" s="25" t="s">
        <v>270</v>
      </c>
      <c r="C37" s="26"/>
      <c r="D37" s="35"/>
      <c r="E37" s="35"/>
      <c r="F37" s="52">
        <f t="shared" ref="F37:AE37" si="2">1/(1+DiscRate)^(F$6+0.5)</f>
        <v>0.95346258924559224</v>
      </c>
      <c r="G37" s="52">
        <f t="shared" si="2"/>
        <v>0.86678417204144742</v>
      </c>
      <c r="H37" s="52">
        <f t="shared" si="2"/>
        <v>0.78798561094677033</v>
      </c>
      <c r="I37" s="52">
        <f t="shared" si="2"/>
        <v>0.71635055540615489</v>
      </c>
      <c r="J37" s="52">
        <f t="shared" si="2"/>
        <v>0.65122777764195883</v>
      </c>
      <c r="K37" s="52">
        <f t="shared" si="2"/>
        <v>0.59202525240178083</v>
      </c>
      <c r="L37" s="52">
        <f t="shared" si="2"/>
        <v>0.53820477491070973</v>
      </c>
      <c r="M37" s="52">
        <f t="shared" si="2"/>
        <v>0.48927706810064514</v>
      </c>
      <c r="N37" s="52">
        <f t="shared" si="2"/>
        <v>0.44479733463695009</v>
      </c>
      <c r="O37" s="52">
        <f t="shared" si="2"/>
        <v>0.4043612133063183</v>
      </c>
      <c r="P37" s="52">
        <f t="shared" si="2"/>
        <v>0.36760110300574383</v>
      </c>
      <c r="Q37" s="52">
        <f t="shared" si="2"/>
        <v>0.33418282091431251</v>
      </c>
      <c r="R37" s="52">
        <f t="shared" si="2"/>
        <v>0.30380256446755688</v>
      </c>
      <c r="S37" s="52">
        <f t="shared" si="2"/>
        <v>0.27618414951596076</v>
      </c>
      <c r="T37" s="52">
        <f t="shared" si="2"/>
        <v>0.25107649955996431</v>
      </c>
      <c r="U37" s="52">
        <f t="shared" si="2"/>
        <v>0.22825136323633116</v>
      </c>
      <c r="V37" s="52">
        <f t="shared" si="2"/>
        <v>0.20750123930575562</v>
      </c>
      <c r="W37" s="52">
        <f t="shared" si="2"/>
        <v>0.18863749027795962</v>
      </c>
      <c r="X37" s="52">
        <f t="shared" si="2"/>
        <v>0.17148862752541782</v>
      </c>
      <c r="Y37" s="52">
        <f t="shared" si="2"/>
        <v>0.15589875229583436</v>
      </c>
      <c r="Z37" s="52">
        <f t="shared" si="2"/>
        <v>0.14172613845075852</v>
      </c>
      <c r="AA37" s="52">
        <f t="shared" si="2"/>
        <v>0.1288419440461441</v>
      </c>
      <c r="AB37" s="52">
        <f t="shared" si="2"/>
        <v>0.11712904004194918</v>
      </c>
      <c r="AC37" s="52">
        <f t="shared" si="2"/>
        <v>0.10648094549268106</v>
      </c>
      <c r="AD37" s="52">
        <f t="shared" si="2"/>
        <v>9.6800859538800965E-2</v>
      </c>
      <c r="AE37" s="52">
        <f t="shared" si="2"/>
        <v>8.8000781398909919E-2</v>
      </c>
    </row>
    <row r="38" spans="2:31" ht="8" customHeight="1" x14ac:dyDescent="0.45"/>
    <row r="39" spans="2:31" ht="22.05" customHeight="1" x14ac:dyDescent="0.5">
      <c r="B39" s="7" t="s">
        <v>271</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2:31" ht="18" customHeight="1" x14ac:dyDescent="0.45">
      <c r="B40" s="13" t="s">
        <v>272</v>
      </c>
    </row>
    <row r="41" spans="2:31" x14ac:dyDescent="0.45">
      <c r="B41" s="25" t="s">
        <v>273</v>
      </c>
      <c r="C41" s="26" t="s">
        <v>148</v>
      </c>
      <c r="D41" s="54">
        <f ca="1">SUM(F41:AE41)</f>
        <v>687.32935547459067</v>
      </c>
      <c r="E41" s="35"/>
      <c r="F41" s="53">
        <f t="shared" ref="F41:AE41" ca="1" si="3">SUMIF(PhaseA_Year,F$6,PhaseA_Share)*A_Capex*CapexFactor</f>
        <v>206.19880664237721</v>
      </c>
      <c r="G41" s="53">
        <f t="shared" ca="1" si="3"/>
        <v>274.93174218983626</v>
      </c>
      <c r="H41" s="53">
        <f t="shared" ca="1" si="3"/>
        <v>206.19880664237721</v>
      </c>
      <c r="I41" s="53">
        <f t="shared" ca="1" si="3"/>
        <v>0</v>
      </c>
      <c r="J41" s="53">
        <f t="shared" ca="1" si="3"/>
        <v>0</v>
      </c>
      <c r="K41" s="53">
        <f t="shared" ca="1" si="3"/>
        <v>0</v>
      </c>
      <c r="L41" s="53">
        <f t="shared" ca="1" si="3"/>
        <v>0</v>
      </c>
      <c r="M41" s="53">
        <f t="shared" ca="1" si="3"/>
        <v>0</v>
      </c>
      <c r="N41" s="53">
        <f t="shared" ca="1" si="3"/>
        <v>0</v>
      </c>
      <c r="O41" s="53">
        <f t="shared" ca="1" si="3"/>
        <v>0</v>
      </c>
      <c r="P41" s="53">
        <f t="shared" ca="1" si="3"/>
        <v>0</v>
      </c>
      <c r="Q41" s="53">
        <f t="shared" ca="1" si="3"/>
        <v>0</v>
      </c>
      <c r="R41" s="53">
        <f t="shared" ca="1" si="3"/>
        <v>0</v>
      </c>
      <c r="S41" s="53">
        <f t="shared" ca="1" si="3"/>
        <v>0</v>
      </c>
      <c r="T41" s="53">
        <f t="shared" ca="1" si="3"/>
        <v>0</v>
      </c>
      <c r="U41" s="53">
        <f t="shared" ca="1" si="3"/>
        <v>0</v>
      </c>
      <c r="V41" s="53">
        <f t="shared" ca="1" si="3"/>
        <v>0</v>
      </c>
      <c r="W41" s="53">
        <f t="shared" ca="1" si="3"/>
        <v>0</v>
      </c>
      <c r="X41" s="53">
        <f t="shared" ca="1" si="3"/>
        <v>0</v>
      </c>
      <c r="Y41" s="53">
        <f t="shared" ca="1" si="3"/>
        <v>0</v>
      </c>
      <c r="Z41" s="53">
        <f t="shared" ca="1" si="3"/>
        <v>0</v>
      </c>
      <c r="AA41" s="53">
        <f t="shared" ca="1" si="3"/>
        <v>0</v>
      </c>
      <c r="AB41" s="53">
        <f t="shared" ca="1" si="3"/>
        <v>0</v>
      </c>
      <c r="AC41" s="53">
        <f t="shared" ca="1" si="3"/>
        <v>0</v>
      </c>
      <c r="AD41" s="53">
        <f t="shared" ca="1" si="3"/>
        <v>0</v>
      </c>
      <c r="AE41" s="53">
        <f t="shared" ca="1" si="3"/>
        <v>0</v>
      </c>
    </row>
    <row r="42" spans="2:31" x14ac:dyDescent="0.45">
      <c r="B42" s="25" t="s">
        <v>274</v>
      </c>
      <c r="C42" s="26" t="s">
        <v>148</v>
      </c>
      <c r="D42" s="54">
        <f ca="1">SUM(F42:AE42)</f>
        <v>0</v>
      </c>
      <c r="E42" s="35"/>
      <c r="F42" s="53">
        <f t="shared" ref="F42:AE42" ca="1" si="4">SUMIF(PhaseC2_Year,F$6-DecisionYear,PhaseC2_Share)*A_Capex2*CapexFactor</f>
        <v>0</v>
      </c>
      <c r="G42" s="53">
        <f t="shared" ca="1" si="4"/>
        <v>0</v>
      </c>
      <c r="H42" s="53">
        <f t="shared" ca="1" si="4"/>
        <v>0</v>
      </c>
      <c r="I42" s="53">
        <f t="shared" ca="1" si="4"/>
        <v>0</v>
      </c>
      <c r="J42" s="53">
        <f t="shared" ca="1" si="4"/>
        <v>0</v>
      </c>
      <c r="K42" s="53">
        <f t="shared" ca="1" si="4"/>
        <v>0</v>
      </c>
      <c r="L42" s="53">
        <f t="shared" ca="1" si="4"/>
        <v>0</v>
      </c>
      <c r="M42" s="53">
        <f t="shared" ca="1" si="4"/>
        <v>0</v>
      </c>
      <c r="N42" s="53">
        <f t="shared" ca="1" si="4"/>
        <v>0</v>
      </c>
      <c r="O42" s="53">
        <f t="shared" ca="1" si="4"/>
        <v>0</v>
      </c>
      <c r="P42" s="53">
        <f t="shared" ca="1" si="4"/>
        <v>0</v>
      </c>
      <c r="Q42" s="53">
        <f t="shared" ca="1" si="4"/>
        <v>0</v>
      </c>
      <c r="R42" s="53">
        <f t="shared" ca="1" si="4"/>
        <v>0</v>
      </c>
      <c r="S42" s="53">
        <f t="shared" ca="1" si="4"/>
        <v>0</v>
      </c>
      <c r="T42" s="53">
        <f t="shared" ca="1" si="4"/>
        <v>0</v>
      </c>
      <c r="U42" s="53">
        <f t="shared" ca="1" si="4"/>
        <v>0</v>
      </c>
      <c r="V42" s="53">
        <f t="shared" ca="1" si="4"/>
        <v>0</v>
      </c>
      <c r="W42" s="53">
        <f t="shared" ca="1" si="4"/>
        <v>0</v>
      </c>
      <c r="X42" s="53">
        <f t="shared" ca="1" si="4"/>
        <v>0</v>
      </c>
      <c r="Y42" s="53">
        <f t="shared" ca="1" si="4"/>
        <v>0</v>
      </c>
      <c r="Z42" s="53">
        <f t="shared" ca="1" si="4"/>
        <v>0</v>
      </c>
      <c r="AA42" s="53">
        <f t="shared" ca="1" si="4"/>
        <v>0</v>
      </c>
      <c r="AB42" s="53">
        <f t="shared" ca="1" si="4"/>
        <v>0</v>
      </c>
      <c r="AC42" s="53">
        <f t="shared" ca="1" si="4"/>
        <v>0</v>
      </c>
      <c r="AD42" s="53">
        <f t="shared" ca="1" si="4"/>
        <v>0</v>
      </c>
      <c r="AE42" s="53">
        <f t="shared" ca="1" si="4"/>
        <v>0</v>
      </c>
    </row>
    <row r="43" spans="2:31" x14ac:dyDescent="0.45">
      <c r="B43" s="25" t="s">
        <v>275</v>
      </c>
      <c r="C43" s="26" t="s">
        <v>218</v>
      </c>
      <c r="D43" s="35"/>
      <c r="E43" s="35"/>
      <c r="F43" s="43">
        <f t="shared" ref="F43:AE43" ca="1" si="5">IF(AND(F$6&gt;=A_FirstOil,F$6&lt;=A_LastProd),1,0)</f>
        <v>0</v>
      </c>
      <c r="G43" s="43">
        <f t="shared" ca="1" si="5"/>
        <v>0</v>
      </c>
      <c r="H43" s="43">
        <f t="shared" ca="1" si="5"/>
        <v>0</v>
      </c>
      <c r="I43" s="43">
        <f t="shared" ca="1" si="5"/>
        <v>1</v>
      </c>
      <c r="J43" s="43">
        <f t="shared" ca="1" si="5"/>
        <v>1</v>
      </c>
      <c r="K43" s="43">
        <f t="shared" ca="1" si="5"/>
        <v>1</v>
      </c>
      <c r="L43" s="43">
        <f t="shared" ca="1" si="5"/>
        <v>1</v>
      </c>
      <c r="M43" s="43">
        <f t="shared" ca="1" si="5"/>
        <v>1</v>
      </c>
      <c r="N43" s="43">
        <f t="shared" ca="1" si="5"/>
        <v>1</v>
      </c>
      <c r="O43" s="43">
        <f t="shared" ca="1" si="5"/>
        <v>1</v>
      </c>
      <c r="P43" s="43">
        <f t="shared" ca="1" si="5"/>
        <v>1</v>
      </c>
      <c r="Q43" s="43">
        <f t="shared" ca="1" si="5"/>
        <v>1</v>
      </c>
      <c r="R43" s="43">
        <f t="shared" ca="1" si="5"/>
        <v>1</v>
      </c>
      <c r="S43" s="43">
        <f t="shared" ca="1" si="5"/>
        <v>1</v>
      </c>
      <c r="T43" s="43">
        <f t="shared" ca="1" si="5"/>
        <v>1</v>
      </c>
      <c r="U43" s="43">
        <f t="shared" ca="1" si="5"/>
        <v>1</v>
      </c>
      <c r="V43" s="43">
        <f t="shared" ca="1" si="5"/>
        <v>1</v>
      </c>
      <c r="W43" s="43">
        <f t="shared" ca="1" si="5"/>
        <v>0</v>
      </c>
      <c r="X43" s="43">
        <f t="shared" ca="1" si="5"/>
        <v>0</v>
      </c>
      <c r="Y43" s="43">
        <f t="shared" ca="1" si="5"/>
        <v>0</v>
      </c>
      <c r="Z43" s="43">
        <f t="shared" ca="1" si="5"/>
        <v>0</v>
      </c>
      <c r="AA43" s="43">
        <f t="shared" ca="1" si="5"/>
        <v>0</v>
      </c>
      <c r="AB43" s="43">
        <f t="shared" ca="1" si="5"/>
        <v>0</v>
      </c>
      <c r="AC43" s="43">
        <f t="shared" ca="1" si="5"/>
        <v>0</v>
      </c>
      <c r="AD43" s="43">
        <f t="shared" ca="1" si="5"/>
        <v>0</v>
      </c>
      <c r="AE43" s="43">
        <f t="shared" ca="1" si="5"/>
        <v>0</v>
      </c>
    </row>
    <row r="44" spans="2:31" x14ac:dyDescent="0.45">
      <c r="B44" s="25" t="s">
        <v>170</v>
      </c>
      <c r="C44" s="26" t="s">
        <v>151</v>
      </c>
      <c r="D44" s="35"/>
      <c r="E44" s="35"/>
      <c r="F44" s="53">
        <f t="shared" ref="F44:AE44" si="6">A_Cap+IF(F$6&gt;=A_Cap2From,A_Cap2,0)</f>
        <v>40</v>
      </c>
      <c r="G44" s="53">
        <f t="shared" si="6"/>
        <v>40</v>
      </c>
      <c r="H44" s="53">
        <f t="shared" si="6"/>
        <v>40</v>
      </c>
      <c r="I44" s="53">
        <f t="shared" si="6"/>
        <v>40</v>
      </c>
      <c r="J44" s="53">
        <f t="shared" si="6"/>
        <v>40</v>
      </c>
      <c r="K44" s="53">
        <f t="shared" si="6"/>
        <v>40</v>
      </c>
      <c r="L44" s="53">
        <f t="shared" si="6"/>
        <v>40</v>
      </c>
      <c r="M44" s="53">
        <f t="shared" si="6"/>
        <v>40</v>
      </c>
      <c r="N44" s="53">
        <f t="shared" si="6"/>
        <v>40</v>
      </c>
      <c r="O44" s="53">
        <f t="shared" si="6"/>
        <v>40</v>
      </c>
      <c r="P44" s="53">
        <f t="shared" si="6"/>
        <v>40</v>
      </c>
      <c r="Q44" s="53">
        <f t="shared" si="6"/>
        <v>40</v>
      </c>
      <c r="R44" s="53">
        <f t="shared" si="6"/>
        <v>40</v>
      </c>
      <c r="S44" s="53">
        <f t="shared" si="6"/>
        <v>40</v>
      </c>
      <c r="T44" s="53">
        <f t="shared" si="6"/>
        <v>40</v>
      </c>
      <c r="U44" s="53">
        <f t="shared" si="6"/>
        <v>40</v>
      </c>
      <c r="V44" s="53">
        <f t="shared" si="6"/>
        <v>40</v>
      </c>
      <c r="W44" s="53">
        <f t="shared" si="6"/>
        <v>40</v>
      </c>
      <c r="X44" s="53">
        <f t="shared" si="6"/>
        <v>40</v>
      </c>
      <c r="Y44" s="53">
        <f t="shared" si="6"/>
        <v>40</v>
      </c>
      <c r="Z44" s="53">
        <f t="shared" si="6"/>
        <v>40</v>
      </c>
      <c r="AA44" s="53">
        <f t="shared" si="6"/>
        <v>40</v>
      </c>
      <c r="AB44" s="53">
        <f t="shared" si="6"/>
        <v>40</v>
      </c>
      <c r="AC44" s="53">
        <f t="shared" si="6"/>
        <v>40</v>
      </c>
      <c r="AD44" s="53">
        <f t="shared" si="6"/>
        <v>40</v>
      </c>
      <c r="AE44" s="53">
        <f t="shared" si="6"/>
        <v>40</v>
      </c>
    </row>
    <row r="45" spans="2:31" x14ac:dyDescent="0.45">
      <c r="B45" s="25" t="s">
        <v>276</v>
      </c>
      <c r="C45" s="26" t="s">
        <v>107</v>
      </c>
      <c r="D45" s="35"/>
      <c r="E45" s="35"/>
      <c r="F45" s="30">
        <f t="shared" ref="F45:AE45" si="7">F44*MMbblPerKbd*Uptime*IF(F$6=A_FirstOil,FirstYearShare,1)</f>
        <v>13.432</v>
      </c>
      <c r="G45" s="30">
        <f t="shared" si="7"/>
        <v>13.432</v>
      </c>
      <c r="H45" s="30">
        <f t="shared" si="7"/>
        <v>13.432</v>
      </c>
      <c r="I45" s="30">
        <f t="shared" si="7"/>
        <v>6.7160000000000002</v>
      </c>
      <c r="J45" s="30">
        <f t="shared" si="7"/>
        <v>13.432</v>
      </c>
      <c r="K45" s="30">
        <f t="shared" si="7"/>
        <v>13.432</v>
      </c>
      <c r="L45" s="30">
        <f t="shared" si="7"/>
        <v>13.432</v>
      </c>
      <c r="M45" s="30">
        <f t="shared" si="7"/>
        <v>13.432</v>
      </c>
      <c r="N45" s="30">
        <f t="shared" si="7"/>
        <v>13.432</v>
      </c>
      <c r="O45" s="30">
        <f t="shared" si="7"/>
        <v>13.432</v>
      </c>
      <c r="P45" s="30">
        <f t="shared" si="7"/>
        <v>13.432</v>
      </c>
      <c r="Q45" s="30">
        <f t="shared" si="7"/>
        <v>13.432</v>
      </c>
      <c r="R45" s="30">
        <f t="shared" si="7"/>
        <v>13.432</v>
      </c>
      <c r="S45" s="30">
        <f t="shared" si="7"/>
        <v>13.432</v>
      </c>
      <c r="T45" s="30">
        <f t="shared" si="7"/>
        <v>13.432</v>
      </c>
      <c r="U45" s="30">
        <f t="shared" si="7"/>
        <v>13.432</v>
      </c>
      <c r="V45" s="30">
        <f t="shared" si="7"/>
        <v>13.432</v>
      </c>
      <c r="W45" s="30">
        <f t="shared" si="7"/>
        <v>13.432</v>
      </c>
      <c r="X45" s="30">
        <f t="shared" si="7"/>
        <v>13.432</v>
      </c>
      <c r="Y45" s="30">
        <f t="shared" si="7"/>
        <v>13.432</v>
      </c>
      <c r="Z45" s="30">
        <f t="shared" si="7"/>
        <v>13.432</v>
      </c>
      <c r="AA45" s="30">
        <f t="shared" si="7"/>
        <v>13.432</v>
      </c>
      <c r="AB45" s="30">
        <f t="shared" si="7"/>
        <v>13.432</v>
      </c>
      <c r="AC45" s="30">
        <f t="shared" si="7"/>
        <v>13.432</v>
      </c>
      <c r="AD45" s="30">
        <f t="shared" si="7"/>
        <v>13.432</v>
      </c>
      <c r="AE45" s="30">
        <f t="shared" si="7"/>
        <v>13.432</v>
      </c>
    </row>
    <row r="46" spans="2:31" x14ac:dyDescent="0.45">
      <c r="B46" s="25" t="s">
        <v>277</v>
      </c>
      <c r="C46" s="26" t="s">
        <v>107</v>
      </c>
      <c r="D46" s="35"/>
      <c r="E46" s="35"/>
      <c r="F46" s="30">
        <f t="shared" ref="F46:AE46" ca="1" si="8">Recoverable-E51</f>
        <v>133.9651572621101</v>
      </c>
      <c r="G46" s="30">
        <f t="shared" ca="1" si="8"/>
        <v>133.9651572621101</v>
      </c>
      <c r="H46" s="30">
        <f t="shared" ca="1" si="8"/>
        <v>133.9651572621101</v>
      </c>
      <c r="I46" s="30">
        <f t="shared" ca="1" si="8"/>
        <v>133.9651572621101</v>
      </c>
      <c r="J46" s="30">
        <f t="shared" ca="1" si="8"/>
        <v>127.2491572621101</v>
      </c>
      <c r="K46" s="30">
        <f t="shared" ca="1" si="8"/>
        <v>113.8171572621101</v>
      </c>
      <c r="L46" s="30">
        <f t="shared" ca="1" si="8"/>
        <v>100.3851572621101</v>
      </c>
      <c r="M46" s="30">
        <f t="shared" ca="1" si="8"/>
        <v>86.953157262110096</v>
      </c>
      <c r="N46" s="30">
        <f t="shared" ca="1" si="8"/>
        <v>73.521157262110094</v>
      </c>
      <c r="O46" s="30">
        <f t="shared" ca="1" si="8"/>
        <v>60.089157262110092</v>
      </c>
      <c r="P46" s="30">
        <f t="shared" ca="1" si="8"/>
        <v>46.65715726211009</v>
      </c>
      <c r="Q46" s="30">
        <f t="shared" ca="1" si="8"/>
        <v>35.921294695327504</v>
      </c>
      <c r="R46" s="30">
        <f t="shared" ca="1" si="8"/>
        <v>27.655765766862061</v>
      </c>
      <c r="S46" s="30">
        <f t="shared" ca="1" si="8"/>
        <v>21.29214402316704</v>
      </c>
      <c r="T46" s="30">
        <f t="shared" ca="1" si="8"/>
        <v>16.39279855510317</v>
      </c>
      <c r="U46" s="30">
        <f t="shared" ca="1" si="8"/>
        <v>12.620797801095364</v>
      </c>
      <c r="V46" s="30">
        <f t="shared" ca="1" si="8"/>
        <v>9.7167385178748162</v>
      </c>
      <c r="W46" s="30">
        <f t="shared" ca="1" si="8"/>
        <v>7.4809064302224897</v>
      </c>
      <c r="X46" s="30">
        <f t="shared" ca="1" si="8"/>
        <v>7.4809064302224897</v>
      </c>
      <c r="Y46" s="30">
        <f t="shared" ca="1" si="8"/>
        <v>7.4809064302224897</v>
      </c>
      <c r="Z46" s="30">
        <f t="shared" ca="1" si="8"/>
        <v>7.4809064302224897</v>
      </c>
      <c r="AA46" s="30">
        <f t="shared" ca="1" si="8"/>
        <v>7.4809064302224897</v>
      </c>
      <c r="AB46" s="30">
        <f t="shared" ca="1" si="8"/>
        <v>7.4809064302224897</v>
      </c>
      <c r="AC46" s="30">
        <f t="shared" ca="1" si="8"/>
        <v>7.4809064302224897</v>
      </c>
      <c r="AD46" s="30">
        <f t="shared" ca="1" si="8"/>
        <v>7.4809064302224897</v>
      </c>
      <c r="AE46" s="30">
        <f t="shared" ca="1" si="8"/>
        <v>7.4809064302224897</v>
      </c>
    </row>
    <row r="47" spans="2:31" x14ac:dyDescent="0.45">
      <c r="B47" s="25" t="s">
        <v>278</v>
      </c>
      <c r="C47" s="26" t="s">
        <v>107</v>
      </c>
      <c r="D47" s="35"/>
      <c r="E47" s="35"/>
      <c r="F47" s="55">
        <f t="shared" ref="F47:AE47" ca="1" si="9">F43*MIN(F45,Deliverability*F46)</f>
        <v>0</v>
      </c>
      <c r="G47" s="55">
        <f t="shared" ca="1" si="9"/>
        <v>0</v>
      </c>
      <c r="H47" s="55">
        <f t="shared" ca="1" si="9"/>
        <v>0</v>
      </c>
      <c r="I47" s="55">
        <f t="shared" ca="1" si="9"/>
        <v>6.7160000000000002</v>
      </c>
      <c r="J47" s="55">
        <f t="shared" ca="1" si="9"/>
        <v>13.432</v>
      </c>
      <c r="K47" s="55">
        <f t="shared" ca="1" si="9"/>
        <v>13.432</v>
      </c>
      <c r="L47" s="55">
        <f t="shared" ca="1" si="9"/>
        <v>13.432</v>
      </c>
      <c r="M47" s="55">
        <f t="shared" ca="1" si="9"/>
        <v>13.432</v>
      </c>
      <c r="N47" s="55">
        <f t="shared" ca="1" si="9"/>
        <v>13.432</v>
      </c>
      <c r="O47" s="55">
        <f t="shared" ca="1" si="9"/>
        <v>13.432</v>
      </c>
      <c r="P47" s="55">
        <f t="shared" ca="1" si="9"/>
        <v>10.735862566782586</v>
      </c>
      <c r="Q47" s="55">
        <f t="shared" ca="1" si="9"/>
        <v>8.265528928465443</v>
      </c>
      <c r="R47" s="55">
        <f t="shared" ca="1" si="9"/>
        <v>6.3636217436950187</v>
      </c>
      <c r="S47" s="55">
        <f t="shared" ca="1" si="9"/>
        <v>4.8993454680638759</v>
      </c>
      <c r="T47" s="55">
        <f t="shared" ca="1" si="9"/>
        <v>3.7720007540078009</v>
      </c>
      <c r="U47" s="55">
        <f t="shared" ca="1" si="9"/>
        <v>2.9040592832205454</v>
      </c>
      <c r="V47" s="55">
        <f t="shared" ca="1" si="9"/>
        <v>2.2358320876523319</v>
      </c>
      <c r="W47" s="55">
        <f t="shared" ca="1" si="9"/>
        <v>0</v>
      </c>
      <c r="X47" s="55">
        <f t="shared" ca="1" si="9"/>
        <v>0</v>
      </c>
      <c r="Y47" s="55">
        <f t="shared" ca="1" si="9"/>
        <v>0</v>
      </c>
      <c r="Z47" s="55">
        <f t="shared" ca="1" si="9"/>
        <v>0</v>
      </c>
      <c r="AA47" s="55">
        <f t="shared" ca="1" si="9"/>
        <v>0</v>
      </c>
      <c r="AB47" s="55">
        <f t="shared" ca="1" si="9"/>
        <v>0</v>
      </c>
      <c r="AC47" s="55">
        <f t="shared" ca="1" si="9"/>
        <v>0</v>
      </c>
      <c r="AD47" s="55">
        <f t="shared" ca="1" si="9"/>
        <v>0</v>
      </c>
      <c r="AE47" s="55">
        <f t="shared" ca="1" si="9"/>
        <v>0</v>
      </c>
    </row>
    <row r="48" spans="2:31" x14ac:dyDescent="0.45">
      <c r="B48" s="25" t="s">
        <v>279</v>
      </c>
      <c r="C48" s="26" t="s">
        <v>148</v>
      </c>
      <c r="D48" s="35"/>
      <c r="E48" s="35"/>
      <c r="F48" s="53">
        <f t="shared" ref="F48:AE48" ca="1" si="10">F47*(F36-A_CostBbl)-A_Fixed</f>
        <v>-40</v>
      </c>
      <c r="G48" s="53">
        <f t="shared" ca="1" si="10"/>
        <v>-40</v>
      </c>
      <c r="H48" s="53">
        <f t="shared" ca="1" si="10"/>
        <v>-40</v>
      </c>
      <c r="I48" s="53">
        <f t="shared" ca="1" si="10"/>
        <v>431.93739736880383</v>
      </c>
      <c r="J48" s="53">
        <f t="shared" ca="1" si="10"/>
        <v>843.33193887439006</v>
      </c>
      <c r="K48" s="53">
        <f t="shared" ca="1" si="10"/>
        <v>923.2891743566197</v>
      </c>
      <c r="L48" s="53">
        <f t="shared" ca="1" si="10"/>
        <v>897.2727314107226</v>
      </c>
      <c r="M48" s="53">
        <f t="shared" ca="1" si="10"/>
        <v>1407.133609075335</v>
      </c>
      <c r="N48" s="53">
        <f t="shared" ca="1" si="10"/>
        <v>827.48901079237646</v>
      </c>
      <c r="O48" s="53">
        <f t="shared" ca="1" si="10"/>
        <v>1145.1654459867852</v>
      </c>
      <c r="P48" s="53">
        <f t="shared" ca="1" si="10"/>
        <v>934.04359928076065</v>
      </c>
      <c r="Q48" s="53">
        <f t="shared" ca="1" si="10"/>
        <v>605.40688105377308</v>
      </c>
      <c r="R48" s="53">
        <f t="shared" ca="1" si="10"/>
        <v>297.41821371973901</v>
      </c>
      <c r="S48" s="53">
        <f t="shared" ca="1" si="10"/>
        <v>250.95207488060231</v>
      </c>
      <c r="T48" s="53">
        <f t="shared" ca="1" si="10"/>
        <v>195.26911995346518</v>
      </c>
      <c r="U48" s="53">
        <f t="shared" ca="1" si="10"/>
        <v>81.124279278115665</v>
      </c>
      <c r="V48" s="53">
        <f t="shared" ca="1" si="10"/>
        <v>104.43883147461807</v>
      </c>
      <c r="W48" s="53">
        <f t="shared" ca="1" si="10"/>
        <v>-40</v>
      </c>
      <c r="X48" s="53">
        <f t="shared" ca="1" si="10"/>
        <v>-40</v>
      </c>
      <c r="Y48" s="53">
        <f t="shared" ca="1" si="10"/>
        <v>-40</v>
      </c>
      <c r="Z48" s="53">
        <f t="shared" ca="1" si="10"/>
        <v>-40</v>
      </c>
      <c r="AA48" s="53">
        <f t="shared" ca="1" si="10"/>
        <v>-40</v>
      </c>
      <c r="AB48" s="53">
        <f t="shared" ca="1" si="10"/>
        <v>-40</v>
      </c>
      <c r="AC48" s="53">
        <f t="shared" ca="1" si="10"/>
        <v>-40</v>
      </c>
      <c r="AD48" s="53">
        <f t="shared" ca="1" si="10"/>
        <v>-40</v>
      </c>
      <c r="AE48" s="53">
        <f t="shared" ca="1" si="10"/>
        <v>-40</v>
      </c>
    </row>
    <row r="49" spans="2:31" x14ac:dyDescent="0.45">
      <c r="B49" s="25" t="s">
        <v>280</v>
      </c>
      <c r="C49" s="26" t="s">
        <v>218</v>
      </c>
      <c r="D49" s="56">
        <f ca="1">SUM(F49:AE49)</f>
        <v>14</v>
      </c>
      <c r="E49" s="57">
        <v>0</v>
      </c>
      <c r="F49" s="43">
        <f t="shared" ref="F49:AE49" ca="1" si="11">IF(AND(F43=1,OR(F$6=A_FirstOil,AND(E49=1,F48&gt;0))),1,0)</f>
        <v>0</v>
      </c>
      <c r="G49" s="43">
        <f t="shared" ca="1" si="11"/>
        <v>0</v>
      </c>
      <c r="H49" s="43">
        <f t="shared" ca="1" si="11"/>
        <v>0</v>
      </c>
      <c r="I49" s="43">
        <f t="shared" ca="1" si="11"/>
        <v>1</v>
      </c>
      <c r="J49" s="43">
        <f t="shared" ca="1" si="11"/>
        <v>1</v>
      </c>
      <c r="K49" s="43">
        <f t="shared" ca="1" si="11"/>
        <v>1</v>
      </c>
      <c r="L49" s="43">
        <f t="shared" ca="1" si="11"/>
        <v>1</v>
      </c>
      <c r="M49" s="43">
        <f t="shared" ca="1" si="11"/>
        <v>1</v>
      </c>
      <c r="N49" s="43">
        <f t="shared" ca="1" si="11"/>
        <v>1</v>
      </c>
      <c r="O49" s="43">
        <f t="shared" ca="1" si="11"/>
        <v>1</v>
      </c>
      <c r="P49" s="43">
        <f t="shared" ca="1" si="11"/>
        <v>1</v>
      </c>
      <c r="Q49" s="43">
        <f t="shared" ca="1" si="11"/>
        <v>1</v>
      </c>
      <c r="R49" s="43">
        <f t="shared" ca="1" si="11"/>
        <v>1</v>
      </c>
      <c r="S49" s="43">
        <f t="shared" ca="1" si="11"/>
        <v>1</v>
      </c>
      <c r="T49" s="43">
        <f t="shared" ca="1" si="11"/>
        <v>1</v>
      </c>
      <c r="U49" s="43">
        <f t="shared" ca="1" si="11"/>
        <v>1</v>
      </c>
      <c r="V49" s="43">
        <f t="shared" ca="1" si="11"/>
        <v>1</v>
      </c>
      <c r="W49" s="43">
        <f t="shared" ca="1" si="11"/>
        <v>0</v>
      </c>
      <c r="X49" s="43">
        <f t="shared" ca="1" si="11"/>
        <v>0</v>
      </c>
      <c r="Y49" s="43">
        <f t="shared" ca="1" si="11"/>
        <v>0</v>
      </c>
      <c r="Z49" s="43">
        <f t="shared" ca="1" si="11"/>
        <v>0</v>
      </c>
      <c r="AA49" s="43">
        <f t="shared" ca="1" si="11"/>
        <v>0</v>
      </c>
      <c r="AB49" s="43">
        <f t="shared" ca="1" si="11"/>
        <v>0</v>
      </c>
      <c r="AC49" s="43">
        <f t="shared" ca="1" si="11"/>
        <v>0</v>
      </c>
      <c r="AD49" s="43">
        <f t="shared" ca="1" si="11"/>
        <v>0</v>
      </c>
      <c r="AE49" s="43">
        <f t="shared" ca="1" si="11"/>
        <v>0</v>
      </c>
    </row>
    <row r="50" spans="2:31" x14ac:dyDescent="0.45">
      <c r="B50" s="25" t="s">
        <v>281</v>
      </c>
      <c r="C50" s="26" t="s">
        <v>107</v>
      </c>
      <c r="D50" s="58">
        <f ca="1">SUM(F50:AE50)</f>
        <v>126.48425083188761</v>
      </c>
      <c r="E50" s="35"/>
      <c r="F50" s="55">
        <f t="shared" ref="F50:AE50" ca="1" si="12">F47*F49</f>
        <v>0</v>
      </c>
      <c r="G50" s="55">
        <f t="shared" ca="1" si="12"/>
        <v>0</v>
      </c>
      <c r="H50" s="55">
        <f t="shared" ca="1" si="12"/>
        <v>0</v>
      </c>
      <c r="I50" s="55">
        <f t="shared" ca="1" si="12"/>
        <v>6.7160000000000002</v>
      </c>
      <c r="J50" s="55">
        <f t="shared" ca="1" si="12"/>
        <v>13.432</v>
      </c>
      <c r="K50" s="55">
        <f t="shared" ca="1" si="12"/>
        <v>13.432</v>
      </c>
      <c r="L50" s="55">
        <f t="shared" ca="1" si="12"/>
        <v>13.432</v>
      </c>
      <c r="M50" s="55">
        <f t="shared" ca="1" si="12"/>
        <v>13.432</v>
      </c>
      <c r="N50" s="55">
        <f t="shared" ca="1" si="12"/>
        <v>13.432</v>
      </c>
      <c r="O50" s="55">
        <f t="shared" ca="1" si="12"/>
        <v>13.432</v>
      </c>
      <c r="P50" s="55">
        <f t="shared" ca="1" si="12"/>
        <v>10.735862566782586</v>
      </c>
      <c r="Q50" s="55">
        <f t="shared" ca="1" si="12"/>
        <v>8.265528928465443</v>
      </c>
      <c r="R50" s="55">
        <f t="shared" ca="1" si="12"/>
        <v>6.3636217436950187</v>
      </c>
      <c r="S50" s="55">
        <f t="shared" ca="1" si="12"/>
        <v>4.8993454680638759</v>
      </c>
      <c r="T50" s="55">
        <f t="shared" ca="1" si="12"/>
        <v>3.7720007540078009</v>
      </c>
      <c r="U50" s="55">
        <f t="shared" ca="1" si="12"/>
        <v>2.9040592832205454</v>
      </c>
      <c r="V50" s="55">
        <f t="shared" ca="1" si="12"/>
        <v>2.2358320876523319</v>
      </c>
      <c r="W50" s="55">
        <f t="shared" ca="1" si="12"/>
        <v>0</v>
      </c>
      <c r="X50" s="55">
        <f t="shared" ca="1" si="12"/>
        <v>0</v>
      </c>
      <c r="Y50" s="55">
        <f t="shared" ca="1" si="12"/>
        <v>0</v>
      </c>
      <c r="Z50" s="55">
        <f t="shared" ca="1" si="12"/>
        <v>0</v>
      </c>
      <c r="AA50" s="55">
        <f t="shared" ca="1" si="12"/>
        <v>0</v>
      </c>
      <c r="AB50" s="55">
        <f t="shared" ca="1" si="12"/>
        <v>0</v>
      </c>
      <c r="AC50" s="55">
        <f t="shared" ca="1" si="12"/>
        <v>0</v>
      </c>
      <c r="AD50" s="55">
        <f t="shared" ca="1" si="12"/>
        <v>0</v>
      </c>
      <c r="AE50" s="55">
        <f t="shared" ca="1" si="12"/>
        <v>0</v>
      </c>
    </row>
    <row r="51" spans="2:31" x14ac:dyDescent="0.45">
      <c r="B51" s="25" t="s">
        <v>282</v>
      </c>
      <c r="C51" s="26" t="s">
        <v>107</v>
      </c>
      <c r="D51" s="35"/>
      <c r="E51" s="59">
        <v>0</v>
      </c>
      <c r="F51" s="30">
        <f t="shared" ref="F51:AE51" ca="1" si="13">E51+F50</f>
        <v>0</v>
      </c>
      <c r="G51" s="30">
        <f t="shared" ca="1" si="13"/>
        <v>0</v>
      </c>
      <c r="H51" s="30">
        <f t="shared" ca="1" si="13"/>
        <v>0</v>
      </c>
      <c r="I51" s="30">
        <f t="shared" ca="1" si="13"/>
        <v>6.7160000000000002</v>
      </c>
      <c r="J51" s="30">
        <f t="shared" ca="1" si="13"/>
        <v>20.148</v>
      </c>
      <c r="K51" s="30">
        <f t="shared" ca="1" si="13"/>
        <v>33.58</v>
      </c>
      <c r="L51" s="30">
        <f t="shared" ca="1" si="13"/>
        <v>47.012</v>
      </c>
      <c r="M51" s="30">
        <f t="shared" ca="1" si="13"/>
        <v>60.444000000000003</v>
      </c>
      <c r="N51" s="30">
        <f t="shared" ca="1" si="13"/>
        <v>73.876000000000005</v>
      </c>
      <c r="O51" s="30">
        <f t="shared" ca="1" si="13"/>
        <v>87.308000000000007</v>
      </c>
      <c r="P51" s="30">
        <f t="shared" ca="1" si="13"/>
        <v>98.043862566782593</v>
      </c>
      <c r="Q51" s="30">
        <f t="shared" ca="1" si="13"/>
        <v>106.30939149524804</v>
      </c>
      <c r="R51" s="30">
        <f t="shared" ca="1" si="13"/>
        <v>112.67301323894306</v>
      </c>
      <c r="S51" s="30">
        <f t="shared" ca="1" si="13"/>
        <v>117.57235870700693</v>
      </c>
      <c r="T51" s="30">
        <f t="shared" ca="1" si="13"/>
        <v>121.34435946101473</v>
      </c>
      <c r="U51" s="30">
        <f t="shared" ca="1" si="13"/>
        <v>124.24841874423528</v>
      </c>
      <c r="V51" s="30">
        <f t="shared" ca="1" si="13"/>
        <v>126.48425083188761</v>
      </c>
      <c r="W51" s="30">
        <f t="shared" ca="1" si="13"/>
        <v>126.48425083188761</v>
      </c>
      <c r="X51" s="30">
        <f t="shared" ca="1" si="13"/>
        <v>126.48425083188761</v>
      </c>
      <c r="Y51" s="30">
        <f t="shared" ca="1" si="13"/>
        <v>126.48425083188761</v>
      </c>
      <c r="Z51" s="30">
        <f t="shared" ca="1" si="13"/>
        <v>126.48425083188761</v>
      </c>
      <c r="AA51" s="30">
        <f t="shared" ca="1" si="13"/>
        <v>126.48425083188761</v>
      </c>
      <c r="AB51" s="30">
        <f t="shared" ca="1" si="13"/>
        <v>126.48425083188761</v>
      </c>
      <c r="AC51" s="30">
        <f t="shared" ca="1" si="13"/>
        <v>126.48425083188761</v>
      </c>
      <c r="AD51" s="30">
        <f t="shared" ca="1" si="13"/>
        <v>126.48425083188761</v>
      </c>
      <c r="AE51" s="30">
        <f t="shared" ca="1" si="13"/>
        <v>126.48425083188761</v>
      </c>
    </row>
    <row r="52" spans="2:31" x14ac:dyDescent="0.45">
      <c r="B52" s="25" t="s">
        <v>283</v>
      </c>
      <c r="C52" s="26" t="s">
        <v>148</v>
      </c>
      <c r="D52" s="54">
        <f t="shared" ref="D52:D57" ca="1" si="14">SUM(F52:AE52)</f>
        <v>11148.567568320646</v>
      </c>
      <c r="E52" s="35"/>
      <c r="F52" s="53">
        <f t="shared" ref="F52:AE52" ca="1" si="15">F50*F36</f>
        <v>0</v>
      </c>
      <c r="G52" s="53">
        <f t="shared" ca="1" si="15"/>
        <v>0</v>
      </c>
      <c r="H52" s="53">
        <f t="shared" ca="1" si="15"/>
        <v>0</v>
      </c>
      <c r="I52" s="53">
        <f t="shared" ca="1" si="15"/>
        <v>559.24539736880388</v>
      </c>
      <c r="J52" s="53">
        <f t="shared" ca="1" si="15"/>
        <v>1057.94793887439</v>
      </c>
      <c r="K52" s="53">
        <f t="shared" ca="1" si="15"/>
        <v>1137.9051743566197</v>
      </c>
      <c r="L52" s="53">
        <f t="shared" ca="1" si="15"/>
        <v>1111.8887314107226</v>
      </c>
      <c r="M52" s="53">
        <f t="shared" ca="1" si="15"/>
        <v>1621.7496090753352</v>
      </c>
      <c r="N52" s="53">
        <f t="shared" ca="1" si="15"/>
        <v>1042.1050107923763</v>
      </c>
      <c r="O52" s="53">
        <f t="shared" ca="1" si="15"/>
        <v>1359.7814459867855</v>
      </c>
      <c r="P52" s="53">
        <f t="shared" ca="1" si="15"/>
        <v>1113.6098126489342</v>
      </c>
      <c r="Q52" s="53">
        <f t="shared" ca="1" si="15"/>
        <v>752.85875712382381</v>
      </c>
      <c r="R52" s="53">
        <f t="shared" ca="1" si="15"/>
        <v>420.14529638777424</v>
      </c>
      <c r="S52" s="53">
        <f t="shared" ca="1" si="15"/>
        <v>354.64356596543269</v>
      </c>
      <c r="T52" s="53">
        <f t="shared" ca="1" si="15"/>
        <v>284.30512975556655</v>
      </c>
      <c r="U52" s="53">
        <f t="shared" ca="1" si="15"/>
        <v>158.87704995998277</v>
      </c>
      <c r="V52" s="53">
        <f t="shared" ca="1" si="15"/>
        <v>173.50464861409839</v>
      </c>
      <c r="W52" s="53">
        <f t="shared" ca="1" si="15"/>
        <v>0</v>
      </c>
      <c r="X52" s="53">
        <f t="shared" ca="1" si="15"/>
        <v>0</v>
      </c>
      <c r="Y52" s="53">
        <f t="shared" ca="1" si="15"/>
        <v>0</v>
      </c>
      <c r="Z52" s="53">
        <f t="shared" ca="1" si="15"/>
        <v>0</v>
      </c>
      <c r="AA52" s="53">
        <f t="shared" ca="1" si="15"/>
        <v>0</v>
      </c>
      <c r="AB52" s="53">
        <f t="shared" ca="1" si="15"/>
        <v>0</v>
      </c>
      <c r="AC52" s="53">
        <f t="shared" ca="1" si="15"/>
        <v>0</v>
      </c>
      <c r="AD52" s="53">
        <f t="shared" ca="1" si="15"/>
        <v>0</v>
      </c>
      <c r="AE52" s="53">
        <f t="shared" ca="1" si="15"/>
        <v>0</v>
      </c>
    </row>
    <row r="53" spans="2:31" x14ac:dyDescent="0.45">
      <c r="B53" s="25" t="s">
        <v>284</v>
      </c>
      <c r="C53" s="26" t="s">
        <v>148</v>
      </c>
      <c r="D53" s="54">
        <f t="shared" ca="1" si="14"/>
        <v>-2204.2952608145388</v>
      </c>
      <c r="E53" s="35"/>
      <c r="F53" s="53">
        <f t="shared" ref="F53:AE53" ca="1" si="16">-F49*(A_Fixed+A_CostBbl*F50)</f>
        <v>0</v>
      </c>
      <c r="G53" s="53">
        <f t="shared" ca="1" si="16"/>
        <v>0</v>
      </c>
      <c r="H53" s="53">
        <f t="shared" ca="1" si="16"/>
        <v>0</v>
      </c>
      <c r="I53" s="53">
        <f t="shared" ca="1" si="16"/>
        <v>-127.30800000000001</v>
      </c>
      <c r="J53" s="53">
        <f t="shared" ca="1" si="16"/>
        <v>-214.61600000000001</v>
      </c>
      <c r="K53" s="53">
        <f t="shared" ca="1" si="16"/>
        <v>-214.61600000000001</v>
      </c>
      <c r="L53" s="53">
        <f t="shared" ca="1" si="16"/>
        <v>-214.61600000000001</v>
      </c>
      <c r="M53" s="53">
        <f t="shared" ca="1" si="16"/>
        <v>-214.61600000000001</v>
      </c>
      <c r="N53" s="53">
        <f t="shared" ca="1" si="16"/>
        <v>-214.61600000000001</v>
      </c>
      <c r="O53" s="53">
        <f t="shared" ca="1" si="16"/>
        <v>-214.61600000000001</v>
      </c>
      <c r="P53" s="53">
        <f t="shared" ca="1" si="16"/>
        <v>-179.56621336817363</v>
      </c>
      <c r="Q53" s="53">
        <f t="shared" ca="1" si="16"/>
        <v>-147.45187607005076</v>
      </c>
      <c r="R53" s="53">
        <f t="shared" ca="1" si="16"/>
        <v>-122.72708266803524</v>
      </c>
      <c r="S53" s="53">
        <f t="shared" ca="1" si="16"/>
        <v>-103.69149108483039</v>
      </c>
      <c r="T53" s="53">
        <f t="shared" ca="1" si="16"/>
        <v>-89.036009802101404</v>
      </c>
      <c r="U53" s="53">
        <f t="shared" ca="1" si="16"/>
        <v>-77.752770681867091</v>
      </c>
      <c r="V53" s="53">
        <f t="shared" ca="1" si="16"/>
        <v>-69.065817139480316</v>
      </c>
      <c r="W53" s="53">
        <f t="shared" ca="1" si="16"/>
        <v>0</v>
      </c>
      <c r="X53" s="53">
        <f t="shared" ca="1" si="16"/>
        <v>0</v>
      </c>
      <c r="Y53" s="53">
        <f t="shared" ca="1" si="16"/>
        <v>0</v>
      </c>
      <c r="Z53" s="53">
        <f t="shared" ca="1" si="16"/>
        <v>0</v>
      </c>
      <c r="AA53" s="53">
        <f t="shared" ca="1" si="16"/>
        <v>0</v>
      </c>
      <c r="AB53" s="53">
        <f t="shared" ca="1" si="16"/>
        <v>0</v>
      </c>
      <c r="AC53" s="53">
        <f t="shared" ca="1" si="16"/>
        <v>0</v>
      </c>
      <c r="AD53" s="53">
        <f t="shared" ca="1" si="16"/>
        <v>0</v>
      </c>
      <c r="AE53" s="53">
        <f t="shared" ca="1" si="16"/>
        <v>0</v>
      </c>
    </row>
    <row r="54" spans="2:31" x14ac:dyDescent="0.45">
      <c r="B54" s="25" t="s">
        <v>285</v>
      </c>
      <c r="C54" s="26" t="s">
        <v>218</v>
      </c>
      <c r="D54" s="56">
        <f t="shared" ca="1" si="14"/>
        <v>1</v>
      </c>
      <c r="E54" s="35"/>
      <c r="F54" s="43">
        <f t="shared" ref="F54:AE54" ca="1" si="17">IF(OR(AND(E49=1,F49=0),AND(F$6=LastYear,F49=1)),1,0)</f>
        <v>0</v>
      </c>
      <c r="G54" s="43">
        <f t="shared" ca="1" si="17"/>
        <v>0</v>
      </c>
      <c r="H54" s="43">
        <f t="shared" ca="1" si="17"/>
        <v>0</v>
      </c>
      <c r="I54" s="43">
        <f t="shared" ca="1" si="17"/>
        <v>0</v>
      </c>
      <c r="J54" s="43">
        <f t="shared" ca="1" si="17"/>
        <v>0</v>
      </c>
      <c r="K54" s="43">
        <f t="shared" ca="1" si="17"/>
        <v>0</v>
      </c>
      <c r="L54" s="43">
        <f t="shared" ca="1" si="17"/>
        <v>0</v>
      </c>
      <c r="M54" s="43">
        <f t="shared" ca="1" si="17"/>
        <v>0</v>
      </c>
      <c r="N54" s="43">
        <f t="shared" ca="1" si="17"/>
        <v>0</v>
      </c>
      <c r="O54" s="43">
        <f t="shared" ca="1" si="17"/>
        <v>0</v>
      </c>
      <c r="P54" s="43">
        <f t="shared" ca="1" si="17"/>
        <v>0</v>
      </c>
      <c r="Q54" s="43">
        <f t="shared" ca="1" si="17"/>
        <v>0</v>
      </c>
      <c r="R54" s="43">
        <f t="shared" ca="1" si="17"/>
        <v>0</v>
      </c>
      <c r="S54" s="43">
        <f t="shared" ca="1" si="17"/>
        <v>0</v>
      </c>
      <c r="T54" s="43">
        <f t="shared" ca="1" si="17"/>
        <v>0</v>
      </c>
      <c r="U54" s="43">
        <f t="shared" ca="1" si="17"/>
        <v>0</v>
      </c>
      <c r="V54" s="43">
        <f t="shared" ca="1" si="17"/>
        <v>0</v>
      </c>
      <c r="W54" s="43">
        <f t="shared" ca="1" si="17"/>
        <v>1</v>
      </c>
      <c r="X54" s="43">
        <f t="shared" ca="1" si="17"/>
        <v>0</v>
      </c>
      <c r="Y54" s="43">
        <f t="shared" ca="1" si="17"/>
        <v>0</v>
      </c>
      <c r="Z54" s="43">
        <f t="shared" ca="1" si="17"/>
        <v>0</v>
      </c>
      <c r="AA54" s="43">
        <f t="shared" ca="1" si="17"/>
        <v>0</v>
      </c>
      <c r="AB54" s="43">
        <f t="shared" ca="1" si="17"/>
        <v>0</v>
      </c>
      <c r="AC54" s="43">
        <f t="shared" ca="1" si="17"/>
        <v>0</v>
      </c>
      <c r="AD54" s="43">
        <f t="shared" ca="1" si="17"/>
        <v>0</v>
      </c>
      <c r="AE54" s="43">
        <f t="shared" ca="1" si="17"/>
        <v>0</v>
      </c>
    </row>
    <row r="55" spans="2:31" x14ac:dyDescent="0.45">
      <c r="B55" s="25" t="s">
        <v>286</v>
      </c>
      <c r="C55" s="26" t="s">
        <v>148</v>
      </c>
      <c r="D55" s="54">
        <f t="shared" ca="1" si="14"/>
        <v>-80</v>
      </c>
      <c r="E55" s="35"/>
      <c r="F55" s="53">
        <f t="shared" ref="F55:AE55" ca="1" si="18">-F54*A_Aband</f>
        <v>0</v>
      </c>
      <c r="G55" s="53">
        <f t="shared" ca="1" si="18"/>
        <v>0</v>
      </c>
      <c r="H55" s="53">
        <f t="shared" ca="1" si="18"/>
        <v>0</v>
      </c>
      <c r="I55" s="53">
        <f t="shared" ca="1" si="18"/>
        <v>0</v>
      </c>
      <c r="J55" s="53">
        <f t="shared" ca="1" si="18"/>
        <v>0</v>
      </c>
      <c r="K55" s="53">
        <f t="shared" ca="1" si="18"/>
        <v>0</v>
      </c>
      <c r="L55" s="53">
        <f t="shared" ca="1" si="18"/>
        <v>0</v>
      </c>
      <c r="M55" s="53">
        <f t="shared" ca="1" si="18"/>
        <v>0</v>
      </c>
      <c r="N55" s="53">
        <f t="shared" ca="1" si="18"/>
        <v>0</v>
      </c>
      <c r="O55" s="53">
        <f t="shared" ca="1" si="18"/>
        <v>0</v>
      </c>
      <c r="P55" s="53">
        <f t="shared" ca="1" si="18"/>
        <v>0</v>
      </c>
      <c r="Q55" s="53">
        <f t="shared" ca="1" si="18"/>
        <v>0</v>
      </c>
      <c r="R55" s="53">
        <f t="shared" ca="1" si="18"/>
        <v>0</v>
      </c>
      <c r="S55" s="53">
        <f t="shared" ca="1" si="18"/>
        <v>0</v>
      </c>
      <c r="T55" s="53">
        <f t="shared" ca="1" si="18"/>
        <v>0</v>
      </c>
      <c r="U55" s="53">
        <f t="shared" ca="1" si="18"/>
        <v>0</v>
      </c>
      <c r="V55" s="53">
        <f t="shared" ca="1" si="18"/>
        <v>0</v>
      </c>
      <c r="W55" s="53">
        <f t="shared" ca="1" si="18"/>
        <v>-80</v>
      </c>
      <c r="X55" s="53">
        <f t="shared" ca="1" si="18"/>
        <v>0</v>
      </c>
      <c r="Y55" s="53">
        <f t="shared" ca="1" si="18"/>
        <v>0</v>
      </c>
      <c r="Z55" s="53">
        <f t="shared" ca="1" si="18"/>
        <v>0</v>
      </c>
      <c r="AA55" s="53">
        <f t="shared" ca="1" si="18"/>
        <v>0</v>
      </c>
      <c r="AB55" s="53">
        <f t="shared" ca="1" si="18"/>
        <v>0</v>
      </c>
      <c r="AC55" s="53">
        <f t="shared" ca="1" si="18"/>
        <v>0</v>
      </c>
      <c r="AD55" s="53">
        <f t="shared" ca="1" si="18"/>
        <v>0</v>
      </c>
      <c r="AE55" s="53">
        <f t="shared" ca="1" si="18"/>
        <v>0</v>
      </c>
    </row>
    <row r="56" spans="2:31" x14ac:dyDescent="0.45">
      <c r="B56" s="60" t="s">
        <v>287</v>
      </c>
      <c r="C56" s="61" t="s">
        <v>148</v>
      </c>
      <c r="D56" s="62">
        <f t="shared" ca="1" si="14"/>
        <v>8176.9429520315152</v>
      </c>
      <c r="E56" s="63"/>
      <c r="F56" s="62">
        <f t="shared" ref="F56:AE56" ca="1" si="19">F52+F53+F55-F41-F42</f>
        <v>-206.19880664237721</v>
      </c>
      <c r="G56" s="62">
        <f t="shared" ca="1" si="19"/>
        <v>-274.93174218983626</v>
      </c>
      <c r="H56" s="62">
        <f t="shared" ca="1" si="19"/>
        <v>-206.19880664237721</v>
      </c>
      <c r="I56" s="62">
        <f t="shared" ca="1" si="19"/>
        <v>431.93739736880389</v>
      </c>
      <c r="J56" s="62">
        <f t="shared" ca="1" si="19"/>
        <v>843.33193887439006</v>
      </c>
      <c r="K56" s="62">
        <f t="shared" ca="1" si="19"/>
        <v>923.2891743566197</v>
      </c>
      <c r="L56" s="62">
        <f t="shared" ca="1" si="19"/>
        <v>897.2727314107226</v>
      </c>
      <c r="M56" s="62">
        <f t="shared" ca="1" si="19"/>
        <v>1407.1336090753352</v>
      </c>
      <c r="N56" s="62">
        <f t="shared" ca="1" si="19"/>
        <v>827.48901079237635</v>
      </c>
      <c r="O56" s="62">
        <f t="shared" ca="1" si="19"/>
        <v>1145.1654459867855</v>
      </c>
      <c r="P56" s="62">
        <f t="shared" ca="1" si="19"/>
        <v>934.04359928076053</v>
      </c>
      <c r="Q56" s="62">
        <f t="shared" ca="1" si="19"/>
        <v>605.40688105377308</v>
      </c>
      <c r="R56" s="62">
        <f t="shared" ca="1" si="19"/>
        <v>297.41821371973901</v>
      </c>
      <c r="S56" s="62">
        <f t="shared" ca="1" si="19"/>
        <v>250.95207488060231</v>
      </c>
      <c r="T56" s="62">
        <f t="shared" ca="1" si="19"/>
        <v>195.26911995346515</v>
      </c>
      <c r="U56" s="62">
        <f t="shared" ca="1" si="19"/>
        <v>81.124279278115679</v>
      </c>
      <c r="V56" s="62">
        <f t="shared" ca="1" si="19"/>
        <v>104.43883147461807</v>
      </c>
      <c r="W56" s="62">
        <f t="shared" ca="1" si="19"/>
        <v>-80</v>
      </c>
      <c r="X56" s="62">
        <f t="shared" ca="1" si="19"/>
        <v>0</v>
      </c>
      <c r="Y56" s="62">
        <f t="shared" ca="1" si="19"/>
        <v>0</v>
      </c>
      <c r="Z56" s="62">
        <f t="shared" ca="1" si="19"/>
        <v>0</v>
      </c>
      <c r="AA56" s="62">
        <f t="shared" ca="1" si="19"/>
        <v>0</v>
      </c>
      <c r="AB56" s="62">
        <f t="shared" ca="1" si="19"/>
        <v>0</v>
      </c>
      <c r="AC56" s="62">
        <f t="shared" ca="1" si="19"/>
        <v>0</v>
      </c>
      <c r="AD56" s="62">
        <f t="shared" ca="1" si="19"/>
        <v>0</v>
      </c>
      <c r="AE56" s="62">
        <f t="shared" ca="1" si="19"/>
        <v>0</v>
      </c>
    </row>
    <row r="57" spans="2:31" x14ac:dyDescent="0.45">
      <c r="B57" s="25" t="s">
        <v>288</v>
      </c>
      <c r="C57" s="26" t="s">
        <v>148</v>
      </c>
      <c r="D57" s="54">
        <f t="shared" ca="1" si="14"/>
        <v>3589.8211731322581</v>
      </c>
      <c r="E57" s="35"/>
      <c r="F57" s="53">
        <f t="shared" ref="F57:AE57" ca="1" si="20">F56*F37</f>
        <v>-196.6028480805922</v>
      </c>
      <c r="G57" s="53">
        <f t="shared" ca="1" si="20"/>
        <v>-238.30648252192989</v>
      </c>
      <c r="H57" s="53">
        <f t="shared" ca="1" si="20"/>
        <v>-162.48169262858858</v>
      </c>
      <c r="I57" s="53">
        <f t="shared" ca="1" si="20"/>
        <v>309.41859450583166</v>
      </c>
      <c r="J57" s="53">
        <f t="shared" ca="1" si="20"/>
        <v>549.20118436765335</v>
      </c>
      <c r="K57" s="53">
        <f t="shared" ca="1" si="20"/>
        <v>546.61050648830962</v>
      </c>
      <c r="L57" s="53">
        <f t="shared" ca="1" si="20"/>
        <v>482.91646844242564</v>
      </c>
      <c r="M57" s="53">
        <f t="shared" ca="1" si="20"/>
        <v>688.47820667425935</v>
      </c>
      <c r="N57" s="53">
        <f t="shared" ca="1" si="20"/>
        <v>368.06490644181542</v>
      </c>
      <c r="O57" s="53">
        <f t="shared" ca="1" si="20"/>
        <v>463.06048917568768</v>
      </c>
      <c r="P57" s="53">
        <f t="shared" ca="1" si="20"/>
        <v>343.35545735106257</v>
      </c>
      <c r="Q57" s="53">
        <f t="shared" ca="1" si="20"/>
        <v>202.31657931148555</v>
      </c>
      <c r="R57" s="53">
        <f t="shared" ca="1" si="20"/>
        <v>90.356416047416616</v>
      </c>
      <c r="S57" s="53">
        <f t="shared" ca="1" si="20"/>
        <v>69.308985370164848</v>
      </c>
      <c r="T57" s="53">
        <f t="shared" ca="1" si="20"/>
        <v>49.027487110070808</v>
      </c>
      <c r="U57" s="53">
        <f t="shared" ca="1" si="20"/>
        <v>18.516727336794755</v>
      </c>
      <c r="V57" s="53">
        <f t="shared" ca="1" si="20"/>
        <v>21.671186962628205</v>
      </c>
      <c r="W57" s="53">
        <f t="shared" ca="1" si="20"/>
        <v>-15.090999222236769</v>
      </c>
      <c r="X57" s="53">
        <f t="shared" ca="1" si="20"/>
        <v>0</v>
      </c>
      <c r="Y57" s="53">
        <f t="shared" ca="1" si="20"/>
        <v>0</v>
      </c>
      <c r="Z57" s="53">
        <f t="shared" ca="1" si="20"/>
        <v>0</v>
      </c>
      <c r="AA57" s="53">
        <f t="shared" ca="1" si="20"/>
        <v>0</v>
      </c>
      <c r="AB57" s="53">
        <f t="shared" ca="1" si="20"/>
        <v>0</v>
      </c>
      <c r="AC57" s="53">
        <f t="shared" ca="1" si="20"/>
        <v>0</v>
      </c>
      <c r="AD57" s="53">
        <f t="shared" ca="1" si="20"/>
        <v>0</v>
      </c>
      <c r="AE57" s="53">
        <f t="shared" ca="1" si="20"/>
        <v>0</v>
      </c>
    </row>
    <row r="58" spans="2:31" ht="8" customHeight="1" x14ac:dyDescent="0.45"/>
    <row r="59" spans="2:31" ht="22.05" customHeight="1" x14ac:dyDescent="0.5">
      <c r="B59" s="7" t="s">
        <v>289</v>
      </c>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row>
    <row r="60" spans="2:31" ht="18" customHeight="1" x14ac:dyDescent="0.45">
      <c r="B60" s="13" t="s">
        <v>290</v>
      </c>
    </row>
    <row r="61" spans="2:31" x14ac:dyDescent="0.45">
      <c r="B61" s="25" t="s">
        <v>273</v>
      </c>
      <c r="C61" s="26" t="s">
        <v>148</v>
      </c>
      <c r="D61" s="54">
        <f ca="1">SUM(F61:AE61)</f>
        <v>1586.1446664798248</v>
      </c>
      <c r="E61" s="35"/>
      <c r="F61" s="53">
        <f t="shared" ref="F61:AE61" ca="1" si="21">SUMIF(PhaseB_YearNow,F$6,PhaseB_Share)*B_Capex*CapexFactor</f>
        <v>317.22893329596491</v>
      </c>
      <c r="G61" s="53">
        <f t="shared" ca="1" si="21"/>
        <v>555.15063326793859</v>
      </c>
      <c r="H61" s="53">
        <f t="shared" ca="1" si="21"/>
        <v>475.84339994394742</v>
      </c>
      <c r="I61" s="53">
        <f t="shared" ca="1" si="21"/>
        <v>237.92169997197371</v>
      </c>
      <c r="J61" s="53">
        <f t="shared" ca="1" si="21"/>
        <v>0</v>
      </c>
      <c r="K61" s="53">
        <f t="shared" ca="1" si="21"/>
        <v>0</v>
      </c>
      <c r="L61" s="53">
        <f t="shared" ca="1" si="21"/>
        <v>0</v>
      </c>
      <c r="M61" s="53">
        <f t="shared" ca="1" si="21"/>
        <v>0</v>
      </c>
      <c r="N61" s="53">
        <f t="shared" ca="1" si="21"/>
        <v>0</v>
      </c>
      <c r="O61" s="53">
        <f t="shared" ca="1" si="21"/>
        <v>0</v>
      </c>
      <c r="P61" s="53">
        <f t="shared" ca="1" si="21"/>
        <v>0</v>
      </c>
      <c r="Q61" s="53">
        <f t="shared" ca="1" si="21"/>
        <v>0</v>
      </c>
      <c r="R61" s="53">
        <f t="shared" ca="1" si="21"/>
        <v>0</v>
      </c>
      <c r="S61" s="53">
        <f t="shared" ca="1" si="21"/>
        <v>0</v>
      </c>
      <c r="T61" s="53">
        <f t="shared" ca="1" si="21"/>
        <v>0</v>
      </c>
      <c r="U61" s="53">
        <f t="shared" ca="1" si="21"/>
        <v>0</v>
      </c>
      <c r="V61" s="53">
        <f t="shared" ca="1" si="21"/>
        <v>0</v>
      </c>
      <c r="W61" s="53">
        <f t="shared" ca="1" si="21"/>
        <v>0</v>
      </c>
      <c r="X61" s="53">
        <f t="shared" ca="1" si="21"/>
        <v>0</v>
      </c>
      <c r="Y61" s="53">
        <f t="shared" ca="1" si="21"/>
        <v>0</v>
      </c>
      <c r="Z61" s="53">
        <f t="shared" ca="1" si="21"/>
        <v>0</v>
      </c>
      <c r="AA61" s="53">
        <f t="shared" ca="1" si="21"/>
        <v>0</v>
      </c>
      <c r="AB61" s="53">
        <f t="shared" ca="1" si="21"/>
        <v>0</v>
      </c>
      <c r="AC61" s="53">
        <f t="shared" ca="1" si="21"/>
        <v>0</v>
      </c>
      <c r="AD61" s="53">
        <f t="shared" ca="1" si="21"/>
        <v>0</v>
      </c>
      <c r="AE61" s="53">
        <f t="shared" ca="1" si="21"/>
        <v>0</v>
      </c>
    </row>
    <row r="62" spans="2:31" x14ac:dyDescent="0.45">
      <c r="B62" s="25" t="s">
        <v>274</v>
      </c>
      <c r="C62" s="26" t="s">
        <v>148</v>
      </c>
      <c r="D62" s="54">
        <f ca="1">SUM(F62:AE62)</f>
        <v>0</v>
      </c>
      <c r="E62" s="35"/>
      <c r="F62" s="53">
        <f t="shared" ref="F62:AE62" ca="1" si="22">SUMIF(PhaseC2_Year,F$6-DecisionYear,PhaseC2_Share)*B_Capex2*CapexFactor</f>
        <v>0</v>
      </c>
      <c r="G62" s="53">
        <f t="shared" ca="1" si="22"/>
        <v>0</v>
      </c>
      <c r="H62" s="53">
        <f t="shared" ca="1" si="22"/>
        <v>0</v>
      </c>
      <c r="I62" s="53">
        <f t="shared" ca="1" si="22"/>
        <v>0</v>
      </c>
      <c r="J62" s="53">
        <f t="shared" ca="1" si="22"/>
        <v>0</v>
      </c>
      <c r="K62" s="53">
        <f t="shared" ca="1" si="22"/>
        <v>0</v>
      </c>
      <c r="L62" s="53">
        <f t="shared" ca="1" si="22"/>
        <v>0</v>
      </c>
      <c r="M62" s="53">
        <f t="shared" ca="1" si="22"/>
        <v>0</v>
      </c>
      <c r="N62" s="53">
        <f t="shared" ca="1" si="22"/>
        <v>0</v>
      </c>
      <c r="O62" s="53">
        <f t="shared" ca="1" si="22"/>
        <v>0</v>
      </c>
      <c r="P62" s="53">
        <f t="shared" ca="1" si="22"/>
        <v>0</v>
      </c>
      <c r="Q62" s="53">
        <f t="shared" ca="1" si="22"/>
        <v>0</v>
      </c>
      <c r="R62" s="53">
        <f t="shared" ca="1" si="22"/>
        <v>0</v>
      </c>
      <c r="S62" s="53">
        <f t="shared" ca="1" si="22"/>
        <v>0</v>
      </c>
      <c r="T62" s="53">
        <f t="shared" ca="1" si="22"/>
        <v>0</v>
      </c>
      <c r="U62" s="53">
        <f t="shared" ca="1" si="22"/>
        <v>0</v>
      </c>
      <c r="V62" s="53">
        <f t="shared" ca="1" si="22"/>
        <v>0</v>
      </c>
      <c r="W62" s="53">
        <f t="shared" ca="1" si="22"/>
        <v>0</v>
      </c>
      <c r="X62" s="53">
        <f t="shared" ca="1" si="22"/>
        <v>0</v>
      </c>
      <c r="Y62" s="53">
        <f t="shared" ca="1" si="22"/>
        <v>0</v>
      </c>
      <c r="Z62" s="53">
        <f t="shared" ca="1" si="22"/>
        <v>0</v>
      </c>
      <c r="AA62" s="53">
        <f t="shared" ca="1" si="22"/>
        <v>0</v>
      </c>
      <c r="AB62" s="53">
        <f t="shared" ca="1" si="22"/>
        <v>0</v>
      </c>
      <c r="AC62" s="53">
        <f t="shared" ca="1" si="22"/>
        <v>0</v>
      </c>
      <c r="AD62" s="53">
        <f t="shared" ca="1" si="22"/>
        <v>0</v>
      </c>
      <c r="AE62" s="53">
        <f t="shared" ca="1" si="22"/>
        <v>0</v>
      </c>
    </row>
    <row r="63" spans="2:31" x14ac:dyDescent="0.45">
      <c r="B63" s="25" t="s">
        <v>275</v>
      </c>
      <c r="C63" s="26" t="s">
        <v>218</v>
      </c>
      <c r="D63" s="35"/>
      <c r="E63" s="35"/>
      <c r="F63" s="43">
        <f t="shared" ref="F63:AE63" ca="1" si="23">IF(AND(F$6&gt;=B_FirstOil,F$6&lt;=B_LastProd),1,0)</f>
        <v>0</v>
      </c>
      <c r="G63" s="43">
        <f t="shared" ca="1" si="23"/>
        <v>0</v>
      </c>
      <c r="H63" s="43">
        <f t="shared" ca="1" si="23"/>
        <v>0</v>
      </c>
      <c r="I63" s="43">
        <f t="shared" ca="1" si="23"/>
        <v>0</v>
      </c>
      <c r="J63" s="43">
        <f t="shared" ca="1" si="23"/>
        <v>1</v>
      </c>
      <c r="K63" s="43">
        <f t="shared" ca="1" si="23"/>
        <v>1</v>
      </c>
      <c r="L63" s="43">
        <f t="shared" ca="1" si="23"/>
        <v>1</v>
      </c>
      <c r="M63" s="43">
        <f t="shared" ca="1" si="23"/>
        <v>1</v>
      </c>
      <c r="N63" s="43">
        <f t="shared" ca="1" si="23"/>
        <v>1</v>
      </c>
      <c r="O63" s="43">
        <f t="shared" ca="1" si="23"/>
        <v>1</v>
      </c>
      <c r="P63" s="43">
        <f t="shared" ca="1" si="23"/>
        <v>1</v>
      </c>
      <c r="Q63" s="43">
        <f t="shared" ca="1" si="23"/>
        <v>1</v>
      </c>
      <c r="R63" s="43">
        <f t="shared" ca="1" si="23"/>
        <v>1</v>
      </c>
      <c r="S63" s="43">
        <f t="shared" ca="1" si="23"/>
        <v>1</v>
      </c>
      <c r="T63" s="43">
        <f t="shared" ca="1" si="23"/>
        <v>1</v>
      </c>
      <c r="U63" s="43">
        <f t="shared" ca="1" si="23"/>
        <v>1</v>
      </c>
      <c r="V63" s="43">
        <f t="shared" ca="1" si="23"/>
        <v>1</v>
      </c>
      <c r="W63" s="43">
        <f t="shared" ca="1" si="23"/>
        <v>1</v>
      </c>
      <c r="X63" s="43">
        <f t="shared" ca="1" si="23"/>
        <v>1</v>
      </c>
      <c r="Y63" s="43">
        <f t="shared" ca="1" si="23"/>
        <v>1</v>
      </c>
      <c r="Z63" s="43">
        <f t="shared" ca="1" si="23"/>
        <v>1</v>
      </c>
      <c r="AA63" s="43">
        <f t="shared" ca="1" si="23"/>
        <v>1</v>
      </c>
      <c r="AB63" s="43">
        <f t="shared" ca="1" si="23"/>
        <v>1</v>
      </c>
      <c r="AC63" s="43">
        <f t="shared" ca="1" si="23"/>
        <v>1</v>
      </c>
      <c r="AD63" s="43">
        <f t="shared" ca="1" si="23"/>
        <v>1</v>
      </c>
      <c r="AE63" s="43">
        <f t="shared" ca="1" si="23"/>
        <v>1</v>
      </c>
    </row>
    <row r="64" spans="2:31" x14ac:dyDescent="0.45">
      <c r="B64" s="25" t="s">
        <v>170</v>
      </c>
      <c r="C64" s="26" t="s">
        <v>151</v>
      </c>
      <c r="D64" s="35"/>
      <c r="E64" s="35"/>
      <c r="F64" s="53">
        <f t="shared" ref="F64:AE64" si="24">B_Cap+IF(F$6&gt;=B_Cap2From,B_Cap2,0)</f>
        <v>75</v>
      </c>
      <c r="G64" s="53">
        <f t="shared" si="24"/>
        <v>75</v>
      </c>
      <c r="H64" s="53">
        <f t="shared" si="24"/>
        <v>75</v>
      </c>
      <c r="I64" s="53">
        <f t="shared" si="24"/>
        <v>75</v>
      </c>
      <c r="J64" s="53">
        <f t="shared" si="24"/>
        <v>75</v>
      </c>
      <c r="K64" s="53">
        <f t="shared" si="24"/>
        <v>75</v>
      </c>
      <c r="L64" s="53">
        <f t="shared" si="24"/>
        <v>75</v>
      </c>
      <c r="M64" s="53">
        <f t="shared" si="24"/>
        <v>75</v>
      </c>
      <c r="N64" s="53">
        <f t="shared" si="24"/>
        <v>75</v>
      </c>
      <c r="O64" s="53">
        <f t="shared" si="24"/>
        <v>75</v>
      </c>
      <c r="P64" s="53">
        <f t="shared" si="24"/>
        <v>75</v>
      </c>
      <c r="Q64" s="53">
        <f t="shared" si="24"/>
        <v>75</v>
      </c>
      <c r="R64" s="53">
        <f t="shared" si="24"/>
        <v>75</v>
      </c>
      <c r="S64" s="53">
        <f t="shared" si="24"/>
        <v>75</v>
      </c>
      <c r="T64" s="53">
        <f t="shared" si="24"/>
        <v>75</v>
      </c>
      <c r="U64" s="53">
        <f t="shared" si="24"/>
        <v>75</v>
      </c>
      <c r="V64" s="53">
        <f t="shared" si="24"/>
        <v>75</v>
      </c>
      <c r="W64" s="53">
        <f t="shared" si="24"/>
        <v>75</v>
      </c>
      <c r="X64" s="53">
        <f t="shared" si="24"/>
        <v>75</v>
      </c>
      <c r="Y64" s="53">
        <f t="shared" si="24"/>
        <v>75</v>
      </c>
      <c r="Z64" s="53">
        <f t="shared" si="24"/>
        <v>75</v>
      </c>
      <c r="AA64" s="53">
        <f t="shared" si="24"/>
        <v>75</v>
      </c>
      <c r="AB64" s="53">
        <f t="shared" si="24"/>
        <v>75</v>
      </c>
      <c r="AC64" s="53">
        <f t="shared" si="24"/>
        <v>75</v>
      </c>
      <c r="AD64" s="53">
        <f t="shared" si="24"/>
        <v>75</v>
      </c>
      <c r="AE64" s="53">
        <f t="shared" si="24"/>
        <v>75</v>
      </c>
    </row>
    <row r="65" spans="2:31" x14ac:dyDescent="0.45">
      <c r="B65" s="25" t="s">
        <v>276</v>
      </c>
      <c r="C65" s="26" t="s">
        <v>107</v>
      </c>
      <c r="D65" s="35"/>
      <c r="E65" s="35"/>
      <c r="F65" s="30">
        <f t="shared" ref="F65:AE65" ca="1" si="25">F64*MMbblPerKbd*Uptime*IF(F$6=B_FirstOil,FirstYearShare,1)</f>
        <v>25.185000000000002</v>
      </c>
      <c r="G65" s="30">
        <f t="shared" ca="1" si="25"/>
        <v>25.185000000000002</v>
      </c>
      <c r="H65" s="30">
        <f t="shared" ca="1" si="25"/>
        <v>25.185000000000002</v>
      </c>
      <c r="I65" s="30">
        <f t="shared" ca="1" si="25"/>
        <v>25.185000000000002</v>
      </c>
      <c r="J65" s="30">
        <f t="shared" ca="1" si="25"/>
        <v>12.592500000000001</v>
      </c>
      <c r="K65" s="30">
        <f t="shared" ca="1" si="25"/>
        <v>25.185000000000002</v>
      </c>
      <c r="L65" s="30">
        <f t="shared" ca="1" si="25"/>
        <v>25.185000000000002</v>
      </c>
      <c r="M65" s="30">
        <f t="shared" ca="1" si="25"/>
        <v>25.185000000000002</v>
      </c>
      <c r="N65" s="30">
        <f t="shared" ca="1" si="25"/>
        <v>25.185000000000002</v>
      </c>
      <c r="O65" s="30">
        <f t="shared" ca="1" si="25"/>
        <v>25.185000000000002</v>
      </c>
      <c r="P65" s="30">
        <f t="shared" ca="1" si="25"/>
        <v>25.185000000000002</v>
      </c>
      <c r="Q65" s="30">
        <f t="shared" ca="1" si="25"/>
        <v>25.185000000000002</v>
      </c>
      <c r="R65" s="30">
        <f t="shared" ca="1" si="25"/>
        <v>25.185000000000002</v>
      </c>
      <c r="S65" s="30">
        <f t="shared" ca="1" si="25"/>
        <v>25.185000000000002</v>
      </c>
      <c r="T65" s="30">
        <f t="shared" ca="1" si="25"/>
        <v>25.185000000000002</v>
      </c>
      <c r="U65" s="30">
        <f t="shared" ca="1" si="25"/>
        <v>25.185000000000002</v>
      </c>
      <c r="V65" s="30">
        <f t="shared" ca="1" si="25"/>
        <v>25.185000000000002</v>
      </c>
      <c r="W65" s="30">
        <f t="shared" ca="1" si="25"/>
        <v>25.185000000000002</v>
      </c>
      <c r="X65" s="30">
        <f t="shared" ca="1" si="25"/>
        <v>25.185000000000002</v>
      </c>
      <c r="Y65" s="30">
        <f t="shared" ca="1" si="25"/>
        <v>25.185000000000002</v>
      </c>
      <c r="Z65" s="30">
        <f t="shared" ca="1" si="25"/>
        <v>25.185000000000002</v>
      </c>
      <c r="AA65" s="30">
        <f t="shared" ca="1" si="25"/>
        <v>25.185000000000002</v>
      </c>
      <c r="AB65" s="30">
        <f t="shared" ca="1" si="25"/>
        <v>25.185000000000002</v>
      </c>
      <c r="AC65" s="30">
        <f t="shared" ca="1" si="25"/>
        <v>25.185000000000002</v>
      </c>
      <c r="AD65" s="30">
        <f t="shared" ca="1" si="25"/>
        <v>25.185000000000002</v>
      </c>
      <c r="AE65" s="30">
        <f t="shared" ca="1" si="25"/>
        <v>25.185000000000002</v>
      </c>
    </row>
    <row r="66" spans="2:31" x14ac:dyDescent="0.45">
      <c r="B66" s="25" t="s">
        <v>277</v>
      </c>
      <c r="C66" s="26" t="s">
        <v>107</v>
      </c>
      <c r="D66" s="35"/>
      <c r="E66" s="35"/>
      <c r="F66" s="30">
        <f t="shared" ref="F66:AE66" ca="1" si="26">Recoverable-E71</f>
        <v>133.9651572621101</v>
      </c>
      <c r="G66" s="30">
        <f t="shared" ca="1" si="26"/>
        <v>133.9651572621101</v>
      </c>
      <c r="H66" s="30">
        <f t="shared" ca="1" si="26"/>
        <v>133.9651572621101</v>
      </c>
      <c r="I66" s="30">
        <f t="shared" ca="1" si="26"/>
        <v>133.9651572621101</v>
      </c>
      <c r="J66" s="30">
        <f t="shared" ca="1" si="26"/>
        <v>133.9651572621101</v>
      </c>
      <c r="K66" s="30">
        <f t="shared" ca="1" si="26"/>
        <v>121.3726572621101</v>
      </c>
      <c r="L66" s="30">
        <f t="shared" ca="1" si="26"/>
        <v>96.187657262110093</v>
      </c>
      <c r="M66" s="30">
        <f t="shared" ca="1" si="26"/>
        <v>74.054772843422768</v>
      </c>
      <c r="N66" s="30">
        <f t="shared" ca="1" si="26"/>
        <v>57.014689171052567</v>
      </c>
      <c r="O66" s="30">
        <f t="shared" ca="1" si="26"/>
        <v>43.895547261278935</v>
      </c>
      <c r="P66" s="30">
        <f t="shared" ca="1" si="26"/>
        <v>33.795134155452956</v>
      </c>
      <c r="Q66" s="30">
        <f t="shared" ca="1" si="26"/>
        <v>26.018837076728744</v>
      </c>
      <c r="R66" s="30">
        <f t="shared" ca="1" si="26"/>
        <v>20.03187440272734</v>
      </c>
      <c r="S66" s="30">
        <f t="shared" ca="1" si="26"/>
        <v>15.422518343279222</v>
      </c>
      <c r="T66" s="30">
        <f t="shared" ca="1" si="26"/>
        <v>11.873780119967222</v>
      </c>
      <c r="U66" s="30">
        <f t="shared" ca="1" si="26"/>
        <v>9.1416104166131618</v>
      </c>
      <c r="V66" s="30">
        <f t="shared" ca="1" si="26"/>
        <v>9.1416104166131618</v>
      </c>
      <c r="W66" s="30">
        <f t="shared" ca="1" si="26"/>
        <v>9.1416104166131618</v>
      </c>
      <c r="X66" s="30">
        <f t="shared" ca="1" si="26"/>
        <v>9.1416104166131618</v>
      </c>
      <c r="Y66" s="30">
        <f t="shared" ca="1" si="26"/>
        <v>9.1416104166131618</v>
      </c>
      <c r="Z66" s="30">
        <f t="shared" ca="1" si="26"/>
        <v>9.1416104166131618</v>
      </c>
      <c r="AA66" s="30">
        <f t="shared" ca="1" si="26"/>
        <v>9.1416104166131618</v>
      </c>
      <c r="AB66" s="30">
        <f t="shared" ca="1" si="26"/>
        <v>9.1416104166131618</v>
      </c>
      <c r="AC66" s="30">
        <f t="shared" ca="1" si="26"/>
        <v>9.1416104166131618</v>
      </c>
      <c r="AD66" s="30">
        <f t="shared" ca="1" si="26"/>
        <v>9.1416104166131618</v>
      </c>
      <c r="AE66" s="30">
        <f t="shared" ca="1" si="26"/>
        <v>9.1416104166131618</v>
      </c>
    </row>
    <row r="67" spans="2:31" x14ac:dyDescent="0.45">
      <c r="B67" s="25" t="s">
        <v>278</v>
      </c>
      <c r="C67" s="26" t="s">
        <v>107</v>
      </c>
      <c r="D67" s="35"/>
      <c r="E67" s="35"/>
      <c r="F67" s="55">
        <f t="shared" ref="F67:AE67" ca="1" si="27">F63*MIN(F65,Deliverability*F66)</f>
        <v>0</v>
      </c>
      <c r="G67" s="55">
        <f t="shared" ca="1" si="27"/>
        <v>0</v>
      </c>
      <c r="H67" s="55">
        <f t="shared" ca="1" si="27"/>
        <v>0</v>
      </c>
      <c r="I67" s="55">
        <f t="shared" ca="1" si="27"/>
        <v>0</v>
      </c>
      <c r="J67" s="55">
        <f t="shared" ca="1" si="27"/>
        <v>12.592500000000001</v>
      </c>
      <c r="K67" s="55">
        <f t="shared" ca="1" si="27"/>
        <v>25.185000000000002</v>
      </c>
      <c r="L67" s="55">
        <f t="shared" ca="1" si="27"/>
        <v>22.132884418687333</v>
      </c>
      <c r="M67" s="55">
        <f t="shared" ca="1" si="27"/>
        <v>17.040083672370187</v>
      </c>
      <c r="N67" s="55">
        <f t="shared" ca="1" si="27"/>
        <v>13.119141909773635</v>
      </c>
      <c r="O67" s="55">
        <f t="shared" ca="1" si="27"/>
        <v>10.100413105825977</v>
      </c>
      <c r="P67" s="55">
        <f t="shared" ca="1" si="27"/>
        <v>7.776297078724216</v>
      </c>
      <c r="Q67" s="55">
        <f t="shared" ca="1" si="27"/>
        <v>5.9869626740014112</v>
      </c>
      <c r="R67" s="55">
        <f t="shared" ca="1" si="27"/>
        <v>4.609356059448114</v>
      </c>
      <c r="S67" s="55">
        <f t="shared" ca="1" si="27"/>
        <v>3.5487382233120015</v>
      </c>
      <c r="T67" s="55">
        <f t="shared" ca="1" si="27"/>
        <v>2.7321697033540664</v>
      </c>
      <c r="U67" s="55">
        <f t="shared" ca="1" si="27"/>
        <v>2.1034944868261021</v>
      </c>
      <c r="V67" s="55">
        <f t="shared" ca="1" si="27"/>
        <v>2.1034944868261021</v>
      </c>
      <c r="W67" s="55">
        <f t="shared" ca="1" si="27"/>
        <v>2.1034944868261021</v>
      </c>
      <c r="X67" s="55">
        <f t="shared" ca="1" si="27"/>
        <v>2.1034944868261021</v>
      </c>
      <c r="Y67" s="55">
        <f t="shared" ca="1" si="27"/>
        <v>2.1034944868261021</v>
      </c>
      <c r="Z67" s="55">
        <f t="shared" ca="1" si="27"/>
        <v>2.1034944868261021</v>
      </c>
      <c r="AA67" s="55">
        <f t="shared" ca="1" si="27"/>
        <v>2.1034944868261021</v>
      </c>
      <c r="AB67" s="55">
        <f t="shared" ca="1" si="27"/>
        <v>2.1034944868261021</v>
      </c>
      <c r="AC67" s="55">
        <f t="shared" ca="1" si="27"/>
        <v>2.1034944868261021</v>
      </c>
      <c r="AD67" s="55">
        <f t="shared" ca="1" si="27"/>
        <v>2.1034944868261021</v>
      </c>
      <c r="AE67" s="55">
        <f t="shared" ca="1" si="27"/>
        <v>2.1034944868261021</v>
      </c>
    </row>
    <row r="68" spans="2:31" x14ac:dyDescent="0.45">
      <c r="B68" s="25" t="s">
        <v>279</v>
      </c>
      <c r="C68" s="26" t="s">
        <v>148</v>
      </c>
      <c r="D68" s="35"/>
      <c r="E68" s="35"/>
      <c r="F68" s="53">
        <f t="shared" ref="F68:AE68" ca="1" si="28">F67*(F36-B_CostBbl)-B_Fixed</f>
        <v>-110</v>
      </c>
      <c r="G68" s="53">
        <f t="shared" ca="1" si="28"/>
        <v>-110</v>
      </c>
      <c r="H68" s="53">
        <f t="shared" ca="1" si="28"/>
        <v>-110</v>
      </c>
      <c r="I68" s="53">
        <f t="shared" ca="1" si="28"/>
        <v>-110</v>
      </c>
      <c r="J68" s="53">
        <f t="shared" ca="1" si="28"/>
        <v>818.86369269474073</v>
      </c>
      <c r="K68" s="53">
        <f t="shared" ca="1" si="28"/>
        <v>1897.6472019186619</v>
      </c>
      <c r="L68" s="53">
        <f t="shared" ca="1" si="28"/>
        <v>1611.475600148553</v>
      </c>
      <c r="M68" s="53">
        <f t="shared" ca="1" si="28"/>
        <v>1862.1811357088275</v>
      </c>
      <c r="N68" s="53">
        <f t="shared" ca="1" si="28"/>
        <v>842.23659550409275</v>
      </c>
      <c r="O68" s="53">
        <f t="shared" ca="1" si="28"/>
        <v>862.00793581869061</v>
      </c>
      <c r="P68" s="53">
        <f t="shared" ca="1" si="28"/>
        <v>657.73844654686002</v>
      </c>
      <c r="Q68" s="53">
        <f t="shared" ca="1" si="28"/>
        <v>405.38265109046131</v>
      </c>
      <c r="R68" s="53">
        <f t="shared" ca="1" si="28"/>
        <v>171.27666093689072</v>
      </c>
      <c r="S68" s="53">
        <f t="shared" ca="1" si="28"/>
        <v>129.1349442842114</v>
      </c>
      <c r="T68" s="53">
        <f t="shared" ca="1" si="28"/>
        <v>82.269614567304444</v>
      </c>
      <c r="U68" s="53">
        <f t="shared" ca="1" si="28"/>
        <v>-5.4382105867618407</v>
      </c>
      <c r="V68" s="53">
        <f t="shared" ca="1" si="28"/>
        <v>42.717536945163999</v>
      </c>
      <c r="W68" s="53">
        <f t="shared" ca="1" si="28"/>
        <v>38.95009519521372</v>
      </c>
      <c r="X68" s="53">
        <f t="shared" ca="1" si="28"/>
        <v>85.939009962101608</v>
      </c>
      <c r="Y68" s="53">
        <f t="shared" ca="1" si="28"/>
        <v>78.104111291510236</v>
      </c>
      <c r="Z68" s="53">
        <f t="shared" ca="1" si="28"/>
        <v>23.257262107150069</v>
      </c>
      <c r="AA68" s="53">
        <f t="shared" ca="1" si="28"/>
        <v>55.211173924311822</v>
      </c>
      <c r="AB68" s="53">
        <f t="shared" ca="1" si="28"/>
        <v>66.996813052978183</v>
      </c>
      <c r="AC68" s="53">
        <f t="shared" ca="1" si="28"/>
        <v>8.2722785876405283</v>
      </c>
      <c r="AD68" s="53">
        <f t="shared" ca="1" si="28"/>
        <v>1.599445876078704</v>
      </c>
      <c r="AE68" s="53">
        <f t="shared" ca="1" si="28"/>
        <v>64.383592297273253</v>
      </c>
    </row>
    <row r="69" spans="2:31" x14ac:dyDescent="0.45">
      <c r="B69" s="25" t="s">
        <v>280</v>
      </c>
      <c r="C69" s="26" t="s">
        <v>218</v>
      </c>
      <c r="D69" s="56">
        <f ca="1">SUM(F69:AE69)</f>
        <v>11</v>
      </c>
      <c r="E69" s="57">
        <v>0</v>
      </c>
      <c r="F69" s="43">
        <f t="shared" ref="F69:AE69" ca="1" si="29">IF(AND(F63=1,OR(F$6=B_FirstOil,AND(E69=1,F68&gt;0))),1,0)</f>
        <v>0</v>
      </c>
      <c r="G69" s="43">
        <f t="shared" ca="1" si="29"/>
        <v>0</v>
      </c>
      <c r="H69" s="43">
        <f t="shared" ca="1" si="29"/>
        <v>0</v>
      </c>
      <c r="I69" s="43">
        <f t="shared" ca="1" si="29"/>
        <v>0</v>
      </c>
      <c r="J69" s="43">
        <f t="shared" ca="1" si="29"/>
        <v>1</v>
      </c>
      <c r="K69" s="43">
        <f t="shared" ca="1" si="29"/>
        <v>1</v>
      </c>
      <c r="L69" s="43">
        <f t="shared" ca="1" si="29"/>
        <v>1</v>
      </c>
      <c r="M69" s="43">
        <f t="shared" ca="1" si="29"/>
        <v>1</v>
      </c>
      <c r="N69" s="43">
        <f t="shared" ca="1" si="29"/>
        <v>1</v>
      </c>
      <c r="O69" s="43">
        <f t="shared" ca="1" si="29"/>
        <v>1</v>
      </c>
      <c r="P69" s="43">
        <f t="shared" ca="1" si="29"/>
        <v>1</v>
      </c>
      <c r="Q69" s="43">
        <f t="shared" ca="1" si="29"/>
        <v>1</v>
      </c>
      <c r="R69" s="43">
        <f t="shared" ca="1" si="29"/>
        <v>1</v>
      </c>
      <c r="S69" s="43">
        <f t="shared" ca="1" si="29"/>
        <v>1</v>
      </c>
      <c r="T69" s="43">
        <f t="shared" ca="1" si="29"/>
        <v>1</v>
      </c>
      <c r="U69" s="43">
        <f t="shared" ca="1" si="29"/>
        <v>0</v>
      </c>
      <c r="V69" s="43">
        <f t="shared" ca="1" si="29"/>
        <v>0</v>
      </c>
      <c r="W69" s="43">
        <f t="shared" ca="1" si="29"/>
        <v>0</v>
      </c>
      <c r="X69" s="43">
        <f t="shared" ca="1" si="29"/>
        <v>0</v>
      </c>
      <c r="Y69" s="43">
        <f t="shared" ca="1" si="29"/>
        <v>0</v>
      </c>
      <c r="Z69" s="43">
        <f t="shared" ca="1" si="29"/>
        <v>0</v>
      </c>
      <c r="AA69" s="43">
        <f t="shared" ca="1" si="29"/>
        <v>0</v>
      </c>
      <c r="AB69" s="43">
        <f t="shared" ca="1" si="29"/>
        <v>0</v>
      </c>
      <c r="AC69" s="43">
        <f t="shared" ca="1" si="29"/>
        <v>0</v>
      </c>
      <c r="AD69" s="43">
        <f t="shared" ca="1" si="29"/>
        <v>0</v>
      </c>
      <c r="AE69" s="43">
        <f t="shared" ca="1" si="29"/>
        <v>0</v>
      </c>
    </row>
    <row r="70" spans="2:31" x14ac:dyDescent="0.45">
      <c r="B70" s="25" t="s">
        <v>281</v>
      </c>
      <c r="C70" s="26" t="s">
        <v>107</v>
      </c>
      <c r="D70" s="58">
        <f ca="1">SUM(F70:AE70)</f>
        <v>124.82354684549694</v>
      </c>
      <c r="E70" s="35"/>
      <c r="F70" s="55">
        <f t="shared" ref="F70:AE70" ca="1" si="30">F67*F69</f>
        <v>0</v>
      </c>
      <c r="G70" s="55">
        <f t="shared" ca="1" si="30"/>
        <v>0</v>
      </c>
      <c r="H70" s="55">
        <f t="shared" ca="1" si="30"/>
        <v>0</v>
      </c>
      <c r="I70" s="55">
        <f t="shared" ca="1" si="30"/>
        <v>0</v>
      </c>
      <c r="J70" s="55">
        <f t="shared" ca="1" si="30"/>
        <v>12.592500000000001</v>
      </c>
      <c r="K70" s="55">
        <f t="shared" ca="1" si="30"/>
        <v>25.185000000000002</v>
      </c>
      <c r="L70" s="55">
        <f t="shared" ca="1" si="30"/>
        <v>22.132884418687333</v>
      </c>
      <c r="M70" s="55">
        <f t="shared" ca="1" si="30"/>
        <v>17.040083672370187</v>
      </c>
      <c r="N70" s="55">
        <f t="shared" ca="1" si="30"/>
        <v>13.119141909773635</v>
      </c>
      <c r="O70" s="55">
        <f t="shared" ca="1" si="30"/>
        <v>10.100413105825977</v>
      </c>
      <c r="P70" s="55">
        <f t="shared" ca="1" si="30"/>
        <v>7.776297078724216</v>
      </c>
      <c r="Q70" s="55">
        <f t="shared" ca="1" si="30"/>
        <v>5.9869626740014112</v>
      </c>
      <c r="R70" s="55">
        <f t="shared" ca="1" si="30"/>
        <v>4.609356059448114</v>
      </c>
      <c r="S70" s="55">
        <f t="shared" ca="1" si="30"/>
        <v>3.5487382233120015</v>
      </c>
      <c r="T70" s="55">
        <f t="shared" ca="1" si="30"/>
        <v>2.7321697033540664</v>
      </c>
      <c r="U70" s="55">
        <f t="shared" ca="1" si="30"/>
        <v>0</v>
      </c>
      <c r="V70" s="55">
        <f t="shared" ca="1" si="30"/>
        <v>0</v>
      </c>
      <c r="W70" s="55">
        <f t="shared" ca="1" si="30"/>
        <v>0</v>
      </c>
      <c r="X70" s="55">
        <f t="shared" ca="1" si="30"/>
        <v>0</v>
      </c>
      <c r="Y70" s="55">
        <f t="shared" ca="1" si="30"/>
        <v>0</v>
      </c>
      <c r="Z70" s="55">
        <f t="shared" ca="1" si="30"/>
        <v>0</v>
      </c>
      <c r="AA70" s="55">
        <f t="shared" ca="1" si="30"/>
        <v>0</v>
      </c>
      <c r="AB70" s="55">
        <f t="shared" ca="1" si="30"/>
        <v>0</v>
      </c>
      <c r="AC70" s="55">
        <f t="shared" ca="1" si="30"/>
        <v>0</v>
      </c>
      <c r="AD70" s="55">
        <f t="shared" ca="1" si="30"/>
        <v>0</v>
      </c>
      <c r="AE70" s="55">
        <f t="shared" ca="1" si="30"/>
        <v>0</v>
      </c>
    </row>
    <row r="71" spans="2:31" x14ac:dyDescent="0.45">
      <c r="B71" s="25" t="s">
        <v>282</v>
      </c>
      <c r="C71" s="26" t="s">
        <v>107</v>
      </c>
      <c r="D71" s="35"/>
      <c r="E71" s="59">
        <v>0</v>
      </c>
      <c r="F71" s="30">
        <f t="shared" ref="F71:AE71" ca="1" si="31">E71+F70</f>
        <v>0</v>
      </c>
      <c r="G71" s="30">
        <f t="shared" ca="1" si="31"/>
        <v>0</v>
      </c>
      <c r="H71" s="30">
        <f t="shared" ca="1" si="31"/>
        <v>0</v>
      </c>
      <c r="I71" s="30">
        <f t="shared" ca="1" si="31"/>
        <v>0</v>
      </c>
      <c r="J71" s="30">
        <f t="shared" ca="1" si="31"/>
        <v>12.592500000000001</v>
      </c>
      <c r="K71" s="30">
        <f t="shared" ca="1" si="31"/>
        <v>37.777500000000003</v>
      </c>
      <c r="L71" s="30">
        <f t="shared" ca="1" si="31"/>
        <v>59.910384418687336</v>
      </c>
      <c r="M71" s="30">
        <f t="shared" ca="1" si="31"/>
        <v>76.95046809105753</v>
      </c>
      <c r="N71" s="30">
        <f t="shared" ca="1" si="31"/>
        <v>90.069610000831162</v>
      </c>
      <c r="O71" s="30">
        <f t="shared" ca="1" si="31"/>
        <v>100.17002310665714</v>
      </c>
      <c r="P71" s="30">
        <f t="shared" ca="1" si="31"/>
        <v>107.94632018538135</v>
      </c>
      <c r="Q71" s="30">
        <f t="shared" ca="1" si="31"/>
        <v>113.93328285938276</v>
      </c>
      <c r="R71" s="30">
        <f t="shared" ca="1" si="31"/>
        <v>118.54263891883087</v>
      </c>
      <c r="S71" s="30">
        <f t="shared" ca="1" si="31"/>
        <v>122.09137714214287</v>
      </c>
      <c r="T71" s="30">
        <f t="shared" ca="1" si="31"/>
        <v>124.82354684549694</v>
      </c>
      <c r="U71" s="30">
        <f t="shared" ca="1" si="31"/>
        <v>124.82354684549694</v>
      </c>
      <c r="V71" s="30">
        <f t="shared" ca="1" si="31"/>
        <v>124.82354684549694</v>
      </c>
      <c r="W71" s="30">
        <f t="shared" ca="1" si="31"/>
        <v>124.82354684549694</v>
      </c>
      <c r="X71" s="30">
        <f t="shared" ca="1" si="31"/>
        <v>124.82354684549694</v>
      </c>
      <c r="Y71" s="30">
        <f t="shared" ca="1" si="31"/>
        <v>124.82354684549694</v>
      </c>
      <c r="Z71" s="30">
        <f t="shared" ca="1" si="31"/>
        <v>124.82354684549694</v>
      </c>
      <c r="AA71" s="30">
        <f t="shared" ca="1" si="31"/>
        <v>124.82354684549694</v>
      </c>
      <c r="AB71" s="30">
        <f t="shared" ca="1" si="31"/>
        <v>124.82354684549694</v>
      </c>
      <c r="AC71" s="30">
        <f t="shared" ca="1" si="31"/>
        <v>124.82354684549694</v>
      </c>
      <c r="AD71" s="30">
        <f t="shared" ca="1" si="31"/>
        <v>124.82354684549694</v>
      </c>
      <c r="AE71" s="30">
        <f t="shared" ca="1" si="31"/>
        <v>124.82354684549694</v>
      </c>
    </row>
    <row r="72" spans="2:31" x14ac:dyDescent="0.45">
      <c r="B72" s="25" t="s">
        <v>283</v>
      </c>
      <c r="C72" s="26" t="s">
        <v>148</v>
      </c>
      <c r="D72" s="54">
        <f t="shared" ref="D72:D77" ca="1" si="32">SUM(F72:AE72)</f>
        <v>11174.332213446778</v>
      </c>
      <c r="E72" s="35"/>
      <c r="F72" s="53">
        <f t="shared" ref="F72:AE72" ca="1" si="33">F70*F36</f>
        <v>0</v>
      </c>
      <c r="G72" s="53">
        <f t="shared" ca="1" si="33"/>
        <v>0</v>
      </c>
      <c r="H72" s="53">
        <f t="shared" ca="1" si="33"/>
        <v>0</v>
      </c>
      <c r="I72" s="53">
        <f t="shared" ca="1" si="33"/>
        <v>0</v>
      </c>
      <c r="J72" s="53">
        <f t="shared" ca="1" si="33"/>
        <v>991.82619269474071</v>
      </c>
      <c r="K72" s="53">
        <f t="shared" ca="1" si="33"/>
        <v>2133.5722019186619</v>
      </c>
      <c r="L72" s="53">
        <f t="shared" ca="1" si="33"/>
        <v>1832.1400222419898</v>
      </c>
      <c r="M72" s="53">
        <f t="shared" ca="1" si="33"/>
        <v>2057.3815540706782</v>
      </c>
      <c r="N72" s="53">
        <f t="shared" ca="1" si="33"/>
        <v>1017.8323050529609</v>
      </c>
      <c r="O72" s="53">
        <f t="shared" ca="1" si="33"/>
        <v>1022.5100013478204</v>
      </c>
      <c r="P72" s="53">
        <f t="shared" ca="1" si="33"/>
        <v>806.61993194048114</v>
      </c>
      <c r="Q72" s="53">
        <f t="shared" ca="1" si="33"/>
        <v>545.31746446046839</v>
      </c>
      <c r="R72" s="53">
        <f t="shared" ca="1" si="33"/>
        <v>304.32344123413128</v>
      </c>
      <c r="S72" s="53">
        <f t="shared" ca="1" si="33"/>
        <v>256.87863540077143</v>
      </c>
      <c r="T72" s="53">
        <f t="shared" ca="1" si="33"/>
        <v>205.93046308407477</v>
      </c>
      <c r="U72" s="53">
        <f t="shared" ca="1" si="33"/>
        <v>0</v>
      </c>
      <c r="V72" s="53">
        <f t="shared" ca="1" si="33"/>
        <v>0</v>
      </c>
      <c r="W72" s="53">
        <f t="shared" ca="1" si="33"/>
        <v>0</v>
      </c>
      <c r="X72" s="53">
        <f t="shared" ca="1" si="33"/>
        <v>0</v>
      </c>
      <c r="Y72" s="53">
        <f t="shared" ca="1" si="33"/>
        <v>0</v>
      </c>
      <c r="Z72" s="53">
        <f t="shared" ca="1" si="33"/>
        <v>0</v>
      </c>
      <c r="AA72" s="53">
        <f t="shared" ca="1" si="33"/>
        <v>0</v>
      </c>
      <c r="AB72" s="53">
        <f t="shared" ca="1" si="33"/>
        <v>0</v>
      </c>
      <c r="AC72" s="53">
        <f t="shared" ca="1" si="33"/>
        <v>0</v>
      </c>
      <c r="AD72" s="53">
        <f t="shared" ca="1" si="33"/>
        <v>0</v>
      </c>
      <c r="AE72" s="53">
        <f t="shared" ca="1" si="33"/>
        <v>0</v>
      </c>
    </row>
    <row r="73" spans="2:31" x14ac:dyDescent="0.45">
      <c r="B73" s="25" t="s">
        <v>284</v>
      </c>
      <c r="C73" s="26" t="s">
        <v>148</v>
      </c>
      <c r="D73" s="54">
        <f t="shared" ca="1" si="32"/>
        <v>-1834.1177342274846</v>
      </c>
      <c r="E73" s="35"/>
      <c r="F73" s="53">
        <f t="shared" ref="F73:AE73" ca="1" si="34">-F69*(B_Fixed+B_CostBbl*F70)</f>
        <v>0</v>
      </c>
      <c r="G73" s="53">
        <f t="shared" ca="1" si="34"/>
        <v>0</v>
      </c>
      <c r="H73" s="53">
        <f t="shared" ca="1" si="34"/>
        <v>0</v>
      </c>
      <c r="I73" s="53">
        <f t="shared" ca="1" si="34"/>
        <v>0</v>
      </c>
      <c r="J73" s="53">
        <f t="shared" ca="1" si="34"/>
        <v>-172.96250000000001</v>
      </c>
      <c r="K73" s="53">
        <f t="shared" ca="1" si="34"/>
        <v>-235.92500000000001</v>
      </c>
      <c r="L73" s="53">
        <f t="shared" ca="1" si="34"/>
        <v>-220.66442209343666</v>
      </c>
      <c r="M73" s="53">
        <f t="shared" ca="1" si="34"/>
        <v>-195.20041836185095</v>
      </c>
      <c r="N73" s="53">
        <f t="shared" ca="1" si="34"/>
        <v>-175.59570954886817</v>
      </c>
      <c r="O73" s="53">
        <f t="shared" ca="1" si="34"/>
        <v>-160.50206552912988</v>
      </c>
      <c r="P73" s="53">
        <f t="shared" ca="1" si="34"/>
        <v>-148.88148539362106</v>
      </c>
      <c r="Q73" s="53">
        <f t="shared" ca="1" si="34"/>
        <v>-139.93481337000705</v>
      </c>
      <c r="R73" s="53">
        <f t="shared" ca="1" si="34"/>
        <v>-133.04678029724056</v>
      </c>
      <c r="S73" s="53">
        <f t="shared" ca="1" si="34"/>
        <v>-127.74369111656</v>
      </c>
      <c r="T73" s="53">
        <f t="shared" ca="1" si="34"/>
        <v>-123.66084851677033</v>
      </c>
      <c r="U73" s="53">
        <f t="shared" ca="1" si="34"/>
        <v>0</v>
      </c>
      <c r="V73" s="53">
        <f t="shared" ca="1" si="34"/>
        <v>0</v>
      </c>
      <c r="W73" s="53">
        <f t="shared" ca="1" si="34"/>
        <v>0</v>
      </c>
      <c r="X73" s="53">
        <f t="shared" ca="1" si="34"/>
        <v>0</v>
      </c>
      <c r="Y73" s="53">
        <f t="shared" ca="1" si="34"/>
        <v>0</v>
      </c>
      <c r="Z73" s="53">
        <f t="shared" ca="1" si="34"/>
        <v>0</v>
      </c>
      <c r="AA73" s="53">
        <f t="shared" ca="1" si="34"/>
        <v>0</v>
      </c>
      <c r="AB73" s="53">
        <f t="shared" ca="1" si="34"/>
        <v>0</v>
      </c>
      <c r="AC73" s="53">
        <f t="shared" ca="1" si="34"/>
        <v>0</v>
      </c>
      <c r="AD73" s="53">
        <f t="shared" ca="1" si="34"/>
        <v>0</v>
      </c>
      <c r="AE73" s="53">
        <f t="shared" ca="1" si="34"/>
        <v>0</v>
      </c>
    </row>
    <row r="74" spans="2:31" x14ac:dyDescent="0.45">
      <c r="B74" s="25" t="s">
        <v>285</v>
      </c>
      <c r="C74" s="26" t="s">
        <v>218</v>
      </c>
      <c r="D74" s="56">
        <f t="shared" ca="1" si="32"/>
        <v>1</v>
      </c>
      <c r="E74" s="35"/>
      <c r="F74" s="43">
        <f t="shared" ref="F74:AE74" ca="1" si="35">IF(OR(AND(E69=1,F69=0),AND(F$6=LastYear,F69=1)),1,0)</f>
        <v>0</v>
      </c>
      <c r="G74" s="43">
        <f t="shared" ca="1" si="35"/>
        <v>0</v>
      </c>
      <c r="H74" s="43">
        <f t="shared" ca="1" si="35"/>
        <v>0</v>
      </c>
      <c r="I74" s="43">
        <f t="shared" ca="1" si="35"/>
        <v>0</v>
      </c>
      <c r="J74" s="43">
        <f t="shared" ca="1" si="35"/>
        <v>0</v>
      </c>
      <c r="K74" s="43">
        <f t="shared" ca="1" si="35"/>
        <v>0</v>
      </c>
      <c r="L74" s="43">
        <f t="shared" ca="1" si="35"/>
        <v>0</v>
      </c>
      <c r="M74" s="43">
        <f t="shared" ca="1" si="35"/>
        <v>0</v>
      </c>
      <c r="N74" s="43">
        <f t="shared" ca="1" si="35"/>
        <v>0</v>
      </c>
      <c r="O74" s="43">
        <f t="shared" ca="1" si="35"/>
        <v>0</v>
      </c>
      <c r="P74" s="43">
        <f t="shared" ca="1" si="35"/>
        <v>0</v>
      </c>
      <c r="Q74" s="43">
        <f t="shared" ca="1" si="35"/>
        <v>0</v>
      </c>
      <c r="R74" s="43">
        <f t="shared" ca="1" si="35"/>
        <v>0</v>
      </c>
      <c r="S74" s="43">
        <f t="shared" ca="1" si="35"/>
        <v>0</v>
      </c>
      <c r="T74" s="43">
        <f t="shared" ca="1" si="35"/>
        <v>0</v>
      </c>
      <c r="U74" s="43">
        <f t="shared" ca="1" si="35"/>
        <v>1</v>
      </c>
      <c r="V74" s="43">
        <f t="shared" ca="1" si="35"/>
        <v>0</v>
      </c>
      <c r="W74" s="43">
        <f t="shared" ca="1" si="35"/>
        <v>0</v>
      </c>
      <c r="X74" s="43">
        <f t="shared" ca="1" si="35"/>
        <v>0</v>
      </c>
      <c r="Y74" s="43">
        <f t="shared" ca="1" si="35"/>
        <v>0</v>
      </c>
      <c r="Z74" s="43">
        <f t="shared" ca="1" si="35"/>
        <v>0</v>
      </c>
      <c r="AA74" s="43">
        <f t="shared" ca="1" si="35"/>
        <v>0</v>
      </c>
      <c r="AB74" s="43">
        <f t="shared" ca="1" si="35"/>
        <v>0</v>
      </c>
      <c r="AC74" s="43">
        <f t="shared" ca="1" si="35"/>
        <v>0</v>
      </c>
      <c r="AD74" s="43">
        <f t="shared" ca="1" si="35"/>
        <v>0</v>
      </c>
      <c r="AE74" s="43">
        <f t="shared" ca="1" si="35"/>
        <v>0</v>
      </c>
    </row>
    <row r="75" spans="2:31" x14ac:dyDescent="0.45">
      <c r="B75" s="25" t="s">
        <v>286</v>
      </c>
      <c r="C75" s="26" t="s">
        <v>148</v>
      </c>
      <c r="D75" s="54">
        <f t="shared" ca="1" si="32"/>
        <v>-250</v>
      </c>
      <c r="E75" s="35"/>
      <c r="F75" s="53">
        <f t="shared" ref="F75:AE75" ca="1" si="36">-F74*B_Aband</f>
        <v>0</v>
      </c>
      <c r="G75" s="53">
        <f t="shared" ca="1" si="36"/>
        <v>0</v>
      </c>
      <c r="H75" s="53">
        <f t="shared" ca="1" si="36"/>
        <v>0</v>
      </c>
      <c r="I75" s="53">
        <f t="shared" ca="1" si="36"/>
        <v>0</v>
      </c>
      <c r="J75" s="53">
        <f t="shared" ca="1" si="36"/>
        <v>0</v>
      </c>
      <c r="K75" s="53">
        <f t="shared" ca="1" si="36"/>
        <v>0</v>
      </c>
      <c r="L75" s="53">
        <f t="shared" ca="1" si="36"/>
        <v>0</v>
      </c>
      <c r="M75" s="53">
        <f t="shared" ca="1" si="36"/>
        <v>0</v>
      </c>
      <c r="N75" s="53">
        <f t="shared" ca="1" si="36"/>
        <v>0</v>
      </c>
      <c r="O75" s="53">
        <f t="shared" ca="1" si="36"/>
        <v>0</v>
      </c>
      <c r="P75" s="53">
        <f t="shared" ca="1" si="36"/>
        <v>0</v>
      </c>
      <c r="Q75" s="53">
        <f t="shared" ca="1" si="36"/>
        <v>0</v>
      </c>
      <c r="R75" s="53">
        <f t="shared" ca="1" si="36"/>
        <v>0</v>
      </c>
      <c r="S75" s="53">
        <f t="shared" ca="1" si="36"/>
        <v>0</v>
      </c>
      <c r="T75" s="53">
        <f t="shared" ca="1" si="36"/>
        <v>0</v>
      </c>
      <c r="U75" s="53">
        <f t="shared" ca="1" si="36"/>
        <v>-250</v>
      </c>
      <c r="V75" s="53">
        <f t="shared" ca="1" si="36"/>
        <v>0</v>
      </c>
      <c r="W75" s="53">
        <f t="shared" ca="1" si="36"/>
        <v>0</v>
      </c>
      <c r="X75" s="53">
        <f t="shared" ca="1" si="36"/>
        <v>0</v>
      </c>
      <c r="Y75" s="53">
        <f t="shared" ca="1" si="36"/>
        <v>0</v>
      </c>
      <c r="Z75" s="53">
        <f t="shared" ca="1" si="36"/>
        <v>0</v>
      </c>
      <c r="AA75" s="53">
        <f t="shared" ca="1" si="36"/>
        <v>0</v>
      </c>
      <c r="AB75" s="53">
        <f t="shared" ca="1" si="36"/>
        <v>0</v>
      </c>
      <c r="AC75" s="53">
        <f t="shared" ca="1" si="36"/>
        <v>0</v>
      </c>
      <c r="AD75" s="53">
        <f t="shared" ca="1" si="36"/>
        <v>0</v>
      </c>
      <c r="AE75" s="53">
        <f t="shared" ca="1" si="36"/>
        <v>0</v>
      </c>
    </row>
    <row r="76" spans="2:31" x14ac:dyDescent="0.45">
      <c r="B76" s="60" t="s">
        <v>287</v>
      </c>
      <c r="C76" s="61" t="s">
        <v>148</v>
      </c>
      <c r="D76" s="62">
        <f t="shared" ca="1" si="32"/>
        <v>7504.0698127394689</v>
      </c>
      <c r="E76" s="63"/>
      <c r="F76" s="62">
        <f t="shared" ref="F76:AE76" ca="1" si="37">F72+F73+F75-F61-F62</f>
        <v>-317.22893329596491</v>
      </c>
      <c r="G76" s="62">
        <f t="shared" ca="1" si="37"/>
        <v>-555.15063326793859</v>
      </c>
      <c r="H76" s="62">
        <f t="shared" ca="1" si="37"/>
        <v>-475.84339994394742</v>
      </c>
      <c r="I76" s="62">
        <f t="shared" ca="1" si="37"/>
        <v>-237.92169997197371</v>
      </c>
      <c r="J76" s="62">
        <f t="shared" ca="1" si="37"/>
        <v>818.86369269474073</v>
      </c>
      <c r="K76" s="62">
        <f t="shared" ca="1" si="37"/>
        <v>1897.6472019186619</v>
      </c>
      <c r="L76" s="62">
        <f t="shared" ca="1" si="37"/>
        <v>1611.475600148553</v>
      </c>
      <c r="M76" s="62">
        <f t="shared" ca="1" si="37"/>
        <v>1862.1811357088272</v>
      </c>
      <c r="N76" s="62">
        <f t="shared" ca="1" si="37"/>
        <v>842.23659550409275</v>
      </c>
      <c r="O76" s="62">
        <f t="shared" ca="1" si="37"/>
        <v>862.00793581869061</v>
      </c>
      <c r="P76" s="62">
        <f t="shared" ca="1" si="37"/>
        <v>657.73844654686013</v>
      </c>
      <c r="Q76" s="62">
        <f t="shared" ca="1" si="37"/>
        <v>405.38265109046131</v>
      </c>
      <c r="R76" s="62">
        <f t="shared" ca="1" si="37"/>
        <v>171.27666093689072</v>
      </c>
      <c r="S76" s="62">
        <f t="shared" ca="1" si="37"/>
        <v>129.13494428421143</v>
      </c>
      <c r="T76" s="62">
        <f t="shared" ca="1" si="37"/>
        <v>82.269614567304444</v>
      </c>
      <c r="U76" s="62">
        <f t="shared" ca="1" si="37"/>
        <v>-250</v>
      </c>
      <c r="V76" s="62">
        <f t="shared" ca="1" si="37"/>
        <v>0</v>
      </c>
      <c r="W76" s="62">
        <f t="shared" ca="1" si="37"/>
        <v>0</v>
      </c>
      <c r="X76" s="62">
        <f t="shared" ca="1" si="37"/>
        <v>0</v>
      </c>
      <c r="Y76" s="62">
        <f t="shared" ca="1" si="37"/>
        <v>0</v>
      </c>
      <c r="Z76" s="62">
        <f t="shared" ca="1" si="37"/>
        <v>0</v>
      </c>
      <c r="AA76" s="62">
        <f t="shared" ca="1" si="37"/>
        <v>0</v>
      </c>
      <c r="AB76" s="62">
        <f t="shared" ca="1" si="37"/>
        <v>0</v>
      </c>
      <c r="AC76" s="62">
        <f t="shared" ca="1" si="37"/>
        <v>0</v>
      </c>
      <c r="AD76" s="62">
        <f t="shared" ca="1" si="37"/>
        <v>0</v>
      </c>
      <c r="AE76" s="62">
        <f t="shared" ca="1" si="37"/>
        <v>0</v>
      </c>
    </row>
    <row r="77" spans="2:31" x14ac:dyDescent="0.45">
      <c r="B77" s="25" t="s">
        <v>288</v>
      </c>
      <c r="C77" s="26" t="s">
        <v>148</v>
      </c>
      <c r="D77" s="54">
        <f t="shared" ca="1" si="32"/>
        <v>3257.8303427722672</v>
      </c>
      <c r="E77" s="35"/>
      <c r="F77" s="53">
        <f t="shared" ref="F77:AE77" ca="1" si="38">F76*F37</f>
        <v>-302.46592012398798</v>
      </c>
      <c r="G77" s="53">
        <f t="shared" ca="1" si="38"/>
        <v>-481.19578201543538</v>
      </c>
      <c r="H77" s="53">
        <f t="shared" ca="1" si="38"/>
        <v>-374.95775221981978</v>
      </c>
      <c r="I77" s="53">
        <f t="shared" ca="1" si="38"/>
        <v>-170.43534191809991</v>
      </c>
      <c r="J77" s="53">
        <f t="shared" ca="1" si="38"/>
        <v>533.26678278528391</v>
      </c>
      <c r="K77" s="53">
        <f t="shared" ca="1" si="38"/>
        <v>1123.455063685429</v>
      </c>
      <c r="L77" s="53">
        <f t="shared" ca="1" si="38"/>
        <v>867.30386265205289</v>
      </c>
      <c r="M77" s="53">
        <f t="shared" ca="1" si="38"/>
        <v>911.12252635194454</v>
      </c>
      <c r="N77" s="53">
        <f t="shared" ca="1" si="38"/>
        <v>374.62459281391949</v>
      </c>
      <c r="O77" s="53">
        <f t="shared" ca="1" si="38"/>
        <v>348.56257480732069</v>
      </c>
      <c r="P77" s="53">
        <f t="shared" ca="1" si="38"/>
        <v>241.78537843991026</v>
      </c>
      <c r="Q77" s="53">
        <f t="shared" ca="1" si="38"/>
        <v>135.47191789113288</v>
      </c>
      <c r="R77" s="53">
        <f t="shared" ca="1" si="38"/>
        <v>52.034288826067623</v>
      </c>
      <c r="S77" s="53">
        <f t="shared" ca="1" si="38"/>
        <v>35.665024759925913</v>
      </c>
      <c r="T77" s="53">
        <f t="shared" ca="1" si="38"/>
        <v>20.655966845706246</v>
      </c>
      <c r="U77" s="53">
        <f t="shared" ca="1" si="38"/>
        <v>-57.062840809082793</v>
      </c>
      <c r="V77" s="53">
        <f t="shared" ca="1" si="38"/>
        <v>0</v>
      </c>
      <c r="W77" s="53">
        <f t="shared" ca="1" si="38"/>
        <v>0</v>
      </c>
      <c r="X77" s="53">
        <f t="shared" ca="1" si="38"/>
        <v>0</v>
      </c>
      <c r="Y77" s="53">
        <f t="shared" ca="1" si="38"/>
        <v>0</v>
      </c>
      <c r="Z77" s="53">
        <f t="shared" ca="1" si="38"/>
        <v>0</v>
      </c>
      <c r="AA77" s="53">
        <f t="shared" ca="1" si="38"/>
        <v>0</v>
      </c>
      <c r="AB77" s="53">
        <f t="shared" ca="1" si="38"/>
        <v>0</v>
      </c>
      <c r="AC77" s="53">
        <f t="shared" ca="1" si="38"/>
        <v>0</v>
      </c>
      <c r="AD77" s="53">
        <f t="shared" ca="1" si="38"/>
        <v>0</v>
      </c>
      <c r="AE77" s="53">
        <f t="shared" ca="1" si="38"/>
        <v>0</v>
      </c>
    </row>
    <row r="78" spans="2:31" ht="8" customHeight="1" x14ac:dyDescent="0.45"/>
    <row r="79" spans="2:31" ht="22.05" customHeight="1" x14ac:dyDescent="0.5">
      <c r="B79" s="7" t="s">
        <v>291</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row>
    <row r="80" spans="2:31" ht="18" customHeight="1" x14ac:dyDescent="0.45">
      <c r="B80" s="13" t="s">
        <v>292</v>
      </c>
    </row>
    <row r="81" spans="2:31" x14ac:dyDescent="0.45">
      <c r="B81" s="25" t="s">
        <v>273</v>
      </c>
      <c r="C81" s="26" t="s">
        <v>148</v>
      </c>
      <c r="D81" s="54">
        <f ca="1">SUM(F81:AE81)</f>
        <v>687.32935547459067</v>
      </c>
      <c r="E81" s="35"/>
      <c r="F81" s="53">
        <f t="shared" ref="F81:AE81" ca="1" si="39">SUMIF(PhaseA_Year,F$6,PhaseA_Share)*C_Capex*CapexFactor</f>
        <v>206.19880664237721</v>
      </c>
      <c r="G81" s="53">
        <f t="shared" ca="1" si="39"/>
        <v>274.93174218983626</v>
      </c>
      <c r="H81" s="53">
        <f t="shared" ca="1" si="39"/>
        <v>206.19880664237721</v>
      </c>
      <c r="I81" s="53">
        <f t="shared" ca="1" si="39"/>
        <v>0</v>
      </c>
      <c r="J81" s="53">
        <f t="shared" ca="1" si="39"/>
        <v>0</v>
      </c>
      <c r="K81" s="53">
        <f t="shared" ca="1" si="39"/>
        <v>0</v>
      </c>
      <c r="L81" s="53">
        <f t="shared" ca="1" si="39"/>
        <v>0</v>
      </c>
      <c r="M81" s="53">
        <f t="shared" ca="1" si="39"/>
        <v>0</v>
      </c>
      <c r="N81" s="53">
        <f t="shared" ca="1" si="39"/>
        <v>0</v>
      </c>
      <c r="O81" s="53">
        <f t="shared" ca="1" si="39"/>
        <v>0</v>
      </c>
      <c r="P81" s="53">
        <f t="shared" ca="1" si="39"/>
        <v>0</v>
      </c>
      <c r="Q81" s="53">
        <f t="shared" ca="1" si="39"/>
        <v>0</v>
      </c>
      <c r="R81" s="53">
        <f t="shared" ca="1" si="39"/>
        <v>0</v>
      </c>
      <c r="S81" s="53">
        <f t="shared" ca="1" si="39"/>
        <v>0</v>
      </c>
      <c r="T81" s="53">
        <f t="shared" ca="1" si="39"/>
        <v>0</v>
      </c>
      <c r="U81" s="53">
        <f t="shared" ca="1" si="39"/>
        <v>0</v>
      </c>
      <c r="V81" s="53">
        <f t="shared" ca="1" si="39"/>
        <v>0</v>
      </c>
      <c r="W81" s="53">
        <f t="shared" ca="1" si="39"/>
        <v>0</v>
      </c>
      <c r="X81" s="53">
        <f t="shared" ca="1" si="39"/>
        <v>0</v>
      </c>
      <c r="Y81" s="53">
        <f t="shared" ca="1" si="39"/>
        <v>0</v>
      </c>
      <c r="Z81" s="53">
        <f t="shared" ca="1" si="39"/>
        <v>0</v>
      </c>
      <c r="AA81" s="53">
        <f t="shared" ca="1" si="39"/>
        <v>0</v>
      </c>
      <c r="AB81" s="53">
        <f t="shared" ca="1" si="39"/>
        <v>0</v>
      </c>
      <c r="AC81" s="53">
        <f t="shared" ca="1" si="39"/>
        <v>0</v>
      </c>
      <c r="AD81" s="53">
        <f t="shared" ca="1" si="39"/>
        <v>0</v>
      </c>
      <c r="AE81" s="53">
        <f t="shared" ca="1" si="39"/>
        <v>0</v>
      </c>
    </row>
    <row r="82" spans="2:31" x14ac:dyDescent="0.45">
      <c r="B82" s="25" t="s">
        <v>274</v>
      </c>
      <c r="C82" s="26" t="s">
        <v>148</v>
      </c>
      <c r="D82" s="54">
        <f ca="1">SUM(F82:AE82)</f>
        <v>475.84339994394742</v>
      </c>
      <c r="E82" s="35"/>
      <c r="F82" s="53">
        <f t="shared" ref="F82:AE82" ca="1" si="40">SUMIF(PhaseC2_Year,F$6-DecisionYear,PhaseC2_Share)*C_Capex2*CapexFactor</f>
        <v>0</v>
      </c>
      <c r="G82" s="53">
        <f t="shared" ca="1" si="40"/>
        <v>0</v>
      </c>
      <c r="H82" s="53">
        <f t="shared" ca="1" si="40"/>
        <v>0</v>
      </c>
      <c r="I82" s="53">
        <f t="shared" ca="1" si="40"/>
        <v>0</v>
      </c>
      <c r="J82" s="53">
        <f t="shared" ca="1" si="40"/>
        <v>0</v>
      </c>
      <c r="K82" s="53">
        <f t="shared" ca="1" si="40"/>
        <v>237.92169997197371</v>
      </c>
      <c r="L82" s="53">
        <f t="shared" ca="1" si="40"/>
        <v>237.92169997197371</v>
      </c>
      <c r="M82" s="53">
        <f t="shared" ca="1" si="40"/>
        <v>0</v>
      </c>
      <c r="N82" s="53">
        <f t="shared" ca="1" si="40"/>
        <v>0</v>
      </c>
      <c r="O82" s="53">
        <f t="shared" ca="1" si="40"/>
        <v>0</v>
      </c>
      <c r="P82" s="53">
        <f t="shared" ca="1" si="40"/>
        <v>0</v>
      </c>
      <c r="Q82" s="53">
        <f t="shared" ca="1" si="40"/>
        <v>0</v>
      </c>
      <c r="R82" s="53">
        <f t="shared" ca="1" si="40"/>
        <v>0</v>
      </c>
      <c r="S82" s="53">
        <f t="shared" ca="1" si="40"/>
        <v>0</v>
      </c>
      <c r="T82" s="53">
        <f t="shared" ca="1" si="40"/>
        <v>0</v>
      </c>
      <c r="U82" s="53">
        <f t="shared" ca="1" si="40"/>
        <v>0</v>
      </c>
      <c r="V82" s="53">
        <f t="shared" ca="1" si="40"/>
        <v>0</v>
      </c>
      <c r="W82" s="53">
        <f t="shared" ca="1" si="40"/>
        <v>0</v>
      </c>
      <c r="X82" s="53">
        <f t="shared" ca="1" si="40"/>
        <v>0</v>
      </c>
      <c r="Y82" s="53">
        <f t="shared" ca="1" si="40"/>
        <v>0</v>
      </c>
      <c r="Z82" s="53">
        <f t="shared" ca="1" si="40"/>
        <v>0</v>
      </c>
      <c r="AA82" s="53">
        <f t="shared" ca="1" si="40"/>
        <v>0</v>
      </c>
      <c r="AB82" s="53">
        <f t="shared" ca="1" si="40"/>
        <v>0</v>
      </c>
      <c r="AC82" s="53">
        <f t="shared" ca="1" si="40"/>
        <v>0</v>
      </c>
      <c r="AD82" s="53">
        <f t="shared" ca="1" si="40"/>
        <v>0</v>
      </c>
      <c r="AE82" s="53">
        <f t="shared" ca="1" si="40"/>
        <v>0</v>
      </c>
    </row>
    <row r="83" spans="2:31" x14ac:dyDescent="0.45">
      <c r="B83" s="25" t="s">
        <v>275</v>
      </c>
      <c r="C83" s="26" t="s">
        <v>218</v>
      </c>
      <c r="D83" s="35"/>
      <c r="E83" s="35"/>
      <c r="F83" s="43">
        <f t="shared" ref="F83:AE83" ca="1" si="41">IF(AND(F$6&gt;=C_FirstOil,F$6&lt;=C_LastProd),1,0)</f>
        <v>0</v>
      </c>
      <c r="G83" s="43">
        <f t="shared" ca="1" si="41"/>
        <v>0</v>
      </c>
      <c r="H83" s="43">
        <f t="shared" ca="1" si="41"/>
        <v>0</v>
      </c>
      <c r="I83" s="43">
        <f t="shared" ca="1" si="41"/>
        <v>1</v>
      </c>
      <c r="J83" s="43">
        <f t="shared" ca="1" si="41"/>
        <v>1</v>
      </c>
      <c r="K83" s="43">
        <f t="shared" ca="1" si="41"/>
        <v>1</v>
      </c>
      <c r="L83" s="43">
        <f t="shared" ca="1" si="41"/>
        <v>1</v>
      </c>
      <c r="M83" s="43">
        <f t="shared" ca="1" si="41"/>
        <v>1</v>
      </c>
      <c r="N83" s="43">
        <f t="shared" ca="1" si="41"/>
        <v>1</v>
      </c>
      <c r="O83" s="43">
        <f t="shared" ca="1" si="41"/>
        <v>1</v>
      </c>
      <c r="P83" s="43">
        <f t="shared" ca="1" si="41"/>
        <v>1</v>
      </c>
      <c r="Q83" s="43">
        <f t="shared" ca="1" si="41"/>
        <v>1</v>
      </c>
      <c r="R83" s="43">
        <f t="shared" ca="1" si="41"/>
        <v>1</v>
      </c>
      <c r="S83" s="43">
        <f t="shared" ca="1" si="41"/>
        <v>1</v>
      </c>
      <c r="T83" s="43">
        <f t="shared" ca="1" si="41"/>
        <v>1</v>
      </c>
      <c r="U83" s="43">
        <f t="shared" ca="1" si="41"/>
        <v>1</v>
      </c>
      <c r="V83" s="43">
        <f t="shared" ca="1" si="41"/>
        <v>1</v>
      </c>
      <c r="W83" s="43">
        <f t="shared" ca="1" si="41"/>
        <v>1</v>
      </c>
      <c r="X83" s="43">
        <f t="shared" ca="1" si="41"/>
        <v>1</v>
      </c>
      <c r="Y83" s="43">
        <f t="shared" ca="1" si="41"/>
        <v>1</v>
      </c>
      <c r="Z83" s="43">
        <f t="shared" ca="1" si="41"/>
        <v>1</v>
      </c>
      <c r="AA83" s="43">
        <f t="shared" ca="1" si="41"/>
        <v>1</v>
      </c>
      <c r="AB83" s="43">
        <f t="shared" ca="1" si="41"/>
        <v>1</v>
      </c>
      <c r="AC83" s="43">
        <f t="shared" ca="1" si="41"/>
        <v>1</v>
      </c>
      <c r="AD83" s="43">
        <f t="shared" ca="1" si="41"/>
        <v>1</v>
      </c>
      <c r="AE83" s="43">
        <f t="shared" ca="1" si="41"/>
        <v>0</v>
      </c>
    </row>
    <row r="84" spans="2:31" x14ac:dyDescent="0.45">
      <c r="B84" s="25" t="s">
        <v>170</v>
      </c>
      <c r="C84" s="26" t="s">
        <v>151</v>
      </c>
      <c r="D84" s="35"/>
      <c r="E84" s="35"/>
      <c r="F84" s="53">
        <f t="shared" ref="F84:AE84" si="42">C_Cap+IF(F$6&gt;=C_Cap2From,C_Cap2,0)</f>
        <v>40</v>
      </c>
      <c r="G84" s="53">
        <f t="shared" si="42"/>
        <v>40</v>
      </c>
      <c r="H84" s="53">
        <f t="shared" si="42"/>
        <v>40</v>
      </c>
      <c r="I84" s="53">
        <f t="shared" si="42"/>
        <v>40</v>
      </c>
      <c r="J84" s="53">
        <f t="shared" si="42"/>
        <v>40</v>
      </c>
      <c r="K84" s="53">
        <f t="shared" si="42"/>
        <v>40</v>
      </c>
      <c r="L84" s="53">
        <f t="shared" si="42"/>
        <v>40</v>
      </c>
      <c r="M84" s="53">
        <f t="shared" ca="1" si="42"/>
        <v>75</v>
      </c>
      <c r="N84" s="53">
        <f t="shared" ca="1" si="42"/>
        <v>75</v>
      </c>
      <c r="O84" s="53">
        <f t="shared" ca="1" si="42"/>
        <v>75</v>
      </c>
      <c r="P84" s="53">
        <f t="shared" ca="1" si="42"/>
        <v>75</v>
      </c>
      <c r="Q84" s="53">
        <f t="shared" ca="1" si="42"/>
        <v>75</v>
      </c>
      <c r="R84" s="53">
        <f t="shared" ca="1" si="42"/>
        <v>75</v>
      </c>
      <c r="S84" s="53">
        <f t="shared" ca="1" si="42"/>
        <v>75</v>
      </c>
      <c r="T84" s="53">
        <f t="shared" ca="1" si="42"/>
        <v>75</v>
      </c>
      <c r="U84" s="53">
        <f t="shared" ca="1" si="42"/>
        <v>75</v>
      </c>
      <c r="V84" s="53">
        <f t="shared" ca="1" si="42"/>
        <v>75</v>
      </c>
      <c r="W84" s="53">
        <f t="shared" ca="1" si="42"/>
        <v>75</v>
      </c>
      <c r="X84" s="53">
        <f t="shared" ca="1" si="42"/>
        <v>75</v>
      </c>
      <c r="Y84" s="53">
        <f t="shared" ca="1" si="42"/>
        <v>75</v>
      </c>
      <c r="Z84" s="53">
        <f t="shared" ca="1" si="42"/>
        <v>75</v>
      </c>
      <c r="AA84" s="53">
        <f t="shared" ca="1" si="42"/>
        <v>75</v>
      </c>
      <c r="AB84" s="53">
        <f t="shared" ca="1" si="42"/>
        <v>75</v>
      </c>
      <c r="AC84" s="53">
        <f t="shared" ca="1" si="42"/>
        <v>75</v>
      </c>
      <c r="AD84" s="53">
        <f t="shared" ca="1" si="42"/>
        <v>75</v>
      </c>
      <c r="AE84" s="53">
        <f t="shared" ca="1" si="42"/>
        <v>75</v>
      </c>
    </row>
    <row r="85" spans="2:31" x14ac:dyDescent="0.45">
      <c r="B85" s="25" t="s">
        <v>276</v>
      </c>
      <c r="C85" s="26" t="s">
        <v>107</v>
      </c>
      <c r="D85" s="35"/>
      <c r="E85" s="35"/>
      <c r="F85" s="30">
        <f t="shared" ref="F85:AE85" si="43">F84*MMbblPerKbd*Uptime*IF(F$6=C_FirstOil,FirstYearShare,1)</f>
        <v>13.432</v>
      </c>
      <c r="G85" s="30">
        <f t="shared" si="43"/>
        <v>13.432</v>
      </c>
      <c r="H85" s="30">
        <f t="shared" si="43"/>
        <v>13.432</v>
      </c>
      <c r="I85" s="30">
        <f t="shared" si="43"/>
        <v>6.7160000000000002</v>
      </c>
      <c r="J85" s="30">
        <f t="shared" si="43"/>
        <v>13.432</v>
      </c>
      <c r="K85" s="30">
        <f t="shared" si="43"/>
        <v>13.432</v>
      </c>
      <c r="L85" s="30">
        <f t="shared" si="43"/>
        <v>13.432</v>
      </c>
      <c r="M85" s="30">
        <f t="shared" ca="1" si="43"/>
        <v>25.185000000000002</v>
      </c>
      <c r="N85" s="30">
        <f t="shared" ca="1" si="43"/>
        <v>25.185000000000002</v>
      </c>
      <c r="O85" s="30">
        <f t="shared" ca="1" si="43"/>
        <v>25.185000000000002</v>
      </c>
      <c r="P85" s="30">
        <f t="shared" ca="1" si="43"/>
        <v>25.185000000000002</v>
      </c>
      <c r="Q85" s="30">
        <f t="shared" ca="1" si="43"/>
        <v>25.185000000000002</v>
      </c>
      <c r="R85" s="30">
        <f t="shared" ca="1" si="43"/>
        <v>25.185000000000002</v>
      </c>
      <c r="S85" s="30">
        <f t="shared" ca="1" si="43"/>
        <v>25.185000000000002</v>
      </c>
      <c r="T85" s="30">
        <f t="shared" ca="1" si="43"/>
        <v>25.185000000000002</v>
      </c>
      <c r="U85" s="30">
        <f t="shared" ca="1" si="43"/>
        <v>25.185000000000002</v>
      </c>
      <c r="V85" s="30">
        <f t="shared" ca="1" si="43"/>
        <v>25.185000000000002</v>
      </c>
      <c r="W85" s="30">
        <f t="shared" ca="1" si="43"/>
        <v>25.185000000000002</v>
      </c>
      <c r="X85" s="30">
        <f t="shared" ca="1" si="43"/>
        <v>25.185000000000002</v>
      </c>
      <c r="Y85" s="30">
        <f t="shared" ca="1" si="43"/>
        <v>25.185000000000002</v>
      </c>
      <c r="Z85" s="30">
        <f t="shared" ca="1" si="43"/>
        <v>25.185000000000002</v>
      </c>
      <c r="AA85" s="30">
        <f t="shared" ca="1" si="43"/>
        <v>25.185000000000002</v>
      </c>
      <c r="AB85" s="30">
        <f t="shared" ca="1" si="43"/>
        <v>25.185000000000002</v>
      </c>
      <c r="AC85" s="30">
        <f t="shared" ca="1" si="43"/>
        <v>25.185000000000002</v>
      </c>
      <c r="AD85" s="30">
        <f t="shared" ca="1" si="43"/>
        <v>25.185000000000002</v>
      </c>
      <c r="AE85" s="30">
        <f t="shared" ca="1" si="43"/>
        <v>25.185000000000002</v>
      </c>
    </row>
    <row r="86" spans="2:31" x14ac:dyDescent="0.45">
      <c r="B86" s="25" t="s">
        <v>277</v>
      </c>
      <c r="C86" s="26" t="s">
        <v>107</v>
      </c>
      <c r="D86" s="35"/>
      <c r="E86" s="35"/>
      <c r="F86" s="30">
        <f t="shared" ref="F86:AE86" ca="1" si="44">Recoverable-E91</f>
        <v>133.9651572621101</v>
      </c>
      <c r="G86" s="30">
        <f t="shared" ca="1" si="44"/>
        <v>133.9651572621101</v>
      </c>
      <c r="H86" s="30">
        <f t="shared" ca="1" si="44"/>
        <v>133.9651572621101</v>
      </c>
      <c r="I86" s="30">
        <f t="shared" ca="1" si="44"/>
        <v>133.9651572621101</v>
      </c>
      <c r="J86" s="30">
        <f t="shared" ca="1" si="44"/>
        <v>127.2491572621101</v>
      </c>
      <c r="K86" s="30">
        <f t="shared" ca="1" si="44"/>
        <v>113.8171572621101</v>
      </c>
      <c r="L86" s="30">
        <f t="shared" ca="1" si="44"/>
        <v>100.3851572621101</v>
      </c>
      <c r="M86" s="30">
        <f t="shared" ca="1" si="44"/>
        <v>86.953157262110096</v>
      </c>
      <c r="N86" s="30">
        <f t="shared" ca="1" si="44"/>
        <v>66.945141324286354</v>
      </c>
      <c r="O86" s="30">
        <f t="shared" ca="1" si="44"/>
        <v>51.540991587220446</v>
      </c>
      <c r="P86" s="30">
        <f t="shared" ca="1" si="44"/>
        <v>39.681353437224175</v>
      </c>
      <c r="Q86" s="30">
        <f t="shared" ca="1" si="44"/>
        <v>30.550630907930113</v>
      </c>
      <c r="R86" s="30">
        <f t="shared" ca="1" si="44"/>
        <v>23.520897550763195</v>
      </c>
      <c r="S86" s="30">
        <f t="shared" ca="1" si="44"/>
        <v>18.108713475042961</v>
      </c>
      <c r="T86" s="30">
        <f t="shared" ca="1" si="44"/>
        <v>13.94187883406525</v>
      </c>
      <c r="U86" s="30">
        <f t="shared" ca="1" si="44"/>
        <v>10.733837370150084</v>
      </c>
      <c r="V86" s="30">
        <f t="shared" ca="1" si="44"/>
        <v>8.2639697317779195</v>
      </c>
      <c r="W86" s="30">
        <f t="shared" ca="1" si="44"/>
        <v>6.362421319858953</v>
      </c>
      <c r="X86" s="30">
        <f t="shared" ca="1" si="44"/>
        <v>4.8984212630564343</v>
      </c>
      <c r="Y86" s="30">
        <f t="shared" ca="1" si="44"/>
        <v>3.7712892095764801</v>
      </c>
      <c r="Z86" s="30">
        <f t="shared" ca="1" si="44"/>
        <v>2.903511465935793</v>
      </c>
      <c r="AA86" s="30">
        <f t="shared" ca="1" si="44"/>
        <v>2.903511465935793</v>
      </c>
      <c r="AB86" s="30">
        <f t="shared" ca="1" si="44"/>
        <v>2.903511465935793</v>
      </c>
      <c r="AC86" s="30">
        <f t="shared" ca="1" si="44"/>
        <v>2.903511465935793</v>
      </c>
      <c r="AD86" s="30">
        <f t="shared" ca="1" si="44"/>
        <v>2.903511465935793</v>
      </c>
      <c r="AE86" s="30">
        <f t="shared" ca="1" si="44"/>
        <v>2.903511465935793</v>
      </c>
    </row>
    <row r="87" spans="2:31" x14ac:dyDescent="0.45">
      <c r="B87" s="25" t="s">
        <v>278</v>
      </c>
      <c r="C87" s="26" t="s">
        <v>107</v>
      </c>
      <c r="D87" s="35"/>
      <c r="E87" s="35"/>
      <c r="F87" s="55">
        <f t="shared" ref="F87:AE87" ca="1" si="45">F83*MIN(F85,Deliverability*F86)</f>
        <v>0</v>
      </c>
      <c r="G87" s="55">
        <f t="shared" ca="1" si="45"/>
        <v>0</v>
      </c>
      <c r="H87" s="55">
        <f t="shared" ca="1" si="45"/>
        <v>0</v>
      </c>
      <c r="I87" s="55">
        <f t="shared" ca="1" si="45"/>
        <v>6.7160000000000002</v>
      </c>
      <c r="J87" s="55">
        <f t="shared" ca="1" si="45"/>
        <v>13.432</v>
      </c>
      <c r="K87" s="55">
        <f t="shared" ca="1" si="45"/>
        <v>13.432</v>
      </c>
      <c r="L87" s="55">
        <f t="shared" ca="1" si="45"/>
        <v>13.432</v>
      </c>
      <c r="M87" s="55">
        <f t="shared" ca="1" si="45"/>
        <v>20.008015937823739</v>
      </c>
      <c r="N87" s="55">
        <f t="shared" ca="1" si="45"/>
        <v>15.404149737065909</v>
      </c>
      <c r="O87" s="55">
        <f t="shared" ca="1" si="45"/>
        <v>11.859638149996268</v>
      </c>
      <c r="P87" s="55">
        <f t="shared" ca="1" si="45"/>
        <v>9.1307225292940597</v>
      </c>
      <c r="Q87" s="55">
        <f t="shared" ca="1" si="45"/>
        <v>7.0297333571669185</v>
      </c>
      <c r="R87" s="55">
        <f t="shared" ca="1" si="45"/>
        <v>5.4121840757202317</v>
      </c>
      <c r="S87" s="55">
        <f t="shared" ca="1" si="45"/>
        <v>4.1668346409777124</v>
      </c>
      <c r="T87" s="55">
        <f t="shared" ca="1" si="45"/>
        <v>3.2080414639151615</v>
      </c>
      <c r="U87" s="55">
        <f t="shared" ca="1" si="45"/>
        <v>2.4698676383721603</v>
      </c>
      <c r="V87" s="55">
        <f t="shared" ca="1" si="45"/>
        <v>1.9015484119189663</v>
      </c>
      <c r="W87" s="55">
        <f t="shared" ca="1" si="45"/>
        <v>1.4640000568025182</v>
      </c>
      <c r="X87" s="55">
        <f t="shared" ca="1" si="45"/>
        <v>1.1271320534799574</v>
      </c>
      <c r="Y87" s="55">
        <f t="shared" ca="1" si="45"/>
        <v>0.86777774364070059</v>
      </c>
      <c r="Z87" s="55">
        <f t="shared" ca="1" si="45"/>
        <v>0.66810114221593198</v>
      </c>
      <c r="AA87" s="55">
        <f t="shared" ca="1" si="45"/>
        <v>0.66810114221593198</v>
      </c>
      <c r="AB87" s="55">
        <f t="shared" ca="1" si="45"/>
        <v>0.66810114221593198</v>
      </c>
      <c r="AC87" s="55">
        <f t="shared" ca="1" si="45"/>
        <v>0.66810114221593198</v>
      </c>
      <c r="AD87" s="55">
        <f t="shared" ca="1" si="45"/>
        <v>0.66810114221593198</v>
      </c>
      <c r="AE87" s="55">
        <f t="shared" ca="1" si="45"/>
        <v>0</v>
      </c>
    </row>
    <row r="88" spans="2:31" x14ac:dyDescent="0.45">
      <c r="B88" s="25" t="s">
        <v>279</v>
      </c>
      <c r="C88" s="26" t="s">
        <v>148</v>
      </c>
      <c r="D88" s="35"/>
      <c r="E88" s="35"/>
      <c r="F88" s="53">
        <f t="shared" ref="F88:AE88" ca="1" si="46">F87*(F36-C_CostBbl)-C_Fixed</f>
        <v>-40</v>
      </c>
      <c r="G88" s="53">
        <f t="shared" ca="1" si="46"/>
        <v>-40</v>
      </c>
      <c r="H88" s="53">
        <f t="shared" ca="1" si="46"/>
        <v>-40</v>
      </c>
      <c r="I88" s="53">
        <f t="shared" ca="1" si="46"/>
        <v>431.93739736880383</v>
      </c>
      <c r="J88" s="53">
        <f t="shared" ca="1" si="46"/>
        <v>843.33193887439006</v>
      </c>
      <c r="K88" s="53">
        <f t="shared" ca="1" si="46"/>
        <v>923.2891743566197</v>
      </c>
      <c r="L88" s="53">
        <f t="shared" ca="1" si="46"/>
        <v>897.2727314107226</v>
      </c>
      <c r="M88" s="53">
        <f t="shared" ca="1" si="46"/>
        <v>2115.6188441438126</v>
      </c>
      <c r="N88" s="53">
        <f t="shared" ca="1" si="46"/>
        <v>954.85784823592542</v>
      </c>
      <c r="O88" s="53">
        <f t="shared" ca="1" si="46"/>
        <v>1006.4289262419759</v>
      </c>
      <c r="P88" s="53">
        <f t="shared" ca="1" si="46"/>
        <v>788.41241503828803</v>
      </c>
      <c r="Q88" s="53">
        <f t="shared" ca="1" si="46"/>
        <v>508.91082227826712</v>
      </c>
      <c r="R88" s="53">
        <f t="shared" ca="1" si="46"/>
        <v>246.97014950036566</v>
      </c>
      <c r="S88" s="53">
        <f t="shared" ca="1" si="46"/>
        <v>207.45125494404689</v>
      </c>
      <c r="T88" s="53">
        <f t="shared" ca="1" si="46"/>
        <v>160.09356869497202</v>
      </c>
      <c r="U88" s="53">
        <f t="shared" ca="1" si="46"/>
        <v>63.014748816837468</v>
      </c>
      <c r="V88" s="53">
        <f t="shared" ca="1" si="46"/>
        <v>82.843496220857517</v>
      </c>
      <c r="W88" s="53">
        <f t="shared" ca="1" si="46"/>
        <v>51.954992348380983</v>
      </c>
      <c r="X88" s="53">
        <f t="shared" ca="1" si="46"/>
        <v>55.974489800858024</v>
      </c>
      <c r="Y88" s="53">
        <f t="shared" ca="1" si="46"/>
        <v>30.65843842264583</v>
      </c>
      <c r="Z88" s="53">
        <f t="shared" ca="1" si="46"/>
        <v>-3.0203202550927344</v>
      </c>
      <c r="AA88" s="53">
        <f t="shared" ca="1" si="46"/>
        <v>7.128717508978113</v>
      </c>
      <c r="AB88" s="53">
        <f t="shared" ca="1" si="46"/>
        <v>10.872011828464359</v>
      </c>
      <c r="AC88" s="53">
        <f t="shared" ca="1" si="46"/>
        <v>-7.7797739490157696</v>
      </c>
      <c r="AD88" s="53">
        <f t="shared" ca="1" si="46"/>
        <v>-9.8991648883935213</v>
      </c>
      <c r="AE88" s="53">
        <f t="shared" ca="1" si="46"/>
        <v>-40</v>
      </c>
    </row>
    <row r="89" spans="2:31" x14ac:dyDescent="0.45">
      <c r="B89" s="25" t="s">
        <v>280</v>
      </c>
      <c r="C89" s="26" t="s">
        <v>218</v>
      </c>
      <c r="D89" s="56">
        <f ca="1">SUM(F89:AE89)</f>
        <v>17</v>
      </c>
      <c r="E89" s="57">
        <v>0</v>
      </c>
      <c r="F89" s="43">
        <f t="shared" ref="F89:AE89" ca="1" si="47">IF(AND(F83=1,OR(F$6=C_FirstOil,AND(E89=1,F88&gt;0))),1,0)</f>
        <v>0</v>
      </c>
      <c r="G89" s="43">
        <f t="shared" ca="1" si="47"/>
        <v>0</v>
      </c>
      <c r="H89" s="43">
        <f t="shared" ca="1" si="47"/>
        <v>0</v>
      </c>
      <c r="I89" s="43">
        <f t="shared" ca="1" si="47"/>
        <v>1</v>
      </c>
      <c r="J89" s="43">
        <f t="shared" ca="1" si="47"/>
        <v>1</v>
      </c>
      <c r="K89" s="43">
        <f t="shared" ca="1" si="47"/>
        <v>1</v>
      </c>
      <c r="L89" s="43">
        <f t="shared" ca="1" si="47"/>
        <v>1</v>
      </c>
      <c r="M89" s="43">
        <f t="shared" ca="1" si="47"/>
        <v>1</v>
      </c>
      <c r="N89" s="43">
        <f t="shared" ca="1" si="47"/>
        <v>1</v>
      </c>
      <c r="O89" s="43">
        <f t="shared" ca="1" si="47"/>
        <v>1</v>
      </c>
      <c r="P89" s="43">
        <f t="shared" ca="1" si="47"/>
        <v>1</v>
      </c>
      <c r="Q89" s="43">
        <f t="shared" ca="1" si="47"/>
        <v>1</v>
      </c>
      <c r="R89" s="43">
        <f t="shared" ca="1" si="47"/>
        <v>1</v>
      </c>
      <c r="S89" s="43">
        <f t="shared" ca="1" si="47"/>
        <v>1</v>
      </c>
      <c r="T89" s="43">
        <f t="shared" ca="1" si="47"/>
        <v>1</v>
      </c>
      <c r="U89" s="43">
        <f t="shared" ca="1" si="47"/>
        <v>1</v>
      </c>
      <c r="V89" s="43">
        <f t="shared" ca="1" si="47"/>
        <v>1</v>
      </c>
      <c r="W89" s="43">
        <f t="shared" ca="1" si="47"/>
        <v>1</v>
      </c>
      <c r="X89" s="43">
        <f t="shared" ca="1" si="47"/>
        <v>1</v>
      </c>
      <c r="Y89" s="43">
        <f t="shared" ca="1" si="47"/>
        <v>1</v>
      </c>
      <c r="Z89" s="43">
        <f t="shared" ca="1" si="47"/>
        <v>0</v>
      </c>
      <c r="AA89" s="43">
        <f t="shared" ca="1" si="47"/>
        <v>0</v>
      </c>
      <c r="AB89" s="43">
        <f t="shared" ca="1" si="47"/>
        <v>0</v>
      </c>
      <c r="AC89" s="43">
        <f t="shared" ca="1" si="47"/>
        <v>0</v>
      </c>
      <c r="AD89" s="43">
        <f t="shared" ca="1" si="47"/>
        <v>0</v>
      </c>
      <c r="AE89" s="43">
        <f t="shared" ca="1" si="47"/>
        <v>0</v>
      </c>
    </row>
    <row r="90" spans="2:31" x14ac:dyDescent="0.45">
      <c r="B90" s="25" t="s">
        <v>281</v>
      </c>
      <c r="C90" s="26" t="s">
        <v>107</v>
      </c>
      <c r="D90" s="58">
        <f ca="1">SUM(F90:AE90)</f>
        <v>131.0616457961743</v>
      </c>
      <c r="E90" s="35"/>
      <c r="F90" s="55">
        <f t="shared" ref="F90:AE90" ca="1" si="48">F87*F89</f>
        <v>0</v>
      </c>
      <c r="G90" s="55">
        <f t="shared" ca="1" si="48"/>
        <v>0</v>
      </c>
      <c r="H90" s="55">
        <f t="shared" ca="1" si="48"/>
        <v>0</v>
      </c>
      <c r="I90" s="55">
        <f t="shared" ca="1" si="48"/>
        <v>6.7160000000000002</v>
      </c>
      <c r="J90" s="55">
        <f t="shared" ca="1" si="48"/>
        <v>13.432</v>
      </c>
      <c r="K90" s="55">
        <f t="shared" ca="1" si="48"/>
        <v>13.432</v>
      </c>
      <c r="L90" s="55">
        <f t="shared" ca="1" si="48"/>
        <v>13.432</v>
      </c>
      <c r="M90" s="55">
        <f t="shared" ca="1" si="48"/>
        <v>20.008015937823739</v>
      </c>
      <c r="N90" s="55">
        <f t="shared" ca="1" si="48"/>
        <v>15.404149737065909</v>
      </c>
      <c r="O90" s="55">
        <f t="shared" ca="1" si="48"/>
        <v>11.859638149996268</v>
      </c>
      <c r="P90" s="55">
        <f t="shared" ca="1" si="48"/>
        <v>9.1307225292940597</v>
      </c>
      <c r="Q90" s="55">
        <f t="shared" ca="1" si="48"/>
        <v>7.0297333571669185</v>
      </c>
      <c r="R90" s="55">
        <f t="shared" ca="1" si="48"/>
        <v>5.4121840757202317</v>
      </c>
      <c r="S90" s="55">
        <f t="shared" ca="1" si="48"/>
        <v>4.1668346409777124</v>
      </c>
      <c r="T90" s="55">
        <f t="shared" ca="1" si="48"/>
        <v>3.2080414639151615</v>
      </c>
      <c r="U90" s="55">
        <f t="shared" ca="1" si="48"/>
        <v>2.4698676383721603</v>
      </c>
      <c r="V90" s="55">
        <f t="shared" ca="1" si="48"/>
        <v>1.9015484119189663</v>
      </c>
      <c r="W90" s="55">
        <f t="shared" ca="1" si="48"/>
        <v>1.4640000568025182</v>
      </c>
      <c r="X90" s="55">
        <f t="shared" ca="1" si="48"/>
        <v>1.1271320534799574</v>
      </c>
      <c r="Y90" s="55">
        <f t="shared" ca="1" si="48"/>
        <v>0.86777774364070059</v>
      </c>
      <c r="Z90" s="55">
        <f t="shared" ca="1" si="48"/>
        <v>0</v>
      </c>
      <c r="AA90" s="55">
        <f t="shared" ca="1" si="48"/>
        <v>0</v>
      </c>
      <c r="AB90" s="55">
        <f t="shared" ca="1" si="48"/>
        <v>0</v>
      </c>
      <c r="AC90" s="55">
        <f t="shared" ca="1" si="48"/>
        <v>0</v>
      </c>
      <c r="AD90" s="55">
        <f t="shared" ca="1" si="48"/>
        <v>0</v>
      </c>
      <c r="AE90" s="55">
        <f t="shared" ca="1" si="48"/>
        <v>0</v>
      </c>
    </row>
    <row r="91" spans="2:31" x14ac:dyDescent="0.45">
      <c r="B91" s="25" t="s">
        <v>282</v>
      </c>
      <c r="C91" s="26" t="s">
        <v>107</v>
      </c>
      <c r="D91" s="35"/>
      <c r="E91" s="59">
        <v>0</v>
      </c>
      <c r="F91" s="30">
        <f t="shared" ref="F91:AE91" ca="1" si="49">E91+F90</f>
        <v>0</v>
      </c>
      <c r="G91" s="30">
        <f t="shared" ca="1" si="49"/>
        <v>0</v>
      </c>
      <c r="H91" s="30">
        <f t="shared" ca="1" si="49"/>
        <v>0</v>
      </c>
      <c r="I91" s="30">
        <f t="shared" ca="1" si="49"/>
        <v>6.7160000000000002</v>
      </c>
      <c r="J91" s="30">
        <f t="shared" ca="1" si="49"/>
        <v>20.148</v>
      </c>
      <c r="K91" s="30">
        <f t="shared" ca="1" si="49"/>
        <v>33.58</v>
      </c>
      <c r="L91" s="30">
        <f t="shared" ca="1" si="49"/>
        <v>47.012</v>
      </c>
      <c r="M91" s="30">
        <f t="shared" ca="1" si="49"/>
        <v>67.020015937823743</v>
      </c>
      <c r="N91" s="30">
        <f t="shared" ca="1" si="49"/>
        <v>82.42416567488965</v>
      </c>
      <c r="O91" s="30">
        <f t="shared" ca="1" si="49"/>
        <v>94.283803824885922</v>
      </c>
      <c r="P91" s="30">
        <f t="shared" ca="1" si="49"/>
        <v>103.41452635417998</v>
      </c>
      <c r="Q91" s="30">
        <f t="shared" ca="1" si="49"/>
        <v>110.4442597113469</v>
      </c>
      <c r="R91" s="30">
        <f t="shared" ca="1" si="49"/>
        <v>115.85644378706714</v>
      </c>
      <c r="S91" s="30">
        <f t="shared" ca="1" si="49"/>
        <v>120.02327842804485</v>
      </c>
      <c r="T91" s="30">
        <f t="shared" ca="1" si="49"/>
        <v>123.23131989196001</v>
      </c>
      <c r="U91" s="30">
        <f t="shared" ca="1" si="49"/>
        <v>125.70118753033218</v>
      </c>
      <c r="V91" s="30">
        <f t="shared" ca="1" si="49"/>
        <v>127.60273594225114</v>
      </c>
      <c r="W91" s="30">
        <f t="shared" ca="1" si="49"/>
        <v>129.06673599905366</v>
      </c>
      <c r="X91" s="30">
        <f t="shared" ca="1" si="49"/>
        <v>130.19386805253362</v>
      </c>
      <c r="Y91" s="30">
        <f t="shared" ca="1" si="49"/>
        <v>131.0616457961743</v>
      </c>
      <c r="Z91" s="30">
        <f t="shared" ca="1" si="49"/>
        <v>131.0616457961743</v>
      </c>
      <c r="AA91" s="30">
        <f t="shared" ca="1" si="49"/>
        <v>131.0616457961743</v>
      </c>
      <c r="AB91" s="30">
        <f t="shared" ca="1" si="49"/>
        <v>131.0616457961743</v>
      </c>
      <c r="AC91" s="30">
        <f t="shared" ca="1" si="49"/>
        <v>131.0616457961743</v>
      </c>
      <c r="AD91" s="30">
        <f t="shared" ca="1" si="49"/>
        <v>131.0616457961743</v>
      </c>
      <c r="AE91" s="30">
        <f t="shared" ca="1" si="49"/>
        <v>131.0616457961743</v>
      </c>
    </row>
    <row r="92" spans="2:31" x14ac:dyDescent="0.45">
      <c r="B92" s="25" t="s">
        <v>283</v>
      </c>
      <c r="C92" s="26" t="s">
        <v>148</v>
      </c>
      <c r="D92" s="54">
        <f t="shared" ref="D92:D97" ca="1" si="50">SUM(F92:AE92)</f>
        <v>11752.822632048035</v>
      </c>
      <c r="E92" s="35"/>
      <c r="F92" s="53">
        <f t="shared" ref="F92:AE92" ca="1" si="51">F90*F36</f>
        <v>0</v>
      </c>
      <c r="G92" s="53">
        <f t="shared" ca="1" si="51"/>
        <v>0</v>
      </c>
      <c r="H92" s="53">
        <f t="shared" ca="1" si="51"/>
        <v>0</v>
      </c>
      <c r="I92" s="53">
        <f t="shared" ca="1" si="51"/>
        <v>559.24539736880388</v>
      </c>
      <c r="J92" s="53">
        <f t="shared" ca="1" si="51"/>
        <v>1057.94793887439</v>
      </c>
      <c r="K92" s="53">
        <f t="shared" ca="1" si="51"/>
        <v>1137.9051743566197</v>
      </c>
      <c r="L92" s="53">
        <f t="shared" ca="1" si="51"/>
        <v>1111.8887314107226</v>
      </c>
      <c r="M92" s="53">
        <f t="shared" ca="1" si="51"/>
        <v>2415.7230513355212</v>
      </c>
      <c r="N92" s="53">
        <f t="shared" ca="1" si="51"/>
        <v>1195.1117948177823</v>
      </c>
      <c r="O92" s="53">
        <f t="shared" ca="1" si="51"/>
        <v>1200.6042221919274</v>
      </c>
      <c r="P92" s="53">
        <f t="shared" ca="1" si="51"/>
        <v>947.11180791911079</v>
      </c>
      <c r="Q92" s="53">
        <f t="shared" ca="1" si="51"/>
        <v>640.29735592143709</v>
      </c>
      <c r="R92" s="53">
        <f t="shared" ca="1" si="51"/>
        <v>357.3285424847287</v>
      </c>
      <c r="S92" s="53">
        <f t="shared" ca="1" si="51"/>
        <v>301.62010527675716</v>
      </c>
      <c r="T92" s="53">
        <f t="shared" ca="1" si="51"/>
        <v>241.7981077258691</v>
      </c>
      <c r="U92" s="53">
        <f t="shared" ca="1" si="51"/>
        <v>135.12302811567554</v>
      </c>
      <c r="V92" s="53">
        <f t="shared" ca="1" si="51"/>
        <v>147.56362557580408</v>
      </c>
      <c r="W92" s="53">
        <f t="shared" ca="1" si="51"/>
        <v>110.98699308681373</v>
      </c>
      <c r="X92" s="53">
        <f t="shared" ca="1" si="51"/>
        <v>110.62720649609747</v>
      </c>
      <c r="Y92" s="53">
        <f t="shared" ca="1" si="51"/>
        <v>81.939549089974932</v>
      </c>
      <c r="Z92" s="53">
        <f t="shared" ca="1" si="51"/>
        <v>0</v>
      </c>
      <c r="AA92" s="53">
        <f t="shared" ca="1" si="51"/>
        <v>0</v>
      </c>
      <c r="AB92" s="53">
        <f t="shared" ca="1" si="51"/>
        <v>0</v>
      </c>
      <c r="AC92" s="53">
        <f t="shared" ca="1" si="51"/>
        <v>0</v>
      </c>
      <c r="AD92" s="53">
        <f t="shared" ca="1" si="51"/>
        <v>0</v>
      </c>
      <c r="AE92" s="53">
        <f t="shared" ca="1" si="51"/>
        <v>0</v>
      </c>
    </row>
    <row r="93" spans="2:31" x14ac:dyDescent="0.45">
      <c r="B93" s="25" t="s">
        <v>284</v>
      </c>
      <c r="C93" s="26" t="s">
        <v>148</v>
      </c>
      <c r="D93" s="54">
        <f t="shared" ca="1" si="50"/>
        <v>-2383.8013953502655</v>
      </c>
      <c r="E93" s="35"/>
      <c r="F93" s="53">
        <f t="shared" ref="F93:AE93" ca="1" si="52">-F89*(C_Fixed+C_CostBbl*F90)</f>
        <v>0</v>
      </c>
      <c r="G93" s="53">
        <f t="shared" ca="1" si="52"/>
        <v>0</v>
      </c>
      <c r="H93" s="53">
        <f t="shared" ca="1" si="52"/>
        <v>0</v>
      </c>
      <c r="I93" s="53">
        <f t="shared" ca="1" si="52"/>
        <v>-127.30800000000001</v>
      </c>
      <c r="J93" s="53">
        <f t="shared" ca="1" si="52"/>
        <v>-214.61600000000001</v>
      </c>
      <c r="K93" s="53">
        <f t="shared" ca="1" si="52"/>
        <v>-214.61600000000001</v>
      </c>
      <c r="L93" s="53">
        <f t="shared" ca="1" si="52"/>
        <v>-214.61600000000001</v>
      </c>
      <c r="M93" s="53">
        <f t="shared" ca="1" si="52"/>
        <v>-300.10420719170861</v>
      </c>
      <c r="N93" s="53">
        <f t="shared" ca="1" si="52"/>
        <v>-240.25394658185681</v>
      </c>
      <c r="O93" s="53">
        <f t="shared" ca="1" si="52"/>
        <v>-194.17529594995148</v>
      </c>
      <c r="P93" s="53">
        <f t="shared" ca="1" si="52"/>
        <v>-158.69939288082276</v>
      </c>
      <c r="Q93" s="53">
        <f t="shared" ca="1" si="52"/>
        <v>-131.38653364316994</v>
      </c>
      <c r="R93" s="53">
        <f t="shared" ca="1" si="52"/>
        <v>-110.35839298436301</v>
      </c>
      <c r="S93" s="53">
        <f t="shared" ca="1" si="52"/>
        <v>-94.168850332710264</v>
      </c>
      <c r="T93" s="53">
        <f t="shared" ca="1" si="52"/>
        <v>-81.704539030897109</v>
      </c>
      <c r="U93" s="53">
        <f t="shared" ca="1" si="52"/>
        <v>-72.108279298838085</v>
      </c>
      <c r="V93" s="53">
        <f t="shared" ca="1" si="52"/>
        <v>-64.720129354946565</v>
      </c>
      <c r="W93" s="53">
        <f t="shared" ca="1" si="52"/>
        <v>-59.032000738432735</v>
      </c>
      <c r="X93" s="53">
        <f t="shared" ca="1" si="52"/>
        <v>-54.652716695239448</v>
      </c>
      <c r="Y93" s="53">
        <f t="shared" ca="1" si="52"/>
        <v>-51.281110667329109</v>
      </c>
      <c r="Z93" s="53">
        <f t="shared" ca="1" si="52"/>
        <v>0</v>
      </c>
      <c r="AA93" s="53">
        <f t="shared" ca="1" si="52"/>
        <v>0</v>
      </c>
      <c r="AB93" s="53">
        <f t="shared" ca="1" si="52"/>
        <v>0</v>
      </c>
      <c r="AC93" s="53">
        <f t="shared" ca="1" si="52"/>
        <v>0</v>
      </c>
      <c r="AD93" s="53">
        <f t="shared" ca="1" si="52"/>
        <v>0</v>
      </c>
      <c r="AE93" s="53">
        <f t="shared" ca="1" si="52"/>
        <v>0</v>
      </c>
    </row>
    <row r="94" spans="2:31" x14ac:dyDescent="0.45">
      <c r="B94" s="25" t="s">
        <v>285</v>
      </c>
      <c r="C94" s="26" t="s">
        <v>218</v>
      </c>
      <c r="D94" s="56">
        <f t="shared" ca="1" si="50"/>
        <v>1</v>
      </c>
      <c r="E94" s="35"/>
      <c r="F94" s="43">
        <f t="shared" ref="F94:AE94" ca="1" si="53">IF(OR(AND(E89=1,F89=0),AND(F$6=LastYear,F89=1)),1,0)</f>
        <v>0</v>
      </c>
      <c r="G94" s="43">
        <f t="shared" ca="1" si="53"/>
        <v>0</v>
      </c>
      <c r="H94" s="43">
        <f t="shared" ca="1" si="53"/>
        <v>0</v>
      </c>
      <c r="I94" s="43">
        <f t="shared" ca="1" si="53"/>
        <v>0</v>
      </c>
      <c r="J94" s="43">
        <f t="shared" ca="1" si="53"/>
        <v>0</v>
      </c>
      <c r="K94" s="43">
        <f t="shared" ca="1" si="53"/>
        <v>0</v>
      </c>
      <c r="L94" s="43">
        <f t="shared" ca="1" si="53"/>
        <v>0</v>
      </c>
      <c r="M94" s="43">
        <f t="shared" ca="1" si="53"/>
        <v>0</v>
      </c>
      <c r="N94" s="43">
        <f t="shared" ca="1" si="53"/>
        <v>0</v>
      </c>
      <c r="O94" s="43">
        <f t="shared" ca="1" si="53"/>
        <v>0</v>
      </c>
      <c r="P94" s="43">
        <f t="shared" ca="1" si="53"/>
        <v>0</v>
      </c>
      <c r="Q94" s="43">
        <f t="shared" ca="1" si="53"/>
        <v>0</v>
      </c>
      <c r="R94" s="43">
        <f t="shared" ca="1" si="53"/>
        <v>0</v>
      </c>
      <c r="S94" s="43">
        <f t="shared" ca="1" si="53"/>
        <v>0</v>
      </c>
      <c r="T94" s="43">
        <f t="shared" ca="1" si="53"/>
        <v>0</v>
      </c>
      <c r="U94" s="43">
        <f t="shared" ca="1" si="53"/>
        <v>0</v>
      </c>
      <c r="V94" s="43">
        <f t="shared" ca="1" si="53"/>
        <v>0</v>
      </c>
      <c r="W94" s="43">
        <f t="shared" ca="1" si="53"/>
        <v>0</v>
      </c>
      <c r="X94" s="43">
        <f t="shared" ca="1" si="53"/>
        <v>0</v>
      </c>
      <c r="Y94" s="43">
        <f t="shared" ca="1" si="53"/>
        <v>0</v>
      </c>
      <c r="Z94" s="43">
        <f t="shared" ca="1" si="53"/>
        <v>1</v>
      </c>
      <c r="AA94" s="43">
        <f t="shared" ca="1" si="53"/>
        <v>0</v>
      </c>
      <c r="AB94" s="43">
        <f t="shared" ca="1" si="53"/>
        <v>0</v>
      </c>
      <c r="AC94" s="43">
        <f t="shared" ca="1" si="53"/>
        <v>0</v>
      </c>
      <c r="AD94" s="43">
        <f t="shared" ca="1" si="53"/>
        <v>0</v>
      </c>
      <c r="AE94" s="43">
        <f t="shared" ca="1" si="53"/>
        <v>0</v>
      </c>
    </row>
    <row r="95" spans="2:31" x14ac:dyDescent="0.45">
      <c r="B95" s="25" t="s">
        <v>286</v>
      </c>
      <c r="C95" s="26" t="s">
        <v>148</v>
      </c>
      <c r="D95" s="54">
        <f t="shared" ca="1" si="50"/>
        <v>-80</v>
      </c>
      <c r="E95" s="35"/>
      <c r="F95" s="53">
        <f t="shared" ref="F95:AE95" ca="1" si="54">-F94*C_Aband</f>
        <v>0</v>
      </c>
      <c r="G95" s="53">
        <f t="shared" ca="1" si="54"/>
        <v>0</v>
      </c>
      <c r="H95" s="53">
        <f t="shared" ca="1" si="54"/>
        <v>0</v>
      </c>
      <c r="I95" s="53">
        <f t="shared" ca="1" si="54"/>
        <v>0</v>
      </c>
      <c r="J95" s="53">
        <f t="shared" ca="1" si="54"/>
        <v>0</v>
      </c>
      <c r="K95" s="53">
        <f t="shared" ca="1" si="54"/>
        <v>0</v>
      </c>
      <c r="L95" s="53">
        <f t="shared" ca="1" si="54"/>
        <v>0</v>
      </c>
      <c r="M95" s="53">
        <f t="shared" ca="1" si="54"/>
        <v>0</v>
      </c>
      <c r="N95" s="53">
        <f t="shared" ca="1" si="54"/>
        <v>0</v>
      </c>
      <c r="O95" s="53">
        <f t="shared" ca="1" si="54"/>
        <v>0</v>
      </c>
      <c r="P95" s="53">
        <f t="shared" ca="1" si="54"/>
        <v>0</v>
      </c>
      <c r="Q95" s="53">
        <f t="shared" ca="1" si="54"/>
        <v>0</v>
      </c>
      <c r="R95" s="53">
        <f t="shared" ca="1" si="54"/>
        <v>0</v>
      </c>
      <c r="S95" s="53">
        <f t="shared" ca="1" si="54"/>
        <v>0</v>
      </c>
      <c r="T95" s="53">
        <f t="shared" ca="1" si="54"/>
        <v>0</v>
      </c>
      <c r="U95" s="53">
        <f t="shared" ca="1" si="54"/>
        <v>0</v>
      </c>
      <c r="V95" s="53">
        <f t="shared" ca="1" si="54"/>
        <v>0</v>
      </c>
      <c r="W95" s="53">
        <f t="shared" ca="1" si="54"/>
        <v>0</v>
      </c>
      <c r="X95" s="53">
        <f t="shared" ca="1" si="54"/>
        <v>0</v>
      </c>
      <c r="Y95" s="53">
        <f t="shared" ca="1" si="54"/>
        <v>0</v>
      </c>
      <c r="Z95" s="53">
        <f t="shared" ca="1" si="54"/>
        <v>-80</v>
      </c>
      <c r="AA95" s="53">
        <f t="shared" ca="1" si="54"/>
        <v>0</v>
      </c>
      <c r="AB95" s="53">
        <f t="shared" ca="1" si="54"/>
        <v>0</v>
      </c>
      <c r="AC95" s="53">
        <f t="shared" ca="1" si="54"/>
        <v>0</v>
      </c>
      <c r="AD95" s="53">
        <f t="shared" ca="1" si="54"/>
        <v>0</v>
      </c>
      <c r="AE95" s="53">
        <f t="shared" ca="1" si="54"/>
        <v>0</v>
      </c>
    </row>
    <row r="96" spans="2:31" x14ac:dyDescent="0.45">
      <c r="B96" s="60" t="s">
        <v>287</v>
      </c>
      <c r="C96" s="61" t="s">
        <v>148</v>
      </c>
      <c r="D96" s="62">
        <f t="shared" ca="1" si="50"/>
        <v>8125.8484812792321</v>
      </c>
      <c r="E96" s="63"/>
      <c r="F96" s="62">
        <f t="shared" ref="F96:AE96" ca="1" si="55">F92+F93+F95-F81-F82</f>
        <v>-206.19880664237721</v>
      </c>
      <c r="G96" s="62">
        <f t="shared" ca="1" si="55"/>
        <v>-274.93174218983626</v>
      </c>
      <c r="H96" s="62">
        <f t="shared" ca="1" si="55"/>
        <v>-206.19880664237721</v>
      </c>
      <c r="I96" s="62">
        <f t="shared" ca="1" si="55"/>
        <v>431.93739736880389</v>
      </c>
      <c r="J96" s="62">
        <f t="shared" ca="1" si="55"/>
        <v>843.33193887439006</v>
      </c>
      <c r="K96" s="62">
        <f t="shared" ca="1" si="55"/>
        <v>685.36747438464602</v>
      </c>
      <c r="L96" s="62">
        <f t="shared" ca="1" si="55"/>
        <v>659.35103143874892</v>
      </c>
      <c r="M96" s="62">
        <f t="shared" ca="1" si="55"/>
        <v>2115.6188441438126</v>
      </c>
      <c r="N96" s="62">
        <f t="shared" ca="1" si="55"/>
        <v>954.85784823592553</v>
      </c>
      <c r="O96" s="62">
        <f t="shared" ca="1" si="55"/>
        <v>1006.4289262419759</v>
      </c>
      <c r="P96" s="62">
        <f t="shared" ca="1" si="55"/>
        <v>788.41241503828803</v>
      </c>
      <c r="Q96" s="62">
        <f t="shared" ca="1" si="55"/>
        <v>508.91082227826712</v>
      </c>
      <c r="R96" s="62">
        <f t="shared" ca="1" si="55"/>
        <v>246.97014950036569</v>
      </c>
      <c r="S96" s="62">
        <f t="shared" ca="1" si="55"/>
        <v>207.45125494404689</v>
      </c>
      <c r="T96" s="62">
        <f t="shared" ca="1" si="55"/>
        <v>160.09356869497199</v>
      </c>
      <c r="U96" s="62">
        <f t="shared" ca="1" si="55"/>
        <v>63.014748816837454</v>
      </c>
      <c r="V96" s="62">
        <f t="shared" ca="1" si="55"/>
        <v>82.843496220857517</v>
      </c>
      <c r="W96" s="62">
        <f t="shared" ca="1" si="55"/>
        <v>51.954992348380991</v>
      </c>
      <c r="X96" s="62">
        <f t="shared" ca="1" si="55"/>
        <v>55.974489800858024</v>
      </c>
      <c r="Y96" s="62">
        <f t="shared" ca="1" si="55"/>
        <v>30.658438422645823</v>
      </c>
      <c r="Z96" s="62">
        <f t="shared" ca="1" si="55"/>
        <v>-80</v>
      </c>
      <c r="AA96" s="62">
        <f t="shared" ca="1" si="55"/>
        <v>0</v>
      </c>
      <c r="AB96" s="62">
        <f t="shared" ca="1" si="55"/>
        <v>0</v>
      </c>
      <c r="AC96" s="62">
        <f t="shared" ca="1" si="55"/>
        <v>0</v>
      </c>
      <c r="AD96" s="62">
        <f t="shared" ca="1" si="55"/>
        <v>0</v>
      </c>
      <c r="AE96" s="62">
        <f t="shared" ca="1" si="55"/>
        <v>0</v>
      </c>
    </row>
    <row r="97" spans="2:31" x14ac:dyDescent="0.45">
      <c r="B97" s="25" t="s">
        <v>288</v>
      </c>
      <c r="C97" s="26" t="s">
        <v>148</v>
      </c>
      <c r="D97" s="54">
        <f t="shared" ca="1" si="50"/>
        <v>3565.4779870266102</v>
      </c>
      <c r="E97" s="35"/>
      <c r="F97" s="53">
        <f t="shared" ref="F97:AE97" ca="1" si="56">F96*F37</f>
        <v>-196.6028480805922</v>
      </c>
      <c r="G97" s="53">
        <f t="shared" ca="1" si="56"/>
        <v>-238.30648252192989</v>
      </c>
      <c r="H97" s="53">
        <f t="shared" ca="1" si="56"/>
        <v>-162.48169262858858</v>
      </c>
      <c r="I97" s="53">
        <f t="shared" ca="1" si="56"/>
        <v>309.41859450583166</v>
      </c>
      <c r="J97" s="53">
        <f t="shared" ca="1" si="56"/>
        <v>549.20118436765335</v>
      </c>
      <c r="K97" s="53">
        <f t="shared" ca="1" si="56"/>
        <v>405.75485201054113</v>
      </c>
      <c r="L97" s="53">
        <f t="shared" ca="1" si="56"/>
        <v>354.86587346263616</v>
      </c>
      <c r="M97" s="53">
        <f t="shared" ca="1" si="56"/>
        <v>1035.1237852811603</v>
      </c>
      <c r="N97" s="53">
        <f t="shared" ca="1" si="56"/>
        <v>424.71822585251306</v>
      </c>
      <c r="O97" s="53">
        <f t="shared" ca="1" si="56"/>
        <v>406.96082172178052</v>
      </c>
      <c r="P97" s="53">
        <f t="shared" ca="1" si="56"/>
        <v>289.82127339149696</v>
      </c>
      <c r="Q97" s="53">
        <f t="shared" ca="1" si="56"/>
        <v>170.06925418277365</v>
      </c>
      <c r="R97" s="53">
        <f t="shared" ca="1" si="56"/>
        <v>75.030164765147006</v>
      </c>
      <c r="S97" s="53">
        <f t="shared" ca="1" si="56"/>
        <v>57.29474841274034</v>
      </c>
      <c r="T97" s="53">
        <f t="shared" ca="1" si="56"/>
        <v>40.195732829996253</v>
      </c>
      <c r="U97" s="53">
        <f t="shared" ca="1" si="56"/>
        <v>14.383202321438135</v>
      </c>
      <c r="V97" s="53">
        <f t="shared" ca="1" si="56"/>
        <v>17.190128134249615</v>
      </c>
      <c r="W97" s="53">
        <f t="shared" ca="1" si="56"/>
        <v>9.800659364009185</v>
      </c>
      <c r="X97" s="53">
        <f t="shared" ca="1" si="56"/>
        <v>9.5989884323846404</v>
      </c>
      <c r="Y97" s="53">
        <f t="shared" ca="1" si="56"/>
        <v>4.7796122974291517</v>
      </c>
      <c r="Z97" s="53">
        <f t="shared" ca="1" si="56"/>
        <v>-11.338091076060682</v>
      </c>
      <c r="AA97" s="53">
        <f t="shared" ca="1" si="56"/>
        <v>0</v>
      </c>
      <c r="AB97" s="53">
        <f t="shared" ca="1" si="56"/>
        <v>0</v>
      </c>
      <c r="AC97" s="53">
        <f t="shared" ca="1" si="56"/>
        <v>0</v>
      </c>
      <c r="AD97" s="53">
        <f t="shared" ca="1" si="56"/>
        <v>0</v>
      </c>
      <c r="AE97" s="53">
        <f t="shared" ca="1" si="56"/>
        <v>0</v>
      </c>
    </row>
    <row r="98" spans="2:31" ht="8" customHeight="1" x14ac:dyDescent="0.45"/>
    <row r="99" spans="2:31" ht="22.05" customHeight="1" x14ac:dyDescent="0.5">
      <c r="B99" s="7" t="s">
        <v>293</v>
      </c>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row>
    <row r="100" spans="2:31" ht="18" customHeight="1" x14ac:dyDescent="0.45">
      <c r="B100" s="13" t="s">
        <v>294</v>
      </c>
    </row>
    <row r="101" spans="2:31" ht="18" customHeight="1" x14ac:dyDescent="0.45">
      <c r="B101" s="49" t="s">
        <v>295</v>
      </c>
      <c r="C101" s="49" t="s">
        <v>98</v>
      </c>
      <c r="D101" s="51" t="s">
        <v>233</v>
      </c>
      <c r="E101" s="5"/>
      <c r="F101" s="49" t="s">
        <v>296</v>
      </c>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row>
    <row r="102" spans="2:31" x14ac:dyDescent="0.45">
      <c r="B102" s="25" t="s">
        <v>297</v>
      </c>
      <c r="C102" s="26" t="s">
        <v>148</v>
      </c>
      <c r="D102" s="64" cm="1">
        <f t="array" aca="1" ref="D102" ca="1">_xll.VoseOutput("NPV A tieback","US$m")+D57</f>
        <v>3589.8211731322581</v>
      </c>
      <c r="E102" s="35"/>
      <c r="F102" s="26" t="s">
        <v>298</v>
      </c>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row>
    <row r="103" spans="2:31" x14ac:dyDescent="0.45">
      <c r="B103" s="25" t="s">
        <v>299</v>
      </c>
      <c r="C103" s="26" t="s">
        <v>148</v>
      </c>
      <c r="D103" s="64" cm="1">
        <f t="array" aca="1" ref="D103" ca="1">_xll.VoseOutput("NPV B FPSO","US$m")+D77</f>
        <v>3257.8303427722672</v>
      </c>
      <c r="E103" s="35"/>
      <c r="F103" s="26"/>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row>
    <row r="104" spans="2:31" x14ac:dyDescent="0.45">
      <c r="B104" s="25" t="s">
        <v>300</v>
      </c>
      <c r="C104" s="26" t="s">
        <v>148</v>
      </c>
      <c r="D104" s="64" cm="1">
        <f t="array" aca="1" ref="D104" ca="1">_xll.VoseOutput("NPV C tieback with option","US$m")+D97</f>
        <v>3565.4779870266102</v>
      </c>
      <c r="E104" s="35"/>
      <c r="F104" s="26"/>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row>
    <row r="105" spans="2:31" x14ac:dyDescent="0.45">
      <c r="B105" s="25" t="s">
        <v>301</v>
      </c>
      <c r="C105" s="26" t="s">
        <v>107</v>
      </c>
      <c r="D105" s="65" cm="1">
        <f t="array" aca="1" ref="D105" ca="1">_xll.VoseOutput("Oil produced A","MMbbl")+D50</f>
        <v>126.48425083188761</v>
      </c>
      <c r="E105" s="35"/>
      <c r="F105" s="26" t="s">
        <v>302</v>
      </c>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row>
    <row r="106" spans="2:31" x14ac:dyDescent="0.45">
      <c r="B106" s="25" t="s">
        <v>303</v>
      </c>
      <c r="C106" s="26" t="s">
        <v>107</v>
      </c>
      <c r="D106" s="65" cm="1">
        <f t="array" aca="1" ref="D106" ca="1">_xll.VoseOutput("Oil produced B","MMbbl")+D70</f>
        <v>124.82354684549694</v>
      </c>
      <c r="E106" s="35"/>
      <c r="F106" s="26"/>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row>
    <row r="107" spans="2:31" x14ac:dyDescent="0.45">
      <c r="B107" s="25" t="s">
        <v>304</v>
      </c>
      <c r="C107" s="26" t="s">
        <v>107</v>
      </c>
      <c r="D107" s="65" cm="1">
        <f t="array" aca="1" ref="D107" ca="1">_xll.VoseOutput("Oil produced C","MMbbl")+D90</f>
        <v>131.0616457961743</v>
      </c>
      <c r="E107" s="35"/>
      <c r="F107" s="26"/>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row>
    <row r="108" spans="2:31" x14ac:dyDescent="0.45">
      <c r="B108" s="25" t="s">
        <v>305</v>
      </c>
      <c r="C108" s="26" t="s">
        <v>306</v>
      </c>
      <c r="D108" s="66" cm="1">
        <f t="array" aca="1" ref="D108" ca="1">_xll.VoseOutput("Best concept","1 A, 2 B, 3 C")+IF(AND(NPV_A&gt;=NPV_B,NPV_A&gt;=NPV_C),1,IF(NPV_B&gt;=NPV_C,2,3))</f>
        <v>1</v>
      </c>
      <c r="E108" s="35"/>
      <c r="F108" s="26" t="s">
        <v>307</v>
      </c>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row>
    <row r="109" spans="2:31" x14ac:dyDescent="0.45">
      <c r="B109" s="25" t="s">
        <v>308</v>
      </c>
      <c r="C109" s="26" t="s">
        <v>218</v>
      </c>
      <c r="D109" s="66" cm="1">
        <f t="array" aca="1" ref="D109" ca="1">_xll.VoseOutput("Concept C expands","1 = yes")+Expand</f>
        <v>1</v>
      </c>
      <c r="E109" s="35"/>
      <c r="F109" s="26"/>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row>
    <row r="110" spans="2:31" ht="8" customHeight="1" x14ac:dyDescent="0.45"/>
    <row r="111" spans="2:31" ht="22.05" customHeight="1" x14ac:dyDescent="0.5">
      <c r="B111" s="7" t="s">
        <v>309</v>
      </c>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row>
    <row r="112" spans="2:31" ht="18" customHeight="1" x14ac:dyDescent="0.45">
      <c r="B112" s="13" t="s">
        <v>310</v>
      </c>
    </row>
    <row r="113" spans="2:31" x14ac:dyDescent="0.45">
      <c r="B113" s="25" t="s">
        <v>311</v>
      </c>
      <c r="C113" s="35"/>
      <c r="D113" s="67" t="str">
        <f>IF(COUNTIF(InputMeans,"✗*")=0,"OK","CHECK")</f>
        <v>OK</v>
      </c>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row>
    <row r="114" spans="2:31" x14ac:dyDescent="0.45">
      <c r="B114" s="25" t="s">
        <v>312</v>
      </c>
      <c r="C114" s="35"/>
      <c r="D114" s="67" t="str">
        <f ca="1">IF(MAX(Vol_A,Vol_B,Vol_C)&lt;=Recoverable*(1+0.000000001),"OK","CHECK")</f>
        <v>OK</v>
      </c>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row>
    <row r="115" spans="2:31" x14ac:dyDescent="0.45">
      <c r="B115" s="25" t="s">
        <v>313</v>
      </c>
      <c r="C115" s="35"/>
      <c r="D115" s="67" t="str">
        <f>IF(DecisionYear&gt;FirstOil_A,"OK","CHECK")</f>
        <v>OK</v>
      </c>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row>
    <row r="116" spans="2:31" x14ac:dyDescent="0.45">
      <c r="B116" s="25" t="s">
        <v>314</v>
      </c>
      <c r="C116" s="35"/>
      <c r="D116" s="67" t="str">
        <f ca="1">IF(AND(ABS(D41+D42-(A_Capex+A_Capex2)*CapexFactor)&lt;0.000001,ABS(D61+D62-(B_Capex+B_Capex2)*CapexFactor)&lt;0.000001,ABS(D81+D82-(C_Capex+C_Capex2)*CapexFactor)&lt;0.000001),"OK","CHECK")</f>
        <v>OK</v>
      </c>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row>
    <row r="117" spans="2:31" ht="14" customHeight="1" x14ac:dyDescent="0.45"/>
  </sheetData>
  <conditionalFormatting sqref="D113:D116">
    <cfRule type="expression" dxfId="4" priority="1">
      <formula>D113="CHECK"</formula>
    </cfRule>
  </conditionalFormatting>
  <hyperlinks>
    <hyperlink ref="B4" location="'Inputs'!A1" display="◂  Inputs" xr:uid="{00000000-0004-0000-0200-000000000000}"/>
    <hyperlink ref="AE4" location="'Results'!A1" display="Next:  Results  ▸" xr:uid="{00000000-0004-0000-0200-000001000000}"/>
  </hyperlinks>
  <printOptions horizontalCentered="1"/>
  <pageMargins left="0.4" right="0.4" top="0.5" bottom="0.6" header="0.25" footer="0.25"/>
  <pageSetup paperSize="8" scale="61"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23"/>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315</v>
      </c>
      <c r="C3" s="1"/>
      <c r="D3" s="1"/>
      <c r="E3" s="1"/>
      <c r="F3" s="1"/>
      <c r="G3" s="1"/>
      <c r="H3" s="1"/>
      <c r="I3" s="1"/>
      <c r="J3" s="1"/>
      <c r="K3" s="1"/>
      <c r="L3" s="1"/>
      <c r="M3" s="1"/>
      <c r="N3" s="1"/>
      <c r="O3" s="1"/>
      <c r="P3" s="1"/>
      <c r="Q3" s="1"/>
      <c r="R3" s="1"/>
    </row>
    <row r="4" spans="1:18" ht="20" customHeight="1" x14ac:dyDescent="0.45">
      <c r="A4" s="5"/>
      <c r="B4" s="22" t="s">
        <v>316</v>
      </c>
      <c r="C4" s="5"/>
      <c r="D4" s="5"/>
      <c r="E4" s="5"/>
      <c r="F4" s="5"/>
      <c r="G4" s="5"/>
      <c r="H4" s="5"/>
      <c r="I4" s="5"/>
      <c r="J4" s="5"/>
      <c r="K4" s="5"/>
      <c r="L4" s="5"/>
      <c r="M4" s="5"/>
      <c r="N4" s="5"/>
      <c r="O4" s="5"/>
      <c r="P4" s="5"/>
      <c r="Q4" s="5"/>
      <c r="R4" s="5"/>
    </row>
    <row r="5" spans="1:18" ht="8" customHeight="1" x14ac:dyDescent="0.45"/>
    <row r="6" spans="1:18" ht="26" customHeight="1" x14ac:dyDescent="0.45">
      <c r="B6" s="68" t="str" cm="1">
        <f t="array" aca="1" ref="B6" ca="1">IF(ISNUMBER(_xll.VoseSimMean(NPV_C)),"✔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69"/>
      <c r="D6" s="69"/>
      <c r="E6" s="69"/>
      <c r="F6" s="69"/>
      <c r="G6" s="69"/>
    </row>
    <row r="7" spans="1:18" x14ac:dyDescent="0.45">
      <c r="B7" s="70" t="str">
        <f ca="1">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317</v>
      </c>
      <c r="C9" s="8"/>
      <c r="D9" s="8"/>
      <c r="E9" s="8"/>
      <c r="F9" s="8"/>
      <c r="G9" s="8"/>
      <c r="I9" s="71" t="s">
        <v>318</v>
      </c>
      <c r="J9" s="8"/>
      <c r="K9" s="8"/>
      <c r="L9" s="8"/>
      <c r="M9" s="8"/>
      <c r="N9" s="8"/>
      <c r="O9" s="8"/>
      <c r="P9" s="8"/>
      <c r="Q9" s="8"/>
      <c r="R9" s="8"/>
    </row>
    <row r="10" spans="1:18" ht="18" customHeight="1" x14ac:dyDescent="0.45">
      <c r="B10" s="13" t="s">
        <v>319</v>
      </c>
    </row>
    <row r="11" spans="1:18" ht="18" customHeight="1" x14ac:dyDescent="0.45">
      <c r="B11" s="72" t="s">
        <v>320</v>
      </c>
      <c r="C11" s="73" t="s">
        <v>321</v>
      </c>
      <c r="D11" s="73" t="s">
        <v>322</v>
      </c>
      <c r="E11" s="73" t="s">
        <v>323</v>
      </c>
      <c r="F11" s="73" t="s">
        <v>324</v>
      </c>
      <c r="G11" s="73" t="s">
        <v>325</v>
      </c>
    </row>
    <row r="12" spans="1:18" x14ac:dyDescent="0.45">
      <c r="B12" s="74"/>
      <c r="C12" s="74" t="s">
        <v>148</v>
      </c>
      <c r="D12" s="74" t="s">
        <v>148</v>
      </c>
      <c r="E12" s="74" t="s">
        <v>326</v>
      </c>
      <c r="F12" s="74" t="s">
        <v>148</v>
      </c>
      <c r="G12" s="74" t="s">
        <v>148</v>
      </c>
    </row>
    <row r="13" spans="1:18" x14ac:dyDescent="0.45">
      <c r="B13" s="25" t="s">
        <v>327</v>
      </c>
      <c r="C13" s="53">
        <f>Capex_A</f>
        <v>650</v>
      </c>
      <c r="D13" s="75" cm="1">
        <f t="array" aca="1" ref="D13" ca="1">_xll.VoseSimMean(NPV_A)</f>
        <v>2379.4503360486283</v>
      </c>
      <c r="E13" s="76" cm="1">
        <f t="array" aca="1" ref="E13" ca="1">_xll.VoseSimProbability(NPV_A,0)</f>
        <v>3.4996500349965005E-3</v>
      </c>
      <c r="F13" s="75" cm="1">
        <f t="array" aca="1" ref="F13" ca="1">_xll.VoseSimPercentile(NPV_A,0.1)</f>
        <v>938.39610011882019</v>
      </c>
      <c r="G13" s="75" cm="1">
        <f t="array" aca="1" ref="G13" ca="1">_xll.VoseSimPercentile(NPV_A,0.9)</f>
        <v>3961.7976373172951</v>
      </c>
    </row>
    <row r="14" spans="1:18" x14ac:dyDescent="0.45">
      <c r="B14" s="25" t="s">
        <v>328</v>
      </c>
      <c r="C14" s="53">
        <f>Capex_B</f>
        <v>1500</v>
      </c>
      <c r="D14" s="75" cm="1">
        <f t="array" aca="1" ref="D14" ca="1">_xll.VoseSimMean(NPV_B)</f>
        <v>2151.5330438194592</v>
      </c>
      <c r="E14" s="76" cm="1">
        <f t="array" aca="1" ref="E14" ca="1">_xll.VoseSimProbability(NPV_B,0)</f>
        <v>9.0890910908909106E-2</v>
      </c>
      <c r="F14" s="75" cm="1">
        <f t="array" aca="1" ref="F14" ca="1">_xll.VoseSimPercentile(NPV_B,0.1)</f>
        <v>51.384003117188996</v>
      </c>
      <c r="G14" s="75" cm="1">
        <f t="array" aca="1" ref="G14" ca="1">_xll.VoseSimPercentile(NPV_B,0.9)</f>
        <v>4706.1785998632467</v>
      </c>
    </row>
    <row r="15" spans="1:18" x14ac:dyDescent="0.45">
      <c r="B15" s="25" t="s">
        <v>329</v>
      </c>
      <c r="C15" s="53">
        <f>Capex_A</f>
        <v>650</v>
      </c>
      <c r="D15" s="75" cm="1">
        <f t="array" aca="1" ref="D15" ca="1">_xll.VoseSimMean(NPV_C)</f>
        <v>2663.9886194891606</v>
      </c>
      <c r="E15" s="76" cm="1">
        <f t="array" aca="1" ref="E15" ca="1">_xll.VoseSimProbability(NPV_C,0)</f>
        <v>3.4996500349965005E-3</v>
      </c>
      <c r="F15" s="75" cm="1">
        <f t="array" aca="1" ref="F15" ca="1">_xll.VoseSimPercentile(NPV_C,0.1)</f>
        <v>917.26095944248425</v>
      </c>
      <c r="G15" s="75" cm="1">
        <f t="array" aca="1" ref="G15" ca="1">_xll.VoseSimPercentile(NPV_C,0.9)</f>
        <v>4809.7071770778912</v>
      </c>
    </row>
    <row r="16" spans="1:18" ht="22.05" customHeight="1" x14ac:dyDescent="0.45">
      <c r="B16" s="60" t="s">
        <v>330</v>
      </c>
      <c r="C16" s="63"/>
      <c r="D16" s="77" t="str" cm="1">
        <f t="array" aca="1" ref="D16" ca="1">IF(ISNUMBER(D13),INDEX({"A","B","C"},MATCH(MAX(D13:D15),D13:D15,0))&amp;"  "&amp;INDEX({"Subsea tieback","Standalone FPSO","Tieback with option to expand"},MATCH(MAX(D13:D15),D13:D15,0)),"–")</f>
        <v>C  Tieback with option to expand</v>
      </c>
      <c r="E16" s="63"/>
      <c r="F16" s="63"/>
      <c r="G16" s="63"/>
    </row>
    <row r="17" spans="2:7" x14ac:dyDescent="0.45">
      <c r="B17" s="78" t="s">
        <v>331</v>
      </c>
    </row>
    <row r="18" spans="2:7" ht="8" customHeight="1" x14ac:dyDescent="0.45"/>
    <row r="19" spans="2:7" ht="22.05" customHeight="1" x14ac:dyDescent="0.5">
      <c r="B19" s="7" t="s">
        <v>332</v>
      </c>
      <c r="C19" s="8"/>
      <c r="D19" s="8"/>
      <c r="E19" s="8"/>
      <c r="F19" s="8"/>
      <c r="G19" s="8"/>
    </row>
    <row r="20" spans="2:7" ht="18" customHeight="1" x14ac:dyDescent="0.45">
      <c r="B20" s="13" t="s">
        <v>333</v>
      </c>
    </row>
    <row r="21" spans="2:7" ht="18" customHeight="1" x14ac:dyDescent="0.45">
      <c r="B21" s="23" t="s">
        <v>334</v>
      </c>
      <c r="C21" s="23"/>
      <c r="D21" s="24" t="s">
        <v>335</v>
      </c>
      <c r="E21" s="5"/>
      <c r="F21" s="5"/>
      <c r="G21" s="5"/>
    </row>
    <row r="22" spans="2:7" x14ac:dyDescent="0.45">
      <c r="B22" s="25" t="s">
        <v>327</v>
      </c>
      <c r="C22" s="35"/>
      <c r="D22" s="79">
        <f ca="1">IF(ISNUMBER(D111),D111,"–")</f>
        <v>0.62463753624637541</v>
      </c>
      <c r="E22" s="35"/>
      <c r="F22" s="35"/>
      <c r="G22" s="35"/>
    </row>
    <row r="23" spans="2:7" x14ac:dyDescent="0.45">
      <c r="B23" s="25" t="s">
        <v>328</v>
      </c>
      <c r="C23" s="35"/>
      <c r="D23" s="79">
        <f ca="1">IF(ISNUMBER(D112),D112-D111,"–")</f>
        <v>0.12388761123887604</v>
      </c>
      <c r="E23" s="35"/>
      <c r="F23" s="35"/>
      <c r="G23" s="35"/>
    </row>
    <row r="24" spans="2:7" x14ac:dyDescent="0.45">
      <c r="B24" s="25" t="s">
        <v>329</v>
      </c>
      <c r="C24" s="35"/>
      <c r="D24" s="79">
        <f ca="1">IF(ISNUMBER(D112),1-D112,"–")</f>
        <v>0.25147485251474855</v>
      </c>
      <c r="E24" s="35"/>
      <c r="F24" s="35"/>
      <c r="G24" s="35"/>
    </row>
    <row r="25" spans="2:7" x14ac:dyDescent="0.45">
      <c r="B25" s="80" t="s">
        <v>203</v>
      </c>
      <c r="C25" s="81"/>
      <c r="D25" s="82">
        <f ca="1">IF(ISNUMBER(D22),SUM(D22:D24),"–")</f>
        <v>1</v>
      </c>
      <c r="E25" s="81"/>
      <c r="F25" s="81"/>
      <c r="G25" s="81"/>
    </row>
    <row r="26" spans="2:7" ht="8" customHeight="1" x14ac:dyDescent="0.45"/>
    <row r="27" spans="2:7" ht="22.05" customHeight="1" x14ac:dyDescent="0.5">
      <c r="B27" s="7" t="s">
        <v>336</v>
      </c>
      <c r="C27" s="8"/>
      <c r="D27" s="8"/>
      <c r="E27" s="8"/>
      <c r="F27" s="8"/>
      <c r="G27" s="8"/>
    </row>
    <row r="28" spans="2:7" ht="18" customHeight="1" x14ac:dyDescent="0.45">
      <c r="B28" s="13" t="s">
        <v>337</v>
      </c>
    </row>
    <row r="29" spans="2:7" ht="18" customHeight="1" x14ac:dyDescent="0.45">
      <c r="B29" s="23" t="s">
        <v>338</v>
      </c>
      <c r="C29" s="23" t="s">
        <v>98</v>
      </c>
      <c r="D29" s="24" t="s">
        <v>233</v>
      </c>
      <c r="E29" s="5"/>
      <c r="F29" s="5"/>
      <c r="G29" s="5"/>
    </row>
    <row r="30" spans="2:7" x14ac:dyDescent="0.45">
      <c r="B30" s="83" t="s">
        <v>339</v>
      </c>
      <c r="C30" s="26" t="s">
        <v>148</v>
      </c>
      <c r="D30" s="75">
        <f ca="1">IFERROR(D15-D13,"–")</f>
        <v>284.53828344053227</v>
      </c>
      <c r="E30" s="35"/>
      <c r="F30" s="35"/>
      <c r="G30" s="35"/>
    </row>
    <row r="31" spans="2:7" x14ac:dyDescent="0.45">
      <c r="B31" s="25" t="s">
        <v>340</v>
      </c>
      <c r="C31" s="26" t="s">
        <v>148</v>
      </c>
      <c r="D31" s="75">
        <f ca="1">IFERROR(D15-D14,"–")</f>
        <v>512.45557566970137</v>
      </c>
      <c r="E31" s="35"/>
      <c r="F31" s="35"/>
      <c r="G31" s="35"/>
    </row>
    <row r="32" spans="2:7" x14ac:dyDescent="0.45">
      <c r="B32" s="25" t="s">
        <v>341</v>
      </c>
      <c r="C32" s="26" t="s">
        <v>175</v>
      </c>
      <c r="D32" s="76" cm="1">
        <f t="array" aca="1" ref="D32" ca="1">_xll.VoseSimMean(ExpandOut)</f>
        <v>0.60419999999999996</v>
      </c>
      <c r="E32" s="35"/>
      <c r="F32" s="35"/>
      <c r="G32" s="35"/>
    </row>
    <row r="33" spans="2:18" x14ac:dyDescent="0.45">
      <c r="B33" s="25" t="s">
        <v>342</v>
      </c>
      <c r="C33" s="26" t="s">
        <v>107</v>
      </c>
      <c r="D33" s="84" cm="1">
        <f t="array" aca="1" ref="D33" ca="1">_xll.VoseSimMean(Recoverable)</f>
        <v>137.78444442352207</v>
      </c>
      <c r="E33" s="35"/>
      <c r="F33" s="35"/>
      <c r="G33" s="35"/>
    </row>
    <row r="34" spans="2:18" x14ac:dyDescent="0.45">
      <c r="B34" s="25" t="s">
        <v>343</v>
      </c>
      <c r="C34" s="26" t="s">
        <v>107</v>
      </c>
      <c r="D34" s="84" cm="1">
        <f t="array" aca="1" ref="D34" ca="1">_xll.VoseSimMean(Vol_A)</f>
        <v>106.05476696775921</v>
      </c>
      <c r="E34" s="35"/>
      <c r="F34" s="35"/>
      <c r="G34" s="35"/>
    </row>
    <row r="35" spans="2:18" x14ac:dyDescent="0.45">
      <c r="B35" s="25" t="s">
        <v>344</v>
      </c>
      <c r="C35" s="26" t="s">
        <v>107</v>
      </c>
      <c r="D35" s="84" cm="1">
        <f t="array" aca="1" ref="D35" ca="1">_xll.VoseSimMean(Vol_B)</f>
        <v>129.19558559985737</v>
      </c>
      <c r="E35" s="35"/>
      <c r="F35" s="35"/>
      <c r="G35" s="35"/>
    </row>
    <row r="36" spans="2:18" x14ac:dyDescent="0.45">
      <c r="B36" s="25" t="s">
        <v>345</v>
      </c>
      <c r="C36" s="26" t="s">
        <v>107</v>
      </c>
      <c r="D36" s="84" cm="1">
        <f t="array" aca="1" ref="D36" ca="1">_xll.VoseSimMean(Vol_C)</f>
        <v>130.14810985324877</v>
      </c>
      <c r="E36" s="35"/>
      <c r="F36" s="35"/>
      <c r="G36" s="35"/>
    </row>
    <row r="37" spans="2:18" ht="8" customHeight="1" x14ac:dyDescent="0.45"/>
    <row r="38" spans="2:18" ht="22.05" customHeight="1" x14ac:dyDescent="0.5">
      <c r="B38" s="7" t="s">
        <v>346</v>
      </c>
      <c r="C38" s="8"/>
      <c r="D38" s="8"/>
      <c r="E38" s="8"/>
      <c r="F38" s="8"/>
      <c r="G38" s="8"/>
      <c r="I38" s="71" t="s">
        <v>347</v>
      </c>
      <c r="J38" s="8"/>
      <c r="K38" s="8"/>
      <c r="L38" s="8"/>
      <c r="M38" s="8"/>
      <c r="N38" s="8"/>
      <c r="O38" s="8"/>
      <c r="P38" s="8"/>
      <c r="Q38" s="8"/>
      <c r="R38" s="8"/>
    </row>
    <row r="39" spans="2:18" ht="18" customHeight="1" x14ac:dyDescent="0.45">
      <c r="B39" s="13" t="s">
        <v>348</v>
      </c>
    </row>
    <row r="40" spans="2:18" ht="18" customHeight="1" x14ac:dyDescent="0.45">
      <c r="B40" s="23" t="s">
        <v>349</v>
      </c>
      <c r="C40" s="24" t="s">
        <v>350</v>
      </c>
      <c r="D40" s="24" t="s">
        <v>351</v>
      </c>
      <c r="E40" s="85" t="s">
        <v>352</v>
      </c>
      <c r="F40" s="5"/>
      <c r="G40" s="5"/>
    </row>
    <row r="41" spans="2:18" x14ac:dyDescent="0.45">
      <c r="B41" s="25" t="str">
        <f t="array" aca="1" ref="B41:E47" ca="1">_xll.VoseSimSensitivityMean(NPV_C,10,1,FALSE)</f>
        <v>Recoverable volume</v>
      </c>
      <c r="C41" s="75">
        <f ca="1"/>
        <v>937.89138453561293</v>
      </c>
      <c r="D41" s="75">
        <f ca="1"/>
        <v>5153.5758165400366</v>
      </c>
      <c r="E41" s="86">
        <f ca="1"/>
        <v>1</v>
      </c>
      <c r="F41" s="35"/>
      <c r="G41" s="35"/>
    </row>
    <row r="42" spans="2:18" x14ac:dyDescent="0.45">
      <c r="B42" s="25" t="str">
        <f ca="1"/>
        <v>Volume estimate at decision</v>
      </c>
      <c r="C42" s="75">
        <f ca="1"/>
        <v>1031.715704041274</v>
      </c>
      <c r="D42" s="75">
        <f ca="1"/>
        <v>4992.6392686730851</v>
      </c>
      <c r="E42" s="86">
        <f ca="1"/>
        <v>2</v>
      </c>
      <c r="F42" s="35"/>
      <c r="G42" s="35"/>
    </row>
    <row r="43" spans="2:18" x14ac:dyDescent="0.45">
      <c r="B43" s="25" t="str">
        <f ca="1"/>
        <v>Long-term oil price</v>
      </c>
      <c r="C43" s="75">
        <f ca="1"/>
        <v>1963.2300547550865</v>
      </c>
      <c r="D43" s="75">
        <f ca="1"/>
        <v>3484.3560730201079</v>
      </c>
      <c r="E43" s="86">
        <f ca="1"/>
        <v>3</v>
      </c>
      <c r="F43" s="35"/>
      <c r="G43" s="35"/>
    </row>
    <row r="44" spans="2:18" x14ac:dyDescent="0.45">
      <c r="B44" s="25" t="str">
        <f ca="1"/>
        <v>Deliverability</v>
      </c>
      <c r="C44" s="75">
        <f ca="1"/>
        <v>2524.1830740802488</v>
      </c>
      <c r="D44" s="75">
        <f ca="1"/>
        <v>2779.1698428871109</v>
      </c>
      <c r="E44" s="86">
        <f ca="1"/>
        <v>4</v>
      </c>
      <c r="F44" s="35"/>
      <c r="G44" s="35"/>
    </row>
    <row r="45" spans="2:18" x14ac:dyDescent="0.45">
      <c r="B45" s="25" t="str">
        <f ca="1"/>
        <v>Capex overrun factor</v>
      </c>
      <c r="C45" s="75">
        <f ca="1"/>
        <v>2559.6975205276958</v>
      </c>
      <c r="D45" s="75">
        <f ca="1"/>
        <v>2804.8778291547437</v>
      </c>
      <c r="E45" s="86">
        <f ca="1"/>
        <v>5</v>
      </c>
      <c r="F45" s="35"/>
      <c r="G45" s="35"/>
    </row>
    <row r="46" spans="2:18" x14ac:dyDescent="0.45">
      <c r="B46" s="25" t="str">
        <f ca="1"/>
        <v>Host remaining life</v>
      </c>
      <c r="C46" s="75">
        <f ca="1"/>
        <v>2583.2478837437834</v>
      </c>
      <c r="D46" s="75">
        <f ca="1"/>
        <v>2746.3584479995689</v>
      </c>
      <c r="E46" s="86">
        <f ca="1"/>
        <v>6</v>
      </c>
      <c r="F46" s="35"/>
      <c r="G46" s="35"/>
    </row>
    <row r="47" spans="2:18" x14ac:dyDescent="0.45">
      <c r="B47" s="25" t="str">
        <f ca="1"/>
        <v>FPSO delay</v>
      </c>
      <c r="C47" s="75">
        <f ca="1"/>
        <v>2661.0155109125512</v>
      </c>
      <c r="D47" s="75">
        <f ca="1"/>
        <v>2671.0972626135117</v>
      </c>
      <c r="E47" s="86">
        <f ca="1"/>
        <v>7</v>
      </c>
      <c r="F47" s="35"/>
      <c r="G47" s="35"/>
    </row>
    <row r="48" spans="2:18" ht="8" customHeight="1" x14ac:dyDescent="0.45"/>
    <row r="49" spans="2:7" ht="22.05" customHeight="1" x14ac:dyDescent="0.5">
      <c r="B49" s="7" t="s">
        <v>353</v>
      </c>
      <c r="C49" s="8"/>
      <c r="D49" s="8"/>
      <c r="E49" s="8"/>
      <c r="F49" s="8"/>
      <c r="G49" s="8"/>
    </row>
    <row r="50" spans="2:7" ht="32" customHeight="1" x14ac:dyDescent="0.45">
      <c r="B50" s="96" t="s">
        <v>354</v>
      </c>
      <c r="C50" s="97"/>
      <c r="D50" s="97"/>
      <c r="E50" s="97"/>
      <c r="F50" s="97"/>
      <c r="G50" s="97"/>
    </row>
    <row r="51" spans="2:7" ht="32" customHeight="1" x14ac:dyDescent="0.45">
      <c r="B51" s="96" t="s">
        <v>355</v>
      </c>
      <c r="C51" s="97"/>
      <c r="D51" s="97"/>
      <c r="E51" s="97"/>
      <c r="F51" s="97"/>
      <c r="G51" s="97"/>
    </row>
    <row r="52" spans="2:7" ht="45" customHeight="1" x14ac:dyDescent="0.45">
      <c r="B52" s="96" t="s">
        <v>356</v>
      </c>
      <c r="C52" s="97"/>
      <c r="D52" s="97"/>
      <c r="E52" s="97"/>
      <c r="F52" s="97"/>
      <c r="G52" s="97"/>
    </row>
    <row r="53" spans="2:7" ht="32" customHeight="1" x14ac:dyDescent="0.45">
      <c r="B53" s="96" t="s">
        <v>357</v>
      </c>
      <c r="C53" s="97"/>
      <c r="D53" s="97"/>
      <c r="E53" s="97"/>
      <c r="F53" s="97"/>
      <c r="G53" s="97"/>
    </row>
    <row r="54" spans="2:7" ht="14" customHeight="1" x14ac:dyDescent="0.45"/>
    <row r="55" spans="2:7" ht="14" customHeight="1" x14ac:dyDescent="0.45"/>
    <row r="56" spans="2:7" ht="22.05" customHeight="1" x14ac:dyDescent="0.5">
      <c r="B56" s="7" t="s">
        <v>358</v>
      </c>
      <c r="C56" s="8"/>
      <c r="D56" s="8"/>
      <c r="E56" s="8"/>
      <c r="F56" s="8"/>
      <c r="G56" s="8"/>
    </row>
    <row r="57" spans="2:7" ht="18" customHeight="1" x14ac:dyDescent="0.45">
      <c r="B57" s="13" t="s">
        <v>359</v>
      </c>
    </row>
    <row r="58" spans="2:7" ht="28.05" hidden="1" customHeight="1" outlineLevel="1" x14ac:dyDescent="0.45">
      <c r="B58" s="24" t="s">
        <v>360</v>
      </c>
      <c r="C58" s="24" t="s">
        <v>361</v>
      </c>
      <c r="D58" s="24" t="s">
        <v>362</v>
      </c>
      <c r="E58" s="24" t="s">
        <v>363</v>
      </c>
      <c r="F58" s="24" t="s">
        <v>364</v>
      </c>
      <c r="G58" s="5"/>
    </row>
    <row r="59" spans="2:7" hidden="1" outlineLevel="1" x14ac:dyDescent="0.45">
      <c r="B59" s="87">
        <v>0.01</v>
      </c>
      <c r="C59" s="87">
        <f t="shared" ref="C59:C90" si="0">1-B59</f>
        <v>0.99</v>
      </c>
      <c r="D59" s="88" cm="1">
        <f t="array" aca="1" ref="D59" ca="1">IF(ISNUMBER(_xll.VoseSimPercentile(NPV_A,$B59)),_xll.VoseSimPercentile(NPV_A,$B59),NA())</f>
        <v>199.36077662734323</v>
      </c>
      <c r="E59" s="88" cm="1">
        <f t="array" aca="1" ref="E59" ca="1">IF(ISNUMBER(_xll.VoseSimPercentile(NPV_B,$B59)),_xll.VoseSimPercentile(NPV_B,$B59),NA())</f>
        <v>-780.57000228777247</v>
      </c>
      <c r="F59" s="88" cm="1">
        <f t="array" aca="1" ref="F59" ca="1">IF(ISNUMBER(_xll.VoseSimPercentile(NPV_C,$B59)),_xll.VoseSimPercentile(NPV_C,$B59),NA())</f>
        <v>181.56402440965684</v>
      </c>
    </row>
    <row r="60" spans="2:7" hidden="1" outlineLevel="1" x14ac:dyDescent="0.45">
      <c r="B60" s="87">
        <v>0.03</v>
      </c>
      <c r="C60" s="87">
        <f t="shared" si="0"/>
        <v>0.97</v>
      </c>
      <c r="D60" s="88" cm="1">
        <f t="array" aca="1" ref="D60" ca="1">IF(ISNUMBER(_xll.VoseSimPercentile(NPV_A,$B60)),_xll.VoseSimPercentile(NPV_A,$B60),NA())</f>
        <v>498.0239059746001</v>
      </c>
      <c r="E60" s="88" cm="1">
        <f t="array" aca="1" ref="E60" ca="1">IF(ISNUMBER(_xll.VoseSimPercentile(NPV_B,$B60)),_xll.VoseSimPercentile(NPV_B,$B60),NA())</f>
        <v>-474.78789872383436</v>
      </c>
      <c r="F60" s="88" cm="1">
        <f t="array" aca="1" ref="F60" ca="1">IF(ISNUMBER(_xll.VoseSimPercentile(NPV_C,$B60)),_xll.VoseSimPercentile(NPV_C,$B60),NA())</f>
        <v>478.26786686843008</v>
      </c>
    </row>
    <row r="61" spans="2:7" hidden="1" outlineLevel="1" x14ac:dyDescent="0.45">
      <c r="B61" s="87">
        <v>0.05</v>
      </c>
      <c r="C61" s="87">
        <f t="shared" si="0"/>
        <v>0.95</v>
      </c>
      <c r="D61" s="88" cm="1">
        <f t="array" aca="1" ref="D61" ca="1">IF(ISNUMBER(_xll.VoseSimPercentile(NPV_A,$B61)),_xll.VoseSimPercentile(NPV_A,$B61),NA())</f>
        <v>656.46809212908693</v>
      </c>
      <c r="E61" s="88" cm="1">
        <f t="array" aca="1" ref="E61" ca="1">IF(ISNUMBER(_xll.VoseSimPercentile(NPV_B,$B61)),_xll.VoseSimPercentile(NPV_B,$B61),NA())</f>
        <v>-273.67230664625282</v>
      </c>
      <c r="F61" s="88" cm="1">
        <f t="array" aca="1" ref="F61" ca="1">IF(ISNUMBER(_xll.VoseSimPercentile(NPV_C,$B61)),_xll.VoseSimPercentile(NPV_C,$B61),NA())</f>
        <v>634.72281084269071</v>
      </c>
    </row>
    <row r="62" spans="2:7" hidden="1" outlineLevel="1" x14ac:dyDescent="0.45">
      <c r="B62" s="87">
        <v>7.0000000000000007E-2</v>
      </c>
      <c r="C62" s="87">
        <f t="shared" si="0"/>
        <v>0.92999999999999994</v>
      </c>
      <c r="D62" s="88" cm="1">
        <f t="array" aca="1" ref="D62" ca="1">IF(ISNUMBER(_xll.VoseSimPercentile(NPV_A,$B62)),_xll.VoseSimPercentile(NPV_A,$B62),NA())</f>
        <v>800.92487536122474</v>
      </c>
      <c r="E62" s="88" cm="1">
        <f t="array" aca="1" ref="E62" ca="1">IF(ISNUMBER(_xll.VoseSimPercentile(NPV_B,$B62)),_xll.VoseSimPercentile(NPV_B,$B62),NA())</f>
        <v>-124.15973419000851</v>
      </c>
      <c r="F62" s="88" cm="1">
        <f t="array" aca="1" ref="F62" ca="1">IF(ISNUMBER(_xll.VoseSimPercentile(NPV_C,$B62)),_xll.VoseSimPercentile(NPV_C,$B62),NA())</f>
        <v>776.42145078721455</v>
      </c>
    </row>
    <row r="63" spans="2:7" hidden="1" outlineLevel="1" x14ac:dyDescent="0.45">
      <c r="B63" s="87">
        <v>0.09</v>
      </c>
      <c r="C63" s="87">
        <f t="shared" si="0"/>
        <v>0.91</v>
      </c>
      <c r="D63" s="88" cm="1">
        <f t="array" aca="1" ref="D63" ca="1">IF(ISNUMBER(_xll.VoseSimPercentile(NPV_A,$B63)),_xll.VoseSimPercentile(NPV_A,$B63),NA())</f>
        <v>896.73555677803301</v>
      </c>
      <c r="E63" s="88" cm="1">
        <f t="array" aca="1" ref="E63" ca="1">IF(ISNUMBER(_xll.VoseSimPercentile(NPV_B,$B63)),_xll.VoseSimPercentile(NPV_B,$B63),NA())</f>
        <v>-12.467563967752795</v>
      </c>
      <c r="F63" s="88" cm="1">
        <f t="array" aca="1" ref="F63" ca="1">IF(ISNUMBER(_xll.VoseSimPercentile(NPV_C,$B63)),_xll.VoseSimPercentile(NPV_C,$B63),NA())</f>
        <v>877.19453404461387</v>
      </c>
    </row>
    <row r="64" spans="2:7" hidden="1" outlineLevel="1" x14ac:dyDescent="0.45">
      <c r="B64" s="87">
        <v>0.11</v>
      </c>
      <c r="C64" s="87">
        <f t="shared" si="0"/>
        <v>0.89</v>
      </c>
      <c r="D64" s="88" cm="1">
        <f t="array" aca="1" ref="D64" ca="1">IF(ISNUMBER(_xll.VoseSimPercentile(NPV_A,$B64)),_xll.VoseSimPercentile(NPV_A,$B64),NA())</f>
        <v>980.05817165652627</v>
      </c>
      <c r="E64" s="88" cm="1">
        <f t="array" aca="1" ref="E64" ca="1">IF(ISNUMBER(_xll.VoseSimPercentile(NPV_B,$B64)),_xll.VoseSimPercentile(NPV_B,$B64),NA())</f>
        <v>103.00239905024036</v>
      </c>
      <c r="F64" s="88" cm="1">
        <f t="array" aca="1" ref="F64" ca="1">IF(ISNUMBER(_xll.VoseSimPercentile(NPV_C,$B64)),_xll.VoseSimPercentile(NPV_C,$B64),NA())</f>
        <v>956.18889078691041</v>
      </c>
    </row>
    <row r="65" spans="2:6" hidden="1" outlineLevel="1" x14ac:dyDescent="0.45">
      <c r="B65" s="87">
        <v>0.13</v>
      </c>
      <c r="C65" s="87">
        <f t="shared" si="0"/>
        <v>0.87</v>
      </c>
      <c r="D65" s="88" cm="1">
        <f t="array" aca="1" ref="D65" ca="1">IF(ISNUMBER(_xll.VoseSimPercentile(NPV_A,$B65)),_xll.VoseSimPercentile(NPV_A,$B65),NA())</f>
        <v>1075.3782802837159</v>
      </c>
      <c r="E65" s="88" cm="1">
        <f t="array" aca="1" ref="E65" ca="1">IF(ISNUMBER(_xll.VoseSimPercentile(NPV_B,$B65)),_xll.VoseSimPercentile(NPV_B,$B65),NA())</f>
        <v>199.14843935928121</v>
      </c>
      <c r="F65" s="88" cm="1">
        <f t="array" aca="1" ref="F65" ca="1">IF(ISNUMBER(_xll.VoseSimPercentile(NPV_C,$B65)),_xll.VoseSimPercentile(NPV_C,$B65),NA())</f>
        <v>1043.1726621287137</v>
      </c>
    </row>
    <row r="66" spans="2:6" hidden="1" outlineLevel="1" x14ac:dyDescent="0.45">
      <c r="B66" s="87">
        <v>0.15</v>
      </c>
      <c r="C66" s="87">
        <f t="shared" si="0"/>
        <v>0.85</v>
      </c>
      <c r="D66" s="88" cm="1">
        <f t="array" aca="1" ref="D66" ca="1">IF(ISNUMBER(_xll.VoseSimPercentile(NPV_A,$B66)),_xll.VoseSimPercentile(NPV_A,$B66),NA())</f>
        <v>1155.7864606580856</v>
      </c>
      <c r="E66" s="88" cm="1">
        <f t="array" aca="1" ref="E66" ca="1">IF(ISNUMBER(_xll.VoseSimPercentile(NPV_B,$B66)),_xll.VoseSimPercentile(NPV_B,$B66),NA())</f>
        <v>271.73456094177652</v>
      </c>
      <c r="F66" s="88" cm="1">
        <f t="array" aca="1" ref="F66" ca="1">IF(ISNUMBER(_xll.VoseSimPercentile(NPV_C,$B66)),_xll.VoseSimPercentile(NPV_C,$B66),NA())</f>
        <v>1129.4402570412292</v>
      </c>
    </row>
    <row r="67" spans="2:6" hidden="1" outlineLevel="1" x14ac:dyDescent="0.45">
      <c r="B67" s="87">
        <v>0.17</v>
      </c>
      <c r="C67" s="87">
        <f t="shared" si="0"/>
        <v>0.83</v>
      </c>
      <c r="D67" s="88" cm="1">
        <f t="array" aca="1" ref="D67" ca="1">IF(ISNUMBER(_xll.VoseSimPercentile(NPV_A,$B67)),_xll.VoseSimPercentile(NPV_A,$B67),NA())</f>
        <v>1226.0562656777986</v>
      </c>
      <c r="E67" s="88" cm="1">
        <f t="array" aca="1" ref="E67" ca="1">IF(ISNUMBER(_xll.VoseSimPercentile(NPV_B,$B67)),_xll.VoseSimPercentile(NPV_B,$B67),NA())</f>
        <v>375.9330248792499</v>
      </c>
      <c r="F67" s="88" cm="1">
        <f t="array" aca="1" ref="F67" ca="1">IF(ISNUMBER(_xll.VoseSimPercentile(NPV_C,$B67)),_xll.VoseSimPercentile(NPV_C,$B67),NA())</f>
        <v>1200.3036720604257</v>
      </c>
    </row>
    <row r="68" spans="2:6" hidden="1" outlineLevel="1" x14ac:dyDescent="0.45">
      <c r="B68" s="87">
        <v>0.19</v>
      </c>
      <c r="C68" s="87">
        <f t="shared" si="0"/>
        <v>0.81</v>
      </c>
      <c r="D68" s="88" cm="1">
        <f t="array" aca="1" ref="D68" ca="1">IF(ISNUMBER(_xll.VoseSimPercentile(NPV_A,$B68)),_xll.VoseSimPercentile(NPV_A,$B68),NA())</f>
        <v>1307.6555214250523</v>
      </c>
      <c r="E68" s="88" cm="1">
        <f t="array" aca="1" ref="E68" ca="1">IF(ISNUMBER(_xll.VoseSimPercentile(NPV_B,$B68)),_xll.VoseSimPercentile(NPV_B,$B68),NA())</f>
        <v>471.86852328838063</v>
      </c>
      <c r="F68" s="88" cm="1">
        <f t="array" aca="1" ref="F68" ca="1">IF(ISNUMBER(_xll.VoseSimPercentile(NPV_C,$B68)),_xll.VoseSimPercentile(NPV_C,$B68),NA())</f>
        <v>1275.7626767449174</v>
      </c>
    </row>
    <row r="69" spans="2:6" hidden="1" outlineLevel="1" x14ac:dyDescent="0.45">
      <c r="B69" s="87">
        <v>0.21</v>
      </c>
      <c r="C69" s="87">
        <f t="shared" si="0"/>
        <v>0.79</v>
      </c>
      <c r="D69" s="88" cm="1">
        <f t="array" aca="1" ref="D69" ca="1">IF(ISNUMBER(_xll.VoseSimPercentile(NPV_A,$B69)),_xll.VoseSimPercentile(NPV_A,$B69),NA())</f>
        <v>1383.6138028013104</v>
      </c>
      <c r="E69" s="88" cm="1">
        <f t="array" aca="1" ref="E69" ca="1">IF(ISNUMBER(_xll.VoseSimPercentile(NPV_B,$B69)),_xll.VoseSimPercentile(NPV_B,$B69),NA())</f>
        <v>563.97253370837768</v>
      </c>
      <c r="F69" s="88" cm="1">
        <f t="array" aca="1" ref="F69" ca="1">IF(ISNUMBER(_xll.VoseSimPercentile(NPV_C,$B69)),_xll.VoseSimPercentile(NPV_C,$B69),NA())</f>
        <v>1354.6338312505654</v>
      </c>
    </row>
    <row r="70" spans="2:6" hidden="1" outlineLevel="1" x14ac:dyDescent="0.45">
      <c r="B70" s="87">
        <v>0.23</v>
      </c>
      <c r="C70" s="87">
        <f t="shared" si="0"/>
        <v>0.77</v>
      </c>
      <c r="D70" s="88" cm="1">
        <f t="array" aca="1" ref="D70" ca="1">IF(ISNUMBER(_xll.VoseSimPercentile(NPV_A,$B70)),_xll.VoseSimPercentile(NPV_A,$B70),NA())</f>
        <v>1447.8982516039664</v>
      </c>
      <c r="E70" s="88" cm="1">
        <f t="array" aca="1" ref="E70" ca="1">IF(ISNUMBER(_xll.VoseSimPercentile(NPV_B,$B70)),_xll.VoseSimPercentile(NPV_B,$B70),NA())</f>
        <v>646.35555370086183</v>
      </c>
      <c r="F70" s="88" cm="1">
        <f t="array" aca="1" ref="F70" ca="1">IF(ISNUMBER(_xll.VoseSimPercentile(NPV_C,$B70)),_xll.VoseSimPercentile(NPV_C,$B70),NA())</f>
        <v>1421.8537843969441</v>
      </c>
    </row>
    <row r="71" spans="2:6" hidden="1" outlineLevel="1" x14ac:dyDescent="0.45">
      <c r="B71" s="87">
        <v>0.25</v>
      </c>
      <c r="C71" s="87">
        <f t="shared" si="0"/>
        <v>0.75</v>
      </c>
      <c r="D71" s="88" cm="1">
        <f t="array" aca="1" ref="D71" ca="1">IF(ISNUMBER(_xll.VoseSimPercentile(NPV_A,$B71)),_xll.VoseSimPercentile(NPV_A,$B71),NA())</f>
        <v>1512.668327165303</v>
      </c>
      <c r="E71" s="88" cm="1">
        <f t="array" aca="1" ref="E71" ca="1">IF(ISNUMBER(_xll.VoseSimPercentile(NPV_B,$B71)),_xll.VoseSimPercentile(NPV_B,$B71),NA())</f>
        <v>727.92213563663188</v>
      </c>
      <c r="F71" s="88" cm="1">
        <f t="array" aca="1" ref="F71" ca="1">IF(ISNUMBER(_xll.VoseSimPercentile(NPV_C,$B71)),_xll.VoseSimPercentile(NPV_C,$B71),NA())</f>
        <v>1490.4564806450392</v>
      </c>
    </row>
    <row r="72" spans="2:6" hidden="1" outlineLevel="1" x14ac:dyDescent="0.45">
      <c r="B72" s="87">
        <v>0.27</v>
      </c>
      <c r="C72" s="87">
        <f t="shared" si="0"/>
        <v>0.73</v>
      </c>
      <c r="D72" s="88" cm="1">
        <f t="array" aca="1" ref="D72" ca="1">IF(ISNUMBER(_xll.VoseSimPercentile(NPV_A,$B72)),_xll.VoseSimPercentile(NPV_A,$B72),NA())</f>
        <v>1577.1396174693778</v>
      </c>
      <c r="E72" s="88" cm="1">
        <f t="array" aca="1" ref="E72" ca="1">IF(ISNUMBER(_xll.VoseSimPercentile(NPV_B,$B72)),_xll.VoseSimPercentile(NPV_B,$B72),NA())</f>
        <v>808.13044223465795</v>
      </c>
      <c r="F72" s="88" cm="1">
        <f t="array" aca="1" ref="F72" ca="1">IF(ISNUMBER(_xll.VoseSimPercentile(NPV_C,$B72)),_xll.VoseSimPercentile(NPV_C,$B72),NA())</f>
        <v>1557.9484744573244</v>
      </c>
    </row>
    <row r="73" spans="2:6" hidden="1" outlineLevel="1" x14ac:dyDescent="0.45">
      <c r="B73" s="87">
        <v>0.28999999999999998</v>
      </c>
      <c r="C73" s="87">
        <f t="shared" si="0"/>
        <v>0.71</v>
      </c>
      <c r="D73" s="88" cm="1">
        <f t="array" aca="1" ref="D73" ca="1">IF(ISNUMBER(_xll.VoseSimPercentile(NPV_A,$B73)),_xll.VoseSimPercentile(NPV_A,$B73),NA())</f>
        <v>1634.6418884051307</v>
      </c>
      <c r="E73" s="88" cm="1">
        <f t="array" aca="1" ref="E73" ca="1">IF(ISNUMBER(_xll.VoseSimPercentile(NPV_B,$B73)),_xll.VoseSimPercentile(NPV_B,$B73),NA())</f>
        <v>888.47256726619855</v>
      </c>
      <c r="F73" s="88" cm="1">
        <f t="array" aca="1" ref="F73" ca="1">IF(ISNUMBER(_xll.VoseSimPercentile(NPV_C,$B73)),_xll.VoseSimPercentile(NPV_C,$B73),NA())</f>
        <v>1617.8351997944831</v>
      </c>
    </row>
    <row r="74" spans="2:6" hidden="1" outlineLevel="1" x14ac:dyDescent="0.45">
      <c r="B74" s="87">
        <v>0.31</v>
      </c>
      <c r="C74" s="87">
        <f t="shared" si="0"/>
        <v>0.69</v>
      </c>
      <c r="D74" s="88" cm="1">
        <f t="array" aca="1" ref="D74" ca="1">IF(ISNUMBER(_xll.VoseSimPercentile(NPV_A,$B74)),_xll.VoseSimPercentile(NPV_A,$B74),NA())</f>
        <v>1698.2494795668674</v>
      </c>
      <c r="E74" s="88" cm="1">
        <f t="array" aca="1" ref="E74" ca="1">IF(ISNUMBER(_xll.VoseSimPercentile(NPV_B,$B74)),_xll.VoseSimPercentile(NPV_B,$B74),NA())</f>
        <v>963.36203991147795</v>
      </c>
      <c r="F74" s="88" cm="1">
        <f t="array" aca="1" ref="F74" ca="1">IF(ISNUMBER(_xll.VoseSimPercentile(NPV_C,$B74)),_xll.VoseSimPercentile(NPV_C,$B74),NA())</f>
        <v>1686.4917562570399</v>
      </c>
    </row>
    <row r="75" spans="2:6" hidden="1" outlineLevel="1" x14ac:dyDescent="0.45">
      <c r="B75" s="87">
        <v>0.33</v>
      </c>
      <c r="C75" s="87">
        <f t="shared" si="0"/>
        <v>0.66999999999999993</v>
      </c>
      <c r="D75" s="88" cm="1">
        <f t="array" aca="1" ref="D75" ca="1">IF(ISNUMBER(_xll.VoseSimPercentile(NPV_A,$B75)),_xll.VoseSimPercentile(NPV_A,$B75),NA())</f>
        <v>1756.5590569894541</v>
      </c>
      <c r="E75" s="88" cm="1">
        <f t="array" aca="1" ref="E75" ca="1">IF(ISNUMBER(_xll.VoseSimPercentile(NPV_B,$B75)),_xll.VoseSimPercentile(NPV_B,$B75),NA())</f>
        <v>1048.1090408576415</v>
      </c>
      <c r="F75" s="88" cm="1">
        <f t="array" aca="1" ref="F75" ca="1">IF(ISNUMBER(_xll.VoseSimPercentile(NPV_C,$B75)),_xll.VoseSimPercentile(NPV_C,$B75),NA())</f>
        <v>1756.5590569894541</v>
      </c>
    </row>
    <row r="76" spans="2:6" hidden="1" outlineLevel="1" x14ac:dyDescent="0.45">
      <c r="B76" s="87">
        <v>0.35</v>
      </c>
      <c r="C76" s="87">
        <f t="shared" si="0"/>
        <v>0.65</v>
      </c>
      <c r="D76" s="88" cm="1">
        <f t="array" aca="1" ref="D76" ca="1">IF(ISNUMBER(_xll.VoseSimPercentile(NPV_A,$B76)),_xll.VoseSimPercentile(NPV_A,$B76),NA())</f>
        <v>1817.0753407910288</v>
      </c>
      <c r="E76" s="88" cm="1">
        <f t="array" aca="1" ref="E76" ca="1">IF(ISNUMBER(_xll.VoseSimPercentile(NPV_B,$B76)),_xll.VoseSimPercentile(NPV_B,$B76),NA())</f>
        <v>1128.0113852828695</v>
      </c>
      <c r="F76" s="88" cm="1">
        <f t="array" aca="1" ref="F76" ca="1">IF(ISNUMBER(_xll.VoseSimPercentile(NPV_C,$B76)),_xll.VoseSimPercentile(NPV_C,$B76),NA())</f>
        <v>1824.2932828611688</v>
      </c>
    </row>
    <row r="77" spans="2:6" hidden="1" outlineLevel="1" x14ac:dyDescent="0.45">
      <c r="B77" s="87">
        <v>0.37</v>
      </c>
      <c r="C77" s="87">
        <f t="shared" si="0"/>
        <v>0.63</v>
      </c>
      <c r="D77" s="88" cm="1">
        <f t="array" aca="1" ref="D77" ca="1">IF(ISNUMBER(_xll.VoseSimPercentile(NPV_A,$B77)),_xll.VoseSimPercentile(NPV_A,$B77),NA())</f>
        <v>1874.5643243262475</v>
      </c>
      <c r="E77" s="88" cm="1">
        <f t="array" aca="1" ref="E77" ca="1">IF(ISNUMBER(_xll.VoseSimPercentile(NPV_B,$B77)),_xll.VoseSimPercentile(NPV_B,$B77),NA())</f>
        <v>1218.8740101135777</v>
      </c>
      <c r="F77" s="88" cm="1">
        <f t="array" aca="1" ref="F77" ca="1">IF(ISNUMBER(_xll.VoseSimPercentile(NPV_C,$B77)),_xll.VoseSimPercentile(NPV_C,$B77),NA())</f>
        <v>1888.3057191951896</v>
      </c>
    </row>
    <row r="78" spans="2:6" hidden="1" outlineLevel="1" x14ac:dyDescent="0.45">
      <c r="B78" s="87">
        <v>0.39</v>
      </c>
      <c r="C78" s="87">
        <f t="shared" si="0"/>
        <v>0.61</v>
      </c>
      <c r="D78" s="88" cm="1">
        <f t="array" aca="1" ref="D78" ca="1">IF(ISNUMBER(_xll.VoseSimPercentile(NPV_A,$B78)),_xll.VoseSimPercentile(NPV_A,$B78),NA())</f>
        <v>1927.2561804741663</v>
      </c>
      <c r="E78" s="88" cm="1">
        <f t="array" aca="1" ref="E78" ca="1">IF(ISNUMBER(_xll.VoseSimPercentile(NPV_B,$B78)),_xll.VoseSimPercentile(NPV_B,$B78),NA())</f>
        <v>1303.9442756660239</v>
      </c>
      <c r="F78" s="88" cm="1">
        <f t="array" aca="1" ref="F78" ca="1">IF(ISNUMBER(_xll.VoseSimPercentile(NPV_C,$B78)),_xll.VoseSimPercentile(NPV_C,$B78),NA())</f>
        <v>1953.8473437271196</v>
      </c>
    </row>
    <row r="79" spans="2:6" hidden="1" outlineLevel="1" x14ac:dyDescent="0.45">
      <c r="B79" s="87">
        <v>0.41</v>
      </c>
      <c r="C79" s="87">
        <f t="shared" si="0"/>
        <v>0.59000000000000008</v>
      </c>
      <c r="D79" s="88" cm="1">
        <f t="array" aca="1" ref="D79" ca="1">IF(ISNUMBER(_xll.VoseSimPercentile(NPV_A,$B79)),_xll.VoseSimPercentile(NPV_A,$B79),NA())</f>
        <v>1988.6180497349981</v>
      </c>
      <c r="E79" s="88" cm="1">
        <f t="array" aca="1" ref="E79" ca="1">IF(ISNUMBER(_xll.VoseSimPercentile(NPV_B,$B79)),_xll.VoseSimPercentile(NPV_B,$B79),NA())</f>
        <v>1390.0933643900644</v>
      </c>
      <c r="F79" s="88" cm="1">
        <f t="array" aca="1" ref="F79" ca="1">IF(ISNUMBER(_xll.VoseSimPercentile(NPV_C,$B79)),_xll.VoseSimPercentile(NPV_C,$B79),NA())</f>
        <v>2023.7038776599852</v>
      </c>
    </row>
    <row r="80" spans="2:6" hidden="1" outlineLevel="1" x14ac:dyDescent="0.45">
      <c r="B80" s="87">
        <v>0.43</v>
      </c>
      <c r="C80" s="87">
        <f t="shared" si="0"/>
        <v>0.57000000000000006</v>
      </c>
      <c r="D80" s="88" cm="1">
        <f t="array" aca="1" ref="D80" ca="1">IF(ISNUMBER(_xll.VoseSimPercentile(NPV_A,$B80)),_xll.VoseSimPercentile(NPV_A,$B80),NA())</f>
        <v>2056.8877242922972</v>
      </c>
      <c r="E80" s="88" cm="1">
        <f t="array" aca="1" ref="E80" ca="1">IF(ISNUMBER(_xll.VoseSimPercentile(NPV_B,$B80)),_xll.VoseSimPercentile(NPV_B,$B80),NA())</f>
        <v>1481.7738764670976</v>
      </c>
      <c r="F80" s="88" cm="1">
        <f t="array" aca="1" ref="F80" ca="1">IF(ISNUMBER(_xll.VoseSimPercentile(NPV_C,$B80)),_xll.VoseSimPercentile(NPV_C,$B80),NA())</f>
        <v>2095.4966787707708</v>
      </c>
    </row>
    <row r="81" spans="2:6" hidden="1" outlineLevel="1" x14ac:dyDescent="0.45">
      <c r="B81" s="87">
        <v>0.45</v>
      </c>
      <c r="C81" s="87">
        <f t="shared" si="0"/>
        <v>0.55000000000000004</v>
      </c>
      <c r="D81" s="88" cm="1">
        <f t="array" aca="1" ref="D81" ca="1">IF(ISNUMBER(_xll.VoseSimPercentile(NPV_A,$B81)),_xll.VoseSimPercentile(NPV_A,$B81),NA())</f>
        <v>2115.6058670835064</v>
      </c>
      <c r="E81" s="88" cm="1">
        <f t="array" aca="1" ref="E81" ca="1">IF(ISNUMBER(_xll.VoseSimPercentile(NPV_B,$B81)),_xll.VoseSimPercentile(NPV_B,$B81),NA())</f>
        <v>1568.8205038233521</v>
      </c>
      <c r="F81" s="88" cm="1">
        <f t="array" aca="1" ref="F81" ca="1">IF(ISNUMBER(_xll.VoseSimPercentile(NPV_C,$B81)),_xll.VoseSimPercentile(NPV_C,$B81),NA())</f>
        <v>2177.2037504433438</v>
      </c>
    </row>
    <row r="82" spans="2:6" hidden="1" outlineLevel="1" x14ac:dyDescent="0.45">
      <c r="B82" s="87">
        <v>0.47</v>
      </c>
      <c r="C82" s="87">
        <f t="shared" si="0"/>
        <v>0.53</v>
      </c>
      <c r="D82" s="88" cm="1">
        <f t="array" aca="1" ref="D82" ca="1">IF(ISNUMBER(_xll.VoseSimPercentile(NPV_A,$B82)),_xll.VoseSimPercentile(NPV_A,$B82),NA())</f>
        <v>2177.8981293275374</v>
      </c>
      <c r="E82" s="88" cm="1">
        <f t="array" aca="1" ref="E82" ca="1">IF(ISNUMBER(_xll.VoseSimPercentile(NPV_B,$B82)),_xll.VoseSimPercentile(NPV_B,$B82),NA())</f>
        <v>1648.3472742549475</v>
      </c>
      <c r="F82" s="88" cm="1">
        <f t="array" aca="1" ref="F82" ca="1">IF(ISNUMBER(_xll.VoseSimPercentile(NPV_C,$B82)),_xll.VoseSimPercentile(NPV_C,$B82),NA())</f>
        <v>2249.787981569546</v>
      </c>
    </row>
    <row r="83" spans="2:6" hidden="1" outlineLevel="1" x14ac:dyDescent="0.45">
      <c r="B83" s="87">
        <v>0.49</v>
      </c>
      <c r="C83" s="87">
        <f t="shared" si="0"/>
        <v>0.51</v>
      </c>
      <c r="D83" s="88" cm="1">
        <f t="array" aca="1" ref="D83" ca="1">IF(ISNUMBER(_xll.VoseSimPercentile(NPV_A,$B83)),_xll.VoseSimPercentile(NPV_A,$B83),NA())</f>
        <v>2235.6953939285809</v>
      </c>
      <c r="E83" s="88" cm="1">
        <f t="array" aca="1" ref="E83" ca="1">IF(ISNUMBER(_xll.VoseSimPercentile(NPV_B,$B83)),_xll.VoseSimPercentile(NPV_B,$B83),NA())</f>
        <v>1743.6482184595188</v>
      </c>
      <c r="F83" s="88" cm="1">
        <f t="array" aca="1" ref="F83" ca="1">IF(ISNUMBER(_xll.VoseSimPercentile(NPV_C,$B83)),_xll.VoseSimPercentile(NPV_C,$B83),NA())</f>
        <v>2321.5895146213256</v>
      </c>
    </row>
    <row r="84" spans="2:6" hidden="1" outlineLevel="1" x14ac:dyDescent="0.45">
      <c r="B84" s="87">
        <v>0.51</v>
      </c>
      <c r="C84" s="87">
        <f t="shared" si="0"/>
        <v>0.49</v>
      </c>
      <c r="D84" s="88" cm="1">
        <f t="array" aca="1" ref="D84" ca="1">IF(ISNUMBER(_xll.VoseSimPercentile(NPV_A,$B84)),_xll.VoseSimPercentile(NPV_A,$B84),NA())</f>
        <v>2302.6926051900045</v>
      </c>
      <c r="E84" s="88" cm="1">
        <f t="array" aca="1" ref="E84" ca="1">IF(ISNUMBER(_xll.VoseSimPercentile(NPV_B,$B84)),_xll.VoseSimPercentile(NPV_B,$B84),NA())</f>
        <v>1830.9185693151742</v>
      </c>
      <c r="F84" s="88" cm="1">
        <f t="array" aca="1" ref="F84" ca="1">IF(ISNUMBER(_xll.VoseSimPercentile(NPV_C,$B84)),_xll.VoseSimPercentile(NPV_C,$B84),NA())</f>
        <v>2398.7509432681959</v>
      </c>
    </row>
    <row r="85" spans="2:6" hidden="1" outlineLevel="1" x14ac:dyDescent="0.45">
      <c r="B85" s="87">
        <v>0.53</v>
      </c>
      <c r="C85" s="87">
        <f t="shared" si="0"/>
        <v>0.47</v>
      </c>
      <c r="D85" s="88" cm="1">
        <f t="array" aca="1" ref="D85" ca="1">IF(ISNUMBER(_xll.VoseSimPercentile(NPV_A,$B85)),_xll.VoseSimPercentile(NPV_A,$B85),NA())</f>
        <v>2362.7598495984871</v>
      </c>
      <c r="E85" s="88" cm="1">
        <f t="array" aca="1" ref="E85" ca="1">IF(ISNUMBER(_xll.VoseSimPercentile(NPV_B,$B85)),_xll.VoseSimPercentile(NPV_B,$B85),NA())</f>
        <v>1918.3377390899584</v>
      </c>
      <c r="F85" s="88" cm="1">
        <f t="array" aca="1" ref="F85" ca="1">IF(ISNUMBER(_xll.VoseSimPercentile(NPV_C,$B85)),_xll.VoseSimPercentile(NPV_C,$B85),NA())</f>
        <v>2474.3232845074463</v>
      </c>
    </row>
    <row r="86" spans="2:6" hidden="1" outlineLevel="1" x14ac:dyDescent="0.45">
      <c r="B86" s="87">
        <v>0.55000000000000004</v>
      </c>
      <c r="C86" s="87">
        <f t="shared" si="0"/>
        <v>0.44999999999999996</v>
      </c>
      <c r="D86" s="88" cm="1">
        <f t="array" aca="1" ref="D86" ca="1">IF(ISNUMBER(_xll.VoseSimPercentile(NPV_A,$B86)),_xll.VoseSimPercentile(NPV_A,$B86),NA())</f>
        <v>2428.5295325264956</v>
      </c>
      <c r="E86" s="88" cm="1">
        <f t="array" aca="1" ref="E86" ca="1">IF(ISNUMBER(_xll.VoseSimPercentile(NPV_B,$B86)),_xll.VoseSimPercentile(NPV_B,$B86),NA())</f>
        <v>2024.3640483192173</v>
      </c>
      <c r="F86" s="88" cm="1">
        <f t="array" aca="1" ref="F86" ca="1">IF(ISNUMBER(_xll.VoseSimPercentile(NPV_C,$B86)),_xll.VoseSimPercentile(NPV_C,$B86),NA())</f>
        <v>2556.9622960702964</v>
      </c>
    </row>
    <row r="87" spans="2:6" hidden="1" outlineLevel="1" x14ac:dyDescent="0.45">
      <c r="B87" s="87">
        <v>0.56999999999999995</v>
      </c>
      <c r="C87" s="87">
        <f t="shared" si="0"/>
        <v>0.43000000000000005</v>
      </c>
      <c r="D87" s="88" cm="1">
        <f t="array" aca="1" ref="D87" ca="1">IF(ISNUMBER(_xll.VoseSimPercentile(NPV_A,$B87)),_xll.VoseSimPercentile(NPV_A,$B87),NA())</f>
        <v>2486.400654861382</v>
      </c>
      <c r="E87" s="88" cm="1">
        <f t="array" aca="1" ref="E87" ca="1">IF(ISNUMBER(_xll.VoseSimPercentile(NPV_B,$B87)),_xll.VoseSimPercentile(NPV_B,$B87),NA())</f>
        <v>2117.8523651885107</v>
      </c>
      <c r="F87" s="88" cm="1">
        <f t="array" aca="1" ref="F87" ca="1">IF(ISNUMBER(_xll.VoseSimPercentile(NPV_C,$B87)),_xll.VoseSimPercentile(NPV_C,$B87),NA())</f>
        <v>2634.7794318721467</v>
      </c>
    </row>
    <row r="88" spans="2:6" hidden="1" outlineLevel="1" x14ac:dyDescent="0.45">
      <c r="B88" s="87">
        <v>0.59</v>
      </c>
      <c r="C88" s="87">
        <f t="shared" si="0"/>
        <v>0.41000000000000003</v>
      </c>
      <c r="D88" s="88" cm="1">
        <f t="array" aca="1" ref="D88" ca="1">IF(ISNUMBER(_xll.VoseSimPercentile(NPV_A,$B88)),_xll.VoseSimPercentile(NPV_A,$B88),NA())</f>
        <v>2544.1487304028487</v>
      </c>
      <c r="E88" s="88" cm="1">
        <f t="array" aca="1" ref="E88" ca="1">IF(ISNUMBER(_xll.VoseSimPercentile(NPV_B,$B88)),_xll.VoseSimPercentile(NPV_B,$B88),NA())</f>
        <v>2227.5205361970989</v>
      </c>
      <c r="F88" s="88" cm="1">
        <f t="array" aca="1" ref="F88" ca="1">IF(ISNUMBER(_xll.VoseSimPercentile(NPV_C,$B88)),_xll.VoseSimPercentile(NPV_C,$B88),NA())</f>
        <v>2720.1363586479515</v>
      </c>
    </row>
    <row r="89" spans="2:6" hidden="1" outlineLevel="1" x14ac:dyDescent="0.45">
      <c r="B89" s="87">
        <v>0.61</v>
      </c>
      <c r="C89" s="87">
        <f t="shared" si="0"/>
        <v>0.39</v>
      </c>
      <c r="D89" s="88" cm="1">
        <f t="array" aca="1" ref="D89" ca="1">IF(ISNUMBER(_xll.VoseSimPercentile(NPV_A,$B89)),_xll.VoseSimPercentile(NPV_A,$B89),NA())</f>
        <v>2607.8961870756089</v>
      </c>
      <c r="E89" s="88" cm="1">
        <f t="array" aca="1" ref="E89" ca="1">IF(ISNUMBER(_xll.VoseSimPercentile(NPV_B,$B89)),_xll.VoseSimPercentile(NPV_B,$B89),NA())</f>
        <v>2334.136712844394</v>
      </c>
      <c r="F89" s="88" cm="1">
        <f t="array" aca="1" ref="F89" ca="1">IF(ISNUMBER(_xll.VoseSimPercentile(NPV_C,$B89)),_xll.VoseSimPercentile(NPV_C,$B89),NA())</f>
        <v>2804.6942086075924</v>
      </c>
    </row>
    <row r="90" spans="2:6" hidden="1" outlineLevel="1" x14ac:dyDescent="0.45">
      <c r="B90" s="87">
        <v>0.63</v>
      </c>
      <c r="C90" s="87">
        <f t="shared" si="0"/>
        <v>0.37</v>
      </c>
      <c r="D90" s="88" cm="1">
        <f t="array" aca="1" ref="D90" ca="1">IF(ISNUMBER(_xll.VoseSimPercentile(NPV_A,$B90)),_xll.VoseSimPercentile(NPV_A,$B90),NA())</f>
        <v>2675.3673854375011</v>
      </c>
      <c r="E90" s="88" cm="1">
        <f t="array" aca="1" ref="E90" ca="1">IF(ISNUMBER(_xll.VoseSimPercentile(NPV_B,$B90)),_xll.VoseSimPercentile(NPV_B,$B90),NA())</f>
        <v>2447.3622428319864</v>
      </c>
      <c r="F90" s="88" cm="1">
        <f t="array" aca="1" ref="F90" ca="1">IF(ISNUMBER(_xll.VoseSimPercentile(NPV_C,$B90)),_xll.VoseSimPercentile(NPV_C,$B90),NA())</f>
        <v>2888.3041030567392</v>
      </c>
    </row>
    <row r="91" spans="2:6" hidden="1" outlineLevel="1" x14ac:dyDescent="0.45">
      <c r="B91" s="87">
        <v>0.65</v>
      </c>
      <c r="C91" s="87">
        <f t="shared" ref="C91:C122" si="1">1-B91</f>
        <v>0.35</v>
      </c>
      <c r="D91" s="88" cm="1">
        <f t="array" aca="1" ref="D91" ca="1">IF(ISNUMBER(_xll.VoseSimPercentile(NPV_A,$B91)),_xll.VoseSimPercentile(NPV_A,$B91),NA())</f>
        <v>2744.5219348731312</v>
      </c>
      <c r="E91" s="88" cm="1">
        <f t="array" aca="1" ref="E91" ca="1">IF(ISNUMBER(_xll.VoseSimPercentile(NPV_B,$B91)),_xll.VoseSimPercentile(NPV_B,$B91),NA())</f>
        <v>2560.6974186593484</v>
      </c>
      <c r="F91" s="88" cm="1">
        <f t="array" aca="1" ref="F91" ca="1">IF(ISNUMBER(_xll.VoseSimPercentile(NPV_C,$B91)),_xll.VoseSimPercentile(NPV_C,$B91),NA())</f>
        <v>2971.7080781305758</v>
      </c>
    </row>
    <row r="92" spans="2:6" hidden="1" outlineLevel="1" x14ac:dyDescent="0.45">
      <c r="B92" s="87">
        <v>0.67</v>
      </c>
      <c r="C92" s="87">
        <f t="shared" si="1"/>
        <v>0.32999999999999996</v>
      </c>
      <c r="D92" s="88" cm="1">
        <f t="array" aca="1" ref="D92" ca="1">IF(ISNUMBER(_xll.VoseSimPercentile(NPV_A,$B92)),_xll.VoseSimPercentile(NPV_A,$B92),NA())</f>
        <v>2808.6206294304106</v>
      </c>
      <c r="E92" s="88" cm="1">
        <f t="array" aca="1" ref="E92" ca="1">IF(ISNUMBER(_xll.VoseSimPercentile(NPV_B,$B92)),_xll.VoseSimPercentile(NPV_B,$B92),NA())</f>
        <v>2671.2567594423222</v>
      </c>
      <c r="F92" s="88" cm="1">
        <f t="array" aca="1" ref="F92" ca="1">IF(ISNUMBER(_xll.VoseSimPercentile(NPV_C,$B92)),_xll.VoseSimPercentile(NPV_C,$B92),NA())</f>
        <v>3068.65718250185</v>
      </c>
    </row>
    <row r="93" spans="2:6" hidden="1" outlineLevel="1" x14ac:dyDescent="0.45">
      <c r="B93" s="87">
        <v>0.69</v>
      </c>
      <c r="C93" s="87">
        <f t="shared" si="1"/>
        <v>0.31000000000000005</v>
      </c>
      <c r="D93" s="88" cm="1">
        <f t="array" aca="1" ref="D93" ca="1">IF(ISNUMBER(_xll.VoseSimPercentile(NPV_A,$B93)),_xll.VoseSimPercentile(NPV_A,$B93),NA())</f>
        <v>2874.9023184169037</v>
      </c>
      <c r="E93" s="88" cm="1">
        <f t="array" aca="1" ref="E93" ca="1">IF(ISNUMBER(_xll.VoseSimPercentile(NPV_B,$B93)),_xll.VoseSimPercentile(NPV_B,$B93),NA())</f>
        <v>2802.0640254786272</v>
      </c>
      <c r="F93" s="88" cm="1">
        <f t="array" aca="1" ref="F93" ca="1">IF(ISNUMBER(_xll.VoseSimPercentile(NPV_C,$B93)),_xll.VoseSimPercentile(NPV_C,$B93),NA())</f>
        <v>3173.2480629773845</v>
      </c>
    </row>
    <row r="94" spans="2:6" hidden="1" outlineLevel="1" x14ac:dyDescent="0.45">
      <c r="B94" s="87">
        <v>0.71</v>
      </c>
      <c r="C94" s="87">
        <f t="shared" si="1"/>
        <v>0.29000000000000004</v>
      </c>
      <c r="D94" s="88" cm="1">
        <f t="array" aca="1" ref="D94" ca="1">IF(ISNUMBER(_xll.VoseSimPercentile(NPV_A,$B94)),_xll.VoseSimPercentile(NPV_A,$B94),NA())</f>
        <v>2948.537221413771</v>
      </c>
      <c r="E94" s="88" cm="1">
        <f t="array" aca="1" ref="E94" ca="1">IF(ISNUMBER(_xll.VoseSimPercentile(NPV_B,$B94)),_xll.VoseSimPercentile(NPV_B,$B94),NA())</f>
        <v>2918.3824124203343</v>
      </c>
      <c r="F94" s="88" cm="1">
        <f t="array" aca="1" ref="F94" ca="1">IF(ISNUMBER(_xll.VoseSimPercentile(NPV_C,$B94)),_xll.VoseSimPercentile(NPV_C,$B94),NA())</f>
        <v>3286.2434121147371</v>
      </c>
    </row>
    <row r="95" spans="2:6" hidden="1" outlineLevel="1" x14ac:dyDescent="0.45">
      <c r="B95" s="87">
        <v>0.73</v>
      </c>
      <c r="C95" s="87">
        <f t="shared" si="1"/>
        <v>0.27</v>
      </c>
      <c r="D95" s="88" cm="1">
        <f t="array" aca="1" ref="D95" ca="1">IF(ISNUMBER(_xll.VoseSimPercentile(NPV_A,$B95)),_xll.VoseSimPercentile(NPV_A,$B95),NA())</f>
        <v>3026.5877290450148</v>
      </c>
      <c r="E95" s="88" cm="1">
        <f t="array" aca="1" ref="E95" ca="1">IF(ISNUMBER(_xll.VoseSimPercentile(NPV_B,$B95)),_xll.VoseSimPercentile(NPV_B,$B95),NA())</f>
        <v>3068.4683372412924</v>
      </c>
      <c r="F95" s="88" cm="1">
        <f t="array" aca="1" ref="F95" ca="1">IF(ISNUMBER(_xll.VoseSimPercentile(NPV_C,$B95)),_xll.VoseSimPercentile(NPV_C,$B95),NA())</f>
        <v>3398.6186371921358</v>
      </c>
    </row>
    <row r="96" spans="2:6" hidden="1" outlineLevel="1" x14ac:dyDescent="0.45">
      <c r="B96" s="87">
        <v>0.75</v>
      </c>
      <c r="C96" s="87">
        <f t="shared" si="1"/>
        <v>0.25</v>
      </c>
      <c r="D96" s="88" cm="1">
        <f t="array" aca="1" ref="D96" ca="1">IF(ISNUMBER(_xll.VoseSimPercentile(NPV_A,$B96)),_xll.VoseSimPercentile(NPV_A,$B96),NA())</f>
        <v>3115.5341394637594</v>
      </c>
      <c r="E96" s="88" cm="1">
        <f t="array" aca="1" ref="E96" ca="1">IF(ISNUMBER(_xll.VoseSimPercentile(NPV_B,$B96)),_xll.VoseSimPercentile(NPV_B,$B96),NA())</f>
        <v>3210.1777777592397</v>
      </c>
      <c r="F96" s="88" cm="1">
        <f t="array" aca="1" ref="F96" ca="1">IF(ISNUMBER(_xll.VoseSimPercentile(NPV_C,$B96)),_xll.VoseSimPercentile(NPV_C,$B96),NA())</f>
        <v>3530.7477390406921</v>
      </c>
    </row>
    <row r="97" spans="2:7" hidden="1" outlineLevel="1" x14ac:dyDescent="0.45">
      <c r="B97" s="87">
        <v>0.77</v>
      </c>
      <c r="C97" s="87">
        <f t="shared" si="1"/>
        <v>0.22999999999999998</v>
      </c>
      <c r="D97" s="88" cm="1">
        <f t="array" aca="1" ref="D97" ca="1">IF(ISNUMBER(_xll.VoseSimPercentile(NPV_A,$B97)),_xll.VoseSimPercentile(NPV_A,$B97),NA())</f>
        <v>3203.7906039406271</v>
      </c>
      <c r="E97" s="88" cm="1">
        <f t="array" aca="1" ref="E97" ca="1">IF(ISNUMBER(_xll.VoseSimPercentile(NPV_B,$B97)),_xll.VoseSimPercentile(NPV_B,$B97),NA())</f>
        <v>3368.8212021022086</v>
      </c>
      <c r="F97" s="88" cm="1">
        <f t="array" aca="1" ref="F97" ca="1">IF(ISNUMBER(_xll.VoseSimPercentile(NPV_C,$B97)),_xll.VoseSimPercentile(NPV_C,$B97),NA())</f>
        <v>3648.8594552241971</v>
      </c>
    </row>
    <row r="98" spans="2:7" hidden="1" outlineLevel="1" x14ac:dyDescent="0.45">
      <c r="B98" s="87">
        <v>0.79</v>
      </c>
      <c r="C98" s="87">
        <f t="shared" si="1"/>
        <v>0.20999999999999996</v>
      </c>
      <c r="D98" s="88" cm="1">
        <f t="array" aca="1" ref="D98" ca="1">IF(ISNUMBER(_xll.VoseSimPercentile(NPV_A,$B98)),_xll.VoseSimPercentile(NPV_A,$B98),NA())</f>
        <v>3301.3482835939431</v>
      </c>
      <c r="E98" s="88" cm="1">
        <f t="array" aca="1" ref="E98" ca="1">IF(ISNUMBER(_xll.VoseSimPercentile(NPV_B,$B98)),_xll.VoseSimPercentile(NPV_B,$B98),NA())</f>
        <v>3542.3120226918768</v>
      </c>
      <c r="F98" s="88" cm="1">
        <f t="array" aca="1" ref="F98" ca="1">IF(ISNUMBER(_xll.VoseSimPercentile(NPV_C,$B98)),_xll.VoseSimPercentile(NPV_C,$B98),NA())</f>
        <v>3788.3586885901886</v>
      </c>
    </row>
    <row r="99" spans="2:7" hidden="1" outlineLevel="1" x14ac:dyDescent="0.45">
      <c r="B99" s="87">
        <v>0.81</v>
      </c>
      <c r="C99" s="87">
        <f t="shared" si="1"/>
        <v>0.18999999999999995</v>
      </c>
      <c r="D99" s="88" cm="1">
        <f t="array" aca="1" ref="D99" ca="1">IF(ISNUMBER(_xll.VoseSimPercentile(NPV_A,$B99)),_xll.VoseSimPercentile(NPV_A,$B99),NA())</f>
        <v>3393.9854329082491</v>
      </c>
      <c r="E99" s="88" cm="1">
        <f t="array" aca="1" ref="E99" ca="1">IF(ISNUMBER(_xll.VoseSimPercentile(NPV_B,$B99)),_xll.VoseSimPercentile(NPV_B,$B99),NA())</f>
        <v>3704.4291145012589</v>
      </c>
      <c r="F99" s="88" cm="1">
        <f t="array" aca="1" ref="F99" ca="1">IF(ISNUMBER(_xll.VoseSimPercentile(NPV_C,$B99)),_xll.VoseSimPercentile(NPV_C,$B99),NA())</f>
        <v>3927.3673144869267</v>
      </c>
    </row>
    <row r="100" spans="2:7" hidden="1" outlineLevel="1" x14ac:dyDescent="0.45">
      <c r="B100" s="87">
        <v>0.83</v>
      </c>
      <c r="C100" s="87">
        <f t="shared" si="1"/>
        <v>0.17000000000000004</v>
      </c>
      <c r="D100" s="88" cm="1">
        <f t="array" aca="1" ref="D100" ca="1">IF(ISNUMBER(_xll.VoseSimPercentile(NPV_A,$B100)),_xll.VoseSimPercentile(NPV_A,$B100),NA())</f>
        <v>3500.6375576559826</v>
      </c>
      <c r="E100" s="88" cm="1">
        <f t="array" aca="1" ref="E100" ca="1">IF(ISNUMBER(_xll.VoseSimPercentile(NPV_B,$B100)),_xll.VoseSimPercentile(NPV_B,$B100),NA())</f>
        <v>3902.7996679241919</v>
      </c>
      <c r="F100" s="88" cm="1">
        <f t="array" aca="1" ref="F100" ca="1">IF(ISNUMBER(_xll.VoseSimPercentile(NPV_C,$B100)),_xll.VoseSimPercentile(NPV_C,$B100),NA())</f>
        <v>4071.3696483500235</v>
      </c>
    </row>
    <row r="101" spans="2:7" hidden="1" outlineLevel="1" x14ac:dyDescent="0.45">
      <c r="B101" s="87">
        <v>0.85</v>
      </c>
      <c r="C101" s="87">
        <f t="shared" si="1"/>
        <v>0.15000000000000002</v>
      </c>
      <c r="D101" s="88" cm="1">
        <f t="array" aca="1" ref="D101" ca="1">IF(ISNUMBER(_xll.VoseSimPercentile(NPV_A,$B101)),_xll.VoseSimPercentile(NPV_A,$B101),NA())</f>
        <v>3604.2405012193808</v>
      </c>
      <c r="E101" s="88" cm="1">
        <f t="array" aca="1" ref="E101" ca="1">IF(ISNUMBER(_xll.VoseSimPercentile(NPV_B,$B101)),_xll.VoseSimPercentile(NPV_B,$B101),NA())</f>
        <v>4117.2285582209606</v>
      </c>
      <c r="F101" s="88" cm="1">
        <f t="array" aca="1" ref="F101" ca="1">IF(ISNUMBER(_xll.VoseSimPercentile(NPV_C,$B101)),_xll.VoseSimPercentile(NPV_C,$B101),NA())</f>
        <v>4268.1936458804303</v>
      </c>
    </row>
    <row r="102" spans="2:7" hidden="1" outlineLevel="1" x14ac:dyDescent="0.45">
      <c r="B102" s="87">
        <v>0.87</v>
      </c>
      <c r="C102" s="87">
        <f t="shared" si="1"/>
        <v>0.13</v>
      </c>
      <c r="D102" s="88" cm="1">
        <f t="array" aca="1" ref="D102" ca="1">IF(ISNUMBER(_xll.VoseSimPercentile(NPV_A,$B102)),_xll.VoseSimPercentile(NPV_A,$B102),NA())</f>
        <v>3730.9222409416038</v>
      </c>
      <c r="E102" s="88" cm="1">
        <f t="array" aca="1" ref="E102" ca="1">IF(ISNUMBER(_xll.VoseSimPercentile(NPV_B,$B102)),_xll.VoseSimPercentile(NPV_B,$B102),NA())</f>
        <v>4345.0851327777245</v>
      </c>
      <c r="F102" s="88" cm="1">
        <f t="array" aca="1" ref="F102" ca="1">IF(ISNUMBER(_xll.VoseSimPercentile(NPV_C,$B102)),_xll.VoseSimPercentile(NPV_C,$B102),NA())</f>
        <v>4470.0535998378291</v>
      </c>
    </row>
    <row r="103" spans="2:7" hidden="1" outlineLevel="1" x14ac:dyDescent="0.45">
      <c r="B103" s="87">
        <v>0.89</v>
      </c>
      <c r="C103" s="87">
        <f t="shared" si="1"/>
        <v>0.10999999999999999</v>
      </c>
      <c r="D103" s="88" cm="1">
        <f t="array" aca="1" ref="D103" ca="1">IF(ISNUMBER(_xll.VoseSimPercentile(NPV_A,$B103)),_xll.VoseSimPercentile(NPV_A,$B103),NA())</f>
        <v>3884.8113491598924</v>
      </c>
      <c r="E103" s="88" cm="1">
        <f t="array" aca="1" ref="E103" ca="1">IF(ISNUMBER(_xll.VoseSimPercentile(NPV_B,$B103)),_xll.VoseSimPercentile(NPV_B,$B103),NA())</f>
        <v>4579.6054706986151</v>
      </c>
      <c r="F103" s="88" cm="1">
        <f t="array" aca="1" ref="F103" ca="1">IF(ISNUMBER(_xll.VoseSimPercentile(NPV_C,$B103)),_xll.VoseSimPercentile(NPV_C,$B103),NA())</f>
        <v>4676.9561033215587</v>
      </c>
    </row>
    <row r="104" spans="2:7" hidden="1" outlineLevel="1" x14ac:dyDescent="0.45">
      <c r="B104" s="87">
        <v>0.91</v>
      </c>
      <c r="C104" s="87">
        <f t="shared" si="1"/>
        <v>8.9999999999999969E-2</v>
      </c>
      <c r="D104" s="88" cm="1">
        <f t="array" aca="1" ref="D104" ca="1">IF(ISNUMBER(_xll.VoseSimPercentile(NPV_A,$B104)),_xll.VoseSimPercentile(NPV_A,$B104),NA())</f>
        <v>4052.1066994919443</v>
      </c>
      <c r="E104" s="88" cm="1">
        <f t="array" aca="1" ref="E104" ca="1">IF(ISNUMBER(_xll.VoseSimPercentile(NPV_B,$B104)),_xll.VoseSimPercentile(NPV_B,$B104),NA())</f>
        <v>4887.2270453871697</v>
      </c>
      <c r="F104" s="88" cm="1">
        <f t="array" aca="1" ref="F104" ca="1">IF(ISNUMBER(_xll.VoseSimPercentile(NPV_C,$B104)),_xll.VoseSimPercentile(NPV_C,$B104),NA())</f>
        <v>4959.1608102845639</v>
      </c>
    </row>
    <row r="105" spans="2:7" hidden="1" outlineLevel="1" x14ac:dyDescent="0.45">
      <c r="B105" s="87">
        <v>0.93</v>
      </c>
      <c r="C105" s="87">
        <f t="shared" si="1"/>
        <v>6.9999999999999951E-2</v>
      </c>
      <c r="D105" s="88" cm="1">
        <f t="array" aca="1" ref="D105" ca="1">IF(ISNUMBER(_xll.VoseSimPercentile(NPV_A,$B105)),_xll.VoseSimPercentile(NPV_A,$B105),NA())</f>
        <v>4248.3035525581217</v>
      </c>
      <c r="E105" s="88" cm="1">
        <f t="array" aca="1" ref="E105" ca="1">IF(ISNUMBER(_xll.VoseSimPercentile(NPV_B,$B105)),_xll.VoseSimPercentile(NPV_B,$B105),NA())</f>
        <v>5305.6652175852732</v>
      </c>
      <c r="F105" s="88" cm="1">
        <f t="array" aca="1" ref="F105" ca="1">IF(ISNUMBER(_xll.VoseSimPercentile(NPV_C,$B105)),_xll.VoseSimPercentile(NPV_C,$B105),NA())</f>
        <v>5322.9122413518526</v>
      </c>
    </row>
    <row r="106" spans="2:7" hidden="1" outlineLevel="1" x14ac:dyDescent="0.45">
      <c r="B106" s="87">
        <v>0.95</v>
      </c>
      <c r="C106" s="87">
        <f t="shared" si="1"/>
        <v>5.0000000000000044E-2</v>
      </c>
      <c r="D106" s="88" cm="1">
        <f t="array" aca="1" ref="D106" ca="1">IF(ISNUMBER(_xll.VoseSimPercentile(NPV_A,$B106)),_xll.VoseSimPercentile(NPV_A,$B106),NA())</f>
        <v>4488.6980996219718</v>
      </c>
      <c r="E106" s="88" cm="1">
        <f t="array" aca="1" ref="E106" ca="1">IF(ISNUMBER(_xll.VoseSimPercentile(NPV_B,$B106)),_xll.VoseSimPercentile(NPV_B,$B106),NA())</f>
        <v>5845.8505246504164</v>
      </c>
      <c r="F106" s="88" cm="1">
        <f t="array" aca="1" ref="F106" ca="1">IF(ISNUMBER(_xll.VoseSimPercentile(NPV_C,$B106)),_xll.VoseSimPercentile(NPV_C,$B106),NA())</f>
        <v>5747.1300927944794</v>
      </c>
    </row>
    <row r="107" spans="2:7" hidden="1" outlineLevel="1" x14ac:dyDescent="0.45">
      <c r="B107" s="87">
        <v>0.97</v>
      </c>
      <c r="C107" s="87">
        <f t="shared" si="1"/>
        <v>3.0000000000000027E-2</v>
      </c>
      <c r="D107" s="88" cm="1">
        <f t="array" aca="1" ref="D107" ca="1">IF(ISNUMBER(_xll.VoseSimPercentile(NPV_A,$B107)),_xll.VoseSimPercentile(NPV_A,$B107),NA())</f>
        <v>4837.9726993974709</v>
      </c>
      <c r="E107" s="88" cm="1">
        <f t="array" aca="1" ref="E107" ca="1">IF(ISNUMBER(_xll.VoseSimPercentile(NPV_B,$B107)),_xll.VoseSimPercentile(NPV_B,$B107),NA())</f>
        <v>6554.7996775378106</v>
      </c>
      <c r="F107" s="88" cm="1">
        <f t="array" aca="1" ref="F107" ca="1">IF(ISNUMBER(_xll.VoseSimPercentile(NPV_C,$B107)),_xll.VoseSimPercentile(NPV_C,$B107),NA())</f>
        <v>6383.8290773564831</v>
      </c>
    </row>
    <row r="108" spans="2:7" hidden="1" outlineLevel="1" x14ac:dyDescent="0.45">
      <c r="B108" s="87">
        <v>0.99</v>
      </c>
      <c r="C108" s="87">
        <f t="shared" si="1"/>
        <v>1.0000000000000009E-2</v>
      </c>
      <c r="D108" s="88" cm="1">
        <f t="array" aca="1" ref="D108" ca="1">IF(ISNUMBER(_xll.VoseSimPercentile(NPV_A,$B108)),_xll.VoseSimPercentile(NPV_A,$B108),NA())</f>
        <v>5611.5712497017421</v>
      </c>
      <c r="E108" s="88" cm="1">
        <f t="array" aca="1" ref="E108" ca="1">IF(ISNUMBER(_xll.VoseSimPercentile(NPV_B,$B108)),_xll.VoseSimPercentile(NPV_B,$B108),NA())</f>
        <v>8019.0698577370013</v>
      </c>
      <c r="F108" s="88" cm="1">
        <f t="array" aca="1" ref="F108" ca="1">IF(ISNUMBER(_xll.VoseSimPercentile(NPV_C,$B108)),_xll.VoseSimPercentile(NPV_C,$B108),NA())</f>
        <v>7714.5098594790861</v>
      </c>
    </row>
    <row r="109" spans="2:7" hidden="1" outlineLevel="1" x14ac:dyDescent="0.45"/>
    <row r="110" spans="2:7" ht="18" hidden="1" customHeight="1" outlineLevel="1" x14ac:dyDescent="0.45">
      <c r="B110" s="23" t="s">
        <v>365</v>
      </c>
      <c r="C110" s="24" t="s">
        <v>366</v>
      </c>
      <c r="D110" s="24" t="s">
        <v>367</v>
      </c>
      <c r="E110" s="5"/>
      <c r="F110" s="5"/>
      <c r="G110" s="5"/>
    </row>
    <row r="111" spans="2:7" hidden="1" outlineLevel="1" x14ac:dyDescent="0.45">
      <c r="B111" s="89" t="s">
        <v>327</v>
      </c>
      <c r="C111" s="90">
        <v>1.5</v>
      </c>
      <c r="D111" s="91" cm="1">
        <f t="array" aca="1" ref="D111" ca="1">_xll.VoseSimProbability(Best,C111)</f>
        <v>0.62463753624637541</v>
      </c>
    </row>
    <row r="112" spans="2:7" hidden="1" outlineLevel="1" x14ac:dyDescent="0.45">
      <c r="B112" s="89" t="s">
        <v>328</v>
      </c>
      <c r="C112" s="90">
        <v>2.5</v>
      </c>
      <c r="D112" s="91" cm="1">
        <f t="array" aca="1" ref="D112" ca="1">_xll.VoseSimProbability(Best,C112)</f>
        <v>0.74852514748525145</v>
      </c>
    </row>
    <row r="113" spans="2:7" hidden="1" outlineLevel="1" x14ac:dyDescent="0.45"/>
    <row r="114" spans="2:7" hidden="1" outlineLevel="1" x14ac:dyDescent="0.45"/>
    <row r="115" spans="2:7" hidden="1" outlineLevel="1" x14ac:dyDescent="0.45">
      <c r="B115" s="92" t="s">
        <v>368</v>
      </c>
      <c r="D115" s="93" cm="1">
        <f t="array" aca="1" ref="D115" ca="1">_xll.VoseSimMean(NPV_C)</f>
        <v>2663.9886194891606</v>
      </c>
    </row>
    <row r="116" spans="2:7" ht="18" hidden="1" customHeight="1" outlineLevel="1" x14ac:dyDescent="0.45">
      <c r="B116" s="23" t="s">
        <v>369</v>
      </c>
      <c r="C116" s="5"/>
      <c r="D116" s="5"/>
      <c r="E116" s="5"/>
      <c r="F116" s="24" t="s">
        <v>370</v>
      </c>
      <c r="G116" s="24" t="s">
        <v>371</v>
      </c>
    </row>
    <row r="117" spans="2:7" hidden="1" outlineLevel="1" x14ac:dyDescent="0.45">
      <c r="B117" s="94" t="str">
        <f t="shared" ref="B117:B123" ca="1" si="2">B41</f>
        <v>Recoverable volume</v>
      </c>
      <c r="F117" s="95">
        <f t="shared" ref="F117:F123" ca="1" si="3">IFERROR(D41-$D$115,NA())</f>
        <v>2489.5871970508761</v>
      </c>
      <c r="G117" s="95">
        <f t="shared" ref="G117:G123" ca="1" si="4">IFERROR(C41-$D$115,NA())</f>
        <v>-1726.0972349535477</v>
      </c>
    </row>
    <row r="118" spans="2:7" hidden="1" outlineLevel="1" x14ac:dyDescent="0.45">
      <c r="B118" s="94" t="str">
        <f t="shared" ca="1" si="2"/>
        <v>Volume estimate at decision</v>
      </c>
      <c r="F118" s="95">
        <f t="shared" ca="1" si="3"/>
        <v>2328.6506491839245</v>
      </c>
      <c r="G118" s="95">
        <f t="shared" ca="1" si="4"/>
        <v>-1632.2729154478866</v>
      </c>
    </row>
    <row r="119" spans="2:7" hidden="1" outlineLevel="1" x14ac:dyDescent="0.45">
      <c r="B119" s="94" t="str">
        <f t="shared" ca="1" si="2"/>
        <v>Long-term oil price</v>
      </c>
      <c r="F119" s="95">
        <f t="shared" ca="1" si="3"/>
        <v>820.36745353094739</v>
      </c>
      <c r="G119" s="95">
        <f t="shared" ca="1" si="4"/>
        <v>-700.75856473407407</v>
      </c>
    </row>
    <row r="120" spans="2:7" hidden="1" outlineLevel="1" x14ac:dyDescent="0.45">
      <c r="B120" s="94" t="str">
        <f t="shared" ca="1" si="2"/>
        <v>Deliverability</v>
      </c>
      <c r="F120" s="95">
        <f t="shared" ca="1" si="3"/>
        <v>115.18122339795036</v>
      </c>
      <c r="G120" s="95">
        <f t="shared" ca="1" si="4"/>
        <v>-139.80554540891171</v>
      </c>
    </row>
    <row r="121" spans="2:7" hidden="1" outlineLevel="1" x14ac:dyDescent="0.45">
      <c r="B121" s="94" t="str">
        <f t="shared" ca="1" si="2"/>
        <v>Capex overrun factor</v>
      </c>
      <c r="F121" s="95">
        <f t="shared" ca="1" si="3"/>
        <v>140.88920966558317</v>
      </c>
      <c r="G121" s="95">
        <f t="shared" ca="1" si="4"/>
        <v>-104.29109896146474</v>
      </c>
    </row>
    <row r="122" spans="2:7" hidden="1" outlineLevel="1" x14ac:dyDescent="0.45">
      <c r="B122" s="94" t="str">
        <f t="shared" ca="1" si="2"/>
        <v>Host remaining life</v>
      </c>
      <c r="F122" s="95">
        <f t="shared" ca="1" si="3"/>
        <v>82.369828510408297</v>
      </c>
      <c r="G122" s="95">
        <f t="shared" ca="1" si="4"/>
        <v>-80.740735745377151</v>
      </c>
    </row>
    <row r="123" spans="2:7" hidden="1" outlineLevel="1" x14ac:dyDescent="0.45">
      <c r="B123" s="94" t="str">
        <f t="shared" ca="1" si="2"/>
        <v>FPSO delay</v>
      </c>
      <c r="F123" s="95">
        <f t="shared" ca="1" si="3"/>
        <v>7.108643124351147</v>
      </c>
      <c r="G123" s="95">
        <f t="shared" ca="1" si="4"/>
        <v>-2.9731085766093202</v>
      </c>
    </row>
  </sheetData>
  <mergeCells count="4">
    <mergeCell ref="B52:G52"/>
    <mergeCell ref="B51:G51"/>
    <mergeCell ref="B50:G50"/>
    <mergeCell ref="B53:G53"/>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D59:F108">
    <cfRule type="expression" dxfId="1" priority="3">
      <formula>ISNA(D59)</formula>
    </cfRule>
  </conditionalFormatting>
  <conditionalFormatting sqref="F117:G123">
    <cfRule type="expression" dxfId="0" priority="4">
      <formula>ISNA(F117)</formula>
    </cfRule>
  </conditionalFormatting>
  <hyperlinks>
    <hyperlink ref="B4" location="'Concepts'!A1" display="◂  Concepts"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3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564DB-A610-4092-A179-12EB4E32DBE1}">
  <dimension ref="A1:B1"/>
  <sheetViews>
    <sheetView workbookViewId="0"/>
  </sheetViews>
  <sheetFormatPr defaultRowHeight="14.25" x14ac:dyDescent="0.45"/>
  <sheetData>
    <row r="1" spans="1:2" x14ac:dyDescent="0.45">
      <c r="A1" s="100" t="s">
        <v>372</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8FC02-A77C-4A2C-97F2-D856C672D880}">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0753E-AEFF-46E2-A21E-6447AA67BA91}">
  <dimension ref="B3:B152"/>
  <sheetViews>
    <sheetView workbookViewId="0"/>
  </sheetViews>
  <sheetFormatPr defaultRowHeight="14.25" x14ac:dyDescent="0.45"/>
  <sheetData>
    <row r="3" spans="2:2" x14ac:dyDescent="0.45">
      <c r="B3">
        <v>419</v>
      </c>
    </row>
    <row r="4" spans="2:2" x14ac:dyDescent="0.45">
      <c r="B4">
        <v>822</v>
      </c>
    </row>
    <row r="5" spans="2:2" x14ac:dyDescent="0.45">
      <c r="B5">
        <v>449</v>
      </c>
    </row>
    <row r="6" spans="2:2" x14ac:dyDescent="0.45">
      <c r="B6">
        <v>204</v>
      </c>
    </row>
    <row r="7" spans="2:2" x14ac:dyDescent="0.45">
      <c r="B7">
        <v>59</v>
      </c>
    </row>
    <row r="8" spans="2:2" x14ac:dyDescent="0.45">
      <c r="B8">
        <v>29</v>
      </c>
    </row>
    <row r="9" spans="2:2" x14ac:dyDescent="0.45">
      <c r="B9">
        <v>11</v>
      </c>
    </row>
    <row r="10" spans="2:2" x14ac:dyDescent="0.45">
      <c r="B10">
        <v>3</v>
      </c>
    </row>
    <row r="11" spans="2:2" x14ac:dyDescent="0.45">
      <c r="B11">
        <v>1</v>
      </c>
    </row>
    <row r="12" spans="2:2" x14ac:dyDescent="0.45">
      <c r="B12">
        <v>3</v>
      </c>
    </row>
    <row r="13" spans="2:2" x14ac:dyDescent="0.45">
      <c r="B13">
        <v>111</v>
      </c>
    </row>
    <row r="14" spans="2:2" x14ac:dyDescent="0.45">
      <c r="B14">
        <v>492</v>
      </c>
    </row>
    <row r="15" spans="2:2" x14ac:dyDescent="0.45">
      <c r="B15">
        <v>623</v>
      </c>
    </row>
    <row r="16" spans="2:2" x14ac:dyDescent="0.45">
      <c r="B16">
        <v>482</v>
      </c>
    </row>
    <row r="17" spans="2:2" x14ac:dyDescent="0.45">
      <c r="B17">
        <v>192</v>
      </c>
    </row>
    <row r="18" spans="2:2" x14ac:dyDescent="0.45">
      <c r="B18">
        <v>73</v>
      </c>
    </row>
    <row r="19" spans="2:2" x14ac:dyDescent="0.45">
      <c r="B19">
        <v>21</v>
      </c>
    </row>
    <row r="20" spans="2:2" x14ac:dyDescent="0.45">
      <c r="B20">
        <v>4</v>
      </c>
    </row>
    <row r="21" spans="2:2" x14ac:dyDescent="0.45">
      <c r="B21">
        <v>0</v>
      </c>
    </row>
    <row r="22" spans="2:2" x14ac:dyDescent="0.45">
      <c r="B22">
        <v>2</v>
      </c>
    </row>
    <row r="23" spans="2:2" x14ac:dyDescent="0.45">
      <c r="B23">
        <v>329</v>
      </c>
    </row>
    <row r="24" spans="2:2" x14ac:dyDescent="0.45">
      <c r="B24">
        <v>759</v>
      </c>
    </row>
    <row r="25" spans="2:2" x14ac:dyDescent="0.45">
      <c r="B25">
        <v>493</v>
      </c>
    </row>
    <row r="26" spans="2:2" x14ac:dyDescent="0.45">
      <c r="B26">
        <v>272</v>
      </c>
    </row>
    <row r="27" spans="2:2" x14ac:dyDescent="0.45">
      <c r="B27">
        <v>99</v>
      </c>
    </row>
    <row r="28" spans="2:2" x14ac:dyDescent="0.45">
      <c r="B28">
        <v>32</v>
      </c>
    </row>
    <row r="29" spans="2:2" x14ac:dyDescent="0.45">
      <c r="B29">
        <v>11</v>
      </c>
    </row>
    <row r="30" spans="2:2" x14ac:dyDescent="0.45">
      <c r="B30">
        <v>4</v>
      </c>
    </row>
    <row r="31" spans="2:2" x14ac:dyDescent="0.45">
      <c r="B31">
        <v>0</v>
      </c>
    </row>
    <row r="32" spans="2:2" x14ac:dyDescent="0.45">
      <c r="B32">
        <v>1</v>
      </c>
    </row>
    <row r="33" spans="2:2" x14ac:dyDescent="0.45">
      <c r="B33">
        <v>349</v>
      </c>
    </row>
    <row r="34" spans="2:2" x14ac:dyDescent="0.45">
      <c r="B34">
        <v>848</v>
      </c>
    </row>
    <row r="35" spans="2:2" x14ac:dyDescent="0.45">
      <c r="B35">
        <v>504</v>
      </c>
    </row>
    <row r="36" spans="2:2" x14ac:dyDescent="0.45">
      <c r="B36">
        <v>202</v>
      </c>
    </row>
    <row r="37" spans="2:2" x14ac:dyDescent="0.45">
      <c r="B37">
        <v>67</v>
      </c>
    </row>
    <row r="38" spans="2:2" x14ac:dyDescent="0.45">
      <c r="B38">
        <v>21</v>
      </c>
    </row>
    <row r="39" spans="2:2" x14ac:dyDescent="0.45">
      <c r="B39">
        <v>8</v>
      </c>
    </row>
    <row r="40" spans="2:2" x14ac:dyDescent="0.45">
      <c r="B40">
        <v>0</v>
      </c>
    </row>
    <row r="41" spans="2:2" x14ac:dyDescent="0.45">
      <c r="B41">
        <v>0</v>
      </c>
    </row>
    <row r="42" spans="2:2" x14ac:dyDescent="0.45">
      <c r="B42">
        <v>1</v>
      </c>
    </row>
    <row r="43" spans="2:2" x14ac:dyDescent="0.45">
      <c r="B43">
        <v>34</v>
      </c>
    </row>
    <row r="44" spans="2:2" x14ac:dyDescent="0.45">
      <c r="B44">
        <v>117</v>
      </c>
    </row>
    <row r="45" spans="2:2" x14ac:dyDescent="0.45">
      <c r="B45">
        <v>233</v>
      </c>
    </row>
    <row r="46" spans="2:2" x14ac:dyDescent="0.45">
      <c r="B46">
        <v>305</v>
      </c>
    </row>
    <row r="47" spans="2:2" x14ac:dyDescent="0.45">
      <c r="B47">
        <v>363</v>
      </c>
    </row>
    <row r="48" spans="2:2" x14ac:dyDescent="0.45">
      <c r="B48">
        <v>376</v>
      </c>
    </row>
    <row r="49" spans="2:2" x14ac:dyDescent="0.45">
      <c r="B49">
        <v>344</v>
      </c>
    </row>
    <row r="50" spans="2:2" x14ac:dyDescent="0.45">
      <c r="B50">
        <v>144</v>
      </c>
    </row>
    <row r="51" spans="2:2" x14ac:dyDescent="0.45">
      <c r="B51">
        <v>66</v>
      </c>
    </row>
    <row r="52" spans="2:2" x14ac:dyDescent="0.45">
      <c r="B52">
        <v>18</v>
      </c>
    </row>
    <row r="53" spans="2:2" x14ac:dyDescent="0.45">
      <c r="B53">
        <v>259</v>
      </c>
    </row>
    <row r="54" spans="2:2" x14ac:dyDescent="0.45">
      <c r="B54">
        <v>693</v>
      </c>
    </row>
    <row r="55" spans="2:2" x14ac:dyDescent="0.45">
      <c r="B55">
        <v>565</v>
      </c>
    </row>
    <row r="56" spans="2:2" x14ac:dyDescent="0.45">
      <c r="B56">
        <v>280</v>
      </c>
    </row>
    <row r="57" spans="2:2" x14ac:dyDescent="0.45">
      <c r="B57">
        <v>108</v>
      </c>
    </row>
    <row r="58" spans="2:2" x14ac:dyDescent="0.45">
      <c r="B58">
        <v>51</v>
      </c>
    </row>
    <row r="59" spans="2:2" x14ac:dyDescent="0.45">
      <c r="B59">
        <v>31</v>
      </c>
    </row>
    <row r="60" spans="2:2" x14ac:dyDescent="0.45">
      <c r="B60">
        <v>7</v>
      </c>
    </row>
    <row r="61" spans="2:2" x14ac:dyDescent="0.45">
      <c r="B61">
        <v>3</v>
      </c>
    </row>
    <row r="62" spans="2:2" x14ac:dyDescent="0.45">
      <c r="B62">
        <v>3</v>
      </c>
    </row>
    <row r="63" spans="2:2" x14ac:dyDescent="0.45">
      <c r="B63">
        <v>271</v>
      </c>
    </row>
    <row r="64" spans="2:2" x14ac:dyDescent="0.45">
      <c r="B64">
        <v>618</v>
      </c>
    </row>
    <row r="65" spans="2:2" x14ac:dyDescent="0.45">
      <c r="B65">
        <v>546</v>
      </c>
    </row>
    <row r="66" spans="2:2" x14ac:dyDescent="0.45">
      <c r="B66">
        <v>313</v>
      </c>
    </row>
    <row r="67" spans="2:2" x14ac:dyDescent="0.45">
      <c r="B67">
        <v>132</v>
      </c>
    </row>
    <row r="68" spans="2:2" x14ac:dyDescent="0.45">
      <c r="B68">
        <v>63</v>
      </c>
    </row>
    <row r="69" spans="2:2" x14ac:dyDescent="0.45">
      <c r="B69">
        <v>38</v>
      </c>
    </row>
    <row r="70" spans="2:2" x14ac:dyDescent="0.45">
      <c r="B70">
        <v>11</v>
      </c>
    </row>
    <row r="71" spans="2:2" x14ac:dyDescent="0.45">
      <c r="B71">
        <v>7</v>
      </c>
    </row>
    <row r="72" spans="2:2" x14ac:dyDescent="0.45">
      <c r="B72">
        <v>1</v>
      </c>
    </row>
    <row r="73" spans="2:2" x14ac:dyDescent="0.45">
      <c r="B73">
        <v>1225</v>
      </c>
    </row>
    <row r="74" spans="2:2" x14ac:dyDescent="0.45">
      <c r="B74">
        <v>0</v>
      </c>
    </row>
    <row r="75" spans="2:2" x14ac:dyDescent="0.45">
      <c r="B75">
        <v>0</v>
      </c>
    </row>
    <row r="76" spans="2:2" x14ac:dyDescent="0.45">
      <c r="B76">
        <v>0</v>
      </c>
    </row>
    <row r="77" spans="2:2" x14ac:dyDescent="0.45">
      <c r="B77">
        <v>252</v>
      </c>
    </row>
    <row r="78" spans="2:2" x14ac:dyDescent="0.45">
      <c r="B78">
        <v>0</v>
      </c>
    </row>
    <row r="79" spans="2:2" x14ac:dyDescent="0.45">
      <c r="B79">
        <v>0</v>
      </c>
    </row>
    <row r="80" spans="2:2" x14ac:dyDescent="0.45">
      <c r="B80">
        <v>0</v>
      </c>
    </row>
    <row r="81" spans="2:2" x14ac:dyDescent="0.45">
      <c r="B81">
        <v>0</v>
      </c>
    </row>
    <row r="82" spans="2:2" x14ac:dyDescent="0.45">
      <c r="B82">
        <v>523</v>
      </c>
    </row>
    <row r="83" spans="2:2" x14ac:dyDescent="0.45">
      <c r="B83">
        <v>774</v>
      </c>
    </row>
    <row r="84" spans="2:2" x14ac:dyDescent="0.45">
      <c r="B84">
        <v>0</v>
      </c>
    </row>
    <row r="85" spans="2:2" x14ac:dyDescent="0.45">
      <c r="B85">
        <v>0</v>
      </c>
    </row>
    <row r="86" spans="2:2" x14ac:dyDescent="0.45">
      <c r="B86">
        <v>0</v>
      </c>
    </row>
    <row r="87" spans="2:2" x14ac:dyDescent="0.45">
      <c r="B87">
        <v>0</v>
      </c>
    </row>
    <row r="88" spans="2:2" x14ac:dyDescent="0.45">
      <c r="B88">
        <v>0</v>
      </c>
    </row>
    <row r="89" spans="2:2" x14ac:dyDescent="0.45">
      <c r="B89">
        <v>0</v>
      </c>
    </row>
    <row r="90" spans="2:2" x14ac:dyDescent="0.45">
      <c r="B90">
        <v>0</v>
      </c>
    </row>
    <row r="91" spans="2:2" x14ac:dyDescent="0.45">
      <c r="B91">
        <v>0</v>
      </c>
    </row>
    <row r="92" spans="2:2" x14ac:dyDescent="0.45">
      <c r="B92">
        <v>1226</v>
      </c>
    </row>
    <row r="93" spans="2:2" x14ac:dyDescent="0.45">
      <c r="B93">
        <v>314</v>
      </c>
    </row>
    <row r="94" spans="2:2" x14ac:dyDescent="0.45">
      <c r="B94">
        <v>760</v>
      </c>
    </row>
    <row r="95" spans="2:2" x14ac:dyDescent="0.45">
      <c r="B95">
        <v>534</v>
      </c>
    </row>
    <row r="96" spans="2:2" x14ac:dyDescent="0.45">
      <c r="B96">
        <v>230</v>
      </c>
    </row>
    <row r="97" spans="2:2" x14ac:dyDescent="0.45">
      <c r="B97">
        <v>92</v>
      </c>
    </row>
    <row r="98" spans="2:2" x14ac:dyDescent="0.45">
      <c r="B98">
        <v>42</v>
      </c>
    </row>
    <row r="99" spans="2:2" x14ac:dyDescent="0.45">
      <c r="B99">
        <v>17</v>
      </c>
    </row>
    <row r="100" spans="2:2" x14ac:dyDescent="0.45">
      <c r="B100">
        <v>7</v>
      </c>
    </row>
    <row r="101" spans="2:2" x14ac:dyDescent="0.45">
      <c r="B101">
        <v>2</v>
      </c>
    </row>
    <row r="102" spans="2:2" x14ac:dyDescent="0.45">
      <c r="B102">
        <v>2</v>
      </c>
    </row>
    <row r="103" spans="2:2" x14ac:dyDescent="0.45">
      <c r="B103">
        <v>40</v>
      </c>
    </row>
    <row r="104" spans="2:2" x14ac:dyDescent="0.45">
      <c r="B104">
        <v>132</v>
      </c>
    </row>
    <row r="105" spans="2:2" x14ac:dyDescent="0.45">
      <c r="B105">
        <v>239</v>
      </c>
    </row>
    <row r="106" spans="2:2" x14ac:dyDescent="0.45">
      <c r="B106">
        <v>309</v>
      </c>
    </row>
    <row r="107" spans="2:2" x14ac:dyDescent="0.45">
      <c r="B107">
        <v>350</v>
      </c>
    </row>
    <row r="108" spans="2:2" x14ac:dyDescent="0.45">
      <c r="B108">
        <v>326</v>
      </c>
    </row>
    <row r="109" spans="2:2" x14ac:dyDescent="0.45">
      <c r="B109">
        <v>274</v>
      </c>
    </row>
    <row r="110" spans="2:2" x14ac:dyDescent="0.45">
      <c r="B110">
        <v>179</v>
      </c>
    </row>
    <row r="111" spans="2:2" x14ac:dyDescent="0.45">
      <c r="B111">
        <v>120</v>
      </c>
    </row>
    <row r="112" spans="2:2" x14ac:dyDescent="0.45">
      <c r="B112">
        <v>31</v>
      </c>
    </row>
    <row r="113" spans="2:2" x14ac:dyDescent="0.45">
      <c r="B113">
        <v>56</v>
      </c>
    </row>
    <row r="114" spans="2:2" x14ac:dyDescent="0.45">
      <c r="B114">
        <v>169</v>
      </c>
    </row>
    <row r="115" spans="2:2" x14ac:dyDescent="0.45">
      <c r="B115">
        <v>328</v>
      </c>
    </row>
    <row r="116" spans="2:2" x14ac:dyDescent="0.45">
      <c r="B116">
        <v>380</v>
      </c>
    </row>
    <row r="117" spans="2:2" x14ac:dyDescent="0.45">
      <c r="B117">
        <v>348</v>
      </c>
    </row>
    <row r="118" spans="2:2" x14ac:dyDescent="0.45">
      <c r="B118">
        <v>311</v>
      </c>
    </row>
    <row r="119" spans="2:2" x14ac:dyDescent="0.45">
      <c r="B119">
        <v>215</v>
      </c>
    </row>
    <row r="120" spans="2:2" x14ac:dyDescent="0.45">
      <c r="B120">
        <v>124</v>
      </c>
    </row>
    <row r="121" spans="2:2" x14ac:dyDescent="0.45">
      <c r="B121">
        <v>55</v>
      </c>
    </row>
    <row r="122" spans="2:2" x14ac:dyDescent="0.45">
      <c r="B122">
        <v>14</v>
      </c>
    </row>
    <row r="123" spans="2:2" x14ac:dyDescent="0.45">
      <c r="B123">
        <v>162</v>
      </c>
    </row>
    <row r="124" spans="2:2" x14ac:dyDescent="0.45">
      <c r="B124">
        <v>309</v>
      </c>
    </row>
    <row r="125" spans="2:2" x14ac:dyDescent="0.45">
      <c r="B125">
        <v>419</v>
      </c>
    </row>
    <row r="126" spans="2:2" x14ac:dyDescent="0.45">
      <c r="B126">
        <v>376</v>
      </c>
    </row>
    <row r="127" spans="2:2" x14ac:dyDescent="0.45">
      <c r="B127">
        <v>295</v>
      </c>
    </row>
    <row r="128" spans="2:2" x14ac:dyDescent="0.45">
      <c r="B128">
        <v>230</v>
      </c>
    </row>
    <row r="129" spans="2:2" x14ac:dyDescent="0.45">
      <c r="B129">
        <v>120</v>
      </c>
    </row>
    <row r="130" spans="2:2" x14ac:dyDescent="0.45">
      <c r="B130">
        <v>64</v>
      </c>
    </row>
    <row r="131" spans="2:2" x14ac:dyDescent="0.45">
      <c r="B131">
        <v>22</v>
      </c>
    </row>
    <row r="132" spans="2:2" x14ac:dyDescent="0.45">
      <c r="B132">
        <v>3</v>
      </c>
    </row>
    <row r="133" spans="2:2" x14ac:dyDescent="0.45">
      <c r="B133">
        <v>68</v>
      </c>
    </row>
    <row r="134" spans="2:2" x14ac:dyDescent="0.45">
      <c r="B134">
        <v>197</v>
      </c>
    </row>
    <row r="135" spans="2:2" x14ac:dyDescent="0.45">
      <c r="B135">
        <v>289</v>
      </c>
    </row>
    <row r="136" spans="2:2" x14ac:dyDescent="0.45">
      <c r="B136">
        <v>357</v>
      </c>
    </row>
    <row r="137" spans="2:2" x14ac:dyDescent="0.45">
      <c r="B137">
        <v>354</v>
      </c>
    </row>
    <row r="138" spans="2:2" x14ac:dyDescent="0.45">
      <c r="B138">
        <v>262</v>
      </c>
    </row>
    <row r="139" spans="2:2" x14ac:dyDescent="0.45">
      <c r="B139">
        <v>227</v>
      </c>
    </row>
    <row r="140" spans="2:2" x14ac:dyDescent="0.45">
      <c r="B140">
        <v>155</v>
      </c>
    </row>
    <row r="141" spans="2:2" x14ac:dyDescent="0.45">
      <c r="B141">
        <v>74</v>
      </c>
    </row>
    <row r="142" spans="2:2" x14ac:dyDescent="0.45">
      <c r="B142">
        <v>17</v>
      </c>
    </row>
    <row r="143" spans="2:2" x14ac:dyDescent="0.45">
      <c r="B143">
        <v>1402</v>
      </c>
    </row>
    <row r="144" spans="2:2" x14ac:dyDescent="0.45">
      <c r="B144">
        <v>0</v>
      </c>
    </row>
    <row r="145" spans="2:2" x14ac:dyDescent="0.45">
      <c r="B145">
        <v>0</v>
      </c>
    </row>
    <row r="146" spans="2:2" x14ac:dyDescent="0.45">
      <c r="B146">
        <v>0</v>
      </c>
    </row>
    <row r="147" spans="2:2" x14ac:dyDescent="0.45">
      <c r="B147">
        <v>0</v>
      </c>
    </row>
    <row r="148" spans="2:2" x14ac:dyDescent="0.45">
      <c r="B148">
        <v>0</v>
      </c>
    </row>
    <row r="149" spans="2:2" x14ac:dyDescent="0.45">
      <c r="B149">
        <v>0</v>
      </c>
    </row>
    <row r="150" spans="2:2" x14ac:dyDescent="0.45">
      <c r="B150">
        <v>0</v>
      </c>
    </row>
    <row r="151" spans="2:2" x14ac:dyDescent="0.45">
      <c r="B151">
        <v>0</v>
      </c>
    </row>
    <row r="152" spans="2:2" x14ac:dyDescent="0.45">
      <c r="B152">
        <v>598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2F8F74ED-627D-407A-88BD-AD248BD2A577}">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114</vt:i4>
      </vt:variant>
    </vt:vector>
  </HeadingPairs>
  <TitlesOfParts>
    <vt:vector size="121" baseType="lpstr">
      <vt:lpstr>About</vt:lpstr>
      <vt:lpstr>Inputs</vt:lpstr>
      <vt:lpstr>Concepts</vt:lpstr>
      <vt:lpstr>Results</vt:lpstr>
      <vt:lpstr>ModelRiskDSN</vt:lpstr>
      <vt:lpstr>ModelRiskSYS1</vt:lpstr>
      <vt:lpstr>ModelRiskCharts</vt:lpstr>
      <vt:lpstr>A_Aband</vt:lpstr>
      <vt:lpstr>A_Cap</vt:lpstr>
      <vt:lpstr>A_Cap2</vt:lpstr>
      <vt:lpstr>A_Cap2From</vt:lpstr>
      <vt:lpstr>A_Capex</vt:lpstr>
      <vt:lpstr>A_Capex2</vt:lpstr>
      <vt:lpstr>A_CostBbl</vt:lpstr>
      <vt:lpstr>A_FirstOil</vt:lpstr>
      <vt:lpstr>A_Fixed</vt:lpstr>
      <vt:lpstr>A_LastProd</vt:lpstr>
      <vt:lpstr>Aband_A</vt:lpstr>
      <vt:lpstr>Aband_B</vt:lpstr>
      <vt:lpstr>B_Aband</vt:lpstr>
      <vt:lpstr>B_Cap</vt:lpstr>
      <vt:lpstr>B_Cap2</vt:lpstr>
      <vt:lpstr>B_Cap2From</vt:lpstr>
      <vt:lpstr>B_Capex</vt:lpstr>
      <vt:lpstr>B_Capex2</vt:lpstr>
      <vt:lpstr>B_CostBbl</vt:lpstr>
      <vt:lpstr>B_FirstOil</vt:lpstr>
      <vt:lpstr>B_Fixed</vt:lpstr>
      <vt:lpstr>B_LastProd</vt:lpstr>
      <vt:lpstr>Best</vt:lpstr>
      <vt:lpstr>BuildC2</vt:lpstr>
      <vt:lpstr>C_Aband</vt:lpstr>
      <vt:lpstr>C_Cap</vt:lpstr>
      <vt:lpstr>C_Cap2</vt:lpstr>
      <vt:lpstr>C_Cap2From</vt:lpstr>
      <vt:lpstr>C_Capex</vt:lpstr>
      <vt:lpstr>C_Capex2</vt:lpstr>
      <vt:lpstr>C_CostBbl</vt:lpstr>
      <vt:lpstr>C_FirstOil</vt:lpstr>
      <vt:lpstr>C_Fixed</vt:lpstr>
      <vt:lpstr>C_LastProd</vt:lpstr>
      <vt:lpstr>Cap_A</vt:lpstr>
      <vt:lpstr>Cap_B</vt:lpstr>
      <vt:lpstr>Cap_C2</vt:lpstr>
      <vt:lpstr>Capex_A</vt:lpstr>
      <vt:lpstr>Capex_B</vt:lpstr>
      <vt:lpstr>Capex_C2</vt:lpstr>
      <vt:lpstr>CapexFactor</vt:lpstr>
      <vt:lpstr>CapexFactor_Hi</vt:lpstr>
      <vt:lpstr>CapexFactor_Lo</vt:lpstr>
      <vt:lpstr>CapexFactor_Mean</vt:lpstr>
      <vt:lpstr>CapexFactor_ML</vt:lpstr>
      <vt:lpstr>Checks</vt:lpstr>
      <vt:lpstr>DecisionYear</vt:lpstr>
      <vt:lpstr>Delay_B</vt:lpstr>
      <vt:lpstr>Deliverability</vt:lpstr>
      <vt:lpstr>Deliverability_Hi</vt:lpstr>
      <vt:lpstr>Deliverability_Lo</vt:lpstr>
      <vt:lpstr>Deliverability_Mean</vt:lpstr>
      <vt:lpstr>Deliverability_ML</vt:lpstr>
      <vt:lpstr>DiscRate</vt:lpstr>
      <vt:lpstr>End_C</vt:lpstr>
      <vt:lpstr>EstError</vt:lpstr>
      <vt:lpstr>Estimate</vt:lpstr>
      <vt:lpstr>Expand</vt:lpstr>
      <vt:lpstr>ExpandOut</vt:lpstr>
      <vt:lpstr>FirstOil_A</vt:lpstr>
      <vt:lpstr>FirstOil_B</vt:lpstr>
      <vt:lpstr>FirstYearShare</vt:lpstr>
      <vt:lpstr>Fixed_A</vt:lpstr>
      <vt:lpstr>Fixed_B</vt:lpstr>
      <vt:lpstr>FO_B</vt:lpstr>
      <vt:lpstr>HostEnd</vt:lpstr>
      <vt:lpstr>HostExt</vt:lpstr>
      <vt:lpstr>HostLife</vt:lpstr>
      <vt:lpstr>HostLife_Hi</vt:lpstr>
      <vt:lpstr>HostLife_Lo</vt:lpstr>
      <vt:lpstr>HostLife_Mean</vt:lpstr>
      <vt:lpstr>HostLife_ML</vt:lpstr>
      <vt:lpstr>InputMeans</vt:lpstr>
      <vt:lpstr>LastYear</vt:lpstr>
      <vt:lpstr>MMbblPerKbd</vt:lpstr>
      <vt:lpstr>NPV_A</vt:lpstr>
      <vt:lpstr>NPV_B</vt:lpstr>
      <vt:lpstr>NPV_C</vt:lpstr>
      <vt:lpstr>PhaseA_Check</vt:lpstr>
      <vt:lpstr>PhaseA_Share</vt:lpstr>
      <vt:lpstr>PhaseA_Year</vt:lpstr>
      <vt:lpstr>PhaseB_Check</vt:lpstr>
      <vt:lpstr>PhaseB_Share</vt:lpstr>
      <vt:lpstr>PhaseB_Year</vt:lpstr>
      <vt:lpstr>PhaseB_YearNow</vt:lpstr>
      <vt:lpstr>PhaseC2_Check</vt:lpstr>
      <vt:lpstr>PhaseC2_Share</vt:lpstr>
      <vt:lpstr>PhaseC2_Year</vt:lpstr>
      <vt:lpstr>Price_Alpha</vt:lpstr>
      <vt:lpstr>Price_LT</vt:lpstr>
      <vt:lpstr>Price_LT_Hi</vt:lpstr>
      <vt:lpstr>Price_LT_Lo</vt:lpstr>
      <vt:lpstr>Price_LT_Mean</vt:lpstr>
      <vt:lpstr>Price_LT_ML</vt:lpstr>
      <vt:lpstr>Price_Vol</vt:lpstr>
      <vt:lpstr>Price_Y0</vt:lpstr>
      <vt:lpstr>Results!Print_Area</vt:lpstr>
      <vt:lpstr>Concepts!Print_Titles</vt:lpstr>
      <vt:lpstr>Inputs!Print_Titles</vt:lpstr>
      <vt:lpstr>Results!Print_Titles</vt:lpstr>
      <vt:lpstr>Prob_DelayB</vt:lpstr>
      <vt:lpstr>Recoverable</vt:lpstr>
      <vt:lpstr>Recoverable_Hi</vt:lpstr>
      <vt:lpstr>Recoverable_Lo</vt:lpstr>
      <vt:lpstr>Recoverable_Mean</vt:lpstr>
      <vt:lpstr>StartYear</vt:lpstr>
      <vt:lpstr>Tariff_A</vt:lpstr>
      <vt:lpstr>Threshold</vt:lpstr>
      <vt:lpstr>Uptime</vt:lpstr>
      <vt:lpstr>Var_A</vt:lpstr>
      <vt:lpstr>Var_B</vt:lpstr>
      <vt:lpstr>Vol_A</vt:lpstr>
      <vt:lpstr>Vol_B</vt:lpstr>
      <vt:lpstr>Vol_C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OG-08 Field Development Concept Selection</dc:title>
  <dc:subject>ModelRisk industry example library — Oil and gas</dc:subject>
  <dc:creator>Vose Software</dc:creator>
  <cp:keywords>ModelRisk; Monte Carlo; Oil and gas</cp:keywords>
  <dc:description>Choosing between a subsea tieback, a standalone FPSO and a tieback with an option to expand when reservoir size is uncertain.</dc:description>
  <cp:lastModifiedBy>Timour Koupeev</cp:lastModifiedBy>
  <cp:lastPrinted>2026-10-05T08:10:49Z</cp:lastPrinted>
  <dcterms:created xsi:type="dcterms:W3CDTF">2026-10-05T08:09:43Z</dcterms:created>
  <dcterms:modified xsi:type="dcterms:W3CDTF">2026-10-05T08:10:51Z</dcterms:modified>
</cp:coreProperties>
</file>