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87BF2D75-E805-4B66-A567-217117B26F4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Well plan" sheetId="3" r:id="rId3"/>
    <sheet name="Results" sheetId="4" r:id="rId4"/>
    <sheet name="ModelRiskDSN" sheetId="5" state="hidden" r:id="rId5"/>
    <sheet name="ModelRiskSYS1" sheetId="6" state="hidden" r:id="rId6"/>
    <sheet name="ModelRiskCharts" sheetId="7" state="hidden" r:id="rId7"/>
  </sheets>
  <definedNames>
    <definedName name="AFE_Level">Inputs!$D$37</definedName>
    <definedName name="Allowance">Inputs!$D$36</definedName>
    <definedName name="Base_Cost">'Well plan'!$E$49</definedName>
    <definedName name="Base_Days">'Well plan'!$E$48</definedName>
    <definedName name="Checks">'Well plan'!$E$53:$E$56</definedName>
    <definedName name="Dur_1">'Well plan'!$D$30</definedName>
    <definedName name="Dur_2">'Well plan'!$D$31</definedName>
    <definedName name="Dur_3">'Well plan'!$D$32</definedName>
    <definedName name="Dur_4">'Well plan'!$D$33</definedName>
    <definedName name="Dur_5">'Well plan'!$D$34</definedName>
    <definedName name="Dur_6">'Well plan'!$D$35</definedName>
    <definedName name="Dur_7">'Well plan'!$D$36</definedName>
    <definedName name="Ev_Cost">'Well plan'!$F$23:$F$24</definedName>
    <definedName name="Ev_Days">'Well plan'!$E$23:$E$24</definedName>
    <definedName name="Ev_Phase">'Well plan'!$D$23:$D$24</definedName>
    <definedName name="InputMeans">Inputs!$I$11:$I$29</definedName>
    <definedName name="MajorDays">'Well plan'!$E$45</definedName>
    <definedName name="MajorEvent">'Well plan'!$E$46</definedName>
    <definedName name="Materials">'Well plan'!$E$47</definedName>
    <definedName name="ML_Days">'Well plan'!$F$17</definedName>
    <definedName name="ML_Materials">'Well plan'!$I$17</definedName>
    <definedName name="_xlnm.Print_Area" localSheetId="3">Results!$A$1:$R$64</definedName>
    <definedName name="_xlnm.Print_Titles" localSheetId="1">Inputs!$1:$4</definedName>
    <definedName name="_xlnm.Print_Titles" localSheetId="3">Results!$1:$4</definedName>
    <definedName name="Prob_Sidetrack">Inputs!$D$24</definedName>
    <definedName name="Prob_WellControl">Inputs!$D$28</definedName>
    <definedName name="Sidetrack">Inputs!$D$25</definedName>
    <definedName name="Sidetrack_Hi">Inputs!$H$25</definedName>
    <definedName name="Sidetrack_Lo">Inputs!$F$25</definedName>
    <definedName name="Sidetrack_Mean">Inputs!$I$25</definedName>
    <definedName name="Sidetrack_ML">Inputs!$G$25</definedName>
    <definedName name="Sidetrack_Phase">Inputs!$D$27</definedName>
    <definedName name="SidetrackCost">Inputs!$D$26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preadRate">Inputs!$D$11</definedName>
    <definedName name="SpreadRate_Hi">Inputs!$H$11</definedName>
    <definedName name="SpreadRate_Lo">Inputs!$F$11</definedName>
    <definedName name="SpreadRate_Mean">Inputs!$I$11</definedName>
    <definedName name="SpreadRate_ML">Inputs!$G$11</definedName>
    <definedName name="TotalCost">'Well plan'!$E$42</definedName>
    <definedName name="TotalDays">'Well plan'!$E$43</definedName>
    <definedName name="TroubleDays">'Well plan'!$E$44</definedName>
    <definedName name="TroubleMean">Inputs!$D$18</definedName>
    <definedName name="TroubleRate">Inputs!$D$16</definedName>
    <definedName name="TroubleRatePerDay">Inputs!$D$17</definedName>
    <definedName name="TroubleSD">Inputs!$D$19</definedName>
    <definedName name="WellControl">Inputs!$D$29</definedName>
    <definedName name="WellControl_Hi">Inputs!$H$29</definedName>
    <definedName name="WellControl_Lo">Inputs!$F$29</definedName>
    <definedName name="WellControl_Mean">Inputs!$I$29</definedName>
    <definedName name="WellControl_ML">Inputs!$G$29</definedName>
    <definedName name="WellControl_Phase">Inputs!$D$31</definedName>
    <definedName name="WellControlCost">Inputs!$D$30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9" i="4" l="1"/>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B62" i="4"/>
  <c r="B16" i="4"/>
  <c r="E56" i="3"/>
  <c r="E55" i="3"/>
  <c r="E54" i="3"/>
  <c r="E53" i="3"/>
  <c r="B7" i="4" s="1"/>
  <c r="C36" i="3"/>
  <c r="C35" i="3"/>
  <c r="C34" i="3"/>
  <c r="C33" i="3"/>
  <c r="C32" i="3"/>
  <c r="G31" i="3"/>
  <c r="C31" i="3"/>
  <c r="C30" i="3"/>
  <c r="D24" i="3"/>
  <c r="D23" i="3"/>
  <c r="K32" i="3" s="1"/>
  <c r="K36" i="3"/>
  <c r="I17" i="3"/>
  <c r="F17" i="3"/>
  <c r="E48" i="3"/>
  <c r="E49" i="3"/>
  <c r="D12" i="4" s="1"/>
  <c r="D17" i="2"/>
  <c r="G35" i="3"/>
  <c r="G36" i="3"/>
  <c r="K30" i="3"/>
  <c r="G32" i="3"/>
  <c r="K31" i="3"/>
  <c r="K35" i="3"/>
  <c r="G30" i="3"/>
  <c r="D32" i="3" a="1"/>
  <c r="D31" i="3" a="1"/>
  <c r="D35" i="3" a="1"/>
  <c r="J34" i="3" a="1"/>
  <c r="D30" i="3" a="1"/>
  <c r="J30" i="3" a="1"/>
  <c r="J33" i="3" a="1"/>
  <c r="J35" i="3" a="1"/>
  <c r="J31" i="3" a="1"/>
  <c r="D36" i="3" a="1"/>
  <c r="J36" i="3" a="1"/>
  <c r="D34" i="3" a="1"/>
  <c r="J32" i="3" a="1"/>
  <c r="D33" i="3" a="1"/>
  <c r="D11" i="2" a="1"/>
  <c r="I29" i="2" a="1"/>
  <c r="I25" i="2" a="1"/>
  <c r="D29" i="2" a="1"/>
  <c r="D25" i="2" a="1"/>
  <c r="I11" i="2" a="1"/>
  <c r="D33" i="3" l="1"/>
  <c r="J32" i="3"/>
  <c r="D34" i="3"/>
  <c r="J36" i="3"/>
  <c r="D36" i="3"/>
  <c r="J31" i="3"/>
  <c r="J35" i="3"/>
  <c r="J33" i="3"/>
  <c r="J30" i="3"/>
  <c r="D30" i="3"/>
  <c r="J34" i="3"/>
  <c r="D35" i="3"/>
  <c r="D31" i="3"/>
  <c r="D32" i="3"/>
  <c r="I11" i="2"/>
  <c r="D25" i="2"/>
  <c r="E23" i="3" s="1"/>
  <c r="D29" i="2"/>
  <c r="E24" i="3" s="1"/>
  <c r="I25" i="2"/>
  <c r="I29" i="2"/>
  <c r="D11" i="2"/>
  <c r="J37" i="3" l="1"/>
  <c r="E47" i="3" s="1" a="1"/>
  <c r="E47" i="3" s="1"/>
  <c r="G34" i="3"/>
  <c r="F24" i="3"/>
  <c r="K34" i="3" s="1"/>
  <c r="F23" i="3"/>
  <c r="K33" i="3" s="1"/>
  <c r="G33" i="3"/>
  <c r="D37" i="3"/>
  <c r="D27" i="4" a="1"/>
  <c r="E27" i="4" a="1"/>
  <c r="G27" i="4" a="1"/>
  <c r="F27" i="4" a="1"/>
  <c r="E36" i="3" a="1"/>
  <c r="E32" i="3" a="1"/>
  <c r="E31" i="3" a="1"/>
  <c r="E35" i="3" a="1"/>
  <c r="E34" i="3" a="1"/>
  <c r="E33" i="3" a="1"/>
  <c r="E30" i="3" a="1"/>
  <c r="G37" i="3" l="1"/>
  <c r="F27" i="4"/>
  <c r="G27" i="4"/>
  <c r="E27" i="4"/>
  <c r="D27" i="4"/>
  <c r="K37" i="3"/>
  <c r="E30" i="3"/>
  <c r="E33" i="3"/>
  <c r="E34" i="3"/>
  <c r="E35" i="3"/>
  <c r="E31" i="3"/>
  <c r="E32" i="3"/>
  <c r="E36" i="3"/>
  <c r="E45" i="3" a="1"/>
  <c r="E45" i="3" s="1"/>
  <c r="E46" i="3" a="1"/>
  <c r="E46" i="3" s="1"/>
  <c r="G28" i="4" a="1"/>
  <c r="G26" i="4" a="1"/>
  <c r="F26" i="4" a="1"/>
  <c r="D26" i="4" a="1"/>
  <c r="E26" i="4" a="1"/>
  <c r="F30" i="3" a="1"/>
  <c r="F33" i="3" a="1"/>
  <c r="F31" i="3" a="1"/>
  <c r="F36" i="3" a="1"/>
  <c r="F34" i="3" a="1"/>
  <c r="F35" i="3" a="1"/>
  <c r="F32" i="3" a="1"/>
  <c r="E26" i="4" l="1"/>
  <c r="D26" i="4"/>
  <c r="F26" i="4"/>
  <c r="G26" i="4"/>
  <c r="G28" i="4"/>
  <c r="F32" i="3"/>
  <c r="H32" i="3" s="1"/>
  <c r="L32" i="3" s="1"/>
  <c r="F35" i="3"/>
  <c r="H35" i="3" s="1"/>
  <c r="L35" i="3" s="1"/>
  <c r="F34" i="3"/>
  <c r="H34" i="3" s="1"/>
  <c r="L34" i="3" s="1"/>
  <c r="F36" i="3"/>
  <c r="H36" i="3" s="1"/>
  <c r="L36" i="3" s="1"/>
  <c r="F31" i="3"/>
  <c r="H31" i="3" s="1"/>
  <c r="L31" i="3" s="1"/>
  <c r="F33" i="3"/>
  <c r="H33" i="3" s="1"/>
  <c r="L33" i="3" s="1"/>
  <c r="F30" i="3"/>
  <c r="E37" i="3"/>
  <c r="F37" i="3" l="1"/>
  <c r="E44" i="3" s="1" a="1"/>
  <c r="E44" i="3" s="1"/>
  <c r="H30" i="3"/>
  <c r="F25" i="4" a="1"/>
  <c r="E25" i="4" a="1"/>
  <c r="D25" i="4" a="1"/>
  <c r="G25" i="4" a="1"/>
  <c r="G25" i="4" l="1"/>
  <c r="D25" i="4"/>
  <c r="E25" i="4"/>
  <c r="F25" i="4"/>
  <c r="I30" i="3" a="1"/>
  <c r="I30" i="3" s="1"/>
  <c r="L30" i="3"/>
  <c r="L37" i="3" s="1"/>
  <c r="E42" i="3" s="1" a="1"/>
  <c r="E42" i="3" s="1"/>
  <c r="H37" i="3"/>
  <c r="E43" i="3" s="1" a="1"/>
  <c r="E43" i="3" s="1"/>
  <c r="E23" i="4" a="1"/>
  <c r="D113" i="4" a="1"/>
  <c r="D92" i="4" a="1"/>
  <c r="D101" i="4" a="1"/>
  <c r="D70" i="4" a="1"/>
  <c r="D77" i="4" a="1"/>
  <c r="D91" i="4" a="1"/>
  <c r="B49" i="4" a="1"/>
  <c r="D102" i="4" a="1"/>
  <c r="D97" i="4" a="1"/>
  <c r="D95" i="4" a="1"/>
  <c r="D96" i="4" a="1"/>
  <c r="D16" i="4" a="1"/>
  <c r="D105" i="4" a="1"/>
  <c r="D98" i="4" a="1"/>
  <c r="D93" i="4" a="1"/>
  <c r="D89" i="4" a="1"/>
  <c r="D116" i="4" a="1"/>
  <c r="D83" i="4" a="1"/>
  <c r="D81" i="4" a="1"/>
  <c r="D80" i="4" a="1"/>
  <c r="D111" i="4" a="1"/>
  <c r="D118" i="4" a="1"/>
  <c r="B6" i="4" a="1"/>
  <c r="D14" i="4" a="1"/>
  <c r="D75" i="4" a="1"/>
  <c r="D121" i="4" a="1"/>
  <c r="D119" i="4" a="1"/>
  <c r="D94" i="4" a="1"/>
  <c r="D85" i="4" a="1"/>
  <c r="D90" i="4" a="1"/>
  <c r="D76" i="4" a="1"/>
  <c r="D107" i="4" a="1"/>
  <c r="D114" i="4" a="1"/>
  <c r="D82" i="4" a="1"/>
  <c r="D104" i="4" a="1"/>
  <c r="D72" i="4" a="1"/>
  <c r="D117" i="4" a="1"/>
  <c r="D103" i="4" a="1"/>
  <c r="D71" i="4" a="1"/>
  <c r="D110" i="4" a="1"/>
  <c r="D78" i="4" a="1"/>
  <c r="D88" i="4" a="1"/>
  <c r="D87" i="4" a="1"/>
  <c r="D13" i="4" a="1"/>
  <c r="D84" i="4" a="1"/>
  <c r="D115" i="4" a="1"/>
  <c r="D23" i="4" a="1"/>
  <c r="D112" i="4" a="1"/>
  <c r="D73" i="4" a="1"/>
  <c r="D79" i="4" a="1"/>
  <c r="D86" i="4" a="1"/>
  <c r="D108" i="4" a="1"/>
  <c r="D100" i="4" a="1"/>
  <c r="G23" i="4" a="1"/>
  <c r="D109" i="4" a="1"/>
  <c r="D99" i="4" a="1"/>
  <c r="F23" i="4" a="1"/>
  <c r="D106" i="4" a="1"/>
  <c r="D74" i="4" a="1"/>
  <c r="D33" i="4" a="1"/>
  <c r="F135" i="4" a="1"/>
  <c r="F33" i="4" a="1"/>
  <c r="E33" i="4" a="1"/>
  <c r="G33" i="4" a="1"/>
  <c r="C135" i="4" a="1"/>
  <c r="E135" i="4" a="1"/>
  <c r="D135" i="4" a="1"/>
  <c r="F24" i="4" a="1"/>
  <c r="D24" i="4" a="1"/>
  <c r="G24" i="4" a="1"/>
  <c r="E24" i="4" a="1"/>
  <c r="E24" i="4" l="1"/>
  <c r="G24" i="4"/>
  <c r="D24" i="4"/>
  <c r="F24" i="4"/>
  <c r="D135" i="4"/>
  <c r="E135" i="4"/>
  <c r="C135" i="4"/>
  <c r="G33" i="4"/>
  <c r="E33" i="4"/>
  <c r="F33" i="4"/>
  <c r="F135" i="4"/>
  <c r="D33" i="4"/>
  <c r="D74" i="4"/>
  <c r="D106" i="4"/>
  <c r="F23" i="4"/>
  <c r="D99" i="4"/>
  <c r="D109" i="4"/>
  <c r="G23" i="4"/>
  <c r="D100" i="4"/>
  <c r="D108" i="4"/>
  <c r="D86" i="4"/>
  <c r="D79" i="4"/>
  <c r="D73" i="4"/>
  <c r="D112" i="4"/>
  <c r="D23" i="4"/>
  <c r="D115" i="4"/>
  <c r="D84" i="4"/>
  <c r="D13" i="4"/>
  <c r="D87" i="4"/>
  <c r="D88" i="4"/>
  <c r="D78" i="4"/>
  <c r="D110" i="4"/>
  <c r="D71" i="4"/>
  <c r="D103" i="4"/>
  <c r="D117" i="4"/>
  <c r="D72" i="4"/>
  <c r="D104" i="4"/>
  <c r="D82" i="4"/>
  <c r="D114" i="4"/>
  <c r="D107" i="4"/>
  <c r="D76" i="4"/>
  <c r="D90" i="4"/>
  <c r="D85" i="4"/>
  <c r="D94" i="4"/>
  <c r="D119" i="4"/>
  <c r="D121" i="4"/>
  <c r="D75" i="4"/>
  <c r="D14" i="4"/>
  <c r="D15" i="4" s="1"/>
  <c r="B6" i="4"/>
  <c r="D118" i="4"/>
  <c r="D111" i="4"/>
  <c r="D80" i="4"/>
  <c r="D81" i="4"/>
  <c r="D83" i="4"/>
  <c r="D116" i="4"/>
  <c r="D89" i="4"/>
  <c r="D93" i="4"/>
  <c r="D98" i="4"/>
  <c r="D105" i="4"/>
  <c r="D16" i="4"/>
  <c r="D96" i="4"/>
  <c r="D95" i="4"/>
  <c r="D97" i="4"/>
  <c r="D102" i="4"/>
  <c r="E52" i="4"/>
  <c r="D50" i="4"/>
  <c r="B56" i="4"/>
  <c r="B130" i="4" s="1"/>
  <c r="E57" i="4"/>
  <c r="C51" i="4"/>
  <c r="B55" i="4"/>
  <c r="B129" i="4" s="1"/>
  <c r="C54" i="4"/>
  <c r="G128" i="4" s="1"/>
  <c r="D55" i="4"/>
  <c r="D58" i="4"/>
  <c r="B52" i="4"/>
  <c r="B126" i="4" s="1"/>
  <c r="D53" i="4"/>
  <c r="C57" i="4"/>
  <c r="D54" i="4"/>
  <c r="B50" i="4"/>
  <c r="B124" i="4" s="1"/>
  <c r="E50" i="4"/>
  <c r="B57" i="4"/>
  <c r="B131" i="4" s="1"/>
  <c r="C58" i="4"/>
  <c r="E55" i="4"/>
  <c r="C49" i="4"/>
  <c r="B49" i="4"/>
  <c r="B123" i="4" s="1"/>
  <c r="C56" i="4"/>
  <c r="B54" i="4"/>
  <c r="B128" i="4" s="1"/>
  <c r="D57" i="4"/>
  <c r="F131" i="4" s="1"/>
  <c r="E53" i="4"/>
  <c r="E51" i="4"/>
  <c r="C52" i="4"/>
  <c r="E49" i="4"/>
  <c r="E58" i="4"/>
  <c r="D56" i="4"/>
  <c r="B53" i="4"/>
  <c r="B127" i="4" s="1"/>
  <c r="C50" i="4"/>
  <c r="G124" i="4" s="1"/>
  <c r="D51" i="4"/>
  <c r="E56" i="4"/>
  <c r="B58" i="4"/>
  <c r="B132" i="4" s="1"/>
  <c r="C55" i="4"/>
  <c r="C53" i="4"/>
  <c r="B51" i="4"/>
  <c r="B125" i="4" s="1"/>
  <c r="D49" i="4"/>
  <c r="F123" i="4" s="1"/>
  <c r="E54" i="4"/>
  <c r="D52" i="4"/>
  <c r="D91" i="4"/>
  <c r="D77" i="4"/>
  <c r="D70" i="4"/>
  <c r="D101" i="4"/>
  <c r="D92" i="4"/>
  <c r="D113" i="4"/>
  <c r="E23" i="4"/>
  <c r="I31" i="3" a="1"/>
  <c r="I31" i="3" s="1"/>
  <c r="C136" i="4" a="1"/>
  <c r="G34" i="4" a="1"/>
  <c r="F136" i="4" a="1"/>
  <c r="E136" i="4" a="1"/>
  <c r="F34" i="4" a="1"/>
  <c r="E34" i="4" a="1"/>
  <c r="D136" i="4" a="1"/>
  <c r="D34" i="4" a="1"/>
  <c r="F126" i="4" l="1"/>
  <c r="F125" i="4"/>
  <c r="F129" i="4"/>
  <c r="D34" i="4"/>
  <c r="D136" i="4"/>
  <c r="E34" i="4"/>
  <c r="F34" i="4"/>
  <c r="E136" i="4"/>
  <c r="F136" i="4"/>
  <c r="G34" i="4"/>
  <c r="C136" i="4"/>
  <c r="F128" i="4"/>
  <c r="G127" i="4"/>
  <c r="D17" i="4"/>
  <c r="D18" i="4"/>
  <c r="G129" i="4"/>
  <c r="F127" i="4"/>
  <c r="G130" i="4"/>
  <c r="G131" i="4"/>
  <c r="G123" i="4"/>
  <c r="F124" i="4"/>
  <c r="I32" i="3" a="1"/>
  <c r="I32" i="3" s="1"/>
  <c r="F130" i="4"/>
  <c r="G125" i="4"/>
  <c r="G126" i="4"/>
  <c r="G132" i="4"/>
  <c r="F132" i="4"/>
  <c r="E35" i="4" a="1"/>
  <c r="C137" i="4" a="1"/>
  <c r="D35" i="4" a="1"/>
  <c r="F35" i="4" a="1"/>
  <c r="G35" i="4" a="1"/>
  <c r="D137" i="4" a="1"/>
  <c r="F137" i="4" a="1"/>
  <c r="E137" i="4" a="1"/>
  <c r="E137" i="4" l="1"/>
  <c r="F137" i="4"/>
  <c r="D137" i="4"/>
  <c r="G35" i="4"/>
  <c r="F35" i="4"/>
  <c r="D35" i="4"/>
  <c r="C137" i="4"/>
  <c r="E35" i="4"/>
  <c r="I33" i="3" a="1"/>
  <c r="I33" i="3" s="1"/>
  <c r="C138" i="4" a="1"/>
  <c r="D138" i="4" a="1"/>
  <c r="D36" i="4" a="1"/>
  <c r="F138" i="4" a="1"/>
  <c r="E138" i="4" a="1"/>
  <c r="G36" i="4" a="1"/>
  <c r="F36" i="4" a="1"/>
  <c r="E36" i="4" a="1"/>
  <c r="E36" i="4" l="1"/>
  <c r="F36" i="4"/>
  <c r="G36" i="4"/>
  <c r="E138" i="4"/>
  <c r="F138" i="4"/>
  <c r="D36" i="4"/>
  <c r="D138" i="4"/>
  <c r="C138" i="4"/>
  <c r="I34" i="3" a="1"/>
  <c r="I34" i="3" s="1"/>
  <c r="E139" i="4" a="1"/>
  <c r="E37" i="4" a="1"/>
  <c r="D37" i="4" a="1"/>
  <c r="F37" i="4" a="1"/>
  <c r="G37" i="4" a="1"/>
  <c r="D139" i="4" a="1"/>
  <c r="F139" i="4" a="1"/>
  <c r="C139" i="4" a="1"/>
  <c r="C139" i="4" l="1"/>
  <c r="F139" i="4"/>
  <c r="D139" i="4"/>
  <c r="G37" i="4"/>
  <c r="F37" i="4"/>
  <c r="D37" i="4"/>
  <c r="E37" i="4"/>
  <c r="E139" i="4"/>
  <c r="I35" i="3" a="1"/>
  <c r="I35" i="3" s="1"/>
  <c r="D140" i="4" a="1"/>
  <c r="E38" i="4" a="1"/>
  <c r="F140" i="4" a="1"/>
  <c r="D38" i="4" a="1"/>
  <c r="G38" i="4" a="1"/>
  <c r="C140" i="4" a="1"/>
  <c r="F38" i="4" a="1"/>
  <c r="E140" i="4" a="1"/>
  <c r="E140" i="4" l="1"/>
  <c r="F38" i="4"/>
  <c r="C140" i="4"/>
  <c r="G38" i="4"/>
  <c r="D38" i="4"/>
  <c r="F140" i="4"/>
  <c r="E38" i="4"/>
  <c r="D140" i="4"/>
  <c r="I36" i="3" a="1"/>
  <c r="I36" i="3" s="1"/>
  <c r="E39" i="4" a="1"/>
  <c r="C141" i="4" a="1"/>
  <c r="D141" i="4" a="1"/>
  <c r="D39" i="4" a="1"/>
  <c r="F39" i="4" a="1"/>
  <c r="G39" i="4" a="1"/>
  <c r="F141" i="4" a="1"/>
  <c r="E141" i="4" a="1"/>
  <c r="E141" i="4" l="1"/>
  <c r="F141" i="4"/>
  <c r="G39" i="4"/>
  <c r="F39" i="4"/>
  <c r="D39" i="4"/>
  <c r="D141" i="4"/>
  <c r="C141" i="4"/>
  <c r="E3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<sst xmlns="http://schemas.openxmlformats.org/spreadsheetml/2006/main" count="410" uniqueCount="301">
  <si>
    <t>Well Cost and Time (AFE)</t>
  </si>
  <si>
    <t>ModelRisk example  ·  Oil and gas  ·  OG-07</t>
  </si>
  <si>
    <t>What should the AFE for well K-15 be?  Days and cost phase by phase, with trouble time and the events that wreck a well budget.</t>
  </si>
  <si>
    <t>Next:  Inputs  ▸</t>
  </si>
  <si>
    <t>Model card</t>
  </si>
  <si>
    <t>Industry</t>
  </si>
  <si>
    <t>Oil and gas</t>
  </si>
  <si>
    <t>Difficulty</t>
  </si>
  <si>
    <t>★★★☆☆   Phase-by-phase well estimate with trouble time as a frequency × severity sum and two major risk events.</t>
  </si>
  <si>
    <t>Business question</t>
  </si>
  <si>
    <t>Well K-15 is planned to 4,200 m from a jack-up rig. How long will it take and what will it cost, how likely is the deterministic estimate to be exceeded, and how much contingency does a P80 authorisation for expenditure (AFE) need?</t>
  </si>
  <si>
    <t>Who it is for</t>
  </si>
  <si>
    <t>Drilling and well engineers, cost engineers and asset managers who prepare or approve AFEs.</t>
  </si>
  <si>
    <t>Main outputs</t>
  </si>
  <si>
    <t>Total days and total cost with P50 / P80 / P90 · the chance of exceeding the deterministic estimate · the contingency for a P80 AFE · days at the end of each phase with their range · what drives the cost.</t>
  </si>
  <si>
    <t>ModelRisk techniques</t>
  </si>
  <si>
    <t>PERT phase durations and costs · trouble time as a frequency × severity sum (VosePoisson count, VoseAggregateMC of VoseLognormalObject event sizes) · risk events with VoseRiskEvent · time-dependent cost (spread rate × days) · P50 / P80 / P90 reporting.</t>
  </si>
  <si>
    <t>File</t>
  </si>
  <si>
    <t>OG-07 Well cost and time (AFE)  ·  Version 1.0  ·  October 2026  ·  built with ModelRisk 10</t>
  </si>
  <si>
    <t>The business question</t>
  </si>
  <si>
    <t>Well K-15 is an appraisal well, planned to 4,200 m from a jack-up rig. The drilling engineer's deterministic estimate adds up the most likely duration and cost of each phase and puts a 10% allowance on top for trouble time. But wells rarely go to plan. Some trouble — lost circulation, a tight hole, an equipment failure, waiting on weather — happens on almost every well, more often in the difficult sections. And once in a while a major event, such as a stuck drill string that forces a sidetrack, adds weeks. Because most of the rig's cost accrues by the day, every lost day costs money. The model builds the well phase by phase, adds trouble time as a random number of events of random size, adds the two major risk events, and turns days into cost at the spread rate. The AFE then rests on a stated confidence level instead of a single number that is exceeded far more often than not.</t>
  </si>
  <si>
    <t>How the model works</t>
  </si>
  <si>
    <t>Three sheets after this one, read from left to right. Each one feeds the next.</t>
  </si>
  <si>
    <t>1  Inputs</t>
  </si>
  <si>
    <t>The spread rate (rig, services, fuel, logistics) per day; how often trouble occurs and how many days an event costs; the chance and the size of a sidetrack and of a well-control event, and the phase each can happen in; the trouble allowance used in the deterministic estimate; and the confidence level of the AFE.</t>
  </si>
  <si>
    <t>2  Well plan</t>
  </si>
  <si>
    <t>Each phase has a trouble-free duration and a cost of materials and services (PERT), and a trouble factor for how difficult it is. In every iteration the number of trouble events in a phase is Poisson with a mean proportional to its duration and its trouble factor, and VoseAggregateMC adds up the days they cost. A major event adds its days and cost to the phase it happens in. Phase days × spread rate plus materials and services gives the phase cost.</t>
  </si>
  <si>
    <t>3  Results</t>
  </si>
  <si>
    <t>Percentiles of total cost and days in the P50 / P80 / P90 form used for AFEs, the chance of exceeding the deterministic estimate, the AFE at the chosen confidence level and its contingency, days at the end of each phase, and what drives the cost.</t>
  </si>
  <si>
    <t>How to use it</t>
  </si>
  <si>
    <t>Step 1</t>
  </si>
  <si>
    <t>Enter your well's phases, durations and costs on the Well plan sheet, and the spread rate and risk events on the Inputs sheet.</t>
  </si>
  <si>
    <t>Step 2</t>
  </si>
  <si>
    <t>Calibrate the trouble rate and event size from offset wells (non-productive time per 10 days, days per event).</t>
  </si>
  <si>
    <t>Step 3</t>
  </si>
  <si>
    <t>Run a simulation from the ModelRisk ribbon (10,000 samples with a fixed seed are set).</t>
  </si>
  <si>
    <t>Step 4</t>
  </si>
  <si>
    <t>Set the AFE confidence level on the Inputs sheet (80% as shipped), simulate again, and read the AFE and its contingency on the Results sheet.</t>
  </si>
  <si>
    <t>Workbook map</t>
  </si>
  <si>
    <t>Inputs</t>
  </si>
  <si>
    <t>Spread rate, trouble time, major risk events, the deterministic allowance and the AFE level.</t>
  </si>
  <si>
    <t>Well plan</t>
  </si>
  <si>
    <t>The seven phases with their ranges; this iteration's duration, trouble time and cost per phase; totals and checks.</t>
  </si>
  <si>
    <t>Results</t>
  </si>
  <si>
    <t>AFE figures, the S-curve of cost, days by phase, and the cost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</si>
  <si>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</si>
  <si>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</si>
  <si>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</si>
  <si>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</si>
  <si>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</si>
  <si>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</si>
  <si>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</si>
  <si>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</si>
  <si>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</si>
  <si>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</si>
  <si>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</si>
  <si>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</si>
  <si>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</si>
  <si>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the spread rate is in US$ thousand per day (US$k/d).</t>
  </si>
  <si>
    <t>Time</t>
  </si>
  <si>
    <t>Days of rig time, 24 hours a day.</t>
  </si>
  <si>
    <t>P50 / P80 / P90</t>
  </si>
  <si>
    <t>Cost-estimating convention: P80 is the value with an 80% chance of not being exceeded.</t>
  </si>
  <si>
    <t>Trouble time</t>
  </si>
  <si>
    <t>Non-productive time (NPT): rig time lost to unplanned events.</t>
  </si>
  <si>
    <t>Key assumptions and limitations</t>
  </si>
  <si>
    <t>Events occur at random (Poisson) at a rate proportional to time spent in each phase; event sizes are independent and Lognormal.</t>
  </si>
  <si>
    <t>Major events</t>
  </si>
  <si>
    <t>Each happens at most once, in one phase: as shipped, a sidetrack in the 12¼-in section and a well-control event in the reservoir section.</t>
  </si>
  <si>
    <t>Costs</t>
  </si>
  <si>
    <t>Every day costs the spread rate; materials and services are independent of days. No escalation or exchange-rate risk.</t>
  </si>
  <si>
    <t>Data</t>
  </si>
  <si>
    <t>Phases, durations, costs and rates are invented for this example.</t>
  </si>
  <si>
    <t>ModelRisk functions used</t>
  </si>
  <si>
    <t>VosePERT</t>
  </si>
  <si>
    <t>Trouble-free duration and the cost of materials and services of each phase, and the spread rate.</t>
  </si>
  <si>
    <t>VosePoisson, VoseAggregateMC, VoseLognormalObject</t>
  </si>
  <si>
    <t>Trouble time: a Poisson number of events per phase, each of Lognormal size, summed by VoseAggregateMC.</t>
  </si>
  <si>
    <t>VoseRiskEvent, VosePERTObject</t>
  </si>
  <si>
    <t>The sidetrack and the well-control event: zero, or a PERT number of days.</t>
  </si>
  <si>
    <t>VoseInput, VoseOutput</t>
  </si>
  <si>
    <t>Name the uncertain quantities and the outputs for the Results Viewer and the sensitivity analysis.</t>
  </si>
  <si>
    <t>VoseSimMean, VoseSimPercentile, VoseSimProbability</t>
  </si>
  <si>
    <t>Statistics of the simulation for the tables and charts on the Results sheet.</t>
  </si>
  <si>
    <t>VoseSimSensitivityMean</t>
  </si>
  <si>
    <t>The tornado chart: the ten VoseInputs that move the mean total cost most across their range, ranked.</t>
  </si>
  <si>
    <t>Further reading</t>
  </si>
  <si>
    <t>Well cost estimating</t>
  </si>
  <si>
    <t>Adams, N. J. (1985). Drilling Engineering: A Complete Well Planning Approach. PennWell.</t>
  </si>
  <si>
    <t>Risk analysis</t>
  </si>
  <si>
    <t>Vose, D. (2008). Risk Analysis: A Quantitative Guide, 3rd edition. Wiley — chapters on aggregate distributions and project risk.</t>
  </si>
  <si>
    <t>© 2026 Vose Software   ·   www.vosesoftware.com   ·   An illustrative example: the figures are invented for teaching and do not describe a real company, project or asset.</t>
  </si>
  <si>
    <t>INPUTS   ·   Rates, trouble time, the major risk events and the AFE level. Each phase's durations, costs and trouble factor are on the Well plan sheet. Change only the yellow cells.</t>
  </si>
  <si>
    <t>◂  About</t>
  </si>
  <si>
    <t>Next:  Well plan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</si>
  <si>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</si>
  <si>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Rig and spread rate</t>
  </si>
  <si>
    <t>Everything that costs money by the day.</t>
  </si>
  <si>
    <t>Assumption</t>
  </si>
  <si>
    <t>Unit</t>
  </si>
  <si>
    <t>Value in model</t>
  </si>
  <si>
    <t>Uncertainty</t>
  </si>
  <si>
    <t>Low</t>
  </si>
  <si>
    <t>Most likely</t>
  </si>
  <si>
    <t>High</t>
  </si>
  <si>
    <t>Mean</t>
  </si>
  <si>
    <t>Basis / source (illustrative)</t>
  </si>
  <si>
    <t>Spread rate</t>
  </si>
  <si>
    <t>US$k/d</t>
  </si>
  <si>
    <t>PERT</t>
  </si>
  <si>
    <t>Jack-up day rate with services, fuel, logistics and supervision; the range covers the service contracts still open.</t>
  </si>
  <si>
    <t>2   Trouble time</t>
  </si>
  <si>
    <t>Frequent, smaller events: lost circulation, tight hole, equipment failure, waiting on weather.</t>
  </si>
  <si>
    <t>Trouble events per 10 days of operations</t>
  </si>
  <si>
    <t>events</t>
  </si>
  <si>
    <t>Fixed</t>
  </si>
  <si>
    <t>Offset wells: 61 events in 610 rig days. Multiplied by each phase's trouble factor.</t>
  </si>
  <si>
    <t>Trouble events per day of operations</t>
  </si>
  <si>
    <t>events / day</t>
  </si>
  <si>
    <t>Calculated</t>
  </si>
  <si>
    <t>The rate above ÷ 10. A phase expects this × its days × its trouble factor events.</t>
  </si>
  <si>
    <t>Days lost per event, mean</t>
  </si>
  <si>
    <t>days</t>
  </si>
  <si>
    <t>Offset wells: average non-productive time per event.</t>
  </si>
  <si>
    <t>Days lost per event, standard deviation</t>
  </si>
  <si>
    <t>A Lognormal with this mean and spread: many short events, a few long ones.</t>
  </si>
  <si>
    <t>3   Major risk events</t>
  </si>
  <si>
    <t>Rare events that add weeks. Each happens at most once, in the section where it can occur.</t>
  </si>
  <si>
    <t>Chance of a sidetrack</t>
  </si>
  <si>
    <t>probability</t>
  </si>
  <si>
    <t>Stuck pipe in the 12¼-in section that cannot be freed: 2 of 18 offset wells.</t>
  </si>
  <si>
    <t>Days lost to a sidetrack</t>
  </si>
  <si>
    <t>Risk event  · PERT</t>
  </si>
  <si>
    <t>Fishing, plugging back and re-drilling the section.</t>
  </si>
  <si>
    <t>Direct cost of a sidetrack</t>
  </si>
  <si>
    <t>US$m</t>
  </si>
  <si>
    <t>Equipment lost in the hole, cement plugs, extra casing; on top of the rig days.</t>
  </si>
  <si>
    <t>Phase in which a sidetrack can happen</t>
  </si>
  <si>
    <t>1 – 7</t>
  </si>
  <si>
    <t>Phase number on the Well plan sheet: 4 = the 12¼-in section.</t>
  </si>
  <si>
    <t>Chance of a well-control event</t>
  </si>
  <si>
    <t>Influx in the reservoir section; pressure is better known after the 2024 appraisal well.</t>
  </si>
  <si>
    <t>Days lost to a well-control event</t>
  </si>
  <si>
    <t>Shut in, circulate out the influx, raise the mud weight.</t>
  </si>
  <si>
    <t>Direct cost of a well-control event</t>
  </si>
  <si>
    <t>Kill mud, specialist services.</t>
  </si>
  <si>
    <t>Phase in which a well-control event can happen</t>
  </si>
  <si>
    <t>Phase number on the Well plan sheet: 5 = the 8½-in reservoir section.</t>
  </si>
  <si>
    <t>4   Deterministic estimate and AFE</t>
  </si>
  <si>
    <t>The single-number estimate the simulation is compared with, and the AFE's confidence level.</t>
  </si>
  <si>
    <t>Trouble-time allowance in the deterministic estimate</t>
  </si>
  <si>
    <t>of trouble-free days</t>
  </si>
  <si>
    <t>Added to the sum of the most likely phase durations, as many deterministic AFEs do.</t>
  </si>
  <si>
    <t>AFE confidence level</t>
  </si>
  <si>
    <t>The AFE is the total cost with this chance of not being exceeded: 80% (P80) is common; some companies use 50% or 90%.</t>
  </si>
  <si>
    <t>WELL PLAN   ·   Seven phases from mobilisation to abandonment: ranges, then this iteration's days and cost.</t>
  </si>
  <si>
    <t>◂  Inputs</t>
  </si>
  <si>
    <t>Next:  Results  ▸</t>
  </si>
  <si>
    <t>1   Phases</t>
  </si>
  <si>
    <t>Yellow cells are inputs: the trouble-free duration, the cost of materials and services, and how trouble-prone the phase is.</t>
  </si>
  <si>
    <t>No.</t>
  </si>
  <si>
    <t>Phase</t>
  </si>
  <si>
    <t>Depth</t>
  </si>
  <si>
    <t>Duration  (days)</t>
  </si>
  <si>
    <t>Materials and services  (US$m)</t>
  </si>
  <si>
    <t>Trouble</t>
  </si>
  <si>
    <t>Note</t>
  </si>
  <si>
    <t>m, at end</t>
  </si>
  <si>
    <t>factor</t>
  </si>
  <si>
    <t>Mobilise and rig up</t>
  </si>
  <si>
    <t>–</t>
  </si>
  <si>
    <t>Tow, preload and rig up the jack-up; mobilisation fee</t>
  </si>
  <si>
    <t>26-in surface hole, 20-in casing</t>
  </si>
  <si>
    <t>Shallow gas is mapped as unlikely</t>
  </si>
  <si>
    <t>17½-in hole, 13⅜-in casing</t>
  </si>
  <si>
    <t>Reactive shales: tight hole is common</t>
  </si>
  <si>
    <t>12¼-in hole, 9⅝-in casing</t>
  </si>
  <si>
    <t>Long section through faulted chalk: losses and stuck pipe</t>
  </si>
  <si>
    <t>8½-in reservoir section</t>
  </si>
  <si>
    <t>Depleted reservoir in offset wells: lost circulation</t>
  </si>
  <si>
    <t>Logging and testing</t>
  </si>
  <si>
    <t>Wireline logs, cores and a drill-stem test</t>
  </si>
  <si>
    <t>Plug, abandon and rig down</t>
  </si>
  <si>
    <t>Cement plugs, cut and pull casing, demobilise</t>
  </si>
  <si>
    <t>Total, most likely values</t>
  </si>
  <si>
    <t>2   Major risk events in this iteration</t>
  </si>
  <si>
    <t>Each event's days come from its risk event on the Inputs sheet: zero when it does not happen.</t>
  </si>
  <si>
    <t>Event</t>
  </si>
  <si>
    <t>Days lost</t>
  </si>
  <si>
    <t>Direct cost</t>
  </si>
  <si>
    <t>How it is calculated</t>
  </si>
  <si>
    <t>no.</t>
  </si>
  <si>
    <t>Sidetrack</t>
  </si>
  <si>
    <t>Phase from Inputs; days from the risk event; the direct cost only if the event happens</t>
  </si>
  <si>
    <t>Well-control event</t>
  </si>
  <si>
    <t>3   This iteration, phase by phase</t>
  </si>
  <si>
    <t>Money in US$m. Trouble events are Poisson with mean = events per day × duration × trouble factor.</t>
  </si>
  <si>
    <t>Duration</t>
  </si>
  <si>
    <t>Major</t>
  </si>
  <si>
    <t>Days at</t>
  </si>
  <si>
    <t>Materials,</t>
  </si>
  <si>
    <t>Major event</t>
  </si>
  <si>
    <t>event days</t>
  </si>
  <si>
    <t>end of phase</t>
  </si>
  <si>
    <t>services</t>
  </si>
  <si>
    <t>cost</t>
  </si>
  <si>
    <t>Duration and materials: PERT from the table above</t>
  </si>
  <si>
    <t>Trouble days: VoseAggregateMC adds up the events' Lognormal sizes</t>
  </si>
  <si>
    <t>Major event days and cost: SUMIF over the events in this phase (section 2)</t>
  </si>
  <si>
    <t>Phase cost = days × spread rate ÷ 1000 (US$k to US$m) + materials + major event cost</t>
  </si>
  <si>
    <t>Total</t>
  </si>
  <si>
    <t>4   Value in this iteration</t>
  </si>
  <si>
    <t>Key outputs, recorded by ModelRisk at every sample (VoseOutput). Their statistics appear on the Results sheet.</t>
  </si>
  <si>
    <t>Output</t>
  </si>
  <si>
    <t>Value</t>
  </si>
  <si>
    <t>Meaning</t>
  </si>
  <si>
    <t>Total cost of the well</t>
  </si>
  <si>
    <t>Rig and spread, materials and services, major event costs.</t>
  </si>
  <si>
    <t>Total days</t>
  </si>
  <si>
    <t>From the start of mobilisation to rig release.</t>
  </si>
  <si>
    <t>Trouble time  (all phases)</t>
  </si>
  <si>
    <t>Days lost to the frequent, smaller events. Marked as an input, for the tornado chart.</t>
  </si>
  <si>
    <t>Major event days</t>
  </si>
  <si>
    <t>Days lost to a sidetrack or a well-control event.</t>
  </si>
  <si>
    <t>A major event happens?  (1 = yes)</t>
  </si>
  <si>
    <t>1 / 0</t>
  </si>
  <si>
    <t>Sidetrack or well-control event in this iteration.</t>
  </si>
  <si>
    <t>Materials and services</t>
  </si>
  <si>
    <t>Everything that is not charged by the day.</t>
  </si>
  <si>
    <t>Deterministic estimate: days</t>
  </si>
  <si>
    <t>Sum of most likely durations plus the trouble allowance.</t>
  </si>
  <si>
    <t>Deterministic estimate: cost</t>
  </si>
  <si>
    <t>Deterministic days × most likely spread rate + most likely materials and services.</t>
  </si>
  <si>
    <t>5   Model checks</t>
  </si>
  <si>
    <t>Should all read OK. A CHECK means an input has been set outside the range the model is built for.</t>
  </si>
  <si>
    <t>Phase durations: Low ≤ Most likely ≤ High</t>
  </si>
  <si>
    <t>Phase costs: Low ≤ Most likely ≤ High</t>
  </si>
  <si>
    <t>Trouble factors are not negative</t>
  </si>
  <si>
    <t>Each major event's phase is a phase of the well</t>
  </si>
  <si>
    <t>RESULTS   ·   Filled in automatically from the last simulation. Run a simulation after changing any input.</t>
  </si>
  <si>
    <t>◂  Well plan</t>
  </si>
  <si>
    <t>1   The AFE</t>
  </si>
  <si>
    <t>Total well cost — S-curve</t>
  </si>
  <si>
    <t>The AFE is the cost at the confidence level on Inputs (P80 as shipped). The deterministic estimate is the usual single number.</t>
  </si>
  <si>
    <t>Measure</t>
  </si>
  <si>
    <t>Deterministic estimate, with trouble allowance</t>
  </si>
  <si>
    <t>Mean cost of the well</t>
  </si>
  <si>
    <t>Chance of staying within the deterministic estimate</t>
  </si>
  <si>
    <t>Chance of exceeding the deterministic estimate</t>
  </si>
  <si>
    <t>Contingency over the deterministic estimate</t>
  </si>
  <si>
    <t>Contingency as a share of the deterministic estimate</t>
  </si>
  <si>
    <t>2   Cost and days</t>
  </si>
  <si>
    <t>P50 / P80 / P90: a 50%, 80% and 90% chance of not being exceeded.</t>
  </si>
  <si>
    <t>P50</t>
  </si>
  <si>
    <t>P80</t>
  </si>
  <si>
    <t>P90</t>
  </si>
  <si>
    <t>Chance of a sidetrack or a well-control event</t>
  </si>
  <si>
    <t>3   Days at the end of each phase</t>
  </si>
  <si>
    <t>Days at the end of each phase — 10th to 90th percentile</t>
  </si>
  <si>
    <t>The time–depth plan with its range: 10th percentile, median and 90th percentile.</t>
  </si>
  <si>
    <t>10th pct</t>
  </si>
  <si>
    <t>Median</t>
  </si>
  <si>
    <t>90th pct</t>
  </si>
  <si>
    <t>1  Mobilise and rig up</t>
  </si>
  <si>
    <t>2  26-in surface hole, 20-in casing</t>
  </si>
  <si>
    <t>3  17½-in hole, 13⅜-in casing</t>
  </si>
  <si>
    <t>4  12¼-in hole, 9⅝-in casing</t>
  </si>
  <si>
    <t>5  8½-in reservoir section</t>
  </si>
  <si>
    <t>6  Logging and testing</t>
  </si>
  <si>
    <t>7  Plug, abandon and rig down</t>
  </si>
  <si>
    <t>4   What drives the cost of the well</t>
  </si>
  <si>
    <t>What drives the cost of the well  (US$m)</t>
  </si>
  <si>
    <t>Lowest and highest mean total cost over ten equal groups of each input (VoseSimSensitivityMean), drawn from the overall mean.</t>
  </si>
  <si>
    <t>Input (ranked by influence)</t>
  </si>
  <si>
    <t>Lowest mean</t>
  </si>
  <si>
    <t>Highest mean</t>
  </si>
  <si>
    <t>Rank</t>
  </si>
  <si>
    <t>5   How to read these results</t>
  </si>
  <si>
    <t>•  The deterministic estimate is exceeded far more often than not, even with its trouble allowance: most likely values add up to less than the median, trouble time is almost certain and its average is larger than the allowance, and the major events can only add time.</t>
  </si>
  <si>
    <t>•  The sidetrack drives the upper end of the S-curve: it happens in one well in ten, but when it does it adds two weeks and several million dollars. Reducing that risk (better stuck-pipe practices, a contingency liner) narrows the range more than shaving days off the plan.</t>
  </si>
  <si>
    <t>•  Most of the cost accrues by the day, so the spread rate and every lost day matter. Trouble time is one of the largest drivers: individually small events add up to about a week on average, and some wells lose nearly twice that.</t>
  </si>
  <si>
    <t>Chart data</t>
  </si>
  <si>
    <t>Statistics of the last simulation behind the charts and the ranking above. Grouped: click + in the left margin to show them.</t>
  </si>
  <si>
    <t>Cumulative probability</t>
  </si>
  <si>
    <t>Exceedance</t>
  </si>
  <si>
    <t>TotalCost</t>
  </si>
  <si>
    <t>Overall mean of TotalCost</t>
  </si>
  <si>
    <t>Ranked input (chart)</t>
  </si>
  <si>
    <t>Highest − mean</t>
  </si>
  <si>
    <t>Lowest − mean</t>
  </si>
  <si>
    <t>Period</t>
  </si>
  <si>
    <t>10th percentile</t>
  </si>
  <si>
    <t>90th percentile</t>
  </si>
  <si>
    <t>Mobilise</t>
  </si>
  <si>
    <t>26-in hole</t>
  </si>
  <si>
    <t>17½-in hole</t>
  </si>
  <si>
    <t>12¼-in hole</t>
  </si>
  <si>
    <t>8½-in hole</t>
  </si>
  <si>
    <t>Logging</t>
  </si>
  <si>
    <t>Abandon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</si>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</sst>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quot;–&quot;_)"/>
    <numFmt numFmtId="165" formatCode="#,##0.00_);\(#,##0.00\);&quot;–&quot;_)"/>
    <numFmt numFmtId="166" formatCode="0.000"/>
    <numFmt numFmtId="167" formatCode="#,##0.0_);\(#,##0.0\);&quot;–&quot;_)"/>
    <numFmt numFmtId="168" formatCode="#,##0.0_);\(#,##0.0\);&quot;–&quot;_);&quot;–&quot;"/>
    <numFmt numFmtId="169" formatCode="0.0%;\-0.0%;0.0%;&quot;–&quot;"/>
    <numFmt numFmtId="170" formatCode="0%;\-0%;0%;&quot;–&quot;"/>
    <numFmt numFmtId="171" formatCode="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9"/>
      <color rgb="FF8AA0BA"/>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0" fontId="0" fillId="0" borderId="6" xfId="0" applyBorder="1"/>
    <xf numFmtId="166" fontId="3" fillId="0" borderId="8" xfId="3" applyNumberFormat="1" applyBorder="1">
      <alignment horizontal="right" vertical="center"/>
    </xf>
    <xf numFmtId="9" fontId="1" fillId="2" borderId="7" xfId="1" applyNumberFormat="1" applyBorder="1">
      <alignment horizontal="right" vertical="center"/>
    </xf>
    <xf numFmtId="167" fontId="2" fillId="3" borderId="7" xfId="2" applyNumberFormat="1" applyBorder="1">
      <alignment horizontal="right" vertical="center"/>
    </xf>
    <xf numFmtId="167" fontId="1" fillId="2" borderId="7" xfId="1" applyNumberFormat="1" applyBorder="1">
      <alignment horizontal="right" vertical="center"/>
    </xf>
    <xf numFmtId="167" fontId="3" fillId="0" borderId="8" xfId="3" applyNumberFormat="1" applyBorder="1">
      <alignment horizontal="right" vertical="center"/>
    </xf>
    <xf numFmtId="1" fontId="1" fillId="2" borderId="7" xfId="1" applyNumberFormat="1" applyBorder="1">
      <alignment horizontal="right" vertical="center"/>
    </xf>
    <xf numFmtId="0" fontId="17" fillId="7" borderId="2" xfId="0" applyFont="1" applyFill="1" applyBorder="1" applyAlignment="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1" fontId="3" fillId="0" borderId="8" xfId="3" applyNumberFormat="1" applyBorder="1">
      <alignment horizontal="right" vertical="center"/>
    </xf>
    <xf numFmtId="0" fontId="20" fillId="0" borderId="6" xfId="0" applyFont="1" applyBorder="1" applyAlignment="1">
      <alignment horizontal="right" vertical="center"/>
    </xf>
    <xf numFmtId="2" fontId="1" fillId="2" borderId="7" xfId="1" applyNumberFormat="1" applyBorder="1">
      <alignment horizontal="right" vertical="center"/>
    </xf>
    <xf numFmtId="0" fontId="12" fillId="0" borderId="6" xfId="0" applyFont="1" applyBorder="1" applyAlignment="1">
      <alignment horizontal="left" vertical="center" indent="1"/>
    </xf>
    <xf numFmtId="167" fontId="12" fillId="0" borderId="8" xfId="3" applyNumberFormat="1" applyFont="1" applyBorder="1">
      <alignment horizontal="right" vertical="center"/>
    </xf>
    <xf numFmtId="165" fontId="12" fillId="0" borderId="8" xfId="3" applyNumberFormat="1" applyFont="1" applyBorder="1">
      <alignment horizontal="right" vertical="center"/>
    </xf>
    <xf numFmtId="165" fontId="3" fillId="0" borderId="8" xfId="3" applyNumberFormat="1" applyBorder="1">
      <alignment horizontal="right" vertical="center"/>
    </xf>
    <xf numFmtId="1" fontId="2" fillId="3" borderId="7" xfId="2" applyNumberFormat="1" applyBorder="1">
      <alignment horizontal="right" vertical="center"/>
    </xf>
    <xf numFmtId="167" fontId="4" fillId="4" borderId="9" xfId="4" applyNumberFormat="1" applyBorder="1">
      <alignment horizontal="right" vertical="center"/>
    </xf>
    <xf numFmtId="165" fontId="2" fillId="3" borderId="7" xfId="2" applyNumberFormat="1" applyBorder="1">
      <alignment horizontal="right" vertical="center"/>
    </xf>
    <xf numFmtId="1" fontId="12" fillId="0" borderId="8"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 fontId="4" fillId="4" borderId="9" xfId="4" applyNumberFormat="1" applyBorder="1">
      <alignment horizontal="right" vertical="center"/>
    </xf>
    <xf numFmtId="165"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22" fillId="0" borderId="6" xfId="0" applyFont="1" applyBorder="1" applyAlignment="1">
      <alignment horizontal="left" vertical="center" indent="1"/>
    </xf>
    <xf numFmtId="168" fontId="23" fillId="5" borderId="7" xfId="5" applyNumberFormat="1" applyFont="1" applyBorder="1">
      <alignment horizontal="right" vertical="center"/>
    </xf>
    <xf numFmtId="169" fontId="1" fillId="5" borderId="7" xfId="5" applyNumberFormat="1" applyBorder="1">
      <alignment horizontal="right" vertical="center"/>
    </xf>
    <xf numFmtId="168" fontId="1" fillId="5" borderId="7" xfId="5" applyNumberFormat="1" applyBorder="1">
      <alignment horizontal="right" vertical="center"/>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2" fillId="0" borderId="0" xfId="0" applyFont="1" applyAlignment="1">
      <alignment horizontal="left" vertical="center" indent="1"/>
    </xf>
    <xf numFmtId="167"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well cost</c:v>
          </c:tx>
          <c:spPr>
            <a:ln w="25400">
              <a:solidFill>
                <a:srgbClr val="0E4F92"/>
              </a:solidFill>
              <a:prstDash val="solid"/>
            </a:ln>
          </c:spPr>
          <c:marker>
            <c:symbol val="none"/>
          </c:marker>
          <c:xVal>
            <c:numRef>
              <c:f>Results!$D$70:$D$119</c:f>
              <c:numCache>
                <c:formatCode>#,##0.00</c:formatCode>
                <c:ptCount val="50"/>
                <c:pt idx="0">
                  <c:v>39.291701892568071</c:v>
                </c:pt>
                <c:pt idx="1">
                  <c:v>39.946782559252028</c:v>
                </c:pt>
                <c:pt idx="2">
                  <c:v>40.332547575039698</c:v>
                </c:pt>
                <c:pt idx="3">
                  <c:v>40.616152334894913</c:v>
                </c:pt>
                <c:pt idx="4">
                  <c:v>40.840107950390028</c:v>
                </c:pt>
                <c:pt idx="5">
                  <c:v>41.066994350668935</c:v>
                </c:pt>
                <c:pt idx="6">
                  <c:v>41.24859179899326</c:v>
                </c:pt>
                <c:pt idx="7">
                  <c:v>41.433555863052618</c:v>
                </c:pt>
                <c:pt idx="8">
                  <c:v>41.59022704576725</c:v>
                </c:pt>
                <c:pt idx="9">
                  <c:v>41.73846390117145</c:v>
                </c:pt>
                <c:pt idx="10">
                  <c:v>41.874261679387345</c:v>
                </c:pt>
                <c:pt idx="11">
                  <c:v>42.013962032035032</c:v>
                </c:pt>
                <c:pt idx="12">
                  <c:v>42.142628714768946</c:v>
                </c:pt>
                <c:pt idx="13">
                  <c:v>42.260102485381225</c:v>
                </c:pt>
                <c:pt idx="14">
                  <c:v>42.393106111071958</c:v>
                </c:pt>
                <c:pt idx="15">
                  <c:v>42.532969153497731</c:v>
                </c:pt>
                <c:pt idx="16">
                  <c:v>42.65037572174294</c:v>
                </c:pt>
                <c:pt idx="17">
                  <c:v>42.771382475498683</c:v>
                </c:pt>
                <c:pt idx="18">
                  <c:v>42.890804736845546</c:v>
                </c:pt>
                <c:pt idx="19">
                  <c:v>43.003721786923641</c:v>
                </c:pt>
                <c:pt idx="20">
                  <c:v>43.126094852011647</c:v>
                </c:pt>
                <c:pt idx="21">
                  <c:v>43.248550903445306</c:v>
                </c:pt>
                <c:pt idx="22">
                  <c:v>43.373914135332598</c:v>
                </c:pt>
                <c:pt idx="23">
                  <c:v>43.495850404338093</c:v>
                </c:pt>
                <c:pt idx="24">
                  <c:v>43.618989582502593</c:v>
                </c:pt>
                <c:pt idx="25">
                  <c:v>43.72658032637311</c:v>
                </c:pt>
                <c:pt idx="26">
                  <c:v>43.853005845180327</c:v>
                </c:pt>
                <c:pt idx="27">
                  <c:v>43.972987621141435</c:v>
                </c:pt>
                <c:pt idx="28">
                  <c:v>44.098963193645488</c:v>
                </c:pt>
                <c:pt idx="29">
                  <c:v>44.241797043765878</c:v>
                </c:pt>
                <c:pt idx="30">
                  <c:v>44.37688158987244</c:v>
                </c:pt>
                <c:pt idx="31">
                  <c:v>44.514993374416072</c:v>
                </c:pt>
                <c:pt idx="32">
                  <c:v>44.682296220578529</c:v>
                </c:pt>
                <c:pt idx="33">
                  <c:v>44.858173072180016</c:v>
                </c:pt>
                <c:pt idx="34">
                  <c:v>45.019908981951154</c:v>
                </c:pt>
                <c:pt idx="35">
                  <c:v>45.202222406802669</c:v>
                </c:pt>
                <c:pt idx="36">
                  <c:v>45.401503595159603</c:v>
                </c:pt>
                <c:pt idx="37">
                  <c:v>45.649785933702411</c:v>
                </c:pt>
                <c:pt idx="38">
                  <c:v>45.89559906391009</c:v>
                </c:pt>
                <c:pt idx="39">
                  <c:v>46.178393927952129</c:v>
                </c:pt>
                <c:pt idx="40">
                  <c:v>46.473528355058029</c:v>
                </c:pt>
                <c:pt idx="41">
                  <c:v>46.829012232277826</c:v>
                </c:pt>
                <c:pt idx="42">
                  <c:v>47.277272070655393</c:v>
                </c:pt>
                <c:pt idx="43">
                  <c:v>47.889218698467019</c:v>
                </c:pt>
                <c:pt idx="44">
                  <c:v>48.641358332409723</c:v>
                </c:pt>
                <c:pt idx="45">
                  <c:v>49.491805338397477</c:v>
                </c:pt>
                <c:pt idx="46">
                  <c:v>50.458460820117878</c:v>
                </c:pt>
                <c:pt idx="47">
                  <c:v>51.524181598021684</c:v>
                </c:pt>
                <c:pt idx="48">
                  <c:v>52.693467442207279</c:v>
                </c:pt>
                <c:pt idx="49">
                  <c:v>54.664320313995525</c:v>
                </c:pt>
              </c:numCache>
            </c:numRef>
          </c:xVal>
          <c:yVal>
            <c:numRef>
              <c:f>Results!$B$70:$B$119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5F2-4161-B593-FEBA26CE78E6}"/>
            </c:ext>
          </c:extLst>
        </c:ser>
        <c:dLbls>
          <c:showLegendKey val="0"/>
          <c:showVal val="0"/>
          <c:showCatName val="0"/>
          <c:showSerName val="0"/>
          <c:showPercent val="0"/>
          <c:showBubbleSize val="0"/>
        </c:dLbls>
        <c:axId val="10"/>
        <c:axId val="20"/>
      </c:scatterChart>
      <c:valAx>
        <c:axId val="10"/>
        <c:scaling>
          <c:orientation val="minMax"/>
          <c:min val="35"/>
        </c:scaling>
        <c:delete val="0"/>
        <c:axPos val="b"/>
        <c:title>
          <c:tx>
            <c:rich>
              <a:bodyPr/>
              <a:lstStyle/>
              <a:p>
                <a:pPr>
                  <a:defRPr/>
                </a:pPr>
                <a:r>
                  <a:rPr lang="en-US"/>
                  <a:t>Total cost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Results!$B$135:$B$141</c:f>
              <c:strCache>
                <c:ptCount val="7"/>
                <c:pt idx="0">
                  <c:v>Mobilise</c:v>
                </c:pt>
                <c:pt idx="1">
                  <c:v>26-in hole</c:v>
                </c:pt>
                <c:pt idx="2">
                  <c:v>17½-in hole</c:v>
                </c:pt>
                <c:pt idx="3">
                  <c:v>12¼-in hole</c:v>
                </c:pt>
                <c:pt idx="4">
                  <c:v>8½-in hole</c:v>
                </c:pt>
                <c:pt idx="5">
                  <c:v>Logging</c:v>
                </c:pt>
                <c:pt idx="6">
                  <c:v>Abandon</c:v>
                </c:pt>
              </c:strCache>
            </c:strRef>
          </c:cat>
          <c:val>
            <c:numRef>
              <c:f>Results!$E$135:$E$141</c:f>
              <c:numCache>
                <c:formatCode>#,##0.00</c:formatCode>
                <c:ptCount val="7"/>
                <c:pt idx="0">
                  <c:v>5.4065846386773391</c:v>
                </c:pt>
                <c:pt idx="1">
                  <c:v>11.938250178887788</c:v>
                </c:pt>
                <c:pt idx="2">
                  <c:v>24.819573979256219</c:v>
                </c:pt>
                <c:pt idx="3">
                  <c:v>49.189832348030492</c:v>
                </c:pt>
                <c:pt idx="4">
                  <c:v>63.092811005692425</c:v>
                </c:pt>
                <c:pt idx="5">
                  <c:v>70.279309822266839</c:v>
                </c:pt>
                <c:pt idx="6">
                  <c:v>75.832958489296573</c:v>
                </c:pt>
              </c:numCache>
            </c:numRef>
          </c:val>
          <c:smooth val="0"/>
          <c:extLst>
            <c:ext xmlns:c16="http://schemas.microsoft.com/office/drawing/2014/chart" uri="{C3380CC4-5D6E-409C-BE32-E72D297353CC}">
              <c16:uniqueId val="{00000000-22B5-4EE6-BE4B-9DA67DD50B8C}"/>
            </c:ext>
          </c:extLst>
        </c:ser>
        <c:ser>
          <c:idx val="1"/>
          <c:order val="1"/>
          <c:tx>
            <c:v>Median</c:v>
          </c:tx>
          <c:spPr>
            <a:ln w="28575">
              <a:solidFill>
                <a:srgbClr val="0E4F92"/>
              </a:solidFill>
              <a:prstDash val="solid"/>
            </a:ln>
          </c:spPr>
          <c:marker>
            <c:symbol val="none"/>
          </c:marker>
          <c:cat>
            <c:strRef>
              <c:f>Results!$B$135:$B$141</c:f>
              <c:strCache>
                <c:ptCount val="7"/>
                <c:pt idx="0">
                  <c:v>Mobilise</c:v>
                </c:pt>
                <c:pt idx="1">
                  <c:v>26-in hole</c:v>
                </c:pt>
                <c:pt idx="2">
                  <c:v>17½-in hole</c:v>
                </c:pt>
                <c:pt idx="3">
                  <c:v>12¼-in hole</c:v>
                </c:pt>
                <c:pt idx="4">
                  <c:v>8½-in hole</c:v>
                </c:pt>
                <c:pt idx="5">
                  <c:v>Logging</c:v>
                </c:pt>
                <c:pt idx="6">
                  <c:v>Abandon</c:v>
                </c:pt>
              </c:strCache>
            </c:strRef>
          </c:cat>
          <c:val>
            <c:numRef>
              <c:f>Results!$D$135:$D$141</c:f>
              <c:numCache>
                <c:formatCode>#,##0.00</c:formatCode>
                <c:ptCount val="7"/>
                <c:pt idx="0">
                  <c:v>4.2414321788416123</c:v>
                </c:pt>
                <c:pt idx="1">
                  <c:v>9.8029940780548319</c:v>
                </c:pt>
                <c:pt idx="2">
                  <c:v>21.319605338969481</c:v>
                </c:pt>
                <c:pt idx="3">
                  <c:v>39.751378588183549</c:v>
                </c:pt>
                <c:pt idx="4">
                  <c:v>52.439283460164333</c:v>
                </c:pt>
                <c:pt idx="5">
                  <c:v>59.366872860662923</c:v>
                </c:pt>
                <c:pt idx="6">
                  <c:v>64.839688459092386</c:v>
                </c:pt>
              </c:numCache>
            </c:numRef>
          </c:val>
          <c:smooth val="0"/>
          <c:extLst>
            <c:ext xmlns:c16="http://schemas.microsoft.com/office/drawing/2014/chart" uri="{C3380CC4-5D6E-409C-BE32-E72D297353CC}">
              <c16:uniqueId val="{00000001-22B5-4EE6-BE4B-9DA67DD50B8C}"/>
            </c:ext>
          </c:extLst>
        </c:ser>
        <c:ser>
          <c:idx val="2"/>
          <c:order val="2"/>
          <c:tx>
            <c:v>Mean</c:v>
          </c:tx>
          <c:spPr>
            <a:ln w="19050">
              <a:solidFill>
                <a:srgbClr val="B45309"/>
              </a:solidFill>
              <a:prstDash val="solid"/>
            </a:ln>
          </c:spPr>
          <c:marker>
            <c:symbol val="none"/>
          </c:marker>
          <c:cat>
            <c:strRef>
              <c:f>Results!$B$135:$B$141</c:f>
              <c:strCache>
                <c:ptCount val="7"/>
                <c:pt idx="0">
                  <c:v>Mobilise</c:v>
                </c:pt>
                <c:pt idx="1">
                  <c:v>26-in hole</c:v>
                </c:pt>
                <c:pt idx="2">
                  <c:v>17½-in hole</c:v>
                </c:pt>
                <c:pt idx="3">
                  <c:v>12¼-in hole</c:v>
                </c:pt>
                <c:pt idx="4">
                  <c:v>8½-in hole</c:v>
                </c:pt>
                <c:pt idx="5">
                  <c:v>Logging</c:v>
                </c:pt>
                <c:pt idx="6">
                  <c:v>Abandon</c:v>
                </c:pt>
              </c:strCache>
            </c:strRef>
          </c:cat>
          <c:val>
            <c:numRef>
              <c:f>Results!$F$135:$F$141</c:f>
              <c:numCache>
                <c:formatCode>#,##0.00</c:formatCode>
                <c:ptCount val="7"/>
                <c:pt idx="0">
                  <c:v>4.4123080883465464</c:v>
                </c:pt>
                <c:pt idx="1">
                  <c:v>10.073463503471586</c:v>
                </c:pt>
                <c:pt idx="2">
                  <c:v>21.628508275056372</c:v>
                </c:pt>
                <c:pt idx="3">
                  <c:v>41.018312282437506</c:v>
                </c:pt>
                <c:pt idx="4">
                  <c:v>53.718488428297754</c:v>
                </c:pt>
                <c:pt idx="5">
                  <c:v>60.666546008637916</c:v>
                </c:pt>
                <c:pt idx="6">
                  <c:v>66.133315610523454</c:v>
                </c:pt>
              </c:numCache>
            </c:numRef>
          </c:val>
          <c:smooth val="0"/>
          <c:extLst>
            <c:ext xmlns:c16="http://schemas.microsoft.com/office/drawing/2014/chart" uri="{C3380CC4-5D6E-409C-BE32-E72D297353CC}">
              <c16:uniqueId val="{00000002-22B5-4EE6-BE4B-9DA67DD50B8C}"/>
            </c:ext>
          </c:extLst>
        </c:ser>
        <c:ser>
          <c:idx val="3"/>
          <c:order val="3"/>
          <c:tx>
            <c:v>10th percentile</c:v>
          </c:tx>
          <c:spPr>
            <a:ln w="15875">
              <a:solidFill>
                <a:srgbClr val="0E4F92"/>
              </a:solidFill>
              <a:prstDash val="dash"/>
            </a:ln>
          </c:spPr>
          <c:marker>
            <c:symbol val="none"/>
          </c:marker>
          <c:cat>
            <c:strRef>
              <c:f>Results!$B$135:$B$141</c:f>
              <c:strCache>
                <c:ptCount val="7"/>
                <c:pt idx="0">
                  <c:v>Mobilise</c:v>
                </c:pt>
                <c:pt idx="1">
                  <c:v>26-in hole</c:v>
                </c:pt>
                <c:pt idx="2">
                  <c:v>17½-in hole</c:v>
                </c:pt>
                <c:pt idx="3">
                  <c:v>12¼-in hole</c:v>
                </c:pt>
                <c:pt idx="4">
                  <c:v>8½-in hole</c:v>
                </c:pt>
                <c:pt idx="5">
                  <c:v>Logging</c:v>
                </c:pt>
                <c:pt idx="6">
                  <c:v>Abandon</c:v>
                </c:pt>
              </c:strCache>
            </c:strRef>
          </c:cat>
          <c:val>
            <c:numRef>
              <c:f>Results!$C$135:$C$141</c:f>
              <c:numCache>
                <c:formatCode>#,##0.00</c:formatCode>
                <c:ptCount val="7"/>
                <c:pt idx="0">
                  <c:v>3.4846756692103362</c:v>
                </c:pt>
                <c:pt idx="1">
                  <c:v>8.5392067272395327</c:v>
                </c:pt>
                <c:pt idx="2">
                  <c:v>18.739664347676687</c:v>
                </c:pt>
                <c:pt idx="3">
                  <c:v>35.126970363294447</c:v>
                </c:pt>
                <c:pt idx="4">
                  <c:v>46.647890409371819</c:v>
                </c:pt>
                <c:pt idx="5">
                  <c:v>53.363392457451312</c:v>
                </c:pt>
                <c:pt idx="6">
                  <c:v>58.735125281024388</c:v>
                </c:pt>
              </c:numCache>
            </c:numRef>
          </c:val>
          <c:smooth val="0"/>
          <c:extLst>
            <c:ext xmlns:c16="http://schemas.microsoft.com/office/drawing/2014/chart" uri="{C3380CC4-5D6E-409C-BE32-E72D297353CC}">
              <c16:uniqueId val="{00000003-22B5-4EE6-BE4B-9DA67DD50B8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Days since the start</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Results!$B$123:$B$132</c:f>
              <c:strCache>
                <c:ptCount val="10"/>
                <c:pt idx="0">
                  <c:v>Sidetrack days</c:v>
                </c:pt>
                <c:pt idx="1">
                  <c:v>Well control days</c:v>
                </c:pt>
                <c:pt idx="2">
                  <c:v>Trouble time</c:v>
                </c:pt>
                <c:pt idx="3">
                  <c:v>Spread rate</c:v>
                </c:pt>
                <c:pt idx="4">
                  <c:v>Duration, 12¼-in hole</c:v>
                </c:pt>
                <c:pt idx="5">
                  <c:v>Duration, 8½-in hole</c:v>
                </c:pt>
                <c:pt idx="6">
                  <c:v>Duration, 17½-in hole</c:v>
                </c:pt>
                <c:pt idx="7">
                  <c:v>Materials and services, Logging</c:v>
                </c:pt>
                <c:pt idx="8">
                  <c:v>Materials and services, 12¼-in hole</c:v>
                </c:pt>
                <c:pt idx="9">
                  <c:v>Materials and services, 17½-in hole</c:v>
                </c:pt>
              </c:strCache>
            </c:strRef>
          </c:cat>
          <c:val>
            <c:numRef>
              <c:f>Results!$F$123:$F$132</c:f>
              <c:numCache>
                <c:formatCode>#,##0.0_);\(#,##0.0\);"–"_)</c:formatCode>
                <c:ptCount val="10"/>
                <c:pt idx="0">
                  <c:v>7.0644927017500763</c:v>
                </c:pt>
                <c:pt idx="1">
                  <c:v>4.7996555274970234</c:v>
                </c:pt>
                <c:pt idx="2">
                  <c:v>2.7889912288337086</c:v>
                </c:pt>
                <c:pt idx="3">
                  <c:v>1.8271475304712368</c:v>
                </c:pt>
                <c:pt idx="4">
                  <c:v>1.2742909048237223</c:v>
                </c:pt>
                <c:pt idx="5">
                  <c:v>0.94059390164198931</c:v>
                </c:pt>
                <c:pt idx="6">
                  <c:v>0.6745744393275146</c:v>
                </c:pt>
                <c:pt idx="7">
                  <c:v>0.78503970994015049</c:v>
                </c:pt>
                <c:pt idx="8">
                  <c:v>0.45626954478021986</c:v>
                </c:pt>
                <c:pt idx="9">
                  <c:v>0.61424928006803015</c:v>
                </c:pt>
              </c:numCache>
            </c:numRef>
          </c:val>
          <c:extLst>
            <c:ext xmlns:c16="http://schemas.microsoft.com/office/drawing/2014/chart" uri="{C3380CC4-5D6E-409C-BE32-E72D297353CC}">
              <c16:uniqueId val="{00000000-8C2E-4F1A-913C-A38531CDE4FD}"/>
            </c:ext>
          </c:extLst>
        </c:ser>
        <c:ser>
          <c:idx val="1"/>
          <c:order val="1"/>
          <c:tx>
            <c:v>Lowest group mean</c:v>
          </c:tx>
          <c:spPr>
            <a:solidFill>
              <a:srgbClr val="B91C1C"/>
            </a:solidFill>
            <a:ln>
              <a:noFill/>
              <a:prstDash val="solid"/>
            </a:ln>
          </c:spPr>
          <c:invertIfNegative val="0"/>
          <c:cat>
            <c:strRef>
              <c:f>Results!$B$123:$B$132</c:f>
              <c:strCache>
                <c:ptCount val="10"/>
                <c:pt idx="0">
                  <c:v>Sidetrack days</c:v>
                </c:pt>
                <c:pt idx="1">
                  <c:v>Well control days</c:v>
                </c:pt>
                <c:pt idx="2">
                  <c:v>Trouble time</c:v>
                </c:pt>
                <c:pt idx="3">
                  <c:v>Spread rate</c:v>
                </c:pt>
                <c:pt idx="4">
                  <c:v>Duration, 12¼-in hole</c:v>
                </c:pt>
                <c:pt idx="5">
                  <c:v>Duration, 8½-in hole</c:v>
                </c:pt>
                <c:pt idx="6">
                  <c:v>Duration, 17½-in hole</c:v>
                </c:pt>
                <c:pt idx="7">
                  <c:v>Materials and services, Logging</c:v>
                </c:pt>
                <c:pt idx="8">
                  <c:v>Materials and services, 12¼-in hole</c:v>
                </c:pt>
                <c:pt idx="9">
                  <c:v>Materials and services, 17½-in hole</c:v>
                </c:pt>
              </c:strCache>
            </c:strRef>
          </c:cat>
          <c:val>
            <c:numRef>
              <c:f>Results!$G$123:$G$132</c:f>
              <c:numCache>
                <c:formatCode>#,##0.0_);\(#,##0.0\);"–"_)</c:formatCode>
                <c:ptCount val="10"/>
                <c:pt idx="0">
                  <c:v>-0.76493509582292063</c:v>
                </c:pt>
                <c:pt idx="1">
                  <c:v>-0.14844295445873001</c:v>
                </c:pt>
                <c:pt idx="2">
                  <c:v>-2.1066319390759247</c:v>
                </c:pt>
                <c:pt idx="3">
                  <c:v>-1.5854376337731537</c:v>
                </c:pt>
                <c:pt idx="4">
                  <c:v>-1.0889763579621317</c:v>
                </c:pt>
                <c:pt idx="5">
                  <c:v>-0.79959273605400227</c:v>
                </c:pt>
                <c:pt idx="6">
                  <c:v>-0.7070701453778554</c:v>
                </c:pt>
                <c:pt idx="7">
                  <c:v>-0.56680359171002692</c:v>
                </c:pt>
                <c:pt idx="8">
                  <c:v>-0.55609246689329694</c:v>
                </c:pt>
                <c:pt idx="9">
                  <c:v>-0.35385331340084036</c:v>
                </c:pt>
              </c:numCache>
            </c:numRef>
          </c:val>
          <c:extLst>
            <c:ext xmlns:c16="http://schemas.microsoft.com/office/drawing/2014/chart" uri="{C3380CC4-5D6E-409C-BE32-E72D297353CC}">
              <c16:uniqueId val="{00000001-8C2E-4F1A-913C-A38531CDE4FD}"/>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30</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46</xdr:row>
      <xdr:rowOff>0</xdr:rowOff>
    </xdr:from>
    <xdr:ext cx="6263999" cy="2412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8" t="s">
        <v>20</v>
      </c>
      <c r="C16" s="7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63</v>
      </c>
      <c r="C57" s="10" t="s">
        <v>66</v>
      </c>
    </row>
    <row r="58" spans="2:3" x14ac:dyDescent="0.45">
      <c r="B58" s="9" t="s">
        <v>67</v>
      </c>
      <c r="C58" s="10" t="s">
        <v>68</v>
      </c>
    </row>
    <row r="59" spans="2:3" x14ac:dyDescent="0.45">
      <c r="B59" s="9" t="s">
        <v>69</v>
      </c>
      <c r="C59" s="10" t="s">
        <v>70</v>
      </c>
    </row>
    <row r="60" spans="2:3" x14ac:dyDescent="0.45">
      <c r="B60" s="9" t="s">
        <v>71</v>
      </c>
      <c r="C60" s="10" t="s">
        <v>72</v>
      </c>
    </row>
    <row r="61" spans="2:3" ht="12" customHeight="1" x14ac:dyDescent="0.45"/>
    <row r="62" spans="2:3" ht="22.05" customHeight="1" x14ac:dyDescent="0.5">
      <c r="B62" s="7" t="s">
        <v>73</v>
      </c>
      <c r="C62" s="8"/>
    </row>
    <row r="63" spans="2:3" x14ac:dyDescent="0.45">
      <c r="B63" s="20" t="s">
        <v>74</v>
      </c>
      <c r="C63" s="10" t="s">
        <v>75</v>
      </c>
    </row>
    <row r="64" spans="2:3" ht="39.4" x14ac:dyDescent="0.45">
      <c r="B64" s="20" t="s">
        <v>76</v>
      </c>
      <c r="C64" s="10" t="s">
        <v>77</v>
      </c>
    </row>
    <row r="65" spans="2:3" ht="26.25" x14ac:dyDescent="0.45">
      <c r="B65" s="20" t="s">
        <v>78</v>
      </c>
      <c r="C65" s="10" t="s">
        <v>79</v>
      </c>
    </row>
    <row r="66" spans="2:3" x14ac:dyDescent="0.45">
      <c r="B66" s="20" t="s">
        <v>80</v>
      </c>
      <c r="C66" s="10" t="s">
        <v>81</v>
      </c>
    </row>
    <row r="67" spans="2:3" ht="39.4" x14ac:dyDescent="0.45">
      <c r="B67" s="20" t="s">
        <v>82</v>
      </c>
      <c r="C67" s="10" t="s">
        <v>83</v>
      </c>
    </row>
    <row r="68" spans="2:3" x14ac:dyDescent="0.45">
      <c r="B68" s="20" t="s">
        <v>84</v>
      </c>
      <c r="C68" s="10" t="s">
        <v>85</v>
      </c>
    </row>
    <row r="69" spans="2:3" ht="12" customHeight="1" x14ac:dyDescent="0.45"/>
    <row r="70" spans="2:3" ht="22.05" customHeight="1" x14ac:dyDescent="0.5">
      <c r="B70" s="7" t="s">
        <v>86</v>
      </c>
      <c r="C70" s="8"/>
    </row>
    <row r="71" spans="2:3" x14ac:dyDescent="0.45">
      <c r="B71" s="9" t="s">
        <v>87</v>
      </c>
      <c r="C71" s="10" t="s">
        <v>88</v>
      </c>
    </row>
    <row r="72" spans="2:3" x14ac:dyDescent="0.45">
      <c r="B72" s="9" t="s">
        <v>89</v>
      </c>
      <c r="C72" s="10" t="s">
        <v>90</v>
      </c>
    </row>
    <row r="73" spans="2:3" ht="16.05" customHeight="1" x14ac:dyDescent="0.45"/>
    <row r="74" spans="2:3" x14ac:dyDescent="0.45">
      <c r="B74" s="76" t="s">
        <v>91</v>
      </c>
      <c r="C74" s="77"/>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Well plan'!A1" display="Well plan"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30" customHeight="1" x14ac:dyDescent="0.45">
      <c r="B6" s="79" t="s">
        <v>95</v>
      </c>
      <c r="C6" s="77"/>
      <c r="D6" s="77"/>
      <c r="E6" s="77"/>
      <c r="F6" s="77"/>
      <c r="G6" s="77"/>
      <c r="H6" s="77"/>
      <c r="I6" s="77"/>
      <c r="J6" s="77"/>
    </row>
    <row r="7" spans="1:10" ht="6" customHeight="1" x14ac:dyDescent="0.45"/>
    <row r="8" spans="1:10" ht="22.05" customHeight="1" x14ac:dyDescent="0.5">
      <c r="B8" s="7" t="s">
        <v>96</v>
      </c>
      <c r="C8" s="8"/>
      <c r="D8" s="8"/>
      <c r="E8" s="8"/>
      <c r="F8" s="8"/>
      <c r="G8" s="8"/>
      <c r="H8" s="8"/>
      <c r="I8" s="8"/>
      <c r="J8" s="8"/>
    </row>
    <row r="9" spans="1:10" ht="18" customHeight="1" x14ac:dyDescent="0.45">
      <c r="B9" s="13" t="s">
        <v>97</v>
      </c>
    </row>
    <row r="10" spans="1:10" ht="18" customHeight="1" x14ac:dyDescent="0.45">
      <c r="B10" s="23" t="s">
        <v>98</v>
      </c>
      <c r="C10" s="23" t="s">
        <v>99</v>
      </c>
      <c r="D10" s="24" t="s">
        <v>100</v>
      </c>
      <c r="E10" s="23" t="s">
        <v>101</v>
      </c>
      <c r="F10" s="24" t="s">
        <v>102</v>
      </c>
      <c r="G10" s="24" t="s">
        <v>103</v>
      </c>
      <c r="H10" s="24" t="s">
        <v>104</v>
      </c>
      <c r="I10" s="24" t="s">
        <v>105</v>
      </c>
      <c r="J10" s="23" t="s">
        <v>106</v>
      </c>
    </row>
    <row r="11" spans="1:10" ht="23.25" x14ac:dyDescent="0.45">
      <c r="B11" s="25" t="s">
        <v>107</v>
      </c>
      <c r="C11" s="26" t="s">
        <v>108</v>
      </c>
      <c r="D11" s="27" cm="1">
        <f t="array" aca="1" ref="D11" ca="1">_xll.VoseInput("Spread rate","US$k/d")+_xll.VosePERT(F11,G11,H11)</f>
        <v>340.98834637923215</v>
      </c>
      <c r="E11" s="26" t="s">
        <v>109</v>
      </c>
      <c r="F11" s="28">
        <v>330</v>
      </c>
      <c r="G11" s="28">
        <v>360</v>
      </c>
      <c r="H11" s="28">
        <v>410</v>
      </c>
      <c r="I11" s="29" cm="1">
        <f t="array" ref="I11">IF(AND(F11&lt;=G11,G11&lt;=H11,F11&lt;H11),_xll.VoseMean(_xll.VosePERTObject(F11,G11,H11)),"✗ range")</f>
        <v>363.33333333333331</v>
      </c>
      <c r="J11" s="30" t="s">
        <v>110</v>
      </c>
    </row>
    <row r="12" spans="1:10" ht="8" customHeight="1" x14ac:dyDescent="0.45"/>
    <row r="13" spans="1:10" ht="22.05" customHeight="1" x14ac:dyDescent="0.5">
      <c r="B13" s="7" t="s">
        <v>111</v>
      </c>
      <c r="C13" s="8"/>
      <c r="D13" s="8"/>
      <c r="E13" s="8"/>
      <c r="F13" s="8"/>
      <c r="G13" s="8"/>
      <c r="H13" s="8"/>
      <c r="I13" s="8"/>
      <c r="J13" s="8"/>
    </row>
    <row r="14" spans="1:10" ht="18" customHeight="1" x14ac:dyDescent="0.45">
      <c r="B14" s="13" t="s">
        <v>112</v>
      </c>
    </row>
    <row r="15" spans="1:10" ht="18" customHeight="1" x14ac:dyDescent="0.45">
      <c r="B15" s="23" t="s">
        <v>98</v>
      </c>
      <c r="C15" s="23" t="s">
        <v>99</v>
      </c>
      <c r="D15" s="24" t="s">
        <v>100</v>
      </c>
      <c r="E15" s="23" t="s">
        <v>101</v>
      </c>
      <c r="F15" s="5"/>
      <c r="G15" s="5"/>
      <c r="H15" s="5"/>
      <c r="I15" s="5"/>
      <c r="J15" s="23" t="s">
        <v>106</v>
      </c>
    </row>
    <row r="16" spans="1:10" x14ac:dyDescent="0.45">
      <c r="B16" s="25" t="s">
        <v>113</v>
      </c>
      <c r="C16" s="26" t="s">
        <v>114</v>
      </c>
      <c r="D16" s="31">
        <v>1</v>
      </c>
      <c r="E16" s="26" t="s">
        <v>115</v>
      </c>
      <c r="F16" s="32"/>
      <c r="G16" s="32"/>
      <c r="H16" s="32"/>
      <c r="I16" s="32"/>
      <c r="J16" s="30" t="s">
        <v>116</v>
      </c>
    </row>
    <row r="17" spans="2:10" x14ac:dyDescent="0.45">
      <c r="B17" s="25" t="s">
        <v>117</v>
      </c>
      <c r="C17" s="26" t="s">
        <v>118</v>
      </c>
      <c r="D17" s="33">
        <f>TroubleRate/10</f>
        <v>0.1</v>
      </c>
      <c r="E17" s="26" t="s">
        <v>119</v>
      </c>
      <c r="F17" s="32"/>
      <c r="G17" s="32"/>
      <c r="H17" s="32"/>
      <c r="I17" s="32"/>
      <c r="J17" s="30" t="s">
        <v>120</v>
      </c>
    </row>
    <row r="18" spans="2:10" x14ac:dyDescent="0.45">
      <c r="B18" s="25" t="s">
        <v>121</v>
      </c>
      <c r="C18" s="26" t="s">
        <v>122</v>
      </c>
      <c r="D18" s="31">
        <v>1.2</v>
      </c>
      <c r="E18" s="26" t="s">
        <v>115</v>
      </c>
      <c r="F18" s="32"/>
      <c r="G18" s="32"/>
      <c r="H18" s="32"/>
      <c r="I18" s="32"/>
      <c r="J18" s="30" t="s">
        <v>123</v>
      </c>
    </row>
    <row r="19" spans="2:10" x14ac:dyDescent="0.45">
      <c r="B19" s="25" t="s">
        <v>124</v>
      </c>
      <c r="C19" s="26" t="s">
        <v>122</v>
      </c>
      <c r="D19" s="31">
        <v>1</v>
      </c>
      <c r="E19" s="26" t="s">
        <v>115</v>
      </c>
      <c r="F19" s="32"/>
      <c r="G19" s="32"/>
      <c r="H19" s="32"/>
      <c r="I19" s="32"/>
      <c r="J19" s="30" t="s">
        <v>125</v>
      </c>
    </row>
    <row r="20" spans="2:10" ht="8" customHeight="1" x14ac:dyDescent="0.45"/>
    <row r="21" spans="2:10" ht="22.05" customHeight="1" x14ac:dyDescent="0.5">
      <c r="B21" s="7" t="s">
        <v>126</v>
      </c>
      <c r="C21" s="8"/>
      <c r="D21" s="8"/>
      <c r="E21" s="8"/>
      <c r="F21" s="8"/>
      <c r="G21" s="8"/>
      <c r="H21" s="8"/>
      <c r="I21" s="8"/>
      <c r="J21" s="8"/>
    </row>
    <row r="22" spans="2:10" ht="18" customHeight="1" x14ac:dyDescent="0.45">
      <c r="B22" s="13" t="s">
        <v>127</v>
      </c>
    </row>
    <row r="23" spans="2:10" ht="18" customHeight="1" x14ac:dyDescent="0.45">
      <c r="B23" s="23" t="s">
        <v>98</v>
      </c>
      <c r="C23" s="23" t="s">
        <v>99</v>
      </c>
      <c r="D23" s="24" t="s">
        <v>100</v>
      </c>
      <c r="E23" s="23" t="s">
        <v>101</v>
      </c>
      <c r="F23" s="24" t="s">
        <v>102</v>
      </c>
      <c r="G23" s="24" t="s">
        <v>103</v>
      </c>
      <c r="H23" s="24" t="s">
        <v>104</v>
      </c>
      <c r="I23" s="24" t="s">
        <v>105</v>
      </c>
      <c r="J23" s="23" t="s">
        <v>106</v>
      </c>
    </row>
    <row r="24" spans="2:10" x14ac:dyDescent="0.45">
      <c r="B24" s="25" t="s">
        <v>128</v>
      </c>
      <c r="C24" s="26" t="s">
        <v>129</v>
      </c>
      <c r="D24" s="34">
        <v>0.1</v>
      </c>
      <c r="E24" s="26" t="s">
        <v>115</v>
      </c>
      <c r="F24" s="32"/>
      <c r="G24" s="32"/>
      <c r="H24" s="32"/>
      <c r="I24" s="32"/>
      <c r="J24" s="30" t="s">
        <v>130</v>
      </c>
    </row>
    <row r="25" spans="2:10" x14ac:dyDescent="0.45">
      <c r="B25" s="25" t="s">
        <v>131</v>
      </c>
      <c r="C25" s="26" t="s">
        <v>122</v>
      </c>
      <c r="D25" s="35" cm="1">
        <f t="array" aca="1" ref="D25" ca="1">_xll.VoseInput("Sidetrack days","days")+_xll.VoseRiskEvent(Prob_Sidetrack,_xll.VosePERTObject(F25,G25,H25))</f>
        <v>14.329426691628296</v>
      </c>
      <c r="E25" s="26" t="s">
        <v>132</v>
      </c>
      <c r="F25" s="36">
        <v>8</v>
      </c>
      <c r="G25" s="36">
        <v>14</v>
      </c>
      <c r="H25" s="36">
        <v>25</v>
      </c>
      <c r="I25" s="37" cm="1">
        <f t="array" ref="I25">IF(AND(F25&lt;=G25,G25&lt;=H25,F25&lt;H25),_xll.VoseMean(_xll.VoseRiskEventObject(Prob_Sidetrack,_xll.VosePERTObject(F25,G25,H25))),"✗ range")</f>
        <v>1.4833333333333334</v>
      </c>
      <c r="J25" s="30" t="s">
        <v>133</v>
      </c>
    </row>
    <row r="26" spans="2:10" x14ac:dyDescent="0.45">
      <c r="B26" s="25" t="s">
        <v>134</v>
      </c>
      <c r="C26" s="26" t="s">
        <v>135</v>
      </c>
      <c r="D26" s="36">
        <v>2.5</v>
      </c>
      <c r="E26" s="26" t="s">
        <v>115</v>
      </c>
      <c r="F26" s="32"/>
      <c r="G26" s="32"/>
      <c r="H26" s="32"/>
      <c r="I26" s="32"/>
      <c r="J26" s="30" t="s">
        <v>136</v>
      </c>
    </row>
    <row r="27" spans="2:10" x14ac:dyDescent="0.45">
      <c r="B27" s="25" t="s">
        <v>137</v>
      </c>
      <c r="C27" s="26" t="s">
        <v>138</v>
      </c>
      <c r="D27" s="38">
        <v>4</v>
      </c>
      <c r="E27" s="26" t="s">
        <v>115</v>
      </c>
      <c r="F27" s="32"/>
      <c r="G27" s="32"/>
      <c r="H27" s="32"/>
      <c r="I27" s="32"/>
      <c r="J27" s="30" t="s">
        <v>139</v>
      </c>
    </row>
    <row r="28" spans="2:10" x14ac:dyDescent="0.45">
      <c r="B28" s="25" t="s">
        <v>140</v>
      </c>
      <c r="C28" s="26" t="s">
        <v>129</v>
      </c>
      <c r="D28" s="34">
        <v>0.03</v>
      </c>
      <c r="E28" s="26" t="s">
        <v>115</v>
      </c>
      <c r="F28" s="32"/>
      <c r="G28" s="32"/>
      <c r="H28" s="32"/>
      <c r="I28" s="32"/>
      <c r="J28" s="30" t="s">
        <v>141</v>
      </c>
    </row>
    <row r="29" spans="2:10" x14ac:dyDescent="0.45">
      <c r="B29" s="25" t="s">
        <v>142</v>
      </c>
      <c r="C29" s="26" t="s">
        <v>122</v>
      </c>
      <c r="D29" s="35" cm="1">
        <f t="array" aca="1" ref="D29" ca="1">_xll.VoseInput("Well control days","days")+_xll.VoseRiskEvent(Prob_WellControl,_xll.VosePERTObject(F29,G29,H29))</f>
        <v>0</v>
      </c>
      <c r="E29" s="26" t="s">
        <v>132</v>
      </c>
      <c r="F29" s="36">
        <v>5</v>
      </c>
      <c r="G29" s="36">
        <v>10</v>
      </c>
      <c r="H29" s="36">
        <v>20</v>
      </c>
      <c r="I29" s="37" cm="1">
        <f t="array" ref="I29">IF(AND(F29&lt;=G29,G29&lt;=H29,F29&lt;H29),_xll.VoseMean(_xll.VoseRiskEventObject(Prob_WellControl,_xll.VosePERTObject(F29,G29,H29))),"✗ range")</f>
        <v>0.32500000000000001</v>
      </c>
      <c r="J29" s="30" t="s">
        <v>143</v>
      </c>
    </row>
    <row r="30" spans="2:10" x14ac:dyDescent="0.45">
      <c r="B30" s="25" t="s">
        <v>144</v>
      </c>
      <c r="C30" s="26" t="s">
        <v>135</v>
      </c>
      <c r="D30" s="36">
        <v>1.5</v>
      </c>
      <c r="E30" s="26" t="s">
        <v>115</v>
      </c>
      <c r="F30" s="32"/>
      <c r="G30" s="32"/>
      <c r="H30" s="32"/>
      <c r="I30" s="32"/>
      <c r="J30" s="30" t="s">
        <v>145</v>
      </c>
    </row>
    <row r="31" spans="2:10" x14ac:dyDescent="0.45">
      <c r="B31" s="25" t="s">
        <v>146</v>
      </c>
      <c r="C31" s="26" t="s">
        <v>138</v>
      </c>
      <c r="D31" s="38">
        <v>5</v>
      </c>
      <c r="E31" s="26" t="s">
        <v>115</v>
      </c>
      <c r="F31" s="32"/>
      <c r="G31" s="32"/>
      <c r="H31" s="32"/>
      <c r="I31" s="32"/>
      <c r="J31" s="30" t="s">
        <v>147</v>
      </c>
    </row>
    <row r="32" spans="2:10" ht="8" customHeight="1" x14ac:dyDescent="0.45"/>
    <row r="33" spans="2:10" ht="22.05" customHeight="1" x14ac:dyDescent="0.5">
      <c r="B33" s="7" t="s">
        <v>148</v>
      </c>
      <c r="C33" s="8"/>
      <c r="D33" s="8"/>
      <c r="E33" s="8"/>
      <c r="F33" s="8"/>
      <c r="G33" s="8"/>
      <c r="H33" s="8"/>
      <c r="I33" s="8"/>
      <c r="J33" s="8"/>
    </row>
    <row r="34" spans="2:10" ht="18" customHeight="1" x14ac:dyDescent="0.45">
      <c r="B34" s="13" t="s">
        <v>149</v>
      </c>
    </row>
    <row r="35" spans="2:10" ht="18" customHeight="1" x14ac:dyDescent="0.45">
      <c r="B35" s="23" t="s">
        <v>98</v>
      </c>
      <c r="C35" s="23" t="s">
        <v>99</v>
      </c>
      <c r="D35" s="24" t="s">
        <v>100</v>
      </c>
      <c r="E35" s="23" t="s">
        <v>101</v>
      </c>
      <c r="F35" s="5"/>
      <c r="G35" s="5"/>
      <c r="H35" s="5"/>
      <c r="I35" s="5"/>
      <c r="J35" s="23" t="s">
        <v>106</v>
      </c>
    </row>
    <row r="36" spans="2:10" x14ac:dyDescent="0.45">
      <c r="B36" s="25" t="s">
        <v>150</v>
      </c>
      <c r="C36" s="26" t="s">
        <v>151</v>
      </c>
      <c r="D36" s="34">
        <v>0.1</v>
      </c>
      <c r="E36" s="26" t="s">
        <v>115</v>
      </c>
      <c r="F36" s="32"/>
      <c r="G36" s="32"/>
      <c r="H36" s="32"/>
      <c r="I36" s="32"/>
      <c r="J36" s="30" t="s">
        <v>152</v>
      </c>
    </row>
    <row r="37" spans="2:10" ht="23.25" x14ac:dyDescent="0.45">
      <c r="B37" s="25" t="s">
        <v>153</v>
      </c>
      <c r="C37" s="26" t="s">
        <v>129</v>
      </c>
      <c r="D37" s="34">
        <v>0.8</v>
      </c>
      <c r="E37" s="26" t="s">
        <v>115</v>
      </c>
      <c r="F37" s="32"/>
      <c r="G37" s="32"/>
      <c r="H37" s="32"/>
      <c r="I37" s="32"/>
      <c r="J37" s="30" t="s">
        <v>154</v>
      </c>
    </row>
    <row r="38" spans="2:10" ht="8" customHeight="1" x14ac:dyDescent="0.45"/>
  </sheetData>
  <mergeCells count="1">
    <mergeCell ref="B6:J6"/>
  </mergeCells>
  <conditionalFormatting sqref="I11">
    <cfRule type="expression" dxfId="8" priority="1">
      <formula>LEFT($I11,1)="✗"</formula>
    </cfRule>
  </conditionalFormatting>
  <conditionalFormatting sqref="I25">
    <cfRule type="expression" dxfId="7" priority="2">
      <formula>LEFT($I25,1)="✗"</formula>
    </cfRule>
  </conditionalFormatting>
  <conditionalFormatting sqref="I29">
    <cfRule type="expression" dxfId="6" priority="3">
      <formula>LEFT($I29,1)="✗"</formula>
    </cfRule>
  </conditionalFormatting>
  <dataValidations count="5">
    <dataValidation type="custom" showErrorMessage="1" errorTitle="PERT range" error="Low must be below High, with Most likely between them." sqref="F11:H11 F29:H29 F25:H25" xr:uid="{00000000-0002-0000-0100-000000000000}">
      <formula1>AND($F11&lt;=$G11,$G11&lt;=$H11,$F11&lt;$H11)</formula1>
    </dataValidation>
    <dataValidation type="decimal" operator="greaterThan" showErrorMessage="1" errorTitle="Positive value" error="Enter a value greater than zero." sqref="D16 D18:D19" xr:uid="{00000000-0002-0000-0100-000001000000}">
      <formula1>0</formula1>
    </dataValidation>
    <dataValidation type="decimal" showErrorMessage="1" errorTitle="Probability" error="Enter a value between 0% and 100%." sqref="D24 D36:D37 D28" xr:uid="{00000000-0002-0000-0100-000004000000}">
      <formula1>0</formula1>
      <formula2>1</formula2>
    </dataValidation>
    <dataValidation type="decimal" showErrorMessage="1" errorTitle="Value" error="Enter a value of zero or more." sqref="D26 D30" xr:uid="{00000000-0002-0000-0100-000006000000}">
      <formula1>0</formula1>
      <formula2>1000000000000</formula2>
    </dataValidation>
    <dataValidation type="whole" showErrorMessage="1" errorTitle="Whole number" error="Enter a whole number from 1 to 7." sqref="D27 D31" xr:uid="{00000000-0002-0000-0100-000007000000}">
      <formula1>1</formula1>
      <formula2>7</formula2>
    </dataValidation>
  </dataValidations>
  <hyperlinks>
    <hyperlink ref="B4" location="'About'!A1" display="◂  About" xr:uid="{00000000-0004-0000-0100-000000000000}"/>
    <hyperlink ref="J4" location="'Well plan'!A1" display="Next:  Well pla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57"/>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34" customWidth="1"/>
    <col min="4" max="12" width="10" customWidth="1"/>
    <col min="13" max="13" width="2" customWidth="1"/>
    <col min="14" max="14" width="58"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155</v>
      </c>
      <c r="C3" s="1"/>
      <c r="D3" s="1"/>
      <c r="E3" s="1"/>
      <c r="F3" s="1"/>
      <c r="G3" s="1"/>
      <c r="H3" s="1"/>
      <c r="I3" s="1"/>
      <c r="J3" s="1"/>
      <c r="K3" s="1"/>
      <c r="L3" s="1"/>
      <c r="M3" s="1"/>
      <c r="N3" s="1"/>
    </row>
    <row r="4" spans="1:14" ht="20" customHeight="1" x14ac:dyDescent="0.45">
      <c r="A4" s="5"/>
      <c r="B4" s="22" t="s">
        <v>156</v>
      </c>
      <c r="C4" s="5"/>
      <c r="D4" s="5"/>
      <c r="E4" s="5"/>
      <c r="F4" s="5"/>
      <c r="G4" s="5"/>
      <c r="H4" s="5"/>
      <c r="I4" s="5"/>
      <c r="J4" s="5"/>
      <c r="K4" s="5"/>
      <c r="L4" s="5"/>
      <c r="M4" s="5"/>
      <c r="N4" s="6" t="s">
        <v>157</v>
      </c>
    </row>
    <row r="5" spans="1:14" ht="8" customHeight="1" x14ac:dyDescent="0.45"/>
    <row r="6" spans="1:14" ht="22.05" customHeight="1" x14ac:dyDescent="0.5">
      <c r="B6" s="7" t="s">
        <v>158</v>
      </c>
      <c r="C6" s="8"/>
      <c r="D6" s="8"/>
      <c r="E6" s="8"/>
      <c r="F6" s="8"/>
      <c r="G6" s="8"/>
      <c r="H6" s="8"/>
      <c r="I6" s="8"/>
      <c r="J6" s="8"/>
      <c r="K6" s="8"/>
      <c r="L6" s="8"/>
      <c r="M6" s="8"/>
      <c r="N6" s="8"/>
    </row>
    <row r="7" spans="1:14" ht="18" customHeight="1" x14ac:dyDescent="0.45">
      <c r="B7" s="13" t="s">
        <v>159</v>
      </c>
    </row>
    <row r="8" spans="1:14" ht="18" customHeight="1" x14ac:dyDescent="0.45">
      <c r="B8" s="39" t="s">
        <v>160</v>
      </c>
      <c r="C8" s="40" t="s">
        <v>161</v>
      </c>
      <c r="D8" s="39" t="s">
        <v>162</v>
      </c>
      <c r="E8" s="40" t="s">
        <v>163</v>
      </c>
      <c r="F8" s="41"/>
      <c r="G8" s="41"/>
      <c r="H8" s="40" t="s">
        <v>164</v>
      </c>
      <c r="I8" s="41"/>
      <c r="J8" s="41"/>
      <c r="K8" s="39" t="s">
        <v>165</v>
      </c>
      <c r="L8" s="41"/>
      <c r="M8" s="41"/>
      <c r="N8" s="40" t="s">
        <v>166</v>
      </c>
    </row>
    <row r="9" spans="1:14" x14ac:dyDescent="0.45">
      <c r="B9" s="42"/>
      <c r="C9" s="42"/>
      <c r="D9" s="42" t="s">
        <v>167</v>
      </c>
      <c r="E9" s="42" t="s">
        <v>102</v>
      </c>
      <c r="F9" s="42" t="s">
        <v>103</v>
      </c>
      <c r="G9" s="42" t="s">
        <v>104</v>
      </c>
      <c r="H9" s="42" t="s">
        <v>102</v>
      </c>
      <c r="I9" s="42" t="s">
        <v>103</v>
      </c>
      <c r="J9" s="42" t="s">
        <v>104</v>
      </c>
      <c r="K9" s="42" t="s">
        <v>168</v>
      </c>
      <c r="L9" s="42"/>
      <c r="M9" s="42"/>
      <c r="N9" s="42"/>
    </row>
    <row r="10" spans="1:14" x14ac:dyDescent="0.45">
      <c r="B10" s="43">
        <v>1</v>
      </c>
      <c r="C10" s="25" t="s">
        <v>169</v>
      </c>
      <c r="D10" s="44" t="s">
        <v>170</v>
      </c>
      <c r="E10" s="36">
        <v>3</v>
      </c>
      <c r="F10" s="36">
        <v>4</v>
      </c>
      <c r="G10" s="36">
        <v>6</v>
      </c>
      <c r="H10" s="31">
        <v>1</v>
      </c>
      <c r="I10" s="31">
        <v>1.2</v>
      </c>
      <c r="J10" s="31">
        <v>1.5</v>
      </c>
      <c r="K10" s="45">
        <v>0.5</v>
      </c>
      <c r="L10" s="32"/>
      <c r="M10" s="32"/>
      <c r="N10" s="26" t="s">
        <v>171</v>
      </c>
    </row>
    <row r="11" spans="1:14" x14ac:dyDescent="0.45">
      <c r="B11" s="43">
        <v>2</v>
      </c>
      <c r="C11" s="25" t="s">
        <v>172</v>
      </c>
      <c r="D11" s="28">
        <v>450</v>
      </c>
      <c r="E11" s="36">
        <v>4</v>
      </c>
      <c r="F11" s="36">
        <v>5</v>
      </c>
      <c r="G11" s="36">
        <v>7</v>
      </c>
      <c r="H11" s="31">
        <v>1.6</v>
      </c>
      <c r="I11" s="31">
        <v>1.8</v>
      </c>
      <c r="J11" s="31">
        <v>2.2000000000000002</v>
      </c>
      <c r="K11" s="45">
        <v>0.8</v>
      </c>
      <c r="L11" s="32"/>
      <c r="M11" s="32"/>
      <c r="N11" s="26" t="s">
        <v>173</v>
      </c>
    </row>
    <row r="12" spans="1:14" x14ac:dyDescent="0.45">
      <c r="B12" s="43">
        <v>3</v>
      </c>
      <c r="C12" s="25" t="s">
        <v>174</v>
      </c>
      <c r="D12" s="28">
        <v>1800</v>
      </c>
      <c r="E12" s="36">
        <v>8</v>
      </c>
      <c r="F12" s="36">
        <v>10</v>
      </c>
      <c r="G12" s="36">
        <v>14</v>
      </c>
      <c r="H12" s="31">
        <v>3</v>
      </c>
      <c r="I12" s="31">
        <v>3.4</v>
      </c>
      <c r="J12" s="31">
        <v>4</v>
      </c>
      <c r="K12" s="45">
        <v>1</v>
      </c>
      <c r="L12" s="32"/>
      <c r="M12" s="32"/>
      <c r="N12" s="26" t="s">
        <v>175</v>
      </c>
    </row>
    <row r="13" spans="1:14" x14ac:dyDescent="0.45">
      <c r="B13" s="43">
        <v>4</v>
      </c>
      <c r="C13" s="25" t="s">
        <v>176</v>
      </c>
      <c r="D13" s="28">
        <v>3400</v>
      </c>
      <c r="E13" s="36">
        <v>12</v>
      </c>
      <c r="F13" s="36">
        <v>15</v>
      </c>
      <c r="G13" s="36">
        <v>21</v>
      </c>
      <c r="H13" s="31">
        <v>4</v>
      </c>
      <c r="I13" s="31">
        <v>4.5999999999999996</v>
      </c>
      <c r="J13" s="31">
        <v>5.6</v>
      </c>
      <c r="K13" s="45">
        <v>1.3</v>
      </c>
      <c r="L13" s="32"/>
      <c r="M13" s="32"/>
      <c r="N13" s="26" t="s">
        <v>177</v>
      </c>
    </row>
    <row r="14" spans="1:14" x14ac:dyDescent="0.45">
      <c r="B14" s="43">
        <v>5</v>
      </c>
      <c r="C14" s="25" t="s">
        <v>178</v>
      </c>
      <c r="D14" s="28">
        <v>4200</v>
      </c>
      <c r="E14" s="36">
        <v>8</v>
      </c>
      <c r="F14" s="36">
        <v>10</v>
      </c>
      <c r="G14" s="36">
        <v>15</v>
      </c>
      <c r="H14" s="31">
        <v>2.5</v>
      </c>
      <c r="I14" s="31">
        <v>3</v>
      </c>
      <c r="J14" s="31">
        <v>3.8</v>
      </c>
      <c r="K14" s="45">
        <v>1.5</v>
      </c>
      <c r="L14" s="32"/>
      <c r="M14" s="32"/>
      <c r="N14" s="26" t="s">
        <v>179</v>
      </c>
    </row>
    <row r="15" spans="1:14" x14ac:dyDescent="0.45">
      <c r="B15" s="43">
        <v>6</v>
      </c>
      <c r="C15" s="25" t="s">
        <v>180</v>
      </c>
      <c r="D15" s="44" t="s">
        <v>170</v>
      </c>
      <c r="E15" s="36">
        <v>5</v>
      </c>
      <c r="F15" s="36">
        <v>6</v>
      </c>
      <c r="G15" s="36">
        <v>9</v>
      </c>
      <c r="H15" s="31">
        <v>3.5</v>
      </c>
      <c r="I15" s="31">
        <v>4.2</v>
      </c>
      <c r="J15" s="31">
        <v>5.5</v>
      </c>
      <c r="K15" s="45">
        <v>0.8</v>
      </c>
      <c r="L15" s="32"/>
      <c r="M15" s="32"/>
      <c r="N15" s="26" t="s">
        <v>181</v>
      </c>
    </row>
    <row r="16" spans="1:14" x14ac:dyDescent="0.45">
      <c r="B16" s="43">
        <v>7</v>
      </c>
      <c r="C16" s="25" t="s">
        <v>182</v>
      </c>
      <c r="D16" s="44" t="s">
        <v>170</v>
      </c>
      <c r="E16" s="36">
        <v>4</v>
      </c>
      <c r="F16" s="36">
        <v>5</v>
      </c>
      <c r="G16" s="36">
        <v>7</v>
      </c>
      <c r="H16" s="31">
        <v>1.2</v>
      </c>
      <c r="I16" s="31">
        <v>1.5</v>
      </c>
      <c r="J16" s="31">
        <v>2</v>
      </c>
      <c r="K16" s="45">
        <v>0.5</v>
      </c>
      <c r="L16" s="32"/>
      <c r="M16" s="32"/>
      <c r="N16" s="26" t="s">
        <v>183</v>
      </c>
    </row>
    <row r="17" spans="2:14" x14ac:dyDescent="0.45">
      <c r="B17" s="32"/>
      <c r="C17" s="46" t="s">
        <v>184</v>
      </c>
      <c r="D17" s="32"/>
      <c r="E17" s="32"/>
      <c r="F17" s="47">
        <f>SUM(F10:F16)</f>
        <v>55</v>
      </c>
      <c r="G17" s="32"/>
      <c r="H17" s="32"/>
      <c r="I17" s="48">
        <f>SUM(I10:I16)</f>
        <v>19.7</v>
      </c>
      <c r="J17" s="32"/>
      <c r="K17" s="32"/>
      <c r="L17" s="32"/>
      <c r="M17" s="32"/>
      <c r="N17" s="32"/>
    </row>
    <row r="18" spans="2:14" ht="8" customHeight="1" x14ac:dyDescent="0.45"/>
    <row r="19" spans="2:14" ht="22.05" customHeight="1" x14ac:dyDescent="0.5">
      <c r="B19" s="7" t="s">
        <v>185</v>
      </c>
      <c r="C19" s="8"/>
      <c r="D19" s="8"/>
      <c r="E19" s="8"/>
      <c r="F19" s="8"/>
      <c r="G19" s="8"/>
      <c r="H19" s="8"/>
      <c r="I19" s="8"/>
      <c r="J19" s="8"/>
      <c r="K19" s="8"/>
      <c r="L19" s="8"/>
      <c r="M19" s="8"/>
      <c r="N19" s="8"/>
    </row>
    <row r="20" spans="2:14" ht="18" customHeight="1" x14ac:dyDescent="0.45">
      <c r="B20" s="13" t="s">
        <v>186</v>
      </c>
    </row>
    <row r="21" spans="2:14" ht="18" customHeight="1" x14ac:dyDescent="0.45">
      <c r="B21" s="41"/>
      <c r="C21" s="40" t="s">
        <v>187</v>
      </c>
      <c r="D21" s="39" t="s">
        <v>161</v>
      </c>
      <c r="E21" s="39" t="s">
        <v>188</v>
      </c>
      <c r="F21" s="39" t="s">
        <v>189</v>
      </c>
      <c r="G21" s="41"/>
      <c r="H21" s="41"/>
      <c r="I21" s="41"/>
      <c r="J21" s="41"/>
      <c r="K21" s="41"/>
      <c r="L21" s="41"/>
      <c r="M21" s="41"/>
      <c r="N21" s="40" t="s">
        <v>190</v>
      </c>
    </row>
    <row r="22" spans="2:14" x14ac:dyDescent="0.45">
      <c r="B22" s="42"/>
      <c r="C22" s="42"/>
      <c r="D22" s="42" t="s">
        <v>191</v>
      </c>
      <c r="E22" s="42" t="s">
        <v>122</v>
      </c>
      <c r="F22" s="42" t="s">
        <v>135</v>
      </c>
      <c r="G22" s="42"/>
      <c r="H22" s="42"/>
      <c r="I22" s="42"/>
      <c r="J22" s="42"/>
      <c r="K22" s="42"/>
      <c r="L22" s="42"/>
      <c r="M22" s="42"/>
      <c r="N22" s="42"/>
    </row>
    <row r="23" spans="2:14" x14ac:dyDescent="0.45">
      <c r="B23" s="32"/>
      <c r="C23" s="25" t="s">
        <v>192</v>
      </c>
      <c r="D23" s="43">
        <f>Sidetrack_Phase</f>
        <v>4</v>
      </c>
      <c r="E23" s="37">
        <f ca="1">Sidetrack</f>
        <v>14.329426691628296</v>
      </c>
      <c r="F23" s="49">
        <f ca="1">IF(E23&gt;0,SidetrackCost,0)</f>
        <v>2.5</v>
      </c>
      <c r="G23" s="32"/>
      <c r="H23" s="32"/>
      <c r="I23" s="32"/>
      <c r="J23" s="32"/>
      <c r="K23" s="32"/>
      <c r="L23" s="32"/>
      <c r="M23" s="32"/>
      <c r="N23" s="26" t="s">
        <v>193</v>
      </c>
    </row>
    <row r="24" spans="2:14" x14ac:dyDescent="0.45">
      <c r="B24" s="32"/>
      <c r="C24" s="25" t="s">
        <v>194</v>
      </c>
      <c r="D24" s="43">
        <f>WellControl_Phase</f>
        <v>5</v>
      </c>
      <c r="E24" s="37">
        <f ca="1">WellControl</f>
        <v>0</v>
      </c>
      <c r="F24" s="49">
        <f ca="1">IF(E24&gt;0,WellControlCost,0)</f>
        <v>0</v>
      </c>
      <c r="G24" s="32"/>
      <c r="H24" s="32"/>
      <c r="I24" s="32"/>
      <c r="J24" s="32"/>
      <c r="K24" s="32"/>
      <c r="L24" s="32"/>
      <c r="M24" s="32"/>
      <c r="N24" s="32"/>
    </row>
    <row r="25" spans="2:14" ht="8" customHeight="1" x14ac:dyDescent="0.45"/>
    <row r="26" spans="2:14" ht="22.05" customHeight="1" x14ac:dyDescent="0.5">
      <c r="B26" s="7" t="s">
        <v>195</v>
      </c>
      <c r="C26" s="8"/>
      <c r="D26" s="8"/>
      <c r="E26" s="8"/>
      <c r="F26" s="8"/>
      <c r="G26" s="8"/>
      <c r="H26" s="8"/>
      <c r="I26" s="8"/>
      <c r="J26" s="8"/>
      <c r="K26" s="8"/>
      <c r="L26" s="8"/>
      <c r="M26" s="8"/>
      <c r="N26" s="8"/>
    </row>
    <row r="27" spans="2:14" ht="18" customHeight="1" x14ac:dyDescent="0.45">
      <c r="B27" s="13" t="s">
        <v>196</v>
      </c>
    </row>
    <row r="28" spans="2:14" ht="18" customHeight="1" x14ac:dyDescent="0.45">
      <c r="B28" s="39" t="s">
        <v>160</v>
      </c>
      <c r="C28" s="40" t="s">
        <v>161</v>
      </c>
      <c r="D28" s="39" t="s">
        <v>197</v>
      </c>
      <c r="E28" s="39" t="s">
        <v>165</v>
      </c>
      <c r="F28" s="39" t="s">
        <v>165</v>
      </c>
      <c r="G28" s="39" t="s">
        <v>198</v>
      </c>
      <c r="H28" s="39" t="s">
        <v>161</v>
      </c>
      <c r="I28" s="39" t="s">
        <v>199</v>
      </c>
      <c r="J28" s="39" t="s">
        <v>200</v>
      </c>
      <c r="K28" s="39" t="s">
        <v>201</v>
      </c>
      <c r="L28" s="39" t="s">
        <v>161</v>
      </c>
      <c r="M28" s="41"/>
      <c r="N28" s="40" t="s">
        <v>190</v>
      </c>
    </row>
    <row r="29" spans="2:14" x14ac:dyDescent="0.45">
      <c r="B29" s="42"/>
      <c r="C29" s="42"/>
      <c r="D29" s="42" t="s">
        <v>122</v>
      </c>
      <c r="E29" s="42" t="s">
        <v>114</v>
      </c>
      <c r="F29" s="42" t="s">
        <v>122</v>
      </c>
      <c r="G29" s="42" t="s">
        <v>202</v>
      </c>
      <c r="H29" s="42" t="s">
        <v>122</v>
      </c>
      <c r="I29" s="42" t="s">
        <v>203</v>
      </c>
      <c r="J29" s="42" t="s">
        <v>204</v>
      </c>
      <c r="K29" s="42" t="s">
        <v>205</v>
      </c>
      <c r="L29" s="42" t="s">
        <v>205</v>
      </c>
      <c r="M29" s="42"/>
      <c r="N29" s="42"/>
    </row>
    <row r="30" spans="2:14" x14ac:dyDescent="0.45">
      <c r="B30" s="43">
        <v>1</v>
      </c>
      <c r="C30" s="25" t="str">
        <f t="shared" ref="C30:C36" si="0">C10</f>
        <v>Mobilise and rig up</v>
      </c>
      <c r="D30" s="35" cm="1">
        <f t="array" aca="1" ref="D30" ca="1">_xll.VoseInput("Duration, Mobilise","days")+_xll.VosePERT(E10,F10,G10)</f>
        <v>3.4690131427565296</v>
      </c>
      <c r="E30" s="50" cm="1">
        <f t="array" aca="1" ref="E30" ca="1">_xll.VosePoisson(TroubleRatePerDay*D30*K10)</f>
        <v>0</v>
      </c>
      <c r="F30" s="35" cm="1">
        <f t="array" aca="1" ref="F30" ca="1">_xll.VoseAggregateMC(E30,_xll.VoseLognormalObject(TroubleMean,TroubleSD))</f>
        <v>0</v>
      </c>
      <c r="G30" s="37">
        <f t="shared" ref="G30:G36" si="1">SUMIF(Ev_Phase,B30,Ev_Days)</f>
        <v>0</v>
      </c>
      <c r="H30" s="37">
        <f t="shared" ref="H30:H36" ca="1" si="2">D30+F30+G30</f>
        <v>3.4690131427565296</v>
      </c>
      <c r="I30" s="51" cm="1">
        <f t="array" aca="1" ref="I30" ca="1">_xll.VoseOutput("Days at end of phase 1","days")+H30</f>
        <v>3.4690131427565296</v>
      </c>
      <c r="J30" s="52" cm="1">
        <f t="array" aca="1" ref="J30" ca="1">_xll.VoseInput("Materials and services, Mobilise","US$m")+_xll.VosePERT(H10,I10,J10)</f>
        <v>1.1937468589303466</v>
      </c>
      <c r="K30" s="49">
        <f t="shared" ref="K30:K36" si="3">SUMIF(Ev_Phase,B30,Ev_Cost)</f>
        <v>0</v>
      </c>
      <c r="L30" s="49">
        <f t="shared" ref="L30:L36" ca="1" si="4">H30*SpreadRate/1000+J30+K30</f>
        <v>2.3766399140467191</v>
      </c>
      <c r="M30" s="32"/>
      <c r="N30" s="26" t="s">
        <v>206</v>
      </c>
    </row>
    <row r="31" spans="2:14" x14ac:dyDescent="0.45">
      <c r="B31" s="43">
        <v>2</v>
      </c>
      <c r="C31" s="25" t="str">
        <f t="shared" si="0"/>
        <v>26-in surface hole, 20-in casing</v>
      </c>
      <c r="D31" s="35" cm="1">
        <f t="array" aca="1" ref="D31" ca="1">_xll.VoseInput("Duration, 26-in hole","days")+_xll.VosePERT(E11,F11,G11)</f>
        <v>4.438555117791374</v>
      </c>
      <c r="E31" s="50" cm="1">
        <f t="array" aca="1" ref="E31" ca="1">_xll.VosePoisson(TroubleRatePerDay*D31*K11)</f>
        <v>0</v>
      </c>
      <c r="F31" s="35" cm="1">
        <f t="array" aca="1" ref="F31" ca="1">_xll.VoseAggregateMC(E31,_xll.VoseLognormalObject(TroubleMean,TroubleSD))</f>
        <v>0</v>
      </c>
      <c r="G31" s="37">
        <f t="shared" si="1"/>
        <v>0</v>
      </c>
      <c r="H31" s="37">
        <f t="shared" ca="1" si="2"/>
        <v>4.438555117791374</v>
      </c>
      <c r="I31" s="51" cm="1">
        <f t="array" aca="1" ref="I31" ca="1">_xll.VoseOutput("Days at end of phase 2","days")+I30+H31</f>
        <v>7.9075682605479036</v>
      </c>
      <c r="J31" s="52" cm="1">
        <f t="array" aca="1" ref="J31" ca="1">_xll.VoseInput("Materials and services, 26-in hole","US$m")+_xll.VosePERT(H11,I11,J11)</f>
        <v>1.6959932717010968</v>
      </c>
      <c r="K31" s="49">
        <f t="shared" si="3"/>
        <v>0</v>
      </c>
      <c r="L31" s="49">
        <f t="shared" ca="1" si="4"/>
        <v>3.2094888416298555</v>
      </c>
      <c r="M31" s="32"/>
      <c r="N31" s="26" t="s">
        <v>207</v>
      </c>
    </row>
    <row r="32" spans="2:14" x14ac:dyDescent="0.45">
      <c r="B32" s="43">
        <v>3</v>
      </c>
      <c r="C32" s="25" t="str">
        <f t="shared" si="0"/>
        <v>17½-in hole, 13⅜-in casing</v>
      </c>
      <c r="D32" s="35" cm="1">
        <f t="array" aca="1" ref="D32" ca="1">_xll.VoseInput("Duration, 17½-in hole","days")+_xll.VosePERT(E12,F12,G12)</f>
        <v>9.80795102200908</v>
      </c>
      <c r="E32" s="50" cm="1">
        <f t="array" aca="1" ref="E32" ca="1">_xll.VosePoisson(TroubleRatePerDay*D32*K12)</f>
        <v>0</v>
      </c>
      <c r="F32" s="35" cm="1">
        <f t="array" aca="1" ref="F32" ca="1">_xll.VoseAggregateMC(E32,_xll.VoseLognormalObject(TroubleMean,TroubleSD))</f>
        <v>0</v>
      </c>
      <c r="G32" s="37">
        <f t="shared" si="1"/>
        <v>0</v>
      </c>
      <c r="H32" s="37">
        <f t="shared" ca="1" si="2"/>
        <v>9.80795102200908</v>
      </c>
      <c r="I32" s="51" cm="1">
        <f t="array" aca="1" ref="I32" ca="1">_xll.VoseOutput("Days at end of phase 3","days")+I31+H32</f>
        <v>17.715519282556983</v>
      </c>
      <c r="J32" s="52" cm="1">
        <f t="array" aca="1" ref="J32" ca="1">_xll.VoseInput("Materials and services, 17½-in hole","US$m")+_xll.VosePERT(H12,I12,J12)</f>
        <v>3.5356221876038783</v>
      </c>
      <c r="K32" s="49">
        <f t="shared" si="3"/>
        <v>0</v>
      </c>
      <c r="L32" s="49">
        <f t="shared" ca="1" si="4"/>
        <v>6.880019187967255</v>
      </c>
      <c r="M32" s="32"/>
      <c r="N32" s="32"/>
    </row>
    <row r="33" spans="2:14" x14ac:dyDescent="0.45">
      <c r="B33" s="43">
        <v>4</v>
      </c>
      <c r="C33" s="25" t="str">
        <f t="shared" si="0"/>
        <v>12¼-in hole, 9⅝-in casing</v>
      </c>
      <c r="D33" s="35" cm="1">
        <f t="array" aca="1" ref="D33" ca="1">_xll.VoseInput("Duration, 12¼-in hole","days")+_xll.VosePERT(E13,F13,G13)</f>
        <v>16.078370938086785</v>
      </c>
      <c r="E33" s="50" cm="1">
        <f t="array" aca="1" ref="E33" ca="1">_xll.VosePoisson(TroubleRatePerDay*D33*K13)</f>
        <v>2</v>
      </c>
      <c r="F33" s="35" cm="1">
        <f t="array" aca="1" ref="F33" ca="1">_xll.VoseAggregateMC(E33,_xll.VoseLognormalObject(TroubleMean,TroubleSD))</f>
        <v>1.5228805857321737</v>
      </c>
      <c r="G33" s="37">
        <f t="shared" ca="1" si="1"/>
        <v>14.329426691628296</v>
      </c>
      <c r="H33" s="37">
        <f t="shared" ca="1" si="2"/>
        <v>31.930678215447255</v>
      </c>
      <c r="I33" s="51" cm="1">
        <f t="array" aca="1" ref="I33" ca="1">_xll.VoseOutput("Days at end of phase 4","days")+I32+H33</f>
        <v>49.646197498004241</v>
      </c>
      <c r="J33" s="52" cm="1">
        <f t="array" aca="1" ref="J33" ca="1">_xll.VoseInput("Materials and services, 12¼-in hole","US$m")+_xll.VosePERT(H13,I13,J13)</f>
        <v>5.2123102584495493</v>
      </c>
      <c r="K33" s="49">
        <f t="shared" ca="1" si="3"/>
        <v>2.5</v>
      </c>
      <c r="L33" s="49">
        <f t="shared" ca="1" si="4"/>
        <v>18.600299421902278</v>
      </c>
      <c r="M33" s="32"/>
      <c r="N33" s="26" t="s">
        <v>208</v>
      </c>
    </row>
    <row r="34" spans="2:14" x14ac:dyDescent="0.45">
      <c r="B34" s="43">
        <v>5</v>
      </c>
      <c r="C34" s="25" t="str">
        <f t="shared" si="0"/>
        <v>8½-in reservoir section</v>
      </c>
      <c r="D34" s="35" cm="1">
        <f t="array" aca="1" ref="D34" ca="1">_xll.VoseInput("Duration, 8½-in hole","days")+_xll.VosePERT(E14,F14,G14)</f>
        <v>9.6681899359092967</v>
      </c>
      <c r="E34" s="50" cm="1">
        <f t="array" aca="1" ref="E34" ca="1">_xll.VosePoisson(TroubleRatePerDay*D34*K14)</f>
        <v>0</v>
      </c>
      <c r="F34" s="35" cm="1">
        <f t="array" aca="1" ref="F34" ca="1">_xll.VoseAggregateMC(E34,_xll.VoseLognormalObject(TroubleMean,TroubleSD))</f>
        <v>0</v>
      </c>
      <c r="G34" s="37">
        <f t="shared" ca="1" si="1"/>
        <v>0</v>
      </c>
      <c r="H34" s="37">
        <f t="shared" ca="1" si="2"/>
        <v>9.6681899359092967</v>
      </c>
      <c r="I34" s="51" cm="1">
        <f t="array" aca="1" ref="I34" ca="1">_xll.VoseOutput("Days at end of phase 5","days")+I33+H34</f>
        <v>59.314387433913538</v>
      </c>
      <c r="J34" s="52" cm="1">
        <f t="array" aca="1" ref="J34" ca="1">_xll.VoseInput("Materials and services, 8½-in hole","US$m")+_xll.VosePERT(H14,I14,J14)</f>
        <v>2.9899148422424955</v>
      </c>
      <c r="K34" s="49">
        <f t="shared" ca="1" si="3"/>
        <v>0</v>
      </c>
      <c r="L34" s="49">
        <f t="shared" ca="1" si="4"/>
        <v>6.2866549409685408</v>
      </c>
      <c r="M34" s="32"/>
      <c r="N34" s="32"/>
    </row>
    <row r="35" spans="2:14" x14ac:dyDescent="0.45">
      <c r="B35" s="43">
        <v>6</v>
      </c>
      <c r="C35" s="25" t="str">
        <f t="shared" si="0"/>
        <v>Logging and testing</v>
      </c>
      <c r="D35" s="35" cm="1">
        <f t="array" aca="1" ref="D35" ca="1">_xll.VoseInput("Duration, Logging","days")+_xll.VosePERT(E15,F15,G15)</f>
        <v>6.5431404523725618</v>
      </c>
      <c r="E35" s="50" cm="1">
        <f t="array" aca="1" ref="E35" ca="1">_xll.VosePoisson(TroubleRatePerDay*D35*K15)</f>
        <v>2</v>
      </c>
      <c r="F35" s="35" cm="1">
        <f t="array" aca="1" ref="F35" ca="1">_xll.VoseAggregateMC(E35,_xll.VoseLognormalObject(TroubleMean,TroubleSD))</f>
        <v>1.3314991098436164</v>
      </c>
      <c r="G35" s="37">
        <f t="shared" si="1"/>
        <v>0</v>
      </c>
      <c r="H35" s="37">
        <f t="shared" ca="1" si="2"/>
        <v>7.8746395622161778</v>
      </c>
      <c r="I35" s="51" cm="1">
        <f t="array" aca="1" ref="I35" ca="1">_xll.VoseOutput("Days at end of phase 6","days")+I34+H35</f>
        <v>67.189026996129712</v>
      </c>
      <c r="J35" s="52" cm="1">
        <f t="array" aca="1" ref="J35" ca="1">_xll.VoseInput("Materials and services, Logging","US$m")+_xll.VosePERT(H15,I15,J15)</f>
        <v>4.0709392894912151</v>
      </c>
      <c r="K35" s="49">
        <f t="shared" si="3"/>
        <v>0</v>
      </c>
      <c r="L35" s="49">
        <f t="shared" ca="1" si="4"/>
        <v>6.7560996121437906</v>
      </c>
      <c r="M35" s="32"/>
      <c r="N35" s="32"/>
    </row>
    <row r="36" spans="2:14" x14ac:dyDescent="0.45">
      <c r="B36" s="43">
        <v>7</v>
      </c>
      <c r="C36" s="25" t="str">
        <f t="shared" si="0"/>
        <v>Plug, abandon and rig down</v>
      </c>
      <c r="D36" s="35" cm="1">
        <f t="array" aca="1" ref="D36" ca="1">_xll.VoseInput("Duration, Abandon","days")+_xll.VosePERT(E16,F16,G16)</f>
        <v>5.1522876530520989</v>
      </c>
      <c r="E36" s="50" cm="1">
        <f t="array" aca="1" ref="E36" ca="1">_xll.VosePoisson(TroubleRatePerDay*D36*K16)</f>
        <v>0</v>
      </c>
      <c r="F36" s="35" cm="1">
        <f t="array" aca="1" ref="F36" ca="1">_xll.VoseAggregateMC(E36,_xll.VoseLognormalObject(TroubleMean,TroubleSD))</f>
        <v>0</v>
      </c>
      <c r="G36" s="37">
        <f t="shared" si="1"/>
        <v>0</v>
      </c>
      <c r="H36" s="37">
        <f t="shared" ca="1" si="2"/>
        <v>5.1522876530520989</v>
      </c>
      <c r="I36" s="51" cm="1">
        <f t="array" aca="1" ref="I36" ca="1">_xll.VoseOutput("Days at end of phase 7","days")+I35+H36</f>
        <v>72.341314649181811</v>
      </c>
      <c r="J36" s="52" cm="1">
        <f t="array" aca="1" ref="J36" ca="1">_xll.VoseInput("Materials and services, Abandon","US$m")+_xll.VosePERT(H16,I16,J16)</f>
        <v>1.3413310543994161</v>
      </c>
      <c r="K36" s="49">
        <f t="shared" si="3"/>
        <v>0</v>
      </c>
      <c r="L36" s="49">
        <f t="shared" ca="1" si="4"/>
        <v>3.0982011012837862</v>
      </c>
      <c r="M36" s="32"/>
      <c r="N36" s="26" t="s">
        <v>209</v>
      </c>
    </row>
    <row r="37" spans="2:14" x14ac:dyDescent="0.45">
      <c r="B37" s="32"/>
      <c r="C37" s="46" t="s">
        <v>210</v>
      </c>
      <c r="D37" s="47">
        <f ca="1">SUM(D30:D36)</f>
        <v>55.157508261977725</v>
      </c>
      <c r="E37" s="53">
        <f ca="1">SUM(E30:E36)</f>
        <v>4</v>
      </c>
      <c r="F37" s="47">
        <f ca="1">SUM(F30:F36)</f>
        <v>2.8543796955757901</v>
      </c>
      <c r="G37" s="47">
        <f ca="1">SUM(G30:G36)</f>
        <v>14.329426691628296</v>
      </c>
      <c r="H37" s="47">
        <f ca="1">SUM(H30:H36)</f>
        <v>72.341314649181811</v>
      </c>
      <c r="I37" s="32"/>
      <c r="J37" s="48">
        <f ca="1">SUM(J30:J36)</f>
        <v>20.039857762817995</v>
      </c>
      <c r="K37" s="48">
        <f ca="1">SUM(K30:K36)</f>
        <v>2.5</v>
      </c>
      <c r="L37" s="48">
        <f ca="1">SUM(L30:L36)</f>
        <v>47.207403019942227</v>
      </c>
      <c r="M37" s="32"/>
      <c r="N37" s="32"/>
    </row>
    <row r="38" spans="2:14" ht="8" customHeight="1" x14ac:dyDescent="0.45"/>
    <row r="39" spans="2:14" ht="22.05" customHeight="1" x14ac:dyDescent="0.5">
      <c r="B39" s="7" t="s">
        <v>211</v>
      </c>
      <c r="C39" s="8"/>
      <c r="D39" s="8"/>
      <c r="E39" s="8"/>
      <c r="F39" s="8"/>
      <c r="G39" s="8"/>
      <c r="H39" s="8"/>
      <c r="I39" s="8"/>
      <c r="J39" s="8"/>
      <c r="K39" s="8"/>
      <c r="L39" s="8"/>
      <c r="M39" s="8"/>
      <c r="N39" s="8"/>
    </row>
    <row r="40" spans="2:14" ht="18" customHeight="1" x14ac:dyDescent="0.45">
      <c r="B40" s="13" t="s">
        <v>212</v>
      </c>
    </row>
    <row r="41" spans="2:14" ht="18" customHeight="1" x14ac:dyDescent="0.45">
      <c r="B41" s="5"/>
      <c r="C41" s="54" t="s">
        <v>213</v>
      </c>
      <c r="D41" s="54" t="s">
        <v>99</v>
      </c>
      <c r="E41" s="55" t="s">
        <v>214</v>
      </c>
      <c r="F41" s="5"/>
      <c r="G41" s="54" t="s">
        <v>215</v>
      </c>
      <c r="H41" s="5"/>
      <c r="I41" s="5"/>
      <c r="J41" s="5"/>
      <c r="K41" s="5"/>
      <c r="L41" s="5"/>
      <c r="M41" s="5"/>
      <c r="N41" s="5"/>
    </row>
    <row r="42" spans="2:14" x14ac:dyDescent="0.45">
      <c r="B42" s="32"/>
      <c r="C42" s="25" t="s">
        <v>216</v>
      </c>
      <c r="D42" s="26" t="s">
        <v>135</v>
      </c>
      <c r="E42" s="51" cm="1">
        <f t="array" aca="1" ref="E42" ca="1">_xll.VoseOutput("Total well cost","US$m")+L37</f>
        <v>47.207403019942227</v>
      </c>
      <c r="F42" s="32"/>
      <c r="G42" s="26" t="s">
        <v>217</v>
      </c>
      <c r="H42" s="32"/>
      <c r="I42" s="32"/>
      <c r="J42" s="32"/>
      <c r="K42" s="32"/>
      <c r="L42" s="32"/>
      <c r="M42" s="32"/>
      <c r="N42" s="32"/>
    </row>
    <row r="43" spans="2:14" x14ac:dyDescent="0.45">
      <c r="B43" s="32"/>
      <c r="C43" s="25" t="s">
        <v>218</v>
      </c>
      <c r="D43" s="26" t="s">
        <v>122</v>
      </c>
      <c r="E43" s="51" cm="1">
        <f t="array" aca="1" ref="E43" ca="1">_xll.VoseOutput("Total well days","days")+H37</f>
        <v>72.341314649181811</v>
      </c>
      <c r="F43" s="32"/>
      <c r="G43" s="26" t="s">
        <v>219</v>
      </c>
      <c r="H43" s="32"/>
      <c r="I43" s="32"/>
      <c r="J43" s="32"/>
      <c r="K43" s="32"/>
      <c r="L43" s="32"/>
      <c r="M43" s="32"/>
      <c r="N43" s="32"/>
    </row>
    <row r="44" spans="2:14" x14ac:dyDescent="0.45">
      <c r="B44" s="32"/>
      <c r="C44" s="25" t="s">
        <v>220</v>
      </c>
      <c r="D44" s="26" t="s">
        <v>122</v>
      </c>
      <c r="E44" s="37" cm="1">
        <f t="array" aca="1" ref="E44" ca="1">_xll.VoseInput("Trouble time","days")+F37</f>
        <v>2.8543796955757901</v>
      </c>
      <c r="F44" s="32"/>
      <c r="G44" s="26" t="s">
        <v>221</v>
      </c>
      <c r="H44" s="32"/>
      <c r="I44" s="32"/>
      <c r="J44" s="32"/>
      <c r="K44" s="32"/>
      <c r="L44" s="32"/>
      <c r="M44" s="32"/>
      <c r="N44" s="32"/>
    </row>
    <row r="45" spans="2:14" x14ac:dyDescent="0.45">
      <c r="B45" s="32"/>
      <c r="C45" s="25" t="s">
        <v>222</v>
      </c>
      <c r="D45" s="26" t="s">
        <v>122</v>
      </c>
      <c r="E45" s="51" cm="1">
        <f t="array" aca="1" ref="E45" ca="1">_xll.VoseOutput("Major event days","days")+G37</f>
        <v>14.329426691628296</v>
      </c>
      <c r="F45" s="32"/>
      <c r="G45" s="26" t="s">
        <v>223</v>
      </c>
      <c r="H45" s="32"/>
      <c r="I45" s="32"/>
      <c r="J45" s="32"/>
      <c r="K45" s="32"/>
      <c r="L45" s="32"/>
      <c r="M45" s="32"/>
      <c r="N45" s="32"/>
    </row>
    <row r="46" spans="2:14" x14ac:dyDescent="0.45">
      <c r="B46" s="32"/>
      <c r="C46" s="25" t="s">
        <v>224</v>
      </c>
      <c r="D46" s="26" t="s">
        <v>225</v>
      </c>
      <c r="E46" s="56" cm="1">
        <f t="array" aca="1" ref="E46" ca="1">_xll.VoseOutput("Major event happens","1 = yes")+IF(G37&gt;0,1,0)</f>
        <v>1</v>
      </c>
      <c r="F46" s="32"/>
      <c r="G46" s="26" t="s">
        <v>226</v>
      </c>
      <c r="H46" s="32"/>
      <c r="I46" s="32"/>
      <c r="J46" s="32"/>
      <c r="K46" s="32"/>
      <c r="L46" s="32"/>
      <c r="M46" s="32"/>
      <c r="N46" s="32"/>
    </row>
    <row r="47" spans="2:14" x14ac:dyDescent="0.45">
      <c r="B47" s="32"/>
      <c r="C47" s="25" t="s">
        <v>227</v>
      </c>
      <c r="D47" s="26" t="s">
        <v>135</v>
      </c>
      <c r="E47" s="57" cm="1">
        <f t="array" aca="1" ref="E47" ca="1">_xll.VoseOutput("Materials and services","US$m")+J37</f>
        <v>20.039857762817995</v>
      </c>
      <c r="F47" s="32"/>
      <c r="G47" s="26" t="s">
        <v>228</v>
      </c>
      <c r="H47" s="32"/>
      <c r="I47" s="32"/>
      <c r="J47" s="32"/>
      <c r="K47" s="32"/>
      <c r="L47" s="32"/>
      <c r="M47" s="32"/>
      <c r="N47" s="32"/>
    </row>
    <row r="48" spans="2:14" x14ac:dyDescent="0.45">
      <c r="B48" s="32"/>
      <c r="C48" s="25" t="s">
        <v>229</v>
      </c>
      <c r="D48" s="26" t="s">
        <v>122</v>
      </c>
      <c r="E48" s="37">
        <f>ML_Days*(1+Allowance)</f>
        <v>60.500000000000007</v>
      </c>
      <c r="F48" s="32"/>
      <c r="G48" s="26" t="s">
        <v>230</v>
      </c>
      <c r="H48" s="32"/>
      <c r="I48" s="32"/>
      <c r="J48" s="32"/>
      <c r="K48" s="32"/>
      <c r="L48" s="32"/>
      <c r="M48" s="32"/>
      <c r="N48" s="32"/>
    </row>
    <row r="49" spans="2:14" x14ac:dyDescent="0.45">
      <c r="B49" s="32"/>
      <c r="C49" s="25" t="s">
        <v>231</v>
      </c>
      <c r="D49" s="26" t="s">
        <v>135</v>
      </c>
      <c r="E49" s="37">
        <f>Base_Days*SpreadRate_ML/1000+ML_Materials</f>
        <v>41.480000000000004</v>
      </c>
      <c r="F49" s="32"/>
      <c r="G49" s="26" t="s">
        <v>232</v>
      </c>
      <c r="H49" s="32"/>
      <c r="I49" s="32"/>
      <c r="J49" s="32"/>
      <c r="K49" s="32"/>
      <c r="L49" s="32"/>
      <c r="M49" s="32"/>
      <c r="N49" s="32"/>
    </row>
    <row r="50" spans="2:14" ht="8" customHeight="1" x14ac:dyDescent="0.45"/>
    <row r="51" spans="2:14" ht="22.05" customHeight="1" x14ac:dyDescent="0.5">
      <c r="B51" s="7" t="s">
        <v>233</v>
      </c>
      <c r="C51" s="8"/>
      <c r="D51" s="8"/>
      <c r="E51" s="8"/>
      <c r="F51" s="8"/>
      <c r="G51" s="8"/>
      <c r="H51" s="8"/>
      <c r="I51" s="8"/>
      <c r="J51" s="8"/>
      <c r="K51" s="8"/>
      <c r="L51" s="8"/>
      <c r="M51" s="8"/>
      <c r="N51" s="8"/>
    </row>
    <row r="52" spans="2:14" ht="18" customHeight="1" x14ac:dyDescent="0.45">
      <c r="B52" s="13" t="s">
        <v>234</v>
      </c>
    </row>
    <row r="53" spans="2:14" x14ac:dyDescent="0.45">
      <c r="B53" s="32"/>
      <c r="C53" s="25" t="s">
        <v>235</v>
      </c>
      <c r="D53" s="32"/>
      <c r="E53" s="58" t="str">
        <f>IF(SUMPRODUCT((E10:E16&gt;F10:F16)+(F10:F16&gt;G10:G16))=0,"OK","CHECK")</f>
        <v>OK</v>
      </c>
      <c r="F53" s="32"/>
      <c r="G53" s="32"/>
      <c r="H53" s="32"/>
      <c r="I53" s="32"/>
      <c r="J53" s="32"/>
      <c r="K53" s="32"/>
      <c r="L53" s="32"/>
      <c r="M53" s="32"/>
      <c r="N53" s="32"/>
    </row>
    <row r="54" spans="2:14" x14ac:dyDescent="0.45">
      <c r="B54" s="32"/>
      <c r="C54" s="25" t="s">
        <v>236</v>
      </c>
      <c r="D54" s="32"/>
      <c r="E54" s="58" t="str">
        <f>IF(SUMPRODUCT((H10:H16&gt;I10:I16)+(I10:I16&gt;J10:J16))=0,"OK","CHECK")</f>
        <v>OK</v>
      </c>
      <c r="F54" s="32"/>
      <c r="G54" s="32"/>
      <c r="H54" s="32"/>
      <c r="I54" s="32"/>
      <c r="J54" s="32"/>
      <c r="K54" s="32"/>
      <c r="L54" s="32"/>
      <c r="M54" s="32"/>
      <c r="N54" s="32"/>
    </row>
    <row r="55" spans="2:14" x14ac:dyDescent="0.45">
      <c r="B55" s="32"/>
      <c r="C55" s="25" t="s">
        <v>237</v>
      </c>
      <c r="D55" s="32"/>
      <c r="E55" s="58" t="str">
        <f>IF(MIN(K10:K16)&gt;=0,"OK","CHECK")</f>
        <v>OK</v>
      </c>
      <c r="F55" s="32"/>
      <c r="G55" s="32"/>
      <c r="H55" s="32"/>
      <c r="I55" s="32"/>
      <c r="J55" s="32"/>
      <c r="K55" s="32"/>
      <c r="L55" s="32"/>
      <c r="M55" s="32"/>
      <c r="N55" s="32"/>
    </row>
    <row r="56" spans="2:14" x14ac:dyDescent="0.45">
      <c r="B56" s="32"/>
      <c r="C56" s="25" t="s">
        <v>238</v>
      </c>
      <c r="D56" s="32"/>
      <c r="E56" s="58" t="str">
        <f>IF(COUNTIF(B30:B36,Sidetrack_Phase)+COUNTIF(B30:B36,WellControl_Phase)=2,"OK","CHECK")</f>
        <v>OK</v>
      </c>
      <c r="F56" s="32"/>
      <c r="G56" s="32"/>
      <c r="H56" s="32"/>
      <c r="I56" s="32"/>
      <c r="J56" s="32"/>
      <c r="K56" s="32"/>
      <c r="L56" s="32"/>
      <c r="M56" s="32"/>
      <c r="N56" s="32"/>
    </row>
    <row r="57" spans="2:14" ht="14" customHeight="1" x14ac:dyDescent="0.45"/>
  </sheetData>
  <conditionalFormatting sqref="E53:E56">
    <cfRule type="expression" dxfId="5" priority="1">
      <formula>E53="CHECK"</formula>
    </cfRule>
  </conditionalFormatting>
  <dataValidations count="3">
    <dataValidation type="custom" showErrorMessage="1" errorTitle="Duration" error="Low must be below High, with Most likely between them." sqref="E10:G16" xr:uid="{00000000-0002-0000-0200-000000000000}">
      <formula1>AND($E10&lt;=$F10,$F10&lt;=$G10,$E10&lt;$G10,$E10&gt;=0)</formula1>
    </dataValidation>
    <dataValidation type="custom" showErrorMessage="1" errorTitle="Cost" error="Low must be below High, with Most likely between them." sqref="H10:J16" xr:uid="{00000000-0002-0000-0200-000001000000}">
      <formula1>AND($H10&lt;=$I10,$I10&lt;=$J10,$H10&lt;$J10,$H10&gt;=0)</formula1>
    </dataValidation>
    <dataValidation type="decimal" operator="greaterThan" showErrorMessage="1" errorTitle="Trouble factor" error="Enter a factor of zero or more: 1 = the average trouble rate." sqref="K10:K16" xr:uid="{00000000-0002-0000-0200-000002000000}">
      <formula1>0</formula1>
    </dataValidation>
  </dataValidations>
  <hyperlinks>
    <hyperlink ref="B4" location="'Inputs'!A1" display="◂  Inputs" xr:uid="{00000000-0004-0000-0200-000000000000}"/>
    <hyperlink ref="N4" location="'Results'!A1" display="Next:  Results  ▸" xr:uid="{00000000-0004-0000-0200-000001000000}"/>
  </hyperlinks>
  <printOptions horizontalCentered="1"/>
  <pageMargins left="0.4" right="0.4" top="0.5" bottom="0.6" header="0.25" footer="0.25"/>
  <pageSetup paperSize="9" scale="72"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239</v>
      </c>
      <c r="C3" s="1"/>
      <c r="D3" s="1"/>
      <c r="E3" s="1"/>
      <c r="F3" s="1"/>
      <c r="G3" s="1"/>
      <c r="H3" s="1"/>
      <c r="I3" s="1"/>
      <c r="J3" s="1"/>
      <c r="K3" s="1"/>
      <c r="L3" s="1"/>
      <c r="M3" s="1"/>
      <c r="N3" s="1"/>
      <c r="O3" s="1"/>
      <c r="P3" s="1"/>
      <c r="Q3" s="1"/>
      <c r="R3" s="1"/>
    </row>
    <row r="4" spans="1:18" ht="20" customHeight="1" x14ac:dyDescent="0.45">
      <c r="A4" s="5"/>
      <c r="B4" s="22" t="s">
        <v>240</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IF(ISNUMBER(_xll.VoseSimMean(TotalCost)),"✔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0"/>
      <c r="D6" s="60"/>
      <c r="E6" s="60"/>
      <c r="F6" s="60"/>
      <c r="G6" s="60"/>
    </row>
    <row r="7" spans="1:18" x14ac:dyDescent="0.45">
      <c r="B7" s="61"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241</v>
      </c>
      <c r="C9" s="8"/>
      <c r="D9" s="8"/>
      <c r="E9" s="8"/>
      <c r="F9" s="8"/>
      <c r="G9" s="8"/>
      <c r="I9" s="62" t="s">
        <v>242</v>
      </c>
      <c r="J9" s="8"/>
      <c r="K9" s="8"/>
      <c r="L9" s="8"/>
      <c r="M9" s="8"/>
      <c r="N9" s="8"/>
      <c r="O9" s="8"/>
      <c r="P9" s="8"/>
      <c r="Q9" s="8"/>
      <c r="R9" s="8"/>
    </row>
    <row r="10" spans="1:18" ht="18" customHeight="1" x14ac:dyDescent="0.45">
      <c r="B10" s="13" t="s">
        <v>243</v>
      </c>
    </row>
    <row r="11" spans="1:18" ht="18" customHeight="1" x14ac:dyDescent="0.45">
      <c r="B11" s="23" t="s">
        <v>244</v>
      </c>
      <c r="C11" s="23" t="s">
        <v>99</v>
      </c>
      <c r="D11" s="24" t="s">
        <v>214</v>
      </c>
      <c r="E11" s="5"/>
      <c r="F11" s="5"/>
      <c r="G11" s="5"/>
    </row>
    <row r="12" spans="1:18" x14ac:dyDescent="0.45">
      <c r="B12" s="63" t="s">
        <v>245</v>
      </c>
      <c r="C12" s="26" t="s">
        <v>135</v>
      </c>
      <c r="D12" s="37">
        <f>Base_Cost</f>
        <v>41.480000000000004</v>
      </c>
      <c r="E12" s="32"/>
      <c r="F12" s="32"/>
      <c r="G12" s="32"/>
    </row>
    <row r="13" spans="1:18" ht="22.05" customHeight="1" x14ac:dyDescent="0.45">
      <c r="B13" s="46" t="s">
        <v>246</v>
      </c>
      <c r="C13" s="26" t="s">
        <v>135</v>
      </c>
      <c r="D13" s="64" cm="1">
        <f t="array" aca="1" ref="D13" ca="1">_xll.VoseSimMean(TotalCost)</f>
        <v>44.345533825718</v>
      </c>
      <c r="E13" s="32"/>
      <c r="F13" s="32"/>
      <c r="G13" s="32"/>
    </row>
    <row r="14" spans="1:18" x14ac:dyDescent="0.45">
      <c r="B14" s="25" t="s">
        <v>247</v>
      </c>
      <c r="C14" s="26" t="s">
        <v>129</v>
      </c>
      <c r="D14" s="65" cm="1">
        <f t="array" aca="1" ref="D14" ca="1">_xll.VoseSimProbability(TotalCost,Base_Cost)</f>
        <v>0.15558444155584442</v>
      </c>
      <c r="E14" s="32"/>
      <c r="F14" s="32"/>
      <c r="G14" s="32"/>
    </row>
    <row r="15" spans="1:18" x14ac:dyDescent="0.45">
      <c r="B15" s="25" t="s">
        <v>248</v>
      </c>
      <c r="C15" s="26" t="s">
        <v>129</v>
      </c>
      <c r="D15" s="65">
        <f ca="1">IFERROR(1-D14,"–")</f>
        <v>0.84441555844415561</v>
      </c>
      <c r="E15" s="32"/>
      <c r="F15" s="32"/>
      <c r="G15" s="32"/>
    </row>
    <row r="16" spans="1:18" x14ac:dyDescent="0.45">
      <c r="B16" s="46" t="str">
        <f>"AFE  (P"&amp;TEXT(AFE_Level*100,"0")&amp;" cost)"</f>
        <v>AFE  (P80 cost)</v>
      </c>
      <c r="C16" s="26" t="s">
        <v>135</v>
      </c>
      <c r="D16" s="66" cm="1">
        <f t="array" aca="1" ref="D16" ca="1">_xll.VoseSimPercentile(TotalCost,AFE_Level)</f>
        <v>46.326161645554201</v>
      </c>
      <c r="E16" s="32"/>
      <c r="F16" s="32"/>
      <c r="G16" s="32"/>
    </row>
    <row r="17" spans="2:18" x14ac:dyDescent="0.45">
      <c r="B17" s="25" t="s">
        <v>249</v>
      </c>
      <c r="C17" s="26" t="s">
        <v>135</v>
      </c>
      <c r="D17" s="66">
        <f ca="1">IFERROR(D16-Base_Cost,"–")</f>
        <v>4.8461616455541972</v>
      </c>
      <c r="E17" s="32"/>
      <c r="F17" s="32"/>
      <c r="G17" s="32"/>
    </row>
    <row r="18" spans="2:18" x14ac:dyDescent="0.45">
      <c r="B18" s="25" t="s">
        <v>250</v>
      </c>
      <c r="C18" s="26"/>
      <c r="D18" s="67">
        <f ca="1">IFERROR((D16-Base_Cost)/Base_Cost,"–")</f>
        <v>0.11683128364402595</v>
      </c>
      <c r="E18" s="32"/>
      <c r="F18" s="32"/>
      <c r="G18" s="32"/>
    </row>
    <row r="19" spans="2:18" ht="8" customHeight="1" x14ac:dyDescent="0.45"/>
    <row r="20" spans="2:18" ht="22.05" customHeight="1" x14ac:dyDescent="0.5">
      <c r="B20" s="7" t="s">
        <v>251</v>
      </c>
      <c r="C20" s="8"/>
      <c r="D20" s="8"/>
      <c r="E20" s="8"/>
      <c r="F20" s="8"/>
      <c r="G20" s="8"/>
    </row>
    <row r="21" spans="2:18" ht="18" customHeight="1" x14ac:dyDescent="0.45">
      <c r="B21" s="13" t="s">
        <v>252</v>
      </c>
    </row>
    <row r="22" spans="2:18" ht="18" customHeight="1" x14ac:dyDescent="0.45">
      <c r="B22" s="23" t="s">
        <v>244</v>
      </c>
      <c r="C22" s="23" t="s">
        <v>99</v>
      </c>
      <c r="D22" s="24" t="s">
        <v>253</v>
      </c>
      <c r="E22" s="24" t="s">
        <v>254</v>
      </c>
      <c r="F22" s="24" t="s">
        <v>255</v>
      </c>
      <c r="G22" s="24" t="s">
        <v>105</v>
      </c>
    </row>
    <row r="23" spans="2:18" x14ac:dyDescent="0.45">
      <c r="B23" s="25" t="s">
        <v>216</v>
      </c>
      <c r="C23" s="26" t="s">
        <v>135</v>
      </c>
      <c r="D23" s="66" cm="1">
        <f t="array" aca="1" ref="D23" ca="1">_xll.VoseSimPercentile(TotalCost,0.5)</f>
        <v>43.668948261743012</v>
      </c>
      <c r="E23" s="66" cm="1">
        <f t="array" aca="1" ref="E23" ca="1">_xll.VoseSimPercentile(TotalCost,0.8)</f>
        <v>46.326161645554201</v>
      </c>
      <c r="F23" s="66" cm="1">
        <f t="array" aca="1" ref="F23" ca="1">_xll.VoseSimPercentile(TotalCost,0.9)</f>
        <v>49.036286955535424</v>
      </c>
      <c r="G23" s="66" cm="1">
        <f t="array" aca="1" ref="G23" ca="1">_xll.VoseSimMean(TotalCost)</f>
        <v>44.345533825718</v>
      </c>
    </row>
    <row r="24" spans="2:18" x14ac:dyDescent="0.45">
      <c r="B24" s="25" t="s">
        <v>218</v>
      </c>
      <c r="C24" s="26" t="s">
        <v>122</v>
      </c>
      <c r="D24" s="66" cm="1">
        <f t="array" aca="1" ref="D24" ca="1">_xll.VoseSimPercentile(TotalDays,0.5)</f>
        <v>64.839688459092386</v>
      </c>
      <c r="E24" s="66" cm="1">
        <f t="array" aca="1" ref="E24" ca="1">_xll.VoseSimPercentile(TotalDays,0.8)</f>
        <v>70.777666397245454</v>
      </c>
      <c r="F24" s="66" cm="1">
        <f t="array" aca="1" ref="F24" ca="1">_xll.VoseSimPercentile(TotalDays,0.9)</f>
        <v>75.832958489296573</v>
      </c>
      <c r="G24" s="66" cm="1">
        <f t="array" aca="1" ref="G24" ca="1">_xll.VoseSimMean(TotalDays)</f>
        <v>66.134211606740024</v>
      </c>
    </row>
    <row r="25" spans="2:18" x14ac:dyDescent="0.45">
      <c r="B25" s="25" t="s">
        <v>63</v>
      </c>
      <c r="C25" s="26" t="s">
        <v>122</v>
      </c>
      <c r="D25" s="66" cm="1">
        <f t="array" aca="1" ref="D25" ca="1">_xll.VoseSimPercentile(TroubleDays,0.5)</f>
        <v>6.680181733558288</v>
      </c>
      <c r="E25" s="66" cm="1">
        <f t="array" aca="1" ref="E25" ca="1">_xll.VoseSimPercentile(TroubleDays,0.8)</f>
        <v>10.155032354743758</v>
      </c>
      <c r="F25" s="66" cm="1">
        <f t="array" aca="1" ref="F25" ca="1">_xll.VoseSimPercentile(TroubleDays,0.9)</f>
        <v>12.243263029500275</v>
      </c>
      <c r="G25" s="66" cm="1">
        <f t="array" aca="1" ref="G25" ca="1">_xll.VoseSimMean(TroubleDays)</f>
        <v>7.2047683156472866</v>
      </c>
    </row>
    <row r="26" spans="2:18" x14ac:dyDescent="0.45">
      <c r="B26" s="25" t="s">
        <v>222</v>
      </c>
      <c r="C26" s="26" t="s">
        <v>122</v>
      </c>
      <c r="D26" s="66" cm="1">
        <f t="array" aca="1" ref="D26" ca="1">_xll.VoseSimPercentile(MajorDays,0.5)</f>
        <v>0</v>
      </c>
      <c r="E26" s="66" cm="1">
        <f t="array" aca="1" ref="E26" ca="1">_xll.VoseSimPercentile(MajorDays,0.8)</f>
        <v>0</v>
      </c>
      <c r="F26" s="66" cm="1">
        <f t="array" aca="1" ref="F26" ca="1">_xll.VoseSimPercentile(MajorDays,0.9)</f>
        <v>11.059250589680177</v>
      </c>
      <c r="G26" s="66" cm="1">
        <f t="array" aca="1" ref="G26" ca="1">_xll.VoseSimMean(MajorDays)</f>
        <v>1.771230869335287</v>
      </c>
    </row>
    <row r="27" spans="2:18" x14ac:dyDescent="0.45">
      <c r="B27" s="25" t="s">
        <v>227</v>
      </c>
      <c r="C27" s="26" t="s">
        <v>135</v>
      </c>
      <c r="D27" s="66" cm="1">
        <f t="array" aca="1" ref="D27" ca="1">_xll.VoseSimPercentile(Materials,0.5)</f>
        <v>20.014817256358008</v>
      </c>
      <c r="E27" s="66" cm="1">
        <f t="array" aca="1" ref="E27" ca="1">_xll.VoseSimPercentile(Materials,0.8)</f>
        <v>20.5409829714512</v>
      </c>
      <c r="F27" s="66" cm="1">
        <f t="array" aca="1" ref="F27" ca="1">_xll.VoseSimPercentile(Materials,0.9)</f>
        <v>20.813661445528346</v>
      </c>
      <c r="G27" s="66" cm="1">
        <f t="array" aca="1" ref="G27" ca="1">_xll.VoseSimMean(Materials)</f>
        <v>20.026633953713166</v>
      </c>
    </row>
    <row r="28" spans="2:18" x14ac:dyDescent="0.45">
      <c r="B28" s="25" t="s">
        <v>256</v>
      </c>
      <c r="C28" s="26" t="s">
        <v>129</v>
      </c>
      <c r="D28" s="32"/>
      <c r="E28" s="32"/>
      <c r="F28" s="32"/>
      <c r="G28" s="65" cm="1">
        <f t="array" aca="1" ref="G28" ca="1">_xll.VoseSimMean(MajorEvent)</f>
        <v>0.12570000000000001</v>
      </c>
    </row>
    <row r="29" spans="2:18" ht="8" customHeight="1" x14ac:dyDescent="0.45"/>
    <row r="30" spans="2:18" ht="22.05" customHeight="1" x14ac:dyDescent="0.5">
      <c r="B30" s="7" t="s">
        <v>257</v>
      </c>
      <c r="C30" s="8"/>
      <c r="D30" s="8"/>
      <c r="E30" s="8"/>
      <c r="F30" s="8"/>
      <c r="G30" s="8"/>
      <c r="I30" s="62" t="s">
        <v>258</v>
      </c>
      <c r="J30" s="8"/>
      <c r="K30" s="8"/>
      <c r="L30" s="8"/>
      <c r="M30" s="8"/>
      <c r="N30" s="8"/>
      <c r="O30" s="8"/>
      <c r="P30" s="8"/>
      <c r="Q30" s="8"/>
      <c r="R30" s="8"/>
    </row>
    <row r="31" spans="2:18" ht="18" customHeight="1" x14ac:dyDescent="0.45">
      <c r="B31" s="13" t="s">
        <v>259</v>
      </c>
    </row>
    <row r="32" spans="2:18" ht="18" customHeight="1" x14ac:dyDescent="0.45">
      <c r="B32" s="23" t="s">
        <v>244</v>
      </c>
      <c r="C32" s="23" t="s">
        <v>99</v>
      </c>
      <c r="D32" s="24" t="s">
        <v>260</v>
      </c>
      <c r="E32" s="24" t="s">
        <v>261</v>
      </c>
      <c r="F32" s="24" t="s">
        <v>262</v>
      </c>
      <c r="G32" s="24" t="s">
        <v>105</v>
      </c>
    </row>
    <row r="33" spans="2:18" x14ac:dyDescent="0.45">
      <c r="B33" s="25" t="s">
        <v>263</v>
      </c>
      <c r="C33" s="26" t="s">
        <v>122</v>
      </c>
      <c r="D33" s="66" cm="1">
        <f t="array" aca="1" ref="D33" ca="1">_xll.VoseSimPercentile('Well plan'!I30,0.1)</f>
        <v>3.4846756692103362</v>
      </c>
      <c r="E33" s="66" cm="1">
        <f t="array" aca="1" ref="E33" ca="1">_xll.VoseSimPercentile('Well plan'!I30,0.5)</f>
        <v>4.2414321788416123</v>
      </c>
      <c r="F33" s="66" cm="1">
        <f t="array" aca="1" ref="F33" ca="1">_xll.VoseSimPercentile('Well plan'!I30,0.9)</f>
        <v>5.4065846386773391</v>
      </c>
      <c r="G33" s="66" cm="1">
        <f t="array" aca="1" ref="G33" ca="1">_xll.VoseSimMean('Well plan'!I30)</f>
        <v>4.4123445856888281</v>
      </c>
    </row>
    <row r="34" spans="2:18" x14ac:dyDescent="0.45">
      <c r="B34" s="25" t="s">
        <v>264</v>
      </c>
      <c r="C34" s="26" t="s">
        <v>122</v>
      </c>
      <c r="D34" s="66" cm="1">
        <f t="array" aca="1" ref="D34" ca="1">_xll.VoseSimPercentile('Well plan'!I31,0.1)</f>
        <v>8.5392067272395327</v>
      </c>
      <c r="E34" s="66" cm="1">
        <f t="array" aca="1" ref="E34" ca="1">_xll.VoseSimPercentile('Well plan'!I31,0.5)</f>
        <v>9.8029940780548319</v>
      </c>
      <c r="F34" s="66" cm="1">
        <f t="array" aca="1" ref="F34" ca="1">_xll.VoseSimPercentile('Well plan'!I31,0.9)</f>
        <v>11.938250178887788</v>
      </c>
      <c r="G34" s="66" cm="1">
        <f t="array" aca="1" ref="G34" ca="1">_xll.VoseSimMean('Well plan'!I31)</f>
        <v>10.073436022768474</v>
      </c>
    </row>
    <row r="35" spans="2:18" x14ac:dyDescent="0.45">
      <c r="B35" s="25" t="s">
        <v>265</v>
      </c>
      <c r="C35" s="26" t="s">
        <v>122</v>
      </c>
      <c r="D35" s="66" cm="1">
        <f t="array" aca="1" ref="D35" ca="1">_xll.VoseSimPercentile('Well plan'!I32,0.1)</f>
        <v>18.739664347676687</v>
      </c>
      <c r="E35" s="66" cm="1">
        <f t="array" aca="1" ref="E35" ca="1">_xll.VoseSimPercentile('Well plan'!I32,0.5)</f>
        <v>21.319605338969481</v>
      </c>
      <c r="F35" s="66" cm="1">
        <f t="array" aca="1" ref="F35" ca="1">_xll.VoseSimPercentile('Well plan'!I32,0.9)</f>
        <v>24.819573979256219</v>
      </c>
      <c r="G35" s="66" cm="1">
        <f t="array" aca="1" ref="G35" ca="1">_xll.VoseSimMean('Well plan'!I32)</f>
        <v>21.628535553309966</v>
      </c>
    </row>
    <row r="36" spans="2:18" x14ac:dyDescent="0.45">
      <c r="B36" s="25" t="s">
        <v>266</v>
      </c>
      <c r="C36" s="26" t="s">
        <v>122</v>
      </c>
      <c r="D36" s="66" cm="1">
        <f t="array" aca="1" ref="D36" ca="1">_xll.VoseSimPercentile('Well plan'!I33,0.1)</f>
        <v>35.126970363294447</v>
      </c>
      <c r="E36" s="66" cm="1">
        <f t="array" aca="1" ref="E36" ca="1">_xll.VoseSimPercentile('Well plan'!I33,0.5)</f>
        <v>39.751378588183549</v>
      </c>
      <c r="F36" s="66" cm="1">
        <f t="array" aca="1" ref="F36" ca="1">_xll.VoseSimPercentile('Well plan'!I33,0.9)</f>
        <v>49.189832348030492</v>
      </c>
      <c r="G36" s="66" cm="1">
        <f t="array" aca="1" ref="G36" ca="1">_xll.VoseSimMean('Well plan'!I33)</f>
        <v>41.018495434489118</v>
      </c>
    </row>
    <row r="37" spans="2:18" x14ac:dyDescent="0.45">
      <c r="B37" s="25" t="s">
        <v>267</v>
      </c>
      <c r="C37" s="26" t="s">
        <v>122</v>
      </c>
      <c r="D37" s="66" cm="1">
        <f t="array" aca="1" ref="D37" ca="1">_xll.VoseSimPercentile('Well plan'!I34,0.1)</f>
        <v>46.647890409371819</v>
      </c>
      <c r="E37" s="66" cm="1">
        <f t="array" aca="1" ref="E37" ca="1">_xll.VoseSimPercentile('Well plan'!I34,0.5)</f>
        <v>52.439283460164333</v>
      </c>
      <c r="F37" s="66" cm="1">
        <f t="array" aca="1" ref="F37" ca="1">_xll.VoseSimPercentile('Well plan'!I34,0.9)</f>
        <v>63.092811005692425</v>
      </c>
      <c r="G37" s="66" cm="1">
        <f t="array" aca="1" ref="G37" ca="1">_xll.VoseSimMean('Well plan'!I34)</f>
        <v>53.718859644621716</v>
      </c>
    </row>
    <row r="38" spans="2:18" x14ac:dyDescent="0.45">
      <c r="B38" s="25" t="s">
        <v>268</v>
      </c>
      <c r="C38" s="26" t="s">
        <v>122</v>
      </c>
      <c r="D38" s="66" cm="1">
        <f t="array" aca="1" ref="D38" ca="1">_xll.VoseSimPercentile('Well plan'!I35,0.1)</f>
        <v>53.363392457451312</v>
      </c>
      <c r="E38" s="66" cm="1">
        <f t="array" aca="1" ref="E38" ca="1">_xll.VoseSimPercentile('Well plan'!I35,0.5)</f>
        <v>59.366872860662923</v>
      </c>
      <c r="F38" s="66" cm="1">
        <f t="array" aca="1" ref="F38" ca="1">_xll.VoseSimPercentile('Well plan'!I35,0.9)</f>
        <v>70.279309822266839</v>
      </c>
      <c r="G38" s="66" cm="1">
        <f t="array" aca="1" ref="G38" ca="1">_xll.VoseSimMean('Well plan'!I35)</f>
        <v>60.667426996448974</v>
      </c>
    </row>
    <row r="39" spans="2:18" x14ac:dyDescent="0.45">
      <c r="B39" s="25" t="s">
        <v>269</v>
      </c>
      <c r="C39" s="26" t="s">
        <v>122</v>
      </c>
      <c r="D39" s="66" cm="1">
        <f t="array" aca="1" ref="D39" ca="1">_xll.VoseSimPercentile('Well plan'!I36,0.1)</f>
        <v>58.735125281024388</v>
      </c>
      <c r="E39" s="66" cm="1">
        <f t="array" aca="1" ref="E39" ca="1">_xll.VoseSimPercentile('Well plan'!I36,0.5)</f>
        <v>64.839688459092386</v>
      </c>
      <c r="F39" s="66" cm="1">
        <f t="array" aca="1" ref="F39" ca="1">_xll.VoseSimPercentile('Well plan'!I36,0.9)</f>
        <v>75.832958489296573</v>
      </c>
      <c r="G39" s="66" cm="1">
        <f t="array" aca="1" ref="G39" ca="1">_xll.VoseSimMean('Well plan'!I36)</f>
        <v>66.134211606740024</v>
      </c>
    </row>
    <row r="46" spans="2:18" ht="22.05" customHeight="1" x14ac:dyDescent="0.5">
      <c r="B46" s="7" t="s">
        <v>270</v>
      </c>
      <c r="C46" s="8"/>
      <c r="D46" s="8"/>
      <c r="E46" s="8"/>
      <c r="F46" s="8"/>
      <c r="G46" s="8"/>
      <c r="I46" s="62" t="s">
        <v>271</v>
      </c>
      <c r="J46" s="8"/>
      <c r="K46" s="8"/>
      <c r="L46" s="8"/>
      <c r="M46" s="8"/>
      <c r="N46" s="8"/>
      <c r="O46" s="8"/>
      <c r="P46" s="8"/>
      <c r="Q46" s="8"/>
      <c r="R46" s="8"/>
    </row>
    <row r="47" spans="2:18" ht="18" customHeight="1" x14ac:dyDescent="0.45">
      <c r="B47" s="13" t="s">
        <v>272</v>
      </c>
    </row>
    <row r="48" spans="2:18" ht="18" customHeight="1" x14ac:dyDescent="0.45">
      <c r="B48" s="23" t="s">
        <v>273</v>
      </c>
      <c r="C48" s="24" t="s">
        <v>274</v>
      </c>
      <c r="D48" s="24" t="s">
        <v>275</v>
      </c>
      <c r="E48" s="68" t="s">
        <v>276</v>
      </c>
      <c r="F48" s="5"/>
      <c r="G48" s="5"/>
    </row>
    <row r="49" spans="2:7" x14ac:dyDescent="0.45">
      <c r="B49" s="25" t="str">
        <f t="array" aca="1" ref="B49:E58" ca="1">_xll.VoseSimSensitivityMean(TotalCost,10,1,FALSE)</f>
        <v>Sidetrack days</v>
      </c>
      <c r="C49" s="66">
        <f ca="1"/>
        <v>43.58059872989508</v>
      </c>
      <c r="D49" s="66">
        <f ca="1"/>
        <v>51.410026527468077</v>
      </c>
      <c r="E49" s="69">
        <f ca="1"/>
        <v>1</v>
      </c>
      <c r="F49" s="32"/>
      <c r="G49" s="32"/>
    </row>
    <row r="50" spans="2:7" x14ac:dyDescent="0.45">
      <c r="B50" s="25" t="str">
        <f ca="1"/>
        <v>Well control days</v>
      </c>
      <c r="C50" s="66">
        <f ca="1"/>
        <v>44.19709087125927</v>
      </c>
      <c r="D50" s="66">
        <f ca="1"/>
        <v>49.145189353215024</v>
      </c>
      <c r="E50" s="69">
        <f ca="1"/>
        <v>2</v>
      </c>
      <c r="F50" s="32"/>
      <c r="G50" s="32"/>
    </row>
    <row r="51" spans="2:7" x14ac:dyDescent="0.45">
      <c r="B51" s="25" t="str">
        <f ca="1"/>
        <v>Trouble time</v>
      </c>
      <c r="C51" s="66">
        <f ca="1"/>
        <v>42.238901886642076</v>
      </c>
      <c r="D51" s="66">
        <f ca="1"/>
        <v>47.134525054551709</v>
      </c>
      <c r="E51" s="69">
        <f ca="1"/>
        <v>3</v>
      </c>
      <c r="F51" s="32"/>
      <c r="G51" s="32"/>
    </row>
    <row r="52" spans="2:7" x14ac:dyDescent="0.45">
      <c r="B52" s="25" t="str">
        <f ca="1"/>
        <v>Spread rate</v>
      </c>
      <c r="C52" s="66">
        <f ca="1"/>
        <v>42.760096191944847</v>
      </c>
      <c r="D52" s="66">
        <f ca="1"/>
        <v>46.172681356189237</v>
      </c>
      <c r="E52" s="69">
        <f ca="1"/>
        <v>4</v>
      </c>
      <c r="F52" s="32"/>
      <c r="G52" s="32"/>
    </row>
    <row r="53" spans="2:7" x14ac:dyDescent="0.45">
      <c r="B53" s="25" t="str">
        <f ca="1"/>
        <v>Duration, 12¼-in hole</v>
      </c>
      <c r="C53" s="66">
        <f ca="1"/>
        <v>43.256557467755869</v>
      </c>
      <c r="D53" s="66">
        <f ca="1"/>
        <v>45.619824730541723</v>
      </c>
      <c r="E53" s="69">
        <f ca="1"/>
        <v>5</v>
      </c>
      <c r="F53" s="32"/>
      <c r="G53" s="32"/>
    </row>
    <row r="54" spans="2:7" x14ac:dyDescent="0.45">
      <c r="B54" s="25" t="str">
        <f ca="1"/>
        <v>Duration, 8½-in hole</v>
      </c>
      <c r="C54" s="66">
        <f ca="1"/>
        <v>43.545941089663998</v>
      </c>
      <c r="D54" s="66">
        <f ca="1"/>
        <v>45.28612772735999</v>
      </c>
      <c r="E54" s="69">
        <f ca="1"/>
        <v>6</v>
      </c>
      <c r="F54" s="32"/>
      <c r="G54" s="32"/>
    </row>
    <row r="55" spans="2:7" x14ac:dyDescent="0.45">
      <c r="B55" s="25" t="str">
        <f ca="1"/>
        <v>Duration, 17½-in hole</v>
      </c>
      <c r="C55" s="66">
        <f ca="1"/>
        <v>43.638463680340145</v>
      </c>
      <c r="D55" s="66">
        <f ca="1"/>
        <v>45.020108265045515</v>
      </c>
      <c r="E55" s="69">
        <f ca="1"/>
        <v>7</v>
      </c>
      <c r="F55" s="32"/>
      <c r="G55" s="32"/>
    </row>
    <row r="56" spans="2:7" x14ac:dyDescent="0.45">
      <c r="B56" s="25" t="str">
        <f ca="1"/>
        <v>Materials and services, Logging</v>
      </c>
      <c r="C56" s="66">
        <f ca="1"/>
        <v>43.778730234007973</v>
      </c>
      <c r="D56" s="66">
        <f ca="1"/>
        <v>45.130573535658151</v>
      </c>
      <c r="E56" s="69">
        <f ca="1"/>
        <v>8</v>
      </c>
      <c r="F56" s="32"/>
      <c r="G56" s="32"/>
    </row>
    <row r="57" spans="2:7" x14ac:dyDescent="0.45">
      <c r="B57" s="25" t="str">
        <f ca="1"/>
        <v>Materials and services, 12¼-in hole</v>
      </c>
      <c r="C57" s="66">
        <f ca="1"/>
        <v>43.789441358824703</v>
      </c>
      <c r="D57" s="66">
        <f ca="1"/>
        <v>44.80180337049822</v>
      </c>
      <c r="E57" s="69">
        <f ca="1"/>
        <v>9</v>
      </c>
      <c r="F57" s="32"/>
      <c r="G57" s="32"/>
    </row>
    <row r="58" spans="2:7" x14ac:dyDescent="0.45">
      <c r="B58" s="25" t="str">
        <f ca="1"/>
        <v>Materials and services, 17½-in hole</v>
      </c>
      <c r="C58" s="66">
        <f ca="1"/>
        <v>43.99168051231716</v>
      </c>
      <c r="D58" s="66">
        <f ca="1"/>
        <v>44.95978310578603</v>
      </c>
      <c r="E58" s="69">
        <f ca="1"/>
        <v>10</v>
      </c>
      <c r="F58" s="32"/>
      <c r="G58" s="32"/>
    </row>
    <row r="59" spans="2:7" ht="8" customHeight="1" x14ac:dyDescent="0.45"/>
    <row r="60" spans="2:7" ht="22.05" customHeight="1" x14ac:dyDescent="0.5">
      <c r="B60" s="7" t="s">
        <v>277</v>
      </c>
      <c r="C60" s="8"/>
      <c r="D60" s="8"/>
      <c r="E60" s="8"/>
      <c r="F60" s="8"/>
      <c r="G60" s="8"/>
    </row>
    <row r="61" spans="2:7" ht="45" customHeight="1" x14ac:dyDescent="0.45">
      <c r="B61" s="78" t="s">
        <v>278</v>
      </c>
      <c r="C61" s="77"/>
      <c r="D61" s="77"/>
      <c r="E61" s="77"/>
      <c r="F61" s="77"/>
      <c r="G61" s="77"/>
    </row>
    <row r="62" spans="2:7" ht="32" customHeight="1" x14ac:dyDescent="0.45">
      <c r="B62" s="78" t="str">
        <f>"•  "&amp;("An AFE at P"&amp;TEXT(AFE_Level*100,"0")&amp;" is exceeded in "&amp;TEXT(1-AFE_Level,"0%")&amp;" of wells; the contingency is the amount the AFE adds to the deterministic estimate to get there. Companies that set the AFE at P50 should expect to need a supplement about half the time.")</f>
        <v>•  An AFE at P80 is exceeded in 20% of wells; the contingency is the amount the AFE adds to the deterministic estimate to get there. Companies that set the AFE at P50 should expect to need a supplement about half the time.</v>
      </c>
      <c r="C62" s="77"/>
      <c r="D62" s="77"/>
      <c r="E62" s="77"/>
      <c r="F62" s="77"/>
      <c r="G62" s="77"/>
    </row>
    <row r="63" spans="2:7" ht="45" customHeight="1" x14ac:dyDescent="0.45">
      <c r="B63" s="78" t="s">
        <v>279</v>
      </c>
      <c r="C63" s="77"/>
      <c r="D63" s="77"/>
      <c r="E63" s="77"/>
      <c r="F63" s="77"/>
      <c r="G63" s="77"/>
    </row>
    <row r="64" spans="2:7" ht="32" customHeight="1" x14ac:dyDescent="0.45">
      <c r="B64" s="78" t="s">
        <v>280</v>
      </c>
      <c r="C64" s="77"/>
      <c r="D64" s="77"/>
      <c r="E64" s="77"/>
      <c r="F64" s="77"/>
      <c r="G64" s="77"/>
    </row>
    <row r="65" spans="2:7" ht="14" customHeight="1" x14ac:dyDescent="0.45"/>
    <row r="66" spans="2:7" ht="14" customHeight="1" x14ac:dyDescent="0.45"/>
    <row r="67" spans="2:7" ht="22.05" customHeight="1" x14ac:dyDescent="0.5">
      <c r="B67" s="7" t="s">
        <v>281</v>
      </c>
      <c r="C67" s="8"/>
      <c r="D67" s="8"/>
      <c r="E67" s="8"/>
      <c r="F67" s="8"/>
      <c r="G67" s="8"/>
    </row>
    <row r="68" spans="2:7" ht="18" customHeight="1" x14ac:dyDescent="0.45">
      <c r="B68" s="13" t="s">
        <v>282</v>
      </c>
    </row>
    <row r="69" spans="2:7" ht="28.05" hidden="1" customHeight="1" outlineLevel="1" x14ac:dyDescent="0.45">
      <c r="B69" s="24" t="s">
        <v>283</v>
      </c>
      <c r="C69" s="24" t="s">
        <v>284</v>
      </c>
      <c r="D69" s="24" t="s">
        <v>285</v>
      </c>
      <c r="E69" s="5"/>
      <c r="F69" s="5"/>
      <c r="G69" s="5"/>
    </row>
    <row r="70" spans="2:7" hidden="1" outlineLevel="1" x14ac:dyDescent="0.45">
      <c r="B70" s="70">
        <v>0.01</v>
      </c>
      <c r="C70" s="70">
        <f t="shared" ref="C70:C101" si="0">1-B70</f>
        <v>0.99</v>
      </c>
      <c r="D70" s="71" cm="1">
        <f t="array" aca="1" ref="D70" ca="1">IF(ISNUMBER(_xll.VoseSimPercentile(TotalCost,$B70)),_xll.VoseSimPercentile(TotalCost,$B70),NA())</f>
        <v>39.291701892568071</v>
      </c>
    </row>
    <row r="71" spans="2:7" hidden="1" outlineLevel="1" x14ac:dyDescent="0.45">
      <c r="B71" s="70">
        <v>0.03</v>
      </c>
      <c r="C71" s="70">
        <f t="shared" si="0"/>
        <v>0.97</v>
      </c>
      <c r="D71" s="71" cm="1">
        <f t="array" aca="1" ref="D71" ca="1">IF(ISNUMBER(_xll.VoseSimPercentile(TotalCost,$B71)),_xll.VoseSimPercentile(TotalCost,$B71),NA())</f>
        <v>39.946782559252028</v>
      </c>
    </row>
    <row r="72" spans="2:7" hidden="1" outlineLevel="1" x14ac:dyDescent="0.45">
      <c r="B72" s="70">
        <v>0.05</v>
      </c>
      <c r="C72" s="70">
        <f t="shared" si="0"/>
        <v>0.95</v>
      </c>
      <c r="D72" s="71" cm="1">
        <f t="array" aca="1" ref="D72" ca="1">IF(ISNUMBER(_xll.VoseSimPercentile(TotalCost,$B72)),_xll.VoseSimPercentile(TotalCost,$B72),NA())</f>
        <v>40.332547575039698</v>
      </c>
    </row>
    <row r="73" spans="2:7" hidden="1" outlineLevel="1" x14ac:dyDescent="0.45">
      <c r="B73" s="70">
        <v>7.0000000000000007E-2</v>
      </c>
      <c r="C73" s="70">
        <f t="shared" si="0"/>
        <v>0.92999999999999994</v>
      </c>
      <c r="D73" s="71" cm="1">
        <f t="array" aca="1" ref="D73" ca="1">IF(ISNUMBER(_xll.VoseSimPercentile(TotalCost,$B73)),_xll.VoseSimPercentile(TotalCost,$B73),NA())</f>
        <v>40.616152334894913</v>
      </c>
    </row>
    <row r="74" spans="2:7" hidden="1" outlineLevel="1" x14ac:dyDescent="0.45">
      <c r="B74" s="70">
        <v>0.09</v>
      </c>
      <c r="C74" s="70">
        <f t="shared" si="0"/>
        <v>0.91</v>
      </c>
      <c r="D74" s="71" cm="1">
        <f t="array" aca="1" ref="D74" ca="1">IF(ISNUMBER(_xll.VoseSimPercentile(TotalCost,$B74)),_xll.VoseSimPercentile(TotalCost,$B74),NA())</f>
        <v>40.840107950390028</v>
      </c>
    </row>
    <row r="75" spans="2:7" hidden="1" outlineLevel="1" x14ac:dyDescent="0.45">
      <c r="B75" s="70">
        <v>0.11</v>
      </c>
      <c r="C75" s="70">
        <f t="shared" si="0"/>
        <v>0.89</v>
      </c>
      <c r="D75" s="71" cm="1">
        <f t="array" aca="1" ref="D75" ca="1">IF(ISNUMBER(_xll.VoseSimPercentile(TotalCost,$B75)),_xll.VoseSimPercentile(TotalCost,$B75),NA())</f>
        <v>41.066994350668935</v>
      </c>
    </row>
    <row r="76" spans="2:7" hidden="1" outlineLevel="1" x14ac:dyDescent="0.45">
      <c r="B76" s="70">
        <v>0.13</v>
      </c>
      <c r="C76" s="70">
        <f t="shared" si="0"/>
        <v>0.87</v>
      </c>
      <c r="D76" s="71" cm="1">
        <f t="array" aca="1" ref="D76" ca="1">IF(ISNUMBER(_xll.VoseSimPercentile(TotalCost,$B76)),_xll.VoseSimPercentile(TotalCost,$B76),NA())</f>
        <v>41.24859179899326</v>
      </c>
    </row>
    <row r="77" spans="2:7" hidden="1" outlineLevel="1" x14ac:dyDescent="0.45">
      <c r="B77" s="70">
        <v>0.15</v>
      </c>
      <c r="C77" s="70">
        <f t="shared" si="0"/>
        <v>0.85</v>
      </c>
      <c r="D77" s="71" cm="1">
        <f t="array" aca="1" ref="D77" ca="1">IF(ISNUMBER(_xll.VoseSimPercentile(TotalCost,$B77)),_xll.VoseSimPercentile(TotalCost,$B77),NA())</f>
        <v>41.433555863052618</v>
      </c>
    </row>
    <row r="78" spans="2:7" hidden="1" outlineLevel="1" x14ac:dyDescent="0.45">
      <c r="B78" s="70">
        <v>0.17</v>
      </c>
      <c r="C78" s="70">
        <f t="shared" si="0"/>
        <v>0.83</v>
      </c>
      <c r="D78" s="71" cm="1">
        <f t="array" aca="1" ref="D78" ca="1">IF(ISNUMBER(_xll.VoseSimPercentile(TotalCost,$B78)),_xll.VoseSimPercentile(TotalCost,$B78),NA())</f>
        <v>41.59022704576725</v>
      </c>
    </row>
    <row r="79" spans="2:7" hidden="1" outlineLevel="1" x14ac:dyDescent="0.45">
      <c r="B79" s="70">
        <v>0.19</v>
      </c>
      <c r="C79" s="70">
        <f t="shared" si="0"/>
        <v>0.81</v>
      </c>
      <c r="D79" s="71" cm="1">
        <f t="array" aca="1" ref="D79" ca="1">IF(ISNUMBER(_xll.VoseSimPercentile(TotalCost,$B79)),_xll.VoseSimPercentile(TotalCost,$B79),NA())</f>
        <v>41.73846390117145</v>
      </c>
    </row>
    <row r="80" spans="2:7" hidden="1" outlineLevel="1" x14ac:dyDescent="0.45">
      <c r="B80" s="70">
        <v>0.21</v>
      </c>
      <c r="C80" s="70">
        <f t="shared" si="0"/>
        <v>0.79</v>
      </c>
      <c r="D80" s="71" cm="1">
        <f t="array" aca="1" ref="D80" ca="1">IF(ISNUMBER(_xll.VoseSimPercentile(TotalCost,$B80)),_xll.VoseSimPercentile(TotalCost,$B80),NA())</f>
        <v>41.874261679387345</v>
      </c>
    </row>
    <row r="81" spans="2:4" hidden="1" outlineLevel="1" x14ac:dyDescent="0.45">
      <c r="B81" s="70">
        <v>0.23</v>
      </c>
      <c r="C81" s="70">
        <f t="shared" si="0"/>
        <v>0.77</v>
      </c>
      <c r="D81" s="71" cm="1">
        <f t="array" aca="1" ref="D81" ca="1">IF(ISNUMBER(_xll.VoseSimPercentile(TotalCost,$B81)),_xll.VoseSimPercentile(TotalCost,$B81),NA())</f>
        <v>42.013962032035032</v>
      </c>
    </row>
    <row r="82" spans="2:4" hidden="1" outlineLevel="1" x14ac:dyDescent="0.45">
      <c r="B82" s="70">
        <v>0.25</v>
      </c>
      <c r="C82" s="70">
        <f t="shared" si="0"/>
        <v>0.75</v>
      </c>
      <c r="D82" s="71" cm="1">
        <f t="array" aca="1" ref="D82" ca="1">IF(ISNUMBER(_xll.VoseSimPercentile(TotalCost,$B82)),_xll.VoseSimPercentile(TotalCost,$B82),NA())</f>
        <v>42.142628714768946</v>
      </c>
    </row>
    <row r="83" spans="2:4" hidden="1" outlineLevel="1" x14ac:dyDescent="0.45">
      <c r="B83" s="70">
        <v>0.27</v>
      </c>
      <c r="C83" s="70">
        <f t="shared" si="0"/>
        <v>0.73</v>
      </c>
      <c r="D83" s="71" cm="1">
        <f t="array" aca="1" ref="D83" ca="1">IF(ISNUMBER(_xll.VoseSimPercentile(TotalCost,$B83)),_xll.VoseSimPercentile(TotalCost,$B83),NA())</f>
        <v>42.260102485381225</v>
      </c>
    </row>
    <row r="84" spans="2:4" hidden="1" outlineLevel="1" x14ac:dyDescent="0.45">
      <c r="B84" s="70">
        <v>0.28999999999999998</v>
      </c>
      <c r="C84" s="70">
        <f t="shared" si="0"/>
        <v>0.71</v>
      </c>
      <c r="D84" s="71" cm="1">
        <f t="array" aca="1" ref="D84" ca="1">IF(ISNUMBER(_xll.VoseSimPercentile(TotalCost,$B84)),_xll.VoseSimPercentile(TotalCost,$B84),NA())</f>
        <v>42.393106111071958</v>
      </c>
    </row>
    <row r="85" spans="2:4" hidden="1" outlineLevel="1" x14ac:dyDescent="0.45">
      <c r="B85" s="70">
        <v>0.31</v>
      </c>
      <c r="C85" s="70">
        <f t="shared" si="0"/>
        <v>0.69</v>
      </c>
      <c r="D85" s="71" cm="1">
        <f t="array" aca="1" ref="D85" ca="1">IF(ISNUMBER(_xll.VoseSimPercentile(TotalCost,$B85)),_xll.VoseSimPercentile(TotalCost,$B85),NA())</f>
        <v>42.532969153497731</v>
      </c>
    </row>
    <row r="86" spans="2:4" hidden="1" outlineLevel="1" x14ac:dyDescent="0.45">
      <c r="B86" s="70">
        <v>0.33</v>
      </c>
      <c r="C86" s="70">
        <f t="shared" si="0"/>
        <v>0.66999999999999993</v>
      </c>
      <c r="D86" s="71" cm="1">
        <f t="array" aca="1" ref="D86" ca="1">IF(ISNUMBER(_xll.VoseSimPercentile(TotalCost,$B86)),_xll.VoseSimPercentile(TotalCost,$B86),NA())</f>
        <v>42.65037572174294</v>
      </c>
    </row>
    <row r="87" spans="2:4" hidden="1" outlineLevel="1" x14ac:dyDescent="0.45">
      <c r="B87" s="70">
        <v>0.35</v>
      </c>
      <c r="C87" s="70">
        <f t="shared" si="0"/>
        <v>0.65</v>
      </c>
      <c r="D87" s="71" cm="1">
        <f t="array" aca="1" ref="D87" ca="1">IF(ISNUMBER(_xll.VoseSimPercentile(TotalCost,$B87)),_xll.VoseSimPercentile(TotalCost,$B87),NA())</f>
        <v>42.771382475498683</v>
      </c>
    </row>
    <row r="88" spans="2:4" hidden="1" outlineLevel="1" x14ac:dyDescent="0.45">
      <c r="B88" s="70">
        <v>0.37</v>
      </c>
      <c r="C88" s="70">
        <f t="shared" si="0"/>
        <v>0.63</v>
      </c>
      <c r="D88" s="71" cm="1">
        <f t="array" aca="1" ref="D88" ca="1">IF(ISNUMBER(_xll.VoseSimPercentile(TotalCost,$B88)),_xll.VoseSimPercentile(TotalCost,$B88),NA())</f>
        <v>42.890804736845546</v>
      </c>
    </row>
    <row r="89" spans="2:4" hidden="1" outlineLevel="1" x14ac:dyDescent="0.45">
      <c r="B89" s="70">
        <v>0.39</v>
      </c>
      <c r="C89" s="70">
        <f t="shared" si="0"/>
        <v>0.61</v>
      </c>
      <c r="D89" s="71" cm="1">
        <f t="array" aca="1" ref="D89" ca="1">IF(ISNUMBER(_xll.VoseSimPercentile(TotalCost,$B89)),_xll.VoseSimPercentile(TotalCost,$B89),NA())</f>
        <v>43.003721786923641</v>
      </c>
    </row>
    <row r="90" spans="2:4" hidden="1" outlineLevel="1" x14ac:dyDescent="0.45">
      <c r="B90" s="70">
        <v>0.41</v>
      </c>
      <c r="C90" s="70">
        <f t="shared" si="0"/>
        <v>0.59000000000000008</v>
      </c>
      <c r="D90" s="71" cm="1">
        <f t="array" aca="1" ref="D90" ca="1">IF(ISNUMBER(_xll.VoseSimPercentile(TotalCost,$B90)),_xll.VoseSimPercentile(TotalCost,$B90),NA())</f>
        <v>43.126094852011647</v>
      </c>
    </row>
    <row r="91" spans="2:4" hidden="1" outlineLevel="1" x14ac:dyDescent="0.45">
      <c r="B91" s="70">
        <v>0.43</v>
      </c>
      <c r="C91" s="70">
        <f t="shared" si="0"/>
        <v>0.57000000000000006</v>
      </c>
      <c r="D91" s="71" cm="1">
        <f t="array" aca="1" ref="D91" ca="1">IF(ISNUMBER(_xll.VoseSimPercentile(TotalCost,$B91)),_xll.VoseSimPercentile(TotalCost,$B91),NA())</f>
        <v>43.248550903445306</v>
      </c>
    </row>
    <row r="92" spans="2:4" hidden="1" outlineLevel="1" x14ac:dyDescent="0.45">
      <c r="B92" s="70">
        <v>0.45</v>
      </c>
      <c r="C92" s="70">
        <f t="shared" si="0"/>
        <v>0.55000000000000004</v>
      </c>
      <c r="D92" s="71" cm="1">
        <f t="array" aca="1" ref="D92" ca="1">IF(ISNUMBER(_xll.VoseSimPercentile(TotalCost,$B92)),_xll.VoseSimPercentile(TotalCost,$B92),NA())</f>
        <v>43.373914135332598</v>
      </c>
    </row>
    <row r="93" spans="2:4" hidden="1" outlineLevel="1" x14ac:dyDescent="0.45">
      <c r="B93" s="70">
        <v>0.47</v>
      </c>
      <c r="C93" s="70">
        <f t="shared" si="0"/>
        <v>0.53</v>
      </c>
      <c r="D93" s="71" cm="1">
        <f t="array" aca="1" ref="D93" ca="1">IF(ISNUMBER(_xll.VoseSimPercentile(TotalCost,$B93)),_xll.VoseSimPercentile(TotalCost,$B93),NA())</f>
        <v>43.495850404338093</v>
      </c>
    </row>
    <row r="94" spans="2:4" hidden="1" outlineLevel="1" x14ac:dyDescent="0.45">
      <c r="B94" s="70">
        <v>0.49</v>
      </c>
      <c r="C94" s="70">
        <f t="shared" si="0"/>
        <v>0.51</v>
      </c>
      <c r="D94" s="71" cm="1">
        <f t="array" aca="1" ref="D94" ca="1">IF(ISNUMBER(_xll.VoseSimPercentile(TotalCost,$B94)),_xll.VoseSimPercentile(TotalCost,$B94),NA())</f>
        <v>43.618989582502593</v>
      </c>
    </row>
    <row r="95" spans="2:4" hidden="1" outlineLevel="1" x14ac:dyDescent="0.45">
      <c r="B95" s="70">
        <v>0.51</v>
      </c>
      <c r="C95" s="70">
        <f t="shared" si="0"/>
        <v>0.49</v>
      </c>
      <c r="D95" s="71" cm="1">
        <f t="array" aca="1" ref="D95" ca="1">IF(ISNUMBER(_xll.VoseSimPercentile(TotalCost,$B95)),_xll.VoseSimPercentile(TotalCost,$B95),NA())</f>
        <v>43.72658032637311</v>
      </c>
    </row>
    <row r="96" spans="2:4" hidden="1" outlineLevel="1" x14ac:dyDescent="0.45">
      <c r="B96" s="70">
        <v>0.53</v>
      </c>
      <c r="C96" s="70">
        <f t="shared" si="0"/>
        <v>0.47</v>
      </c>
      <c r="D96" s="71" cm="1">
        <f t="array" aca="1" ref="D96" ca="1">IF(ISNUMBER(_xll.VoseSimPercentile(TotalCost,$B96)),_xll.VoseSimPercentile(TotalCost,$B96),NA())</f>
        <v>43.853005845180327</v>
      </c>
    </row>
    <row r="97" spans="2:4" hidden="1" outlineLevel="1" x14ac:dyDescent="0.45">
      <c r="B97" s="70">
        <v>0.55000000000000004</v>
      </c>
      <c r="C97" s="70">
        <f t="shared" si="0"/>
        <v>0.44999999999999996</v>
      </c>
      <c r="D97" s="71" cm="1">
        <f t="array" aca="1" ref="D97" ca="1">IF(ISNUMBER(_xll.VoseSimPercentile(TotalCost,$B97)),_xll.VoseSimPercentile(TotalCost,$B97),NA())</f>
        <v>43.972987621141435</v>
      </c>
    </row>
    <row r="98" spans="2:4" hidden="1" outlineLevel="1" x14ac:dyDescent="0.45">
      <c r="B98" s="70">
        <v>0.56999999999999995</v>
      </c>
      <c r="C98" s="70">
        <f t="shared" si="0"/>
        <v>0.43000000000000005</v>
      </c>
      <c r="D98" s="71" cm="1">
        <f t="array" aca="1" ref="D98" ca="1">IF(ISNUMBER(_xll.VoseSimPercentile(TotalCost,$B98)),_xll.VoseSimPercentile(TotalCost,$B98),NA())</f>
        <v>44.098963193645488</v>
      </c>
    </row>
    <row r="99" spans="2:4" hidden="1" outlineLevel="1" x14ac:dyDescent="0.45">
      <c r="B99" s="70">
        <v>0.59</v>
      </c>
      <c r="C99" s="70">
        <f t="shared" si="0"/>
        <v>0.41000000000000003</v>
      </c>
      <c r="D99" s="71" cm="1">
        <f t="array" aca="1" ref="D99" ca="1">IF(ISNUMBER(_xll.VoseSimPercentile(TotalCost,$B99)),_xll.VoseSimPercentile(TotalCost,$B99),NA())</f>
        <v>44.241797043765878</v>
      </c>
    </row>
    <row r="100" spans="2:4" hidden="1" outlineLevel="1" x14ac:dyDescent="0.45">
      <c r="B100" s="70">
        <v>0.61</v>
      </c>
      <c r="C100" s="70">
        <f t="shared" si="0"/>
        <v>0.39</v>
      </c>
      <c r="D100" s="71" cm="1">
        <f t="array" aca="1" ref="D100" ca="1">IF(ISNUMBER(_xll.VoseSimPercentile(TotalCost,$B100)),_xll.VoseSimPercentile(TotalCost,$B100),NA())</f>
        <v>44.37688158987244</v>
      </c>
    </row>
    <row r="101" spans="2:4" hidden="1" outlineLevel="1" x14ac:dyDescent="0.45">
      <c r="B101" s="70">
        <v>0.63</v>
      </c>
      <c r="C101" s="70">
        <f t="shared" si="0"/>
        <v>0.37</v>
      </c>
      <c r="D101" s="71" cm="1">
        <f t="array" aca="1" ref="D101" ca="1">IF(ISNUMBER(_xll.VoseSimPercentile(TotalCost,$B101)),_xll.VoseSimPercentile(TotalCost,$B101),NA())</f>
        <v>44.514993374416072</v>
      </c>
    </row>
    <row r="102" spans="2:4" hidden="1" outlineLevel="1" x14ac:dyDescent="0.45">
      <c r="B102" s="70">
        <v>0.65</v>
      </c>
      <c r="C102" s="70">
        <f t="shared" ref="C102:C133" si="1">1-B102</f>
        <v>0.35</v>
      </c>
      <c r="D102" s="71" cm="1">
        <f t="array" aca="1" ref="D102" ca="1">IF(ISNUMBER(_xll.VoseSimPercentile(TotalCost,$B102)),_xll.VoseSimPercentile(TotalCost,$B102),NA())</f>
        <v>44.682296220578529</v>
      </c>
    </row>
    <row r="103" spans="2:4" hidden="1" outlineLevel="1" x14ac:dyDescent="0.45">
      <c r="B103" s="70">
        <v>0.67</v>
      </c>
      <c r="C103" s="70">
        <f t="shared" si="1"/>
        <v>0.32999999999999996</v>
      </c>
      <c r="D103" s="71" cm="1">
        <f t="array" aca="1" ref="D103" ca="1">IF(ISNUMBER(_xll.VoseSimPercentile(TotalCost,$B103)),_xll.VoseSimPercentile(TotalCost,$B103),NA())</f>
        <v>44.858173072180016</v>
      </c>
    </row>
    <row r="104" spans="2:4" hidden="1" outlineLevel="1" x14ac:dyDescent="0.45">
      <c r="B104" s="70">
        <v>0.69</v>
      </c>
      <c r="C104" s="70">
        <f t="shared" si="1"/>
        <v>0.31000000000000005</v>
      </c>
      <c r="D104" s="71" cm="1">
        <f t="array" aca="1" ref="D104" ca="1">IF(ISNUMBER(_xll.VoseSimPercentile(TotalCost,$B104)),_xll.VoseSimPercentile(TotalCost,$B104),NA())</f>
        <v>45.019908981951154</v>
      </c>
    </row>
    <row r="105" spans="2:4" hidden="1" outlineLevel="1" x14ac:dyDescent="0.45">
      <c r="B105" s="70">
        <v>0.71</v>
      </c>
      <c r="C105" s="70">
        <f t="shared" si="1"/>
        <v>0.29000000000000004</v>
      </c>
      <c r="D105" s="71" cm="1">
        <f t="array" aca="1" ref="D105" ca="1">IF(ISNUMBER(_xll.VoseSimPercentile(TotalCost,$B105)),_xll.VoseSimPercentile(TotalCost,$B105),NA())</f>
        <v>45.202222406802669</v>
      </c>
    </row>
    <row r="106" spans="2:4" hidden="1" outlineLevel="1" x14ac:dyDescent="0.45">
      <c r="B106" s="70">
        <v>0.73</v>
      </c>
      <c r="C106" s="70">
        <f t="shared" si="1"/>
        <v>0.27</v>
      </c>
      <c r="D106" s="71" cm="1">
        <f t="array" aca="1" ref="D106" ca="1">IF(ISNUMBER(_xll.VoseSimPercentile(TotalCost,$B106)),_xll.VoseSimPercentile(TotalCost,$B106),NA())</f>
        <v>45.401503595159603</v>
      </c>
    </row>
    <row r="107" spans="2:4" hidden="1" outlineLevel="1" x14ac:dyDescent="0.45">
      <c r="B107" s="70">
        <v>0.75</v>
      </c>
      <c r="C107" s="70">
        <f t="shared" si="1"/>
        <v>0.25</v>
      </c>
      <c r="D107" s="71" cm="1">
        <f t="array" aca="1" ref="D107" ca="1">IF(ISNUMBER(_xll.VoseSimPercentile(TotalCost,$B107)),_xll.VoseSimPercentile(TotalCost,$B107),NA())</f>
        <v>45.649785933702411</v>
      </c>
    </row>
    <row r="108" spans="2:4" hidden="1" outlineLevel="1" x14ac:dyDescent="0.45">
      <c r="B108" s="70">
        <v>0.77</v>
      </c>
      <c r="C108" s="70">
        <f t="shared" si="1"/>
        <v>0.22999999999999998</v>
      </c>
      <c r="D108" s="71" cm="1">
        <f t="array" aca="1" ref="D108" ca="1">IF(ISNUMBER(_xll.VoseSimPercentile(TotalCost,$B108)),_xll.VoseSimPercentile(TotalCost,$B108),NA())</f>
        <v>45.89559906391009</v>
      </c>
    </row>
    <row r="109" spans="2:4" hidden="1" outlineLevel="1" x14ac:dyDescent="0.45">
      <c r="B109" s="70">
        <v>0.79</v>
      </c>
      <c r="C109" s="70">
        <f t="shared" si="1"/>
        <v>0.20999999999999996</v>
      </c>
      <c r="D109" s="71" cm="1">
        <f t="array" aca="1" ref="D109" ca="1">IF(ISNUMBER(_xll.VoseSimPercentile(TotalCost,$B109)),_xll.VoseSimPercentile(TotalCost,$B109),NA())</f>
        <v>46.178393927952129</v>
      </c>
    </row>
    <row r="110" spans="2:4" hidden="1" outlineLevel="1" x14ac:dyDescent="0.45">
      <c r="B110" s="70">
        <v>0.81</v>
      </c>
      <c r="C110" s="70">
        <f t="shared" si="1"/>
        <v>0.18999999999999995</v>
      </c>
      <c r="D110" s="71" cm="1">
        <f t="array" aca="1" ref="D110" ca="1">IF(ISNUMBER(_xll.VoseSimPercentile(TotalCost,$B110)),_xll.VoseSimPercentile(TotalCost,$B110),NA())</f>
        <v>46.473528355058029</v>
      </c>
    </row>
    <row r="111" spans="2:4" hidden="1" outlineLevel="1" x14ac:dyDescent="0.45">
      <c r="B111" s="70">
        <v>0.83</v>
      </c>
      <c r="C111" s="70">
        <f t="shared" si="1"/>
        <v>0.17000000000000004</v>
      </c>
      <c r="D111" s="71" cm="1">
        <f t="array" aca="1" ref="D111" ca="1">IF(ISNUMBER(_xll.VoseSimPercentile(TotalCost,$B111)),_xll.VoseSimPercentile(TotalCost,$B111),NA())</f>
        <v>46.829012232277826</v>
      </c>
    </row>
    <row r="112" spans="2:4" hidden="1" outlineLevel="1" x14ac:dyDescent="0.45">
      <c r="B112" s="70">
        <v>0.85</v>
      </c>
      <c r="C112" s="70">
        <f t="shared" si="1"/>
        <v>0.15000000000000002</v>
      </c>
      <c r="D112" s="71" cm="1">
        <f t="array" aca="1" ref="D112" ca="1">IF(ISNUMBER(_xll.VoseSimPercentile(TotalCost,$B112)),_xll.VoseSimPercentile(TotalCost,$B112),NA())</f>
        <v>47.277272070655393</v>
      </c>
    </row>
    <row r="113" spans="2:7" hidden="1" outlineLevel="1" x14ac:dyDescent="0.45">
      <c r="B113" s="70">
        <v>0.87</v>
      </c>
      <c r="C113" s="70">
        <f t="shared" si="1"/>
        <v>0.13</v>
      </c>
      <c r="D113" s="71" cm="1">
        <f t="array" aca="1" ref="D113" ca="1">IF(ISNUMBER(_xll.VoseSimPercentile(TotalCost,$B113)),_xll.VoseSimPercentile(TotalCost,$B113),NA())</f>
        <v>47.889218698467019</v>
      </c>
    </row>
    <row r="114" spans="2:7" hidden="1" outlineLevel="1" x14ac:dyDescent="0.45">
      <c r="B114" s="70">
        <v>0.89</v>
      </c>
      <c r="C114" s="70">
        <f t="shared" si="1"/>
        <v>0.10999999999999999</v>
      </c>
      <c r="D114" s="71" cm="1">
        <f t="array" aca="1" ref="D114" ca="1">IF(ISNUMBER(_xll.VoseSimPercentile(TotalCost,$B114)),_xll.VoseSimPercentile(TotalCost,$B114),NA())</f>
        <v>48.641358332409723</v>
      </c>
    </row>
    <row r="115" spans="2:7" hidden="1" outlineLevel="1" x14ac:dyDescent="0.45">
      <c r="B115" s="70">
        <v>0.91</v>
      </c>
      <c r="C115" s="70">
        <f t="shared" si="1"/>
        <v>8.9999999999999969E-2</v>
      </c>
      <c r="D115" s="71" cm="1">
        <f t="array" aca="1" ref="D115" ca="1">IF(ISNUMBER(_xll.VoseSimPercentile(TotalCost,$B115)),_xll.VoseSimPercentile(TotalCost,$B115),NA())</f>
        <v>49.491805338397477</v>
      </c>
    </row>
    <row r="116" spans="2:7" hidden="1" outlineLevel="1" x14ac:dyDescent="0.45">
      <c r="B116" s="70">
        <v>0.93</v>
      </c>
      <c r="C116" s="70">
        <f t="shared" si="1"/>
        <v>6.9999999999999951E-2</v>
      </c>
      <c r="D116" s="71" cm="1">
        <f t="array" aca="1" ref="D116" ca="1">IF(ISNUMBER(_xll.VoseSimPercentile(TotalCost,$B116)),_xll.VoseSimPercentile(TotalCost,$B116),NA())</f>
        <v>50.458460820117878</v>
      </c>
    </row>
    <row r="117" spans="2:7" hidden="1" outlineLevel="1" x14ac:dyDescent="0.45">
      <c r="B117" s="70">
        <v>0.95</v>
      </c>
      <c r="C117" s="70">
        <f t="shared" si="1"/>
        <v>5.0000000000000044E-2</v>
      </c>
      <c r="D117" s="71" cm="1">
        <f t="array" aca="1" ref="D117" ca="1">IF(ISNUMBER(_xll.VoseSimPercentile(TotalCost,$B117)),_xll.VoseSimPercentile(TotalCost,$B117),NA())</f>
        <v>51.524181598021684</v>
      </c>
    </row>
    <row r="118" spans="2:7" hidden="1" outlineLevel="1" x14ac:dyDescent="0.45">
      <c r="B118" s="70">
        <v>0.97</v>
      </c>
      <c r="C118" s="70">
        <f t="shared" si="1"/>
        <v>3.0000000000000027E-2</v>
      </c>
      <c r="D118" s="71" cm="1">
        <f t="array" aca="1" ref="D118" ca="1">IF(ISNUMBER(_xll.VoseSimPercentile(TotalCost,$B118)),_xll.VoseSimPercentile(TotalCost,$B118),NA())</f>
        <v>52.693467442207279</v>
      </c>
    </row>
    <row r="119" spans="2:7" hidden="1" outlineLevel="1" x14ac:dyDescent="0.45">
      <c r="B119" s="70">
        <v>0.99</v>
      </c>
      <c r="C119" s="70">
        <f t="shared" si="1"/>
        <v>1.0000000000000009E-2</v>
      </c>
      <c r="D119" s="71" cm="1">
        <f t="array" aca="1" ref="D119" ca="1">IF(ISNUMBER(_xll.VoseSimPercentile(TotalCost,$B119)),_xll.VoseSimPercentile(TotalCost,$B119),NA())</f>
        <v>54.664320313995525</v>
      </c>
    </row>
    <row r="120" spans="2:7" hidden="1" outlineLevel="1" x14ac:dyDescent="0.45"/>
    <row r="121" spans="2:7" hidden="1" outlineLevel="1" x14ac:dyDescent="0.45">
      <c r="B121" s="72" t="s">
        <v>286</v>
      </c>
      <c r="D121" s="73" cm="1">
        <f t="array" aca="1" ref="D121" ca="1">_xll.VoseSimMean(TotalCost)</f>
        <v>44.345533825718</v>
      </c>
    </row>
    <row r="122" spans="2:7" ht="18" hidden="1" customHeight="1" outlineLevel="1" x14ac:dyDescent="0.45">
      <c r="B122" s="23" t="s">
        <v>287</v>
      </c>
      <c r="C122" s="5"/>
      <c r="D122" s="5"/>
      <c r="E122" s="5"/>
      <c r="F122" s="24" t="s">
        <v>288</v>
      </c>
      <c r="G122" s="24" t="s">
        <v>289</v>
      </c>
    </row>
    <row r="123" spans="2:7" hidden="1" outlineLevel="1" x14ac:dyDescent="0.45">
      <c r="B123" s="74" t="str">
        <f t="shared" ref="B123:B132" ca="1" si="2">B49</f>
        <v>Sidetrack days</v>
      </c>
      <c r="F123" s="75">
        <f t="shared" ref="F123:F132" ca="1" si="3">IFERROR(D49-$D$121,NA())</f>
        <v>7.0644927017500763</v>
      </c>
      <c r="G123" s="75">
        <f t="shared" ref="G123:G132" ca="1" si="4">IFERROR(C49-$D$121,NA())</f>
        <v>-0.76493509582292063</v>
      </c>
    </row>
    <row r="124" spans="2:7" hidden="1" outlineLevel="1" x14ac:dyDescent="0.45">
      <c r="B124" s="74" t="str">
        <f t="shared" ca="1" si="2"/>
        <v>Well control days</v>
      </c>
      <c r="F124" s="75">
        <f t="shared" ca="1" si="3"/>
        <v>4.7996555274970234</v>
      </c>
      <c r="G124" s="75">
        <f t="shared" ca="1" si="4"/>
        <v>-0.14844295445873001</v>
      </c>
    </row>
    <row r="125" spans="2:7" hidden="1" outlineLevel="1" x14ac:dyDescent="0.45">
      <c r="B125" s="74" t="str">
        <f t="shared" ca="1" si="2"/>
        <v>Trouble time</v>
      </c>
      <c r="F125" s="75">
        <f t="shared" ca="1" si="3"/>
        <v>2.7889912288337086</v>
      </c>
      <c r="G125" s="75">
        <f t="shared" ca="1" si="4"/>
        <v>-2.1066319390759247</v>
      </c>
    </row>
    <row r="126" spans="2:7" hidden="1" outlineLevel="1" x14ac:dyDescent="0.45">
      <c r="B126" s="74" t="str">
        <f t="shared" ca="1" si="2"/>
        <v>Spread rate</v>
      </c>
      <c r="F126" s="75">
        <f t="shared" ca="1" si="3"/>
        <v>1.8271475304712368</v>
      </c>
      <c r="G126" s="75">
        <f t="shared" ca="1" si="4"/>
        <v>-1.5854376337731537</v>
      </c>
    </row>
    <row r="127" spans="2:7" hidden="1" outlineLevel="1" x14ac:dyDescent="0.45">
      <c r="B127" s="74" t="str">
        <f t="shared" ca="1" si="2"/>
        <v>Duration, 12¼-in hole</v>
      </c>
      <c r="F127" s="75">
        <f t="shared" ca="1" si="3"/>
        <v>1.2742909048237223</v>
      </c>
      <c r="G127" s="75">
        <f t="shared" ca="1" si="4"/>
        <v>-1.0889763579621317</v>
      </c>
    </row>
    <row r="128" spans="2:7" hidden="1" outlineLevel="1" x14ac:dyDescent="0.45">
      <c r="B128" s="74" t="str">
        <f t="shared" ca="1" si="2"/>
        <v>Duration, 8½-in hole</v>
      </c>
      <c r="F128" s="75">
        <f t="shared" ca="1" si="3"/>
        <v>0.94059390164198931</v>
      </c>
      <c r="G128" s="75">
        <f t="shared" ca="1" si="4"/>
        <v>-0.79959273605400227</v>
      </c>
    </row>
    <row r="129" spans="2:7" hidden="1" outlineLevel="1" x14ac:dyDescent="0.45">
      <c r="B129" s="74" t="str">
        <f t="shared" ca="1" si="2"/>
        <v>Duration, 17½-in hole</v>
      </c>
      <c r="F129" s="75">
        <f t="shared" ca="1" si="3"/>
        <v>0.6745744393275146</v>
      </c>
      <c r="G129" s="75">
        <f t="shared" ca="1" si="4"/>
        <v>-0.7070701453778554</v>
      </c>
    </row>
    <row r="130" spans="2:7" hidden="1" outlineLevel="1" x14ac:dyDescent="0.45">
      <c r="B130" s="74" t="str">
        <f t="shared" ca="1" si="2"/>
        <v>Materials and services, Logging</v>
      </c>
      <c r="F130" s="75">
        <f t="shared" ca="1" si="3"/>
        <v>0.78503970994015049</v>
      </c>
      <c r="G130" s="75">
        <f t="shared" ca="1" si="4"/>
        <v>-0.56680359171002692</v>
      </c>
    </row>
    <row r="131" spans="2:7" hidden="1" outlineLevel="1" x14ac:dyDescent="0.45">
      <c r="B131" s="74" t="str">
        <f t="shared" ca="1" si="2"/>
        <v>Materials and services, 12¼-in hole</v>
      </c>
      <c r="F131" s="75">
        <f t="shared" ca="1" si="3"/>
        <v>0.45626954478021986</v>
      </c>
      <c r="G131" s="75">
        <f t="shared" ca="1" si="4"/>
        <v>-0.55609246689329694</v>
      </c>
    </row>
    <row r="132" spans="2:7" hidden="1" outlineLevel="1" x14ac:dyDescent="0.45">
      <c r="B132" s="74" t="str">
        <f t="shared" ca="1" si="2"/>
        <v>Materials and services, 17½-in hole</v>
      </c>
      <c r="F132" s="75">
        <f t="shared" ca="1" si="3"/>
        <v>0.61424928006803015</v>
      </c>
      <c r="G132" s="75">
        <f t="shared" ca="1" si="4"/>
        <v>-0.35385331340084036</v>
      </c>
    </row>
    <row r="133" spans="2:7" hidden="1" outlineLevel="1" x14ac:dyDescent="0.45"/>
    <row r="134" spans="2:7" ht="28.05" hidden="1" customHeight="1" outlineLevel="1" x14ac:dyDescent="0.45">
      <c r="B134" s="23" t="s">
        <v>290</v>
      </c>
      <c r="C134" s="24" t="s">
        <v>291</v>
      </c>
      <c r="D134" s="24" t="s">
        <v>261</v>
      </c>
      <c r="E134" s="24" t="s">
        <v>292</v>
      </c>
      <c r="F134" s="24" t="s">
        <v>105</v>
      </c>
      <c r="G134" s="5"/>
    </row>
    <row r="135" spans="2:7" hidden="1" outlineLevel="1" x14ac:dyDescent="0.45">
      <c r="B135" s="74" t="s">
        <v>293</v>
      </c>
      <c r="C135" s="71" cm="1">
        <f t="array" aca="1" ref="C135" ca="1">IF(ISNUMBER(_xll.VoseSimPercentile('Well plan'!I30,0.1)),_xll.VoseSimPercentile('Well plan'!I30,0.1),NA())</f>
        <v>3.4846756692103362</v>
      </c>
      <c r="D135" s="71" cm="1">
        <f t="array" aca="1" ref="D135" ca="1">IF(ISNUMBER(_xll.VoseSimPercentile('Well plan'!I30,0.5)),_xll.VoseSimPercentile('Well plan'!I30,0.5),NA())</f>
        <v>4.2414321788416123</v>
      </c>
      <c r="E135" s="71" cm="1">
        <f t="array" aca="1" ref="E135" ca="1">IF(ISNUMBER(_xll.VoseSimPercentile('Well plan'!I30,0.9)),_xll.VoseSimPercentile('Well plan'!I30,0.9),NA())</f>
        <v>5.4065846386773391</v>
      </c>
      <c r="F135" s="71" cm="1">
        <f t="array" aca="1" ref="F135" ca="1">IF(ISNUMBER(_xll.VoseSimMean('Well plan'!I30)),_xll.VoseSimMean('Well plan'!I30),NA())</f>
        <v>4.4123080883465464</v>
      </c>
    </row>
    <row r="136" spans="2:7" hidden="1" outlineLevel="1" x14ac:dyDescent="0.45">
      <c r="B136" s="74" t="s">
        <v>294</v>
      </c>
      <c r="C136" s="71" cm="1">
        <f t="array" aca="1" ref="C136" ca="1">IF(ISNUMBER(_xll.VoseSimPercentile('Well plan'!I31,0.1)),_xll.VoseSimPercentile('Well plan'!I31,0.1),NA())</f>
        <v>8.5392067272395327</v>
      </c>
      <c r="D136" s="71" cm="1">
        <f t="array" aca="1" ref="D136" ca="1">IF(ISNUMBER(_xll.VoseSimPercentile('Well plan'!I31,0.5)),_xll.VoseSimPercentile('Well plan'!I31,0.5),NA())</f>
        <v>9.8029940780548319</v>
      </c>
      <c r="E136" s="71" cm="1">
        <f t="array" aca="1" ref="E136" ca="1">IF(ISNUMBER(_xll.VoseSimPercentile('Well plan'!I31,0.9)),_xll.VoseSimPercentile('Well plan'!I31,0.9),NA())</f>
        <v>11.938250178887788</v>
      </c>
      <c r="F136" s="71" cm="1">
        <f t="array" aca="1" ref="F136" ca="1">IF(ISNUMBER(_xll.VoseSimMean('Well plan'!I31)),_xll.VoseSimMean('Well plan'!I31),NA())</f>
        <v>10.073463503471586</v>
      </c>
    </row>
    <row r="137" spans="2:7" hidden="1" outlineLevel="1" x14ac:dyDescent="0.45">
      <c r="B137" s="74" t="s">
        <v>295</v>
      </c>
      <c r="C137" s="71" cm="1">
        <f t="array" aca="1" ref="C137" ca="1">IF(ISNUMBER(_xll.VoseSimPercentile('Well plan'!I32,0.1)),_xll.VoseSimPercentile('Well plan'!I32,0.1),NA())</f>
        <v>18.739664347676687</v>
      </c>
      <c r="D137" s="71" cm="1">
        <f t="array" aca="1" ref="D137" ca="1">IF(ISNUMBER(_xll.VoseSimPercentile('Well plan'!I32,0.5)),_xll.VoseSimPercentile('Well plan'!I32,0.5),NA())</f>
        <v>21.319605338969481</v>
      </c>
      <c r="E137" s="71" cm="1">
        <f t="array" aca="1" ref="E137" ca="1">IF(ISNUMBER(_xll.VoseSimPercentile('Well plan'!I32,0.9)),_xll.VoseSimPercentile('Well plan'!I32,0.9),NA())</f>
        <v>24.819573979256219</v>
      </c>
      <c r="F137" s="71" cm="1">
        <f t="array" aca="1" ref="F137" ca="1">IF(ISNUMBER(_xll.VoseSimMean('Well plan'!I32)),_xll.VoseSimMean('Well plan'!I32),NA())</f>
        <v>21.628508275056372</v>
      </c>
    </row>
    <row r="138" spans="2:7" hidden="1" outlineLevel="1" x14ac:dyDescent="0.45">
      <c r="B138" s="74" t="s">
        <v>296</v>
      </c>
      <c r="C138" s="71" cm="1">
        <f t="array" aca="1" ref="C138" ca="1">IF(ISNUMBER(_xll.VoseSimPercentile('Well plan'!I33,0.1)),_xll.VoseSimPercentile('Well plan'!I33,0.1),NA())</f>
        <v>35.126970363294447</v>
      </c>
      <c r="D138" s="71" cm="1">
        <f t="array" aca="1" ref="D138" ca="1">IF(ISNUMBER(_xll.VoseSimPercentile('Well plan'!I33,0.5)),_xll.VoseSimPercentile('Well plan'!I33,0.5),NA())</f>
        <v>39.751378588183549</v>
      </c>
      <c r="E138" s="71" cm="1">
        <f t="array" aca="1" ref="E138" ca="1">IF(ISNUMBER(_xll.VoseSimPercentile('Well plan'!I33,0.9)),_xll.VoseSimPercentile('Well plan'!I33,0.9),NA())</f>
        <v>49.189832348030492</v>
      </c>
      <c r="F138" s="71" cm="1">
        <f t="array" aca="1" ref="F138" ca="1">IF(ISNUMBER(_xll.VoseSimMean('Well plan'!I33)),_xll.VoseSimMean('Well plan'!I33),NA())</f>
        <v>41.018312282437506</v>
      </c>
    </row>
    <row r="139" spans="2:7" hidden="1" outlineLevel="1" x14ac:dyDescent="0.45">
      <c r="B139" s="74" t="s">
        <v>297</v>
      </c>
      <c r="C139" s="71" cm="1">
        <f t="array" aca="1" ref="C139" ca="1">IF(ISNUMBER(_xll.VoseSimPercentile('Well plan'!I34,0.1)),_xll.VoseSimPercentile('Well plan'!I34,0.1),NA())</f>
        <v>46.647890409371819</v>
      </c>
      <c r="D139" s="71" cm="1">
        <f t="array" aca="1" ref="D139" ca="1">IF(ISNUMBER(_xll.VoseSimPercentile('Well plan'!I34,0.5)),_xll.VoseSimPercentile('Well plan'!I34,0.5),NA())</f>
        <v>52.439283460164333</v>
      </c>
      <c r="E139" s="71" cm="1">
        <f t="array" aca="1" ref="E139" ca="1">IF(ISNUMBER(_xll.VoseSimPercentile('Well plan'!I34,0.9)),_xll.VoseSimPercentile('Well plan'!I34,0.9),NA())</f>
        <v>63.092811005692425</v>
      </c>
      <c r="F139" s="71" cm="1">
        <f t="array" aca="1" ref="F139" ca="1">IF(ISNUMBER(_xll.VoseSimMean('Well plan'!I34)),_xll.VoseSimMean('Well plan'!I34),NA())</f>
        <v>53.718488428297754</v>
      </c>
    </row>
    <row r="140" spans="2:7" hidden="1" outlineLevel="1" x14ac:dyDescent="0.45">
      <c r="B140" s="74" t="s">
        <v>298</v>
      </c>
      <c r="C140" s="71" cm="1">
        <f t="array" aca="1" ref="C140" ca="1">IF(ISNUMBER(_xll.VoseSimPercentile('Well plan'!I35,0.1)),_xll.VoseSimPercentile('Well plan'!I35,0.1),NA())</f>
        <v>53.363392457451312</v>
      </c>
      <c r="D140" s="71" cm="1">
        <f t="array" aca="1" ref="D140" ca="1">IF(ISNUMBER(_xll.VoseSimPercentile('Well plan'!I35,0.5)),_xll.VoseSimPercentile('Well plan'!I35,0.5),NA())</f>
        <v>59.366872860662923</v>
      </c>
      <c r="E140" s="71" cm="1">
        <f t="array" aca="1" ref="E140" ca="1">IF(ISNUMBER(_xll.VoseSimPercentile('Well plan'!I35,0.9)),_xll.VoseSimPercentile('Well plan'!I35,0.9),NA())</f>
        <v>70.279309822266839</v>
      </c>
      <c r="F140" s="71" cm="1">
        <f t="array" aca="1" ref="F140" ca="1">IF(ISNUMBER(_xll.VoseSimMean('Well plan'!I35)),_xll.VoseSimMean('Well plan'!I35),NA())</f>
        <v>60.666546008637916</v>
      </c>
    </row>
    <row r="141" spans="2:7" hidden="1" outlineLevel="1" x14ac:dyDescent="0.45">
      <c r="B141" s="74" t="s">
        <v>299</v>
      </c>
      <c r="C141" s="71" cm="1">
        <f t="array" aca="1" ref="C141" ca="1">IF(ISNUMBER(_xll.VoseSimPercentile('Well plan'!I36,0.1)),_xll.VoseSimPercentile('Well plan'!I36,0.1),NA())</f>
        <v>58.735125281024388</v>
      </c>
      <c r="D141" s="71" cm="1">
        <f t="array" aca="1" ref="D141" ca="1">IF(ISNUMBER(_xll.VoseSimPercentile('Well plan'!I36,0.5)),_xll.VoseSimPercentile('Well plan'!I36,0.5),NA())</f>
        <v>64.839688459092386</v>
      </c>
      <c r="E141" s="71" cm="1">
        <f t="array" aca="1" ref="E141" ca="1">IF(ISNUMBER(_xll.VoseSimPercentile('Well plan'!I36,0.9)),_xll.VoseSimPercentile('Well plan'!I36,0.9),NA())</f>
        <v>75.832958489296573</v>
      </c>
      <c r="F141" s="71" cm="1">
        <f t="array" aca="1" ref="F141" ca="1">IF(ISNUMBER(_xll.VoseSimMean('Well plan'!I36)),_xll.VoseSimMean('Well plan'!I36),NA())</f>
        <v>66.133315610523454</v>
      </c>
    </row>
  </sheetData>
  <mergeCells count="4">
    <mergeCell ref="B62:G62"/>
    <mergeCell ref="B64:G64"/>
    <mergeCell ref="B63:G63"/>
    <mergeCell ref="B61:G6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35:F141">
    <cfRule type="expression" dxfId="2" priority="5">
      <formula>ISNA(C135)</formula>
    </cfRule>
  </conditionalFormatting>
  <conditionalFormatting sqref="D70:D119">
    <cfRule type="expression" dxfId="1" priority="3">
      <formula>ISNA(D70)</formula>
    </cfRule>
  </conditionalFormatting>
  <conditionalFormatting sqref="F123:G132">
    <cfRule type="expression" dxfId="0" priority="4">
      <formula>ISNA(F123)</formula>
    </cfRule>
  </conditionalFormatting>
  <hyperlinks>
    <hyperlink ref="B4" location="'Well plan'!A1" display="◂  Well plan"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12FF-074A-479A-B9BC-4D419FE275EA}">
  <dimension ref="A1:B1"/>
  <sheetViews>
    <sheetView workbookViewId="0"/>
  </sheetViews>
  <sheetFormatPr defaultRowHeight="14.25" x14ac:dyDescent="0.45"/>
  <sheetData>
    <row r="1" spans="1:2" x14ac:dyDescent="0.45">
      <c r="A1" s="80" t="s">
        <v>300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A477-CE9D-4F8B-A5DF-4848A8367B6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D66C8-4A53-4EC7-A1D2-E5638D45BE78}">
  <dimension ref="B3:B302"/>
  <sheetViews>
    <sheetView workbookViewId="0"/>
  </sheetViews>
  <sheetFormatPr defaultRowHeight="14.25" x14ac:dyDescent="0.45"/>
  <sheetData>
    <row r="3" spans="2:2" x14ac:dyDescent="0.45">
      <c r="B3">
        <v>77</v>
      </c>
    </row>
    <row r="4" spans="2:2" x14ac:dyDescent="0.45">
      <c r="B4">
        <v>184</v>
      </c>
    </row>
    <row r="5" spans="2:2" x14ac:dyDescent="0.45">
      <c r="B5">
        <v>298</v>
      </c>
    </row>
    <row r="6" spans="2:2" x14ac:dyDescent="0.45">
      <c r="B6">
        <v>349</v>
      </c>
    </row>
    <row r="7" spans="2:2" x14ac:dyDescent="0.45">
      <c r="B7">
        <v>362</v>
      </c>
    </row>
    <row r="8" spans="2:2" x14ac:dyDescent="0.45">
      <c r="B8">
        <v>293</v>
      </c>
    </row>
    <row r="9" spans="2:2" x14ac:dyDescent="0.45">
      <c r="B9">
        <v>240</v>
      </c>
    </row>
    <row r="10" spans="2:2" x14ac:dyDescent="0.45">
      <c r="B10">
        <v>131</v>
      </c>
    </row>
    <row r="11" spans="2:2" x14ac:dyDescent="0.45">
      <c r="B11">
        <v>58</v>
      </c>
    </row>
    <row r="12" spans="2:2" x14ac:dyDescent="0.45">
      <c r="B12">
        <v>8</v>
      </c>
    </row>
    <row r="13" spans="2:2" x14ac:dyDescent="0.45">
      <c r="B13">
        <v>1821</v>
      </c>
    </row>
    <row r="14" spans="2:2" x14ac:dyDescent="0.45">
      <c r="B14">
        <v>0</v>
      </c>
    </row>
    <row r="15" spans="2:2" x14ac:dyDescent="0.45">
      <c r="B15">
        <v>0</v>
      </c>
    </row>
    <row r="16" spans="2:2" x14ac:dyDescent="0.45">
      <c r="B16">
        <v>5</v>
      </c>
    </row>
    <row r="17" spans="2:2" x14ac:dyDescent="0.45">
      <c r="B17">
        <v>18</v>
      </c>
    </row>
    <row r="18" spans="2:2" x14ac:dyDescent="0.45">
      <c r="B18">
        <v>45</v>
      </c>
    </row>
    <row r="19" spans="2:2" x14ac:dyDescent="0.45">
      <c r="B19">
        <v>47</v>
      </c>
    </row>
    <row r="20" spans="2:2" x14ac:dyDescent="0.45">
      <c r="B20">
        <v>39</v>
      </c>
    </row>
    <row r="21" spans="2:2" x14ac:dyDescent="0.45">
      <c r="B21">
        <v>18</v>
      </c>
    </row>
    <row r="22" spans="2:2" x14ac:dyDescent="0.45">
      <c r="B22">
        <v>7</v>
      </c>
    </row>
    <row r="23" spans="2:2" x14ac:dyDescent="0.45">
      <c r="B23">
        <v>1943</v>
      </c>
    </row>
    <row r="24" spans="2:2" x14ac:dyDescent="0.45">
      <c r="B24">
        <v>0</v>
      </c>
    </row>
    <row r="25" spans="2:2" x14ac:dyDescent="0.45">
      <c r="B25">
        <v>0</v>
      </c>
    </row>
    <row r="26" spans="2:2" x14ac:dyDescent="0.45">
      <c r="B26">
        <v>9</v>
      </c>
    </row>
    <row r="27" spans="2:2" x14ac:dyDescent="0.45">
      <c r="B27">
        <v>13</v>
      </c>
    </row>
    <row r="28" spans="2:2" x14ac:dyDescent="0.45">
      <c r="B28">
        <v>10</v>
      </c>
    </row>
    <row r="29" spans="2:2" x14ac:dyDescent="0.45">
      <c r="B29">
        <v>11</v>
      </c>
    </row>
    <row r="30" spans="2:2" x14ac:dyDescent="0.45">
      <c r="B30">
        <v>11</v>
      </c>
    </row>
    <row r="31" spans="2:2" x14ac:dyDescent="0.45">
      <c r="B31">
        <v>1</v>
      </c>
    </row>
    <row r="32" spans="2:2" x14ac:dyDescent="0.45">
      <c r="B32">
        <v>2</v>
      </c>
    </row>
    <row r="33" spans="2:2" x14ac:dyDescent="0.45">
      <c r="B33">
        <v>120</v>
      </c>
    </row>
    <row r="34" spans="2:2" x14ac:dyDescent="0.45">
      <c r="B34">
        <v>251</v>
      </c>
    </row>
    <row r="35" spans="2:2" x14ac:dyDescent="0.45">
      <c r="B35">
        <v>348</v>
      </c>
    </row>
    <row r="36" spans="2:2" x14ac:dyDescent="0.45">
      <c r="B36">
        <v>318</v>
      </c>
    </row>
    <row r="37" spans="2:2" x14ac:dyDescent="0.45">
      <c r="B37">
        <v>338</v>
      </c>
    </row>
    <row r="38" spans="2:2" x14ac:dyDescent="0.45">
      <c r="B38">
        <v>278</v>
      </c>
    </row>
    <row r="39" spans="2:2" x14ac:dyDescent="0.45">
      <c r="B39">
        <v>179</v>
      </c>
    </row>
    <row r="40" spans="2:2" x14ac:dyDescent="0.45">
      <c r="B40">
        <v>100</v>
      </c>
    </row>
    <row r="41" spans="2:2" x14ac:dyDescent="0.45">
      <c r="B41">
        <v>53</v>
      </c>
    </row>
    <row r="42" spans="2:2" x14ac:dyDescent="0.45">
      <c r="B42">
        <v>15</v>
      </c>
    </row>
    <row r="43" spans="2:2" x14ac:dyDescent="0.45">
      <c r="B43">
        <v>918</v>
      </c>
    </row>
    <row r="44" spans="2:2" x14ac:dyDescent="0.45">
      <c r="B44">
        <v>853</v>
      </c>
    </row>
    <row r="45" spans="2:2" x14ac:dyDescent="0.45">
      <c r="B45">
        <v>164</v>
      </c>
    </row>
    <row r="46" spans="2:2" x14ac:dyDescent="0.45">
      <c r="B46">
        <v>38</v>
      </c>
    </row>
    <row r="47" spans="2:2" x14ac:dyDescent="0.45">
      <c r="B47">
        <v>17</v>
      </c>
    </row>
    <row r="48" spans="2:2" x14ac:dyDescent="0.45">
      <c r="B48">
        <v>1</v>
      </c>
    </row>
    <row r="49" spans="2:2" x14ac:dyDescent="0.45">
      <c r="B49">
        <v>6</v>
      </c>
    </row>
    <row r="50" spans="2:2" x14ac:dyDescent="0.45">
      <c r="B50">
        <v>1</v>
      </c>
    </row>
    <row r="51" spans="2:2" x14ac:dyDescent="0.45">
      <c r="B51">
        <v>1</v>
      </c>
    </row>
    <row r="52" spans="2:2" x14ac:dyDescent="0.45">
      <c r="B52">
        <v>1</v>
      </c>
    </row>
    <row r="53" spans="2:2" x14ac:dyDescent="0.45">
      <c r="B53">
        <v>73</v>
      </c>
    </row>
    <row r="54" spans="2:2" x14ac:dyDescent="0.45">
      <c r="B54">
        <v>182</v>
      </c>
    </row>
    <row r="55" spans="2:2" x14ac:dyDescent="0.45">
      <c r="B55">
        <v>294</v>
      </c>
    </row>
    <row r="56" spans="2:2" x14ac:dyDescent="0.45">
      <c r="B56">
        <v>338</v>
      </c>
    </row>
    <row r="57" spans="2:2" x14ac:dyDescent="0.45">
      <c r="B57">
        <v>374</v>
      </c>
    </row>
    <row r="58" spans="2:2" x14ac:dyDescent="0.45">
      <c r="B58">
        <v>313</v>
      </c>
    </row>
    <row r="59" spans="2:2" x14ac:dyDescent="0.45">
      <c r="B59">
        <v>239</v>
      </c>
    </row>
    <row r="60" spans="2:2" x14ac:dyDescent="0.45">
      <c r="B60">
        <v>124</v>
      </c>
    </row>
    <row r="61" spans="2:2" x14ac:dyDescent="0.45">
      <c r="B61">
        <v>54</v>
      </c>
    </row>
    <row r="62" spans="2:2" x14ac:dyDescent="0.45">
      <c r="B62">
        <v>9</v>
      </c>
    </row>
    <row r="63" spans="2:2" x14ac:dyDescent="0.45">
      <c r="B63">
        <v>85</v>
      </c>
    </row>
    <row r="64" spans="2:2" x14ac:dyDescent="0.45">
      <c r="B64">
        <v>206</v>
      </c>
    </row>
    <row r="65" spans="2:2" x14ac:dyDescent="0.45">
      <c r="B65">
        <v>322</v>
      </c>
    </row>
    <row r="66" spans="2:2" x14ac:dyDescent="0.45">
      <c r="B66">
        <v>354</v>
      </c>
    </row>
    <row r="67" spans="2:2" x14ac:dyDescent="0.45">
      <c r="B67">
        <v>331</v>
      </c>
    </row>
    <row r="68" spans="2:2" x14ac:dyDescent="0.45">
      <c r="B68">
        <v>306</v>
      </c>
    </row>
    <row r="69" spans="2:2" x14ac:dyDescent="0.45">
      <c r="B69">
        <v>186</v>
      </c>
    </row>
    <row r="70" spans="2:2" x14ac:dyDescent="0.45">
      <c r="B70">
        <v>132</v>
      </c>
    </row>
    <row r="71" spans="2:2" x14ac:dyDescent="0.45">
      <c r="B71">
        <v>62</v>
      </c>
    </row>
    <row r="72" spans="2:2" x14ac:dyDescent="0.45">
      <c r="B72">
        <v>16</v>
      </c>
    </row>
    <row r="73" spans="2:2" x14ac:dyDescent="0.45">
      <c r="B73">
        <v>731</v>
      </c>
    </row>
    <row r="74" spans="2:2" x14ac:dyDescent="0.45">
      <c r="B74">
        <v>985</v>
      </c>
    </row>
    <row r="75" spans="2:2" x14ac:dyDescent="0.45">
      <c r="B75">
        <v>218</v>
      </c>
    </row>
    <row r="76" spans="2:2" x14ac:dyDescent="0.45">
      <c r="B76">
        <v>41</v>
      </c>
    </row>
    <row r="77" spans="2:2" x14ac:dyDescent="0.45">
      <c r="B77">
        <v>16</v>
      </c>
    </row>
    <row r="78" spans="2:2" x14ac:dyDescent="0.45">
      <c r="B78">
        <v>6</v>
      </c>
    </row>
    <row r="79" spans="2:2" x14ac:dyDescent="0.45">
      <c r="B79">
        <v>2</v>
      </c>
    </row>
    <row r="80" spans="2:2" x14ac:dyDescent="0.45">
      <c r="B80">
        <v>0</v>
      </c>
    </row>
    <row r="81" spans="2:2" x14ac:dyDescent="0.45">
      <c r="B81">
        <v>0</v>
      </c>
    </row>
    <row r="82" spans="2:2" x14ac:dyDescent="0.45">
      <c r="B82">
        <v>1</v>
      </c>
    </row>
    <row r="83" spans="2:2" x14ac:dyDescent="0.45">
      <c r="B83">
        <v>100</v>
      </c>
    </row>
    <row r="84" spans="2:2" x14ac:dyDescent="0.45">
      <c r="B84">
        <v>242</v>
      </c>
    </row>
    <row r="85" spans="2:2" x14ac:dyDescent="0.45">
      <c r="B85">
        <v>350</v>
      </c>
    </row>
    <row r="86" spans="2:2" x14ac:dyDescent="0.45">
      <c r="B86">
        <v>401</v>
      </c>
    </row>
    <row r="87" spans="2:2" x14ac:dyDescent="0.45">
      <c r="B87">
        <v>358</v>
      </c>
    </row>
    <row r="88" spans="2:2" x14ac:dyDescent="0.45">
      <c r="B88">
        <v>252</v>
      </c>
    </row>
    <row r="89" spans="2:2" x14ac:dyDescent="0.45">
      <c r="B89">
        <v>163</v>
      </c>
    </row>
    <row r="90" spans="2:2" x14ac:dyDescent="0.45">
      <c r="B90">
        <v>94</v>
      </c>
    </row>
    <row r="91" spans="2:2" x14ac:dyDescent="0.45">
      <c r="B91">
        <v>32</v>
      </c>
    </row>
    <row r="92" spans="2:2" x14ac:dyDescent="0.45">
      <c r="B92">
        <v>8</v>
      </c>
    </row>
    <row r="93" spans="2:2" x14ac:dyDescent="0.45">
      <c r="B93">
        <v>93</v>
      </c>
    </row>
    <row r="94" spans="2:2" x14ac:dyDescent="0.45">
      <c r="B94">
        <v>227</v>
      </c>
    </row>
    <row r="95" spans="2:2" x14ac:dyDescent="0.45">
      <c r="B95">
        <v>337</v>
      </c>
    </row>
    <row r="96" spans="2:2" x14ac:dyDescent="0.45">
      <c r="B96">
        <v>382</v>
      </c>
    </row>
    <row r="97" spans="2:2" x14ac:dyDescent="0.45">
      <c r="B97">
        <v>331</v>
      </c>
    </row>
    <row r="98" spans="2:2" x14ac:dyDescent="0.45">
      <c r="B98">
        <v>281</v>
      </c>
    </row>
    <row r="99" spans="2:2" x14ac:dyDescent="0.45">
      <c r="B99">
        <v>198</v>
      </c>
    </row>
    <row r="100" spans="2:2" x14ac:dyDescent="0.45">
      <c r="B100">
        <v>98</v>
      </c>
    </row>
    <row r="101" spans="2:2" x14ac:dyDescent="0.45">
      <c r="B101">
        <v>42</v>
      </c>
    </row>
    <row r="102" spans="2:2" x14ac:dyDescent="0.45">
      <c r="B102">
        <v>11</v>
      </c>
    </row>
    <row r="103" spans="2:2" x14ac:dyDescent="0.45">
      <c r="B103">
        <v>155</v>
      </c>
    </row>
    <row r="104" spans="2:2" x14ac:dyDescent="0.45">
      <c r="B104">
        <v>548</v>
      </c>
    </row>
    <row r="105" spans="2:2" x14ac:dyDescent="0.45">
      <c r="B105">
        <v>659</v>
      </c>
    </row>
    <row r="106" spans="2:2" x14ac:dyDescent="0.45">
      <c r="B106">
        <v>398</v>
      </c>
    </row>
    <row r="107" spans="2:2" x14ac:dyDescent="0.45">
      <c r="B107">
        <v>156</v>
      </c>
    </row>
    <row r="108" spans="2:2" x14ac:dyDescent="0.45">
      <c r="B108">
        <v>50</v>
      </c>
    </row>
    <row r="109" spans="2:2" x14ac:dyDescent="0.45">
      <c r="B109">
        <v>22</v>
      </c>
    </row>
    <row r="110" spans="2:2" x14ac:dyDescent="0.45">
      <c r="B110">
        <v>7</v>
      </c>
    </row>
    <row r="111" spans="2:2" x14ac:dyDescent="0.45">
      <c r="B111">
        <v>3</v>
      </c>
    </row>
    <row r="112" spans="2:2" x14ac:dyDescent="0.45">
      <c r="B112">
        <v>2</v>
      </c>
    </row>
    <row r="113" spans="2:2" x14ac:dyDescent="0.45">
      <c r="B113">
        <v>75</v>
      </c>
    </row>
    <row r="114" spans="2:2" x14ac:dyDescent="0.45">
      <c r="B114">
        <v>197</v>
      </c>
    </row>
    <row r="115" spans="2:2" x14ac:dyDescent="0.45">
      <c r="B115">
        <v>302</v>
      </c>
    </row>
    <row r="116" spans="2:2" x14ac:dyDescent="0.45">
      <c r="B116">
        <v>310</v>
      </c>
    </row>
    <row r="117" spans="2:2" x14ac:dyDescent="0.45">
      <c r="B117">
        <v>384</v>
      </c>
    </row>
    <row r="118" spans="2:2" x14ac:dyDescent="0.45">
      <c r="B118">
        <v>302</v>
      </c>
    </row>
    <row r="119" spans="2:2" x14ac:dyDescent="0.45">
      <c r="B119">
        <v>239</v>
      </c>
    </row>
    <row r="120" spans="2:2" x14ac:dyDescent="0.45">
      <c r="B120">
        <v>124</v>
      </c>
    </row>
    <row r="121" spans="2:2" x14ac:dyDescent="0.45">
      <c r="B121">
        <v>50</v>
      </c>
    </row>
    <row r="122" spans="2:2" x14ac:dyDescent="0.45">
      <c r="B122">
        <v>17</v>
      </c>
    </row>
    <row r="123" spans="2:2" x14ac:dyDescent="0.45">
      <c r="B123">
        <v>91</v>
      </c>
    </row>
    <row r="124" spans="2:2" x14ac:dyDescent="0.45">
      <c r="B124">
        <v>226</v>
      </c>
    </row>
    <row r="125" spans="2:2" x14ac:dyDescent="0.45">
      <c r="B125">
        <v>312</v>
      </c>
    </row>
    <row r="126" spans="2:2" x14ac:dyDescent="0.45">
      <c r="B126">
        <v>350</v>
      </c>
    </row>
    <row r="127" spans="2:2" x14ac:dyDescent="0.45">
      <c r="B127">
        <v>318</v>
      </c>
    </row>
    <row r="128" spans="2:2" x14ac:dyDescent="0.45">
      <c r="B128">
        <v>290</v>
      </c>
    </row>
    <row r="129" spans="2:2" x14ac:dyDescent="0.45">
      <c r="B129">
        <v>214</v>
      </c>
    </row>
    <row r="130" spans="2:2" x14ac:dyDescent="0.45">
      <c r="B130">
        <v>120</v>
      </c>
    </row>
    <row r="131" spans="2:2" x14ac:dyDescent="0.45">
      <c r="B131">
        <v>59</v>
      </c>
    </row>
    <row r="132" spans="2:2" x14ac:dyDescent="0.45">
      <c r="B132">
        <v>20</v>
      </c>
    </row>
    <row r="133" spans="2:2" x14ac:dyDescent="0.45">
      <c r="B133">
        <v>121</v>
      </c>
    </row>
    <row r="134" spans="2:2" x14ac:dyDescent="0.45">
      <c r="B134">
        <v>795</v>
      </c>
    </row>
    <row r="135" spans="2:2" x14ac:dyDescent="0.45">
      <c r="B135">
        <v>692</v>
      </c>
    </row>
    <row r="136" spans="2:2" x14ac:dyDescent="0.45">
      <c r="B136">
        <v>199</v>
      </c>
    </row>
    <row r="137" spans="2:2" x14ac:dyDescent="0.45">
      <c r="B137">
        <v>97</v>
      </c>
    </row>
    <row r="138" spans="2:2" x14ac:dyDescent="0.45">
      <c r="B138">
        <v>61</v>
      </c>
    </row>
    <row r="139" spans="2:2" x14ac:dyDescent="0.45">
      <c r="B139">
        <v>28</v>
      </c>
    </row>
    <row r="140" spans="2:2" x14ac:dyDescent="0.45">
      <c r="B140">
        <v>6</v>
      </c>
    </row>
    <row r="141" spans="2:2" x14ac:dyDescent="0.45">
      <c r="B141">
        <v>0</v>
      </c>
    </row>
    <row r="142" spans="2:2" x14ac:dyDescent="0.45">
      <c r="B142">
        <v>1</v>
      </c>
    </row>
    <row r="143" spans="2:2" x14ac:dyDescent="0.45">
      <c r="B143">
        <v>64</v>
      </c>
    </row>
    <row r="144" spans="2:2" x14ac:dyDescent="0.45">
      <c r="B144">
        <v>200</v>
      </c>
    </row>
    <row r="145" spans="2:2" x14ac:dyDescent="0.45">
      <c r="B145">
        <v>309</v>
      </c>
    </row>
    <row r="146" spans="2:2" x14ac:dyDescent="0.45">
      <c r="B146">
        <v>370</v>
      </c>
    </row>
    <row r="147" spans="2:2" x14ac:dyDescent="0.45">
      <c r="B147">
        <v>336</v>
      </c>
    </row>
    <row r="148" spans="2:2" x14ac:dyDescent="0.45">
      <c r="B148">
        <v>318</v>
      </c>
    </row>
    <row r="149" spans="2:2" x14ac:dyDescent="0.45">
      <c r="B149">
        <v>203</v>
      </c>
    </row>
    <row r="150" spans="2:2" x14ac:dyDescent="0.45">
      <c r="B150">
        <v>134</v>
      </c>
    </row>
    <row r="151" spans="2:2" x14ac:dyDescent="0.45">
      <c r="B151">
        <v>52</v>
      </c>
    </row>
    <row r="152" spans="2:2" x14ac:dyDescent="0.45">
      <c r="B152">
        <v>14</v>
      </c>
    </row>
    <row r="153" spans="2:2" x14ac:dyDescent="0.45">
      <c r="B153">
        <v>117</v>
      </c>
    </row>
    <row r="154" spans="2:2" x14ac:dyDescent="0.45">
      <c r="B154">
        <v>264</v>
      </c>
    </row>
    <row r="155" spans="2:2" x14ac:dyDescent="0.45">
      <c r="B155">
        <v>362</v>
      </c>
    </row>
    <row r="156" spans="2:2" x14ac:dyDescent="0.45">
      <c r="B156">
        <v>359</v>
      </c>
    </row>
    <row r="157" spans="2:2" x14ac:dyDescent="0.45">
      <c r="B157">
        <v>333</v>
      </c>
    </row>
    <row r="158" spans="2:2" x14ac:dyDescent="0.45">
      <c r="B158">
        <v>249</v>
      </c>
    </row>
    <row r="159" spans="2:2" x14ac:dyDescent="0.45">
      <c r="B159">
        <v>168</v>
      </c>
    </row>
    <row r="160" spans="2:2" x14ac:dyDescent="0.45">
      <c r="B160">
        <v>89</v>
      </c>
    </row>
    <row r="161" spans="2:2" x14ac:dyDescent="0.45">
      <c r="B161">
        <v>44</v>
      </c>
    </row>
    <row r="162" spans="2:2" x14ac:dyDescent="0.45">
      <c r="B162">
        <v>15</v>
      </c>
    </row>
    <row r="163" spans="2:2" x14ac:dyDescent="0.45">
      <c r="B163">
        <v>52</v>
      </c>
    </row>
    <row r="164" spans="2:2" x14ac:dyDescent="0.45">
      <c r="B164">
        <v>466</v>
      </c>
    </row>
    <row r="165" spans="2:2" x14ac:dyDescent="0.45">
      <c r="B165">
        <v>754</v>
      </c>
    </row>
    <row r="166" spans="2:2" x14ac:dyDescent="0.45">
      <c r="B166">
        <v>412</v>
      </c>
    </row>
    <row r="167" spans="2:2" x14ac:dyDescent="0.45">
      <c r="B167">
        <v>165</v>
      </c>
    </row>
    <row r="168" spans="2:2" x14ac:dyDescent="0.45">
      <c r="B168">
        <v>87</v>
      </c>
    </row>
    <row r="169" spans="2:2" x14ac:dyDescent="0.45">
      <c r="B169">
        <v>41</v>
      </c>
    </row>
    <row r="170" spans="2:2" x14ac:dyDescent="0.45">
      <c r="B170">
        <v>19</v>
      </c>
    </row>
    <row r="171" spans="2:2" x14ac:dyDescent="0.45">
      <c r="B171">
        <v>3</v>
      </c>
    </row>
    <row r="172" spans="2:2" x14ac:dyDescent="0.45">
      <c r="B172">
        <v>1</v>
      </c>
    </row>
    <row r="173" spans="2:2" x14ac:dyDescent="0.45">
      <c r="B173">
        <v>51</v>
      </c>
    </row>
    <row r="174" spans="2:2" x14ac:dyDescent="0.45">
      <c r="B174">
        <v>168</v>
      </c>
    </row>
    <row r="175" spans="2:2" x14ac:dyDescent="0.45">
      <c r="B175">
        <v>326</v>
      </c>
    </row>
    <row r="176" spans="2:2" x14ac:dyDescent="0.45">
      <c r="B176">
        <v>351</v>
      </c>
    </row>
    <row r="177" spans="2:2" x14ac:dyDescent="0.45">
      <c r="B177">
        <v>363</v>
      </c>
    </row>
    <row r="178" spans="2:2" x14ac:dyDescent="0.45">
      <c r="B178">
        <v>288</v>
      </c>
    </row>
    <row r="179" spans="2:2" x14ac:dyDescent="0.45">
      <c r="B179">
        <v>249</v>
      </c>
    </row>
    <row r="180" spans="2:2" x14ac:dyDescent="0.45">
      <c r="B180">
        <v>140</v>
      </c>
    </row>
    <row r="181" spans="2:2" x14ac:dyDescent="0.45">
      <c r="B181">
        <v>50</v>
      </c>
    </row>
    <row r="182" spans="2:2" x14ac:dyDescent="0.45">
      <c r="B182">
        <v>14</v>
      </c>
    </row>
    <row r="183" spans="2:2" x14ac:dyDescent="0.45">
      <c r="B183">
        <v>155</v>
      </c>
    </row>
    <row r="184" spans="2:2" x14ac:dyDescent="0.45">
      <c r="B184">
        <v>291</v>
      </c>
    </row>
    <row r="185" spans="2:2" x14ac:dyDescent="0.45">
      <c r="B185">
        <v>379</v>
      </c>
    </row>
    <row r="186" spans="2:2" x14ac:dyDescent="0.45">
      <c r="B186">
        <v>354</v>
      </c>
    </row>
    <row r="187" spans="2:2" x14ac:dyDescent="0.45">
      <c r="B187">
        <v>302</v>
      </c>
    </row>
    <row r="188" spans="2:2" x14ac:dyDescent="0.45">
      <c r="B188">
        <v>227</v>
      </c>
    </row>
    <row r="189" spans="2:2" x14ac:dyDescent="0.45">
      <c r="B189">
        <v>151</v>
      </c>
    </row>
    <row r="190" spans="2:2" x14ac:dyDescent="0.45">
      <c r="B190">
        <v>91</v>
      </c>
    </row>
    <row r="191" spans="2:2" x14ac:dyDescent="0.45">
      <c r="B191">
        <v>40</v>
      </c>
    </row>
    <row r="192" spans="2:2" x14ac:dyDescent="0.45">
      <c r="B192">
        <v>10</v>
      </c>
    </row>
    <row r="193" spans="2:2" x14ac:dyDescent="0.45">
      <c r="B193">
        <v>46</v>
      </c>
    </row>
    <row r="194" spans="2:2" x14ac:dyDescent="0.45">
      <c r="B194">
        <v>413</v>
      </c>
    </row>
    <row r="195" spans="2:2" x14ac:dyDescent="0.45">
      <c r="B195">
        <v>701</v>
      </c>
    </row>
    <row r="196" spans="2:2" x14ac:dyDescent="0.45">
      <c r="B196">
        <v>469</v>
      </c>
    </row>
    <row r="197" spans="2:2" x14ac:dyDescent="0.45">
      <c r="B197">
        <v>191</v>
      </c>
    </row>
    <row r="198" spans="2:2" x14ac:dyDescent="0.45">
      <c r="B198">
        <v>95</v>
      </c>
    </row>
    <row r="199" spans="2:2" x14ac:dyDescent="0.45">
      <c r="B199">
        <v>50</v>
      </c>
    </row>
    <row r="200" spans="2:2" x14ac:dyDescent="0.45">
      <c r="B200">
        <v>27</v>
      </c>
    </row>
    <row r="201" spans="2:2" x14ac:dyDescent="0.45">
      <c r="B201">
        <v>6</v>
      </c>
    </row>
    <row r="202" spans="2:2" x14ac:dyDescent="0.45">
      <c r="B202">
        <v>2</v>
      </c>
    </row>
    <row r="203" spans="2:2" x14ac:dyDescent="0.45">
      <c r="B203">
        <v>90</v>
      </c>
    </row>
    <row r="204" spans="2:2" x14ac:dyDescent="0.45">
      <c r="B204">
        <v>209</v>
      </c>
    </row>
    <row r="205" spans="2:2" x14ac:dyDescent="0.45">
      <c r="B205">
        <v>315</v>
      </c>
    </row>
    <row r="206" spans="2:2" x14ac:dyDescent="0.45">
      <c r="B206">
        <v>335</v>
      </c>
    </row>
    <row r="207" spans="2:2" x14ac:dyDescent="0.45">
      <c r="B207">
        <v>356</v>
      </c>
    </row>
    <row r="208" spans="2:2" x14ac:dyDescent="0.45">
      <c r="B208">
        <v>273</v>
      </c>
    </row>
    <row r="209" spans="2:2" x14ac:dyDescent="0.45">
      <c r="B209">
        <v>229</v>
      </c>
    </row>
    <row r="210" spans="2:2" x14ac:dyDescent="0.45">
      <c r="B210">
        <v>119</v>
      </c>
    </row>
    <row r="211" spans="2:2" x14ac:dyDescent="0.45">
      <c r="B211">
        <v>61</v>
      </c>
    </row>
    <row r="212" spans="2:2" x14ac:dyDescent="0.45">
      <c r="B212">
        <v>13</v>
      </c>
    </row>
    <row r="213" spans="2:2" x14ac:dyDescent="0.45">
      <c r="B213">
        <v>84</v>
      </c>
    </row>
    <row r="214" spans="2:2" x14ac:dyDescent="0.45">
      <c r="B214">
        <v>278</v>
      </c>
    </row>
    <row r="215" spans="2:2" x14ac:dyDescent="0.45">
      <c r="B215">
        <v>367</v>
      </c>
    </row>
    <row r="216" spans="2:2" x14ac:dyDescent="0.45">
      <c r="B216">
        <v>347</v>
      </c>
    </row>
    <row r="217" spans="2:2" x14ac:dyDescent="0.45">
      <c r="B217">
        <v>351</v>
      </c>
    </row>
    <row r="218" spans="2:2" x14ac:dyDescent="0.45">
      <c r="B218">
        <v>255</v>
      </c>
    </row>
    <row r="219" spans="2:2" x14ac:dyDescent="0.45">
      <c r="B219">
        <v>184</v>
      </c>
    </row>
    <row r="220" spans="2:2" x14ac:dyDescent="0.45">
      <c r="B220">
        <v>86</v>
      </c>
    </row>
    <row r="221" spans="2:2" x14ac:dyDescent="0.45">
      <c r="B221">
        <v>42</v>
      </c>
    </row>
    <row r="222" spans="2:2" x14ac:dyDescent="0.45">
      <c r="B222">
        <v>6</v>
      </c>
    </row>
    <row r="223" spans="2:2" x14ac:dyDescent="0.45">
      <c r="B223">
        <v>41</v>
      </c>
    </row>
    <row r="224" spans="2:2" x14ac:dyDescent="0.45">
      <c r="B224">
        <v>370</v>
      </c>
    </row>
    <row r="225" spans="2:2" x14ac:dyDescent="0.45">
      <c r="B225">
        <v>675</v>
      </c>
    </row>
    <row r="226" spans="2:2" x14ac:dyDescent="0.45">
      <c r="B226">
        <v>516</v>
      </c>
    </row>
    <row r="227" spans="2:2" x14ac:dyDescent="0.45">
      <c r="B227">
        <v>211</v>
      </c>
    </row>
    <row r="228" spans="2:2" x14ac:dyDescent="0.45">
      <c r="B228">
        <v>101</v>
      </c>
    </row>
    <row r="229" spans="2:2" x14ac:dyDescent="0.45">
      <c r="B229">
        <v>49</v>
      </c>
    </row>
    <row r="230" spans="2:2" x14ac:dyDescent="0.45">
      <c r="B230">
        <v>28</v>
      </c>
    </row>
    <row r="231" spans="2:2" x14ac:dyDescent="0.45">
      <c r="B231">
        <v>6</v>
      </c>
    </row>
    <row r="232" spans="2:2" x14ac:dyDescent="0.45">
      <c r="B232">
        <v>3</v>
      </c>
    </row>
    <row r="233" spans="2:2" x14ac:dyDescent="0.45">
      <c r="B233">
        <v>79</v>
      </c>
    </row>
    <row r="234" spans="2:2" x14ac:dyDescent="0.45">
      <c r="B234">
        <v>207</v>
      </c>
    </row>
    <row r="235" spans="2:2" x14ac:dyDescent="0.45">
      <c r="B235">
        <v>314</v>
      </c>
    </row>
    <row r="236" spans="2:2" x14ac:dyDescent="0.45">
      <c r="B236">
        <v>340</v>
      </c>
    </row>
    <row r="237" spans="2:2" x14ac:dyDescent="0.45">
      <c r="B237">
        <v>334</v>
      </c>
    </row>
    <row r="238" spans="2:2" x14ac:dyDescent="0.45">
      <c r="B238">
        <v>271</v>
      </c>
    </row>
    <row r="239" spans="2:2" x14ac:dyDescent="0.45">
      <c r="B239">
        <v>251</v>
      </c>
    </row>
    <row r="240" spans="2:2" x14ac:dyDescent="0.45">
      <c r="B240">
        <v>127</v>
      </c>
    </row>
    <row r="241" spans="2:2" x14ac:dyDescent="0.45">
      <c r="B241">
        <v>49</v>
      </c>
    </row>
    <row r="242" spans="2:2" x14ac:dyDescent="0.45">
      <c r="B242">
        <v>28</v>
      </c>
    </row>
    <row r="243" spans="2:2" x14ac:dyDescent="0.45">
      <c r="B243">
        <v>46</v>
      </c>
    </row>
    <row r="244" spans="2:2" x14ac:dyDescent="0.45">
      <c r="B244">
        <v>465</v>
      </c>
    </row>
    <row r="245" spans="2:2" x14ac:dyDescent="0.45">
      <c r="B245">
        <v>818</v>
      </c>
    </row>
    <row r="246" spans="2:2" x14ac:dyDescent="0.45">
      <c r="B246">
        <v>390</v>
      </c>
    </row>
    <row r="247" spans="2:2" x14ac:dyDescent="0.45">
      <c r="B247">
        <v>120</v>
      </c>
    </row>
    <row r="248" spans="2:2" x14ac:dyDescent="0.45">
      <c r="B248">
        <v>92</v>
      </c>
    </row>
    <row r="249" spans="2:2" x14ac:dyDescent="0.45">
      <c r="B249">
        <v>45</v>
      </c>
    </row>
    <row r="250" spans="2:2" x14ac:dyDescent="0.45">
      <c r="B250">
        <v>23</v>
      </c>
    </row>
    <row r="251" spans="2:2" x14ac:dyDescent="0.45">
      <c r="B251">
        <v>0</v>
      </c>
    </row>
    <row r="252" spans="2:2" x14ac:dyDescent="0.45">
      <c r="B252">
        <v>1</v>
      </c>
    </row>
    <row r="253" spans="2:2" x14ac:dyDescent="0.45">
      <c r="B253">
        <v>41</v>
      </c>
    </row>
    <row r="254" spans="2:2" x14ac:dyDescent="0.45">
      <c r="B254">
        <v>370</v>
      </c>
    </row>
    <row r="255" spans="2:2" x14ac:dyDescent="0.45">
      <c r="B255">
        <v>675</v>
      </c>
    </row>
    <row r="256" spans="2:2" x14ac:dyDescent="0.45">
      <c r="B256">
        <v>516</v>
      </c>
    </row>
    <row r="257" spans="2:2" x14ac:dyDescent="0.45">
      <c r="B257">
        <v>211</v>
      </c>
    </row>
    <row r="258" spans="2:2" x14ac:dyDescent="0.45">
      <c r="B258">
        <v>101</v>
      </c>
    </row>
    <row r="259" spans="2:2" x14ac:dyDescent="0.45">
      <c r="B259">
        <v>49</v>
      </c>
    </row>
    <row r="260" spans="2:2" x14ac:dyDescent="0.45">
      <c r="B260">
        <v>28</v>
      </c>
    </row>
    <row r="261" spans="2:2" x14ac:dyDescent="0.45">
      <c r="B261">
        <v>6</v>
      </c>
    </row>
    <row r="262" spans="2:2" x14ac:dyDescent="0.45">
      <c r="B262">
        <v>3</v>
      </c>
    </row>
    <row r="263" spans="2:2" x14ac:dyDescent="0.45">
      <c r="B263">
        <v>180</v>
      </c>
    </row>
    <row r="264" spans="2:2" x14ac:dyDescent="0.45">
      <c r="B264">
        <v>481</v>
      </c>
    </row>
    <row r="265" spans="2:2" x14ac:dyDescent="0.45">
      <c r="B265">
        <v>571</v>
      </c>
    </row>
    <row r="266" spans="2:2" x14ac:dyDescent="0.45">
      <c r="B266">
        <v>407</v>
      </c>
    </row>
    <row r="267" spans="2:2" x14ac:dyDescent="0.45">
      <c r="B267">
        <v>215</v>
      </c>
    </row>
    <row r="268" spans="2:2" x14ac:dyDescent="0.45">
      <c r="B268">
        <v>95</v>
      </c>
    </row>
    <row r="269" spans="2:2" x14ac:dyDescent="0.45">
      <c r="B269">
        <v>33</v>
      </c>
    </row>
    <row r="270" spans="2:2" x14ac:dyDescent="0.45">
      <c r="B270">
        <v>9</v>
      </c>
    </row>
    <row r="271" spans="2:2" x14ac:dyDescent="0.45">
      <c r="B271">
        <v>5</v>
      </c>
    </row>
    <row r="272" spans="2:2" x14ac:dyDescent="0.45">
      <c r="B272">
        <v>4</v>
      </c>
    </row>
    <row r="273" spans="2:2" x14ac:dyDescent="0.45">
      <c r="B273">
        <v>1767</v>
      </c>
    </row>
    <row r="274" spans="2:2" x14ac:dyDescent="0.45">
      <c r="B274">
        <v>0</v>
      </c>
    </row>
    <row r="275" spans="2:2" x14ac:dyDescent="0.45">
      <c r="B275">
        <v>9</v>
      </c>
    </row>
    <row r="276" spans="2:2" x14ac:dyDescent="0.45">
      <c r="B276">
        <v>23</v>
      </c>
    </row>
    <row r="277" spans="2:2" x14ac:dyDescent="0.45">
      <c r="B277">
        <v>48</v>
      </c>
    </row>
    <row r="278" spans="2:2" x14ac:dyDescent="0.45">
      <c r="B278">
        <v>66</v>
      </c>
    </row>
    <row r="279" spans="2:2" x14ac:dyDescent="0.45">
      <c r="B279">
        <v>48</v>
      </c>
    </row>
    <row r="280" spans="2:2" x14ac:dyDescent="0.45">
      <c r="B280">
        <v>27</v>
      </c>
    </row>
    <row r="281" spans="2:2" x14ac:dyDescent="0.45">
      <c r="B281">
        <v>10</v>
      </c>
    </row>
    <row r="282" spans="2:2" x14ac:dyDescent="0.45">
      <c r="B282">
        <v>2</v>
      </c>
    </row>
    <row r="283" spans="2:2" x14ac:dyDescent="0.45">
      <c r="B283">
        <v>1767</v>
      </c>
    </row>
    <row r="284" spans="2:2" x14ac:dyDescent="0.45">
      <c r="B284">
        <v>0</v>
      </c>
    </row>
    <row r="285" spans="2:2" x14ac:dyDescent="0.45">
      <c r="B285">
        <v>0</v>
      </c>
    </row>
    <row r="286" spans="2:2" x14ac:dyDescent="0.45">
      <c r="B286">
        <v>0</v>
      </c>
    </row>
    <row r="287" spans="2:2" x14ac:dyDescent="0.45">
      <c r="B287">
        <v>0</v>
      </c>
    </row>
    <row r="288" spans="2:2" x14ac:dyDescent="0.45">
      <c r="B288">
        <v>0</v>
      </c>
    </row>
    <row r="289" spans="2:2" x14ac:dyDescent="0.45">
      <c r="B289">
        <v>0</v>
      </c>
    </row>
    <row r="290" spans="2:2" x14ac:dyDescent="0.45">
      <c r="B290">
        <v>0</v>
      </c>
    </row>
    <row r="291" spans="2:2" x14ac:dyDescent="0.45">
      <c r="B291">
        <v>0</v>
      </c>
    </row>
    <row r="292" spans="2:2" x14ac:dyDescent="0.45">
      <c r="B292">
        <v>233</v>
      </c>
    </row>
    <row r="293" spans="2:2" x14ac:dyDescent="0.45">
      <c r="B293">
        <v>8</v>
      </c>
    </row>
    <row r="294" spans="2:2" x14ac:dyDescent="0.45">
      <c r="B294">
        <v>44</v>
      </c>
    </row>
    <row r="295" spans="2:2" x14ac:dyDescent="0.45">
      <c r="B295">
        <v>153</v>
      </c>
    </row>
    <row r="296" spans="2:2" x14ac:dyDescent="0.45">
      <c r="B296">
        <v>338</v>
      </c>
    </row>
    <row r="297" spans="2:2" x14ac:dyDescent="0.45">
      <c r="B297">
        <v>447</v>
      </c>
    </row>
    <row r="298" spans="2:2" x14ac:dyDescent="0.45">
      <c r="B298">
        <v>454</v>
      </c>
    </row>
    <row r="299" spans="2:2" x14ac:dyDescent="0.45">
      <c r="B299">
        <v>313</v>
      </c>
    </row>
    <row r="300" spans="2:2" x14ac:dyDescent="0.45">
      <c r="B300">
        <v>164</v>
      </c>
    </row>
    <row r="301" spans="2:2" x14ac:dyDescent="0.45">
      <c r="B301">
        <v>57</v>
      </c>
    </row>
    <row r="302" spans="2:2" x14ac:dyDescent="0.45">
      <c r="B302">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5234">PABGAEkATABUAEUAUgBTAD4ADQAKADwALwBDAE4AVAA6ADAADQAKAEYASQBMAFQARQBSAFMAPgANAAoAPABQAEEARwBFAFMAPgANAAoAQwBOAFQAOgAyAA0ACgBDAFUAUgBQAEEARwBFADoAMAANAAoATgA6ADEADQAKAFQAWQBQAEUAOgAyAA0ACgBOAE0AOgBIAGkAcwB0AG8AZwByAGEAbQANAAoAUwBJAE0ASQBEADoAMAANAAoAUwBFAEwAUwA6ADEADQAKAEMAVQBSAFMARQBMADoAMAANAAoAVABQADoAMAANAAoAUgBHADoAMAANAAoATgBNADoAJwBbACMAIwBUAEgASQBTAFcAQgAjACMAXQBXAGUAbABsACAAcABsAGEAbgAnACEARQAkADMANQANAAoAQwBMAFIAOgA2ADUAOAAxADIAMwAxAA0ACgBUAFIAQQBOAFMAUAA6ADUAMAANAAoAUwBJAE0AOgAwAA0ACgA8AFMARQBMAF8ATwBQAFQASQBPAE4AUwA+AA0ACgBDAE4AVAA6ADMADQAKAE4ATQA6ADMADQAKAFQAUAA6ADEADQAKAFYAQQBMADoAMAAuADEAMAAwADAAMAAwADAAMAAwADAADQAKAE4ATQA6ADQADQAKAFQAUAA6ADEADQAKAFYAQQBMADoAMAAuADkAMAAwADAAMAAwADAAMAAwADAADQAKAE4ATQA6ADUADQAKAFQAUAA6ADIADQAKAFYAQQBMADoADQAKADwALwBTAEUATABfAE8AUABUAEkATwBOAFMAPgANAAoAPABPAFAAVABJAE8ATgBTAD4ADQAKAEMATgBUADoAMQA0ADk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FkATABhAGIAZQBsAA0ACgBUAFAAOgAyAA0ACgBWAEEATAA6AA0ACgBOAE0AOgBPAHYAZQByAGwAYQB5AFYAYQByAHMADQAKAFQAUAA6ADAADQAKAFYAQQBMADoAMwANAAoATgBNADoATABpAG4AZQBzAA0ACgBUAFAAOgAwAA0ACgBWAEEATAA6ADA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FQAeQBwAGUAMQANAAoAVABQADoAMAANAAoAVgBBAEwAOgAxAA0ACgBOAE0AOgBIAFMAUwBsAGkAZABlAHIAXwBUAHkAcABlADIADQAKAFQAUAA6ADAADQAKAFYAQQBMADoAMQANAAoATgBNADoASABTAFMAbABpAGQAZQByAF8AUAAxAA0ACgBUAFAAOgAxAA0ACgBWAEEATAA6ADAALgAwADUAMAAwADAAMAAwADAAMAAwAA0ACgBOAE0AOgBIAFMAUwBsAGkAZABlAHIAXwBQADIADQAKAFQAUAA6ADEADQAKAFYAQQBMADoAMAAuADkANQAwADAAMAAwADAAMAAwADAADQAKAE4ATQA6AEgAUwBTAGwAaQBkAGUAcgBfAFgAMQANAAoAVABQADoAMQANAAoAVgBBAEwAOgA0ADAALgAzADUAMAAwADQAOQAyADUAMgAyAA0ACgBOAE0AOgBIAFMAUwBsAGkAZABlAHIAXwBYADIADQAKAFQAUAA6ADEADQAKAFYAQQBMADoANQAxAC4ANQA0ADMAMgAwADcAOQA5ADAAOQANAAoATgBNADoASABTAFMAbABpAGQAZQByAF8ATABhAGIAZQBsAFQAeQBwAGUADQAKAFQAUAA6ADAADQAKAFYAQQBMADoAMgANAAoATgBNADoASABTAFMAbABpAGQAZQByAF8ARgBvAG4AdAANAAoAVABQADoAMgANAAoAVgBBAEwAOgAjAEYATwBOAFQAIwAjACMAIwA5ADIAOgA5AFAALwAvAC8AdwBBAEEAQQBBAEEAQQBBAEEAQQBBAEEAQQBBAEEAQQBKAEEAQg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UwBsAGkAZABlAHIAXwBDAG8AbABvAHIAMQANAAoAVABQADoAMAANAAoAVgBBAEwAOgAzADYAOAAzADUAMwA3AA0ACgBOAE0AOgBIAFMAUwBsAGkAZABlAHIAXwBDAG8AbABvAHIAMgANAAoAVABQADoAMAANAAoAVgBBAEwAOgAxADIAMAA5ADEAOQA4ADEADQAKAE4ATQA6AEgAUwBTAGwAaQBkAGUAcgBfAFMAaABhAGQAaQBuAGcAVAB5AHAAZQANAAoAVABQADoAMAANAAoAVgBBAEwAOgAwAA0ACgBOAE0AOgBIAFMAUwBsAGkAZABlAHIAXwBTAGgAYQBkAGkAbgBnAFAAYQB0AHQAZQByAG4ADQAKAFQAUAA6ADAADQAKAFYAQQBMADoALQAxAA0ACgBOAE0AOgBIAFMASABlAGEAZABlAHIAUwBlAGMAdABfAEMAbwBsAG8AcgBPAHUAdAANAAoAVABQADoAMAANAAoAVgBBAEwAOgAxADYANwAxADEANgA4ADAADQAKAE4ATQA6AEgAUwBIAGUAYQBkAGUAcgBTAGUAYwB0AF8AQwBvAGwAbwByAEkAbgANAAoAVABQADoAMAANAAoAVgBBAEwAOgAyADUANQANAAoATgBNADoASABTAEgAZQBhAGQAZQByAFMAZQBjAHQAXwBDAG8AbABvAHIAVABlAHgAdAANAAoAVABQADoAMAANAAoAVgBBAEwAOgAxADYANwA3ADcAMgAxADUADQAKAE4ATQA6AEgAUwBIAGUAYQBkAGUAcgBTAGUAYwB0AF8ARgBvAG4AdAANAAoAVABQADoAMgANAAoAVgBBAEwAOgAjAEYATwBOAFQAIwAjACMAIwA5ADIAOgA5AFAALwAvAC8AdwBBAEEAQQBBAEEAQQBBAEEAQQBBAEEAQQBBAEEAQQBMAHcAQwBBAEEAQQBBAEEAQQBEAE0AQQB3AEkAQgBJAGsATQBBAGIAdwBCADEAQQBIAEkAQQBhAFEAQgBsAEEASABJAEEASQBBAEIATwBBAEcAVQBBAGQAdwBBAEEAQQBBAEEAQQBBAEEAQQBBAEEAQQBBAEEAQQBBAEEAQQBBAEEAQQBBAEEAQQBBAEEAQQBBAEEAQQBBAEEAQQBBAEEAQQBBAEEAQQBBAEEAQQBBAEEAQQBBAEEAQQBBAEEAQQBBAEEAQQBBAEEAQQA9AA0ACgBOAE0AOgBIAFMAXwBYAF8ARABlAGMAaQBtAGEAbABzAA0ACgBUAFAAOgAxAA0ACgBWAEEATAA6AG4AYQBuAA0ACgBOAE0AOgBIAFMAXwBQAF8ARABlAGMAaQBtAGEAbABzAA0ACgBUAFAAOgAxAA0ACgBWAEEATAA6AG4AYQBuAA0ACgBOAE0AOgBTAGgAbwB3AE0AYQByAGsAZQByAHMADQAKAFQAUAA6ADAADQAKAFYAQQBMADoAMQANAAoATgBNADoATQBhAHIAawBlAHIAcwBfAFgAXwBEAGUAYwBpAG0AYQBsAHMADQAKAFQAUAA6ADEADQAKAFYAQQBMADoAbgBhAG4ADQAKAE4ATQA6AE0AYQByAGsAZQByAHMAXwBQAF8ARABlAGMAaQBtAGEAbABzAA0ACgBUAFAAOgAxAA0ACgBWAEEATAA6AG4AYQBuAA0ACgBOAE0AOgBNAGEAcgBrAGUAcgBzAE4AdQBtAGIAZQByAA0ACgBUAFAAOgAwAA0ACgBWAEEATAA6ADQADQAKAE4ATQA6AEgAUwBNAGEAcgBrAGUAcgBTAGgAbwB3ADAADQAKAFQAUAA6ADAADQAKAFYAQQBMADoAMAANAAoATgBNADoASABTAE0AYQByAGsAZQByAFQAeQBwAGUAMAANAAoAVABQADoAMAANAAoAVgBBAEwAOgAzAA0ACgBOAE0AOgBIAFMATQBhAHIAawBlAHIAVgBhAGwAdQBlADAADQAKAFQAUAA6ADEADQAKAFYAQQBMADoAbgBhAG4ADQAKAE4ATQA6AEgAUwBNAGEAcgBrAGUAcgBMAGEAYgBlAGwAVAB5AHAAZQAwAA0ACgBUAFAAOgAwAA0ACgBWAEEATAA6ADEADQAKAE4ATQA6AEgAUwBNAGEAcgBrAGUAcgBMAGEAYgBlAGwAVABlAHgAdABDAGwAcgBUAHkAcABlADAADQAKAFQAUAA6ADAADQAKAFYAQQBMADoAMAANAAoATgBNADoASABTAE0AYQByAGsAZQByAEwAYQBiAGUAbABCAGsAQwBsAHIAVAB5AHAAZQAwAA0ACgBUAFAAOgAwAA0ACgBWAEEATAA6ADEADQAKAE4ATQA6AEgAUwBNAGEAcgBrAGUAcgBMAGEAYgBlAGwATQBhAHIAawBlAHIAQwBsAHIAVAB5AHAAZQAwAA0ACgBUAFAAOgAwAA0ACgBWAEEATAA6ADEADQAKAE4ATQA6AEgAUwBNAGEAcgBrAGUAcgBGAG8AbgB0ADA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AANAAoAVABQADoAMAANAAoAVgBBAEwAOgAxADIAMAA5ADEAOQA4ADEADQAKAE4ATQA6AEgAUwBNAGEAcgBrAGUAcgBDAGwAcgBCAGsAMAANAAoAVABQADoAMAANAAoAVgBBAEwAOgAxADYANwA3ADcAMgAxADUADQAKAE4ATQA6AEgAUwBNAGEAcgBrAGUAcgBDAGwAcgAwAA0ACgBUAFAAOgAwAA0ACgBWAEEATAA6ADEAMgAwADkAMQA5ADgAMQANAAoATgBNADoASABTAE0AYQByAGsAZQByAFMAdAB5AGwAZQAwAA0ACgBUAFAAOgAwAA0ACgBWAEEATAA6ADEADQAKAE4ATQA6AEgAUwBNAGEAcgBrAGUAcgBXAGUAaQBnAGgAdAAwAA0ACgBUAFAAOgAwAA0ACgBWAEEATAA6ADAADQAKAE4ATQA6AEgAUwBNAGEAcgBrAGUAcgBBAGwAaQBnAG4AVgAwAA0ACgBUAFAAOgAwAA0ACgBWAEEATAA6ADAADQAKAE4ATQA6AEgAUwBNAGEAcgBrAGUAcgBBAGwAaQBnAG4ASAAwAA0ACgBUAFAAOgAwAA0ACgBWAEEATAA6ADAADQAKAE4ATQA6AEgAUwBNAGEAcgBrAGUAcgBTAGgAbwB3ADEADQAKAFQAUAA6ADAADQAKAFYAQQBMADoAMAANAAoATgBNADoASABTAE0AYQByAGsAZQByAFQAeQBwAGUAMQANAAoAVABQADoAMAANAAoAVgBBAEwAOgA0AA0ACgBOAE0AOgBIAFMATQBhAHIAawBlAHIAVgBhAGwAdQBlADEADQAKAFQAUAA6ADEADQAKAFYAQQBMADoAbgBhAG4ADQAKAE4ATQA6AEgAUwBNAGEAcgBrAGUAcgBMAGEAYgBlAGwAVAB5AHAAZQAxAA0ACgBUAFAAOgAwAA0ACgBWAEEATAA6ADEADQAKAE4ATQA6AEgAUwBNAGEAcgBrAGUAcgBMAGEAYgBlAGwAVABlAHgAdABDAGwAcgBUAHkAcABlADEADQAKAFQAUAA6ADAADQAKAFYAQQBMADoAMAANAAoATgBNADoASABTAE0AYQByAGsAZQByAEwAYQBiAGUAbABCAGsAQwBsAHIAVAB5AHAAZQAxAA0ACgBUAFAAOgAwAA0ACgBWAEEATAA6ADEADQAKAE4ATQA6AEgAUwBNAGEAcgBrAGUAcgBMAGEAYgBlAGwATQBhAHIAawBlAHIAQwBsAHIAVAB5AHAAZQAxAA0ACgBUAFAAOgAwAA0ACgBWAEEATAA6ADEADQAKAE4ATQA6AEgAUwBNAGEAcgBrAGUAcgBGAG8AbgB0ADE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QANAAoAVABQADoAMAANAAoAVgBBAEwAOgAxADIAMAA5ADEAOQA4ADEADQAKAE4ATQA6AEgAUwBNAGEAcgBrAGUAcgBDAGwAcgBCAGsAMQANAAoAVABQADoAMAANAAoAVgBBAEwAOgAxADYANwA3ADcAMgAxADUADQAKAE4ATQA6AEgAUwBNAGEAcgBrAGUAcgBDAGwAcgAxAA0ACgBUAFAAOgAwAA0ACgBWAEEATAA6ADEAMgAwADkAMQA5ADgAMQANAAoATgBNADoASABTAE0AYQByAGsAZQByAFMAdAB5AGwAZQAxAA0ACgBUAFAAOgAwAA0ACgBWAEEATAA6ADEADQAKAE4ATQA6AEgAUwBNAGEAcgBrAGUAcgBXAGUAaQBnAGgAdAAxAA0ACgBUAFAAOgAwAA0ACgBWAEEATAA6ADEADQAKAE4ATQA6AEgAUwBNAGEAcgBrAGUAcgBBAGwAaQBnAG4AVgAxAA0ACgBUAFAAOgAwAA0ACgBWAEEATAA6ADAADQAKAE4ATQA6AEgAUwBNAGEAcgBrAGUAcgBBAGwAaQBnAG4ASAAxAA0ACgBUAFAAOgAwAA0ACgBWAEEATAA6ADIADQAKAE4ATQA6AEgAUwBNAGEAcgBrAGUAcgBTAGgAbwB3ADIADQAKAFQAUAA6ADAADQAKAFYAQQBMADoAMAANAAoATgBNADoASABTAE0AYQByAGsAZQByAFQAeQBwAGUAMgANAAoAVABQADoAMAANAAoAVgBBAEwAOgA1AA0ACgBOAE0AOgBIAFMATQBhAHIAawBlAHIAVgBhAGwAdQBlADIADQAKAFQAUAA6ADEADQAKAFYAQQBMADoAbgBhAG4ADQAKAE4ATQA6AEgAUwBNAGEAcgBrAGUAcgBMAGEAYgBlAGwAVAB5AHAAZQAyAA0ACgBUAFAAOgAwAA0ACgBWAEEATAA6ADEADQAKAE4ATQA6AEgAUwBNAGEAcgBrAGUAcgBMAGEAYgBlAGwAVABlAHgAdABDAGwAcgBUAHkAcABlADIADQAKAFQAUAA6ADAADQAKAFYAQQBMADoAMAANAAoATgBNADoASABTAE0AYQByAGsAZQByAEwAYQBiAGUAbABCAGsAQwBsAHIAVAB5AHAAZQAyAA0ACgBUAFAAOgAwAA0ACgBWAEEATAA6ADEADQAKAE4ATQA6AEgAUwBNAGEAcgBrAGUAcgBMAGEAYgBlAGwATQBhAHIAawBlAHIAQwBsAHIAVAB5AHAAZQAyAA0ACgBUAFAAOgAwAA0ACgBWAEEATAA6ADEADQAKAE4ATQA6AEgAUwBNAGEAcgBrAGUAcgBGAG8AbgB0ADI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gANAAoAVABQADoAMAANAAoAVgBBAEwAOgAxADIAMAA5ADEAOQA4ADEADQAKAE4ATQA6AEgAUwBNAGEAcgBrAGUAcgBDAGwAcgBCAGsAMgANAAoAVABQADoAMAANAAoAVgBBAEwAOgAxADYANwA3ADcAMgAxADUADQAKAE4ATQA6AEgAUwBNAGEAcgBrAGUAcgBDAGwAcgAyAA0ACgBUAFAAOgAwAA0ACgBWAEEATAA6ADEAMgAwADkAMQA5ADgAMQANAAoATgBNADoASABTAE0AYQByAGsAZQByAFMAdAB5AGwAZQAyAA0ACgBUAFAAOgAwAA0ACgBWAEEATAA6ADEADQAKAE4ATQA6AEgAUwBNAGEAcgBrAGUAcgBXAGUAaQBnAGgAdAAyAA0ACgBUAFAAOgAwAA0ACgBWAEEATAA6ADEADQAKAE4ATQA6AEgAUwBNAGEAcgBrAGUAcgBBAGwAaQBnAG4AVgAyAA0ACgBUAFAAOgAwAA0ACgBWAEEATAA6ADIADQAKAE4ATQA6AEgAUwBNAGEAcgBrAGUAcgBBAGwAaQBnAG4ASAAyAA0ACgBUAFAAOgAwAA0ACgBWAEEATAA6ADEADQAKAE4ATQA6AEgAUwBNAGEAcgBrAGUAcgBTAGgAbwB3ADMADQAKAFQAUAA6ADAADQAKAFYAQQBMADoAMAANAAoATgBNADoASABTAE0AYQByAGsAZQByAFQAeQBwAGUAMwANAAoAVABQADoAMAANAAoAVgBBAEwAOgA2AA0ACgBOAE0AOgBIAFMATQBhAHIAawBlAHIAVgBhAGwAdQBlADMADQAKAFQAUAA6ADEADQAKAFYAQQBMADoAbgBhAG4ADQAKAE4ATQA6AEgAUwBNAGEAcgBrAGUAcgBMAGEAYgBlAGwAVAB5AHAAZQAzAA0ACgBUAFAAOgAwAA0ACgBWAEEATAA6ADEADQAKAE4ATQA6AEgAUwBNAGEAcgBrAGUAcgBMAGEAYgBlAGwAVABlAHgAdABDAGwAcgBUAHkAcABlADMADQAKAFQAUAA6ADAADQAKAFYAQQBMADoAMAANAAoATgBNADoASABTAE0AYQByAGsAZQByAEwAYQBiAGUAbABCAGsAQwBsAHIAVAB5AHAAZQAzAA0ACgBUAFAAOgAwAA0ACgBWAEEATAA6ADEADQAKAE4ATQA6AEgAUwBNAGEAcgBrAGUAcgBMAGEAYgBlAGwATQBhAHIAawBlAHIAQwBsAHIAVAB5AHAAZQAzAA0ACgBUAFAAOgAwAA0ACgBWAEEATAA6ADEADQAKAE4ATQA6AEgAUwBNAGEAcgBrAGUAcgBGAG8AbgB0ADM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wANAAoAVABQADoAMAANAAoAVgBBAEwAOgAxADIAMAA5ADEAOQA4ADEADQAKAE4ATQA6AEgAUwBNAGEAcgBrAGUAcgBDAGwAcgBCAGsAMwANAAoAVABQADoAMAANAAoAVgBBAEwAOgAxADYANwA3ADcAMgAxADUADQAKAE4ATQA6AEgAUwBNAGEAcgBrAGUAcgBDAGwAcgAzAA0ACgBUAFAAOgAwAA0ACgBWAEEATAA6ADEAMgAwADkAMQA5ADgAMQANAAoATgBNADoASABTAE0AYQByAGsAZQByAFMAdAB5AGwAZQAzAA0ACgBUAFAAOgAwAA0ACgBWAEEATAA6ADEADQAKAE4ATQA6AEgAUwBNAGEAcgBrAGUAcgBXAGUAaQBnAGgAdAAzAA0ACgBUAFAAOgAwAA0ACgBWAEEATAA6ADEADQAKAE4ATQA6AEgAUwBNAGEAcgBrAGUAcgBBAGwAaQBnAG4AVgAzAA0ACgBUAFAAOgAwAA0ACgBWAEEATAA6ADEADQAKAE4ATQA6AEgAUwBNAGEAcgBrAGUAcgBBAGwAaQBnAG4ASAAzAA0ACgBUAFAAOgAwAA0ACgBWAEEATAA6ADEADQAKADwALwBPAFAAVABJAE8ATgBTAD4ADQAKAE4AOgAyAA0ACgBUAFkAUABFADoAMgANAAoATgBNADoASABpAHMAdABvAGcAcgBhAG0AMgANAAoAUwBJAE0ASQBEADoAMAANAAoAUwBFAEwAUwA6ADAADQAKAEMAVQBSAFMARQBMADoALQAx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ZAEwAYQBiAGUAbAANAAoAVABQADoAMgANAAoAVgBBAEwAOgANAAoATgBNADoATwB2AGUAcgBsAGEAeQBWAGEAcgBzAA0ACgBUAFAAOgAwAA0ACgBWAEEATAA6ADMADQAKAE4ATQA6AEwAaQBuAGUAcwANAAoAVABQADoAMAANAAoAVgBBAEwAOgAwAA0ACgA8AC8ATwBQAFQASQBPAE4AUwA+AA0ACgA8AC8AUABBAEcARQBTAD4ADQAKADwAQwBPAE0ATQBPAE4AUwBFAFQAVABJAE4ARwBTAD4APABDAFUAUgBSAEUATgBDAFkAPgBBAHUAdABvADwALwBDAFUAUgBSAEUATgBDAFkAPgA8AC8AQwBPAE0ATQBPAE4AUwBFAFQAVABJAE4ARwBTAD4A</mr:Charts>
</mr:ModelRisk>
</file>

<file path=customXml/itemProps1.xml><?xml version="1.0" encoding="utf-8"?>
<ds:datastoreItem xmlns:ds="http://schemas.openxmlformats.org/officeDocument/2006/customXml" ds:itemID="{A3BF2845-2EA0-4EA7-8C68-F8856AE8BF0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52</vt:i4>
      </vt:variant>
    </vt:vector>
  </HeadingPairs>
  <TitlesOfParts>
    <vt:vector size="59" baseType="lpstr">
      <vt:lpstr>About</vt:lpstr>
      <vt:lpstr>Inputs</vt:lpstr>
      <vt:lpstr>Well plan</vt:lpstr>
      <vt:lpstr>Results</vt:lpstr>
      <vt:lpstr>ModelRiskDSN</vt:lpstr>
      <vt:lpstr>ModelRiskSYS1</vt:lpstr>
      <vt:lpstr>ModelRiskCharts</vt:lpstr>
      <vt:lpstr>AFE_Level</vt:lpstr>
      <vt:lpstr>Allowance</vt:lpstr>
      <vt:lpstr>Base_Cost</vt:lpstr>
      <vt:lpstr>Base_Days</vt:lpstr>
      <vt:lpstr>Checks</vt:lpstr>
      <vt:lpstr>Dur_1</vt:lpstr>
      <vt:lpstr>Dur_2</vt:lpstr>
      <vt:lpstr>Dur_3</vt:lpstr>
      <vt:lpstr>Dur_4</vt:lpstr>
      <vt:lpstr>Dur_5</vt:lpstr>
      <vt:lpstr>Dur_6</vt:lpstr>
      <vt:lpstr>Dur_7</vt:lpstr>
      <vt:lpstr>Ev_Cost</vt:lpstr>
      <vt:lpstr>Ev_Days</vt:lpstr>
      <vt:lpstr>Ev_Phase</vt:lpstr>
      <vt:lpstr>InputMeans</vt:lpstr>
      <vt:lpstr>MajorDays</vt:lpstr>
      <vt:lpstr>MajorEvent</vt:lpstr>
      <vt:lpstr>Materials</vt:lpstr>
      <vt:lpstr>ML_Days</vt:lpstr>
      <vt:lpstr>ML_Materials</vt:lpstr>
      <vt:lpstr>Results!Print_Area</vt:lpstr>
      <vt:lpstr>Inputs!Print_Titles</vt:lpstr>
      <vt:lpstr>Results!Print_Titles</vt:lpstr>
      <vt:lpstr>Prob_Sidetrack</vt:lpstr>
      <vt:lpstr>Prob_WellControl</vt:lpstr>
      <vt:lpstr>Sidetrack</vt:lpstr>
      <vt:lpstr>Sidetrack_Hi</vt:lpstr>
      <vt:lpstr>Sidetrack_Lo</vt:lpstr>
      <vt:lpstr>Sidetrack_Mean</vt:lpstr>
      <vt:lpstr>Sidetrack_ML</vt:lpstr>
      <vt:lpstr>Sidetrack_Phase</vt:lpstr>
      <vt:lpstr>SidetrackCost</vt:lpstr>
      <vt:lpstr>SpreadRate</vt:lpstr>
      <vt:lpstr>SpreadRate_Hi</vt:lpstr>
      <vt:lpstr>SpreadRate_Lo</vt:lpstr>
      <vt:lpstr>SpreadRate_Mean</vt:lpstr>
      <vt:lpstr>SpreadRate_ML</vt:lpstr>
      <vt:lpstr>TotalCost</vt:lpstr>
      <vt:lpstr>TotalDays</vt:lpstr>
      <vt:lpstr>TroubleDays</vt:lpstr>
      <vt:lpstr>TroubleMean</vt:lpstr>
      <vt:lpstr>TroubleRate</vt:lpstr>
      <vt:lpstr>TroubleRatePerDay</vt:lpstr>
      <vt:lpstr>TroubleSD</vt:lpstr>
      <vt:lpstr>WellControl</vt:lpstr>
      <vt:lpstr>WellControl_Hi</vt:lpstr>
      <vt:lpstr>WellControl_Lo</vt:lpstr>
      <vt:lpstr>WellControl_Mean</vt:lpstr>
      <vt:lpstr>WellControl_ML</vt:lpstr>
      <vt:lpstr>WellControl_Phase</vt:lpstr>
      <vt:lpstr>WellControlCost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OG-07 Well Cost and Time (AFE)</dc:title>
  <dc:subject>ModelRisk industry example library — Oil and gas</dc:subject>
  <dc:creator>Vose Software</dc:creator>
  <cp:keywords>ModelRisk; Monte Carlo; Oil and gas</cp:keywords>
  <dc:description>Phase-by-phase estimate of a well's days and cost, with trouble time, a sidetrack and a well-control risk, for a P80 AFE.</dc:description>
  <cp:lastModifiedBy>Timour Koupeev</cp:lastModifiedBy>
  <cp:lastPrinted>2026-10-05T17:12:59Z</cp:lastPrinted>
  <dcterms:created xsi:type="dcterms:W3CDTF">2026-10-05T17:07:53Z</dcterms:created>
  <dcterms:modified xsi:type="dcterms:W3CDTF">2026-10-05T17:13:01Z</dcterms:modified>
</cp:coreProperties>
</file>