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74AD0919-1311-433D-AC75-B1E4B0DB17AE}"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spects" sheetId="3" r:id="rId3"/>
    <sheet name="Programmes" sheetId="4" r:id="rId4"/>
    <sheet name="Results" sheetId="5" r:id="rId5"/>
    <sheet name="ModelRiskDSN" sheetId="6" state="hidden" r:id="rId6"/>
    <sheet name="ModelRiskSYS1" sheetId="7" state="hidden" r:id="rId7"/>
    <sheet name="ModelRiskCharts" sheetId="8" state="hidden" r:id="rId8"/>
  </sheets>
  <definedNames>
    <definedName name="Acceptable">Programmes!$C$23:$F$23</definedName>
    <definedName name="Acceptable_1">Programmes!$C$23</definedName>
    <definedName name="Acceptable_2">Programmes!$D$23</definedName>
    <definedName name="Acceptable_3">Programmes!$E$23</definedName>
    <definedName name="Acceptable_4">Programmes!$F$23</definedName>
    <definedName name="Budget">Inputs!$D$11</definedName>
    <definedName name="Chance_PlayA">Inputs!$D$18</definedName>
    <definedName name="Chance_PlayB">Inputs!$D$19</definedName>
    <definedName name="Chance_PlayC">Inputs!$D$20</definedName>
    <definedName name="Checks">Programmes!$D$43:$D$46</definedName>
    <definedName name="Cost_Hi">Prospects!$H$10:$H$17</definedName>
    <definedName name="Cost_Lo">Prospects!$F$10:$F$17</definedName>
    <definedName name="Cost_ML">Prospects!$G$10:$G$17</definedName>
    <definedName name="DetailName">Programmes!$C$36</definedName>
    <definedName name="DetailProg">Inputs!$D$13</definedName>
    <definedName name="Disc">Programmes!$C$28:$F$28</definedName>
    <definedName name="Disc_1">Programmes!$C$28</definedName>
    <definedName name="Disc_2">Programmes!$D$28</definedName>
    <definedName name="Disc_3">Programmes!$E$28</definedName>
    <definedName name="Disc_4">Programmes!$F$28</definedName>
    <definedName name="Disc_Detail">Programmes!$C$37</definedName>
    <definedName name="DiscGroup_Detail">Programmes!$C$38</definedName>
    <definedName name="Discovery">Prospects!$F$31:$F$38</definedName>
    <definedName name="Dry">Programmes!$C$31:$F$31</definedName>
    <definedName name="Dry_1">Programmes!$C$31</definedName>
    <definedName name="Dry_2">Programmes!$D$31</definedName>
    <definedName name="Dry_3">Programmes!$E$31</definedName>
    <definedName name="Dry_4">Programmes!$F$31</definedName>
    <definedName name="EMV_Prospect">Prospects!$I$44:$I$51</definedName>
    <definedName name="ExpCost">Programmes!$C$10:$F$10</definedName>
    <definedName name="ExpCost_1">Programmes!$C$10</definedName>
    <definedName name="ExpCost_2">Programmes!$D$10</definedName>
    <definedName name="ExpCost_3">Programmes!$E$10</definedName>
    <definedName name="ExpCost_4">Programmes!$F$10</definedName>
    <definedName name="ExpEMV">Programmes!$C$12:$F$12</definedName>
    <definedName name="ExpEMV_1">Programmes!$C$12</definedName>
    <definedName name="ExpEMV_2">Programmes!$D$12</definedName>
    <definedName name="ExpEMV_3">Programmes!$E$12</definedName>
    <definedName name="ExpEMV_4">Programmes!$F$12</definedName>
    <definedName name="InBudget">Programmes!$C$11:$F$11</definedName>
    <definedName name="InBudget_1">Programmes!$C$11</definedName>
    <definedName name="InBudget_2">Programmes!$D$11</definedName>
    <definedName name="InBudget_3">Programmes!$E$11</definedName>
    <definedName name="InBudget_4">Programmes!$F$11</definedName>
    <definedName name="InRisk">Programmes!$C$22:$F$22</definedName>
    <definedName name="InRisk_1">Programmes!$C$22</definedName>
    <definedName name="InRisk_2">Programmes!$D$22</definedName>
    <definedName name="InRisk_3">Programmes!$E$22</definedName>
    <definedName name="InRisk_4">Programmes!$F$22</definedName>
    <definedName name="LnFailLocal">Prospects!$J$44:$J$51</definedName>
    <definedName name="LnNoDiscovery">Prospects!$L$44:$L$51</definedName>
    <definedName name="MaxDryChance">Inputs!$D$12</definedName>
    <definedName name="MeanCost">Prospects!$G$44:$G$51</definedName>
    <definedName name="NPV_Detail">Programmes!$C$39</definedName>
    <definedName name="NPV_IfDrilled">Prospects!$I$31:$I$38</definedName>
    <definedName name="PDiscovery">Prospects!$E$44:$E$51</definedName>
    <definedName name="PlayA_Works">Prospects!$I$23</definedName>
    <definedName name="PlayB_Works">Prospects!$I$24</definedName>
    <definedName name="PlayC_Works">Prospects!$I$25</definedName>
    <definedName name="PlayChances">Prospects!$H$23:$H$25</definedName>
    <definedName name="PlayCodes">Prospects!$B$23:$B$25</definedName>
    <definedName name="PlayWorks">Prospects!$I$23:$I$25</definedName>
    <definedName name="PNoneIndep">Programmes!$C$20:$F$20</definedName>
    <definedName name="PNoneIndep_1">Programmes!$C$20</definedName>
    <definedName name="PNoneIndep_2">Programmes!$D$20</definedName>
    <definedName name="PNoneIndep_3">Programmes!$E$20</definedName>
    <definedName name="PNoneIndep_4">Programmes!$F$20</definedName>
    <definedName name="PNoneShared">Programmes!$C$19:$F$19</definedName>
    <definedName name="PNoneShared_1">Programmes!$C$19</definedName>
    <definedName name="PNoneShared_2">Programmes!$D$19</definedName>
    <definedName name="PNoneShared_3">Programmes!$E$19</definedName>
    <definedName name="PNoneShared_4">Programmes!$F$19</definedName>
    <definedName name="_xlnm.Print_Area" localSheetId="4">Results!$A$1:$R$69</definedName>
    <definedName name="_xlnm.Print_Titles" localSheetId="1">Inputs!$1:$4</definedName>
    <definedName name="_xlnm.Print_Titles" localSheetId="2">Prospects!$1:$4</definedName>
    <definedName name="_xlnm.Print_Titles" localSheetId="4">Results!$1:$4</definedName>
    <definedName name="ProgNames">Programmes!$C$8:$F$8</definedName>
    <definedName name="ProgNPV">Programmes!$C$30:$F$30</definedName>
    <definedName name="ProgNPV_1">Programmes!$C$30</definedName>
    <definedName name="ProgNPV_2">Programmes!$D$30</definedName>
    <definedName name="ProgNPV_3">Programmes!$E$30</definedName>
    <definedName name="ProgNPV_4">Programmes!$F$30</definedName>
    <definedName name="Pros_Chance">Prospects!$E$10:$E$17</definedName>
    <definedName name="Pros_Name">Prospects!$C$10:$C$17</definedName>
    <definedName name="Pros_Play">Prospects!$D$10:$D$17</definedName>
    <definedName name="Sel_1">Prospects!$L$10:$L$17</definedName>
    <definedName name="Sel_2">Prospects!$M$10:$M$17</definedName>
    <definedName name="Sel_3">Prospects!$N$10:$N$17</definedName>
    <definedName name="Sel_4">Prospects!$O$10:$O$17</definedName>
    <definedName name="Sel_All">Prospects!$L$10:$O$17</definedName>
    <definedName name="SharedEffect">Programmes!$C$21:$F$21</definedName>
    <definedName name="SharedEffect_1">Programmes!$C$21</definedName>
    <definedName name="SharedEffect_2">Programmes!$D$21</definedName>
    <definedName name="SharedEffect_3">Programmes!$E$21</definedName>
    <definedName name="SharedEffect_4">Programmes!$F$21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ucc_Alder">Prospects!$E$31</definedName>
    <definedName name="Succ_Birch">Prospects!$E$32</definedName>
    <definedName name="Succ_Cedar">Prospects!$E$33</definedName>
    <definedName name="Succ_Dogwood">Prospects!$E$34</definedName>
    <definedName name="Succ_Elm">Prospects!$E$35</definedName>
    <definedName name="Succ_Fir">Prospects!$E$36</definedName>
    <definedName name="Succ_Ginkgo">Prospects!$E$37</definedName>
    <definedName name="Succ_Hazel">Prospects!$E$38</definedName>
    <definedName name="Value_P10">Prospects!$J$10:$J$17</definedName>
    <definedName name="Value_P90">Prospects!$I$10:$I$17</definedName>
    <definedName name="WellCost">Prospects!$G$31:$G$38</definedName>
    <definedName name="Wells">Programmes!$C$9:$F$9</definedName>
    <definedName name="Wells_1">Programmes!$C$9</definedName>
    <definedName name="Wells_2">Programmes!$D$9</definedName>
    <definedName name="Wells_3">Programmes!$E$9</definedName>
    <definedName name="Wells_4">Programmes!$F$9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4" l="1" a="1"/>
  <c r="C36" i="4" s="1"/>
  <c r="D32" i="5"/>
  <c r="C124" i="5"/>
  <c r="C123" i="5"/>
  <c r="C122" i="5"/>
  <c r="C121" i="5"/>
  <c r="C120" i="5"/>
  <c r="C119" i="5"/>
  <c r="C118" i="5"/>
  <c r="C117" i="5"/>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B27" i="5"/>
  <c r="B26" i="5"/>
  <c r="B25" i="5"/>
  <c r="B24" i="5"/>
  <c r="B16" i="5"/>
  <c r="B15" i="5"/>
  <c r="B14" i="5"/>
  <c r="B13" i="5"/>
  <c r="D46" i="4"/>
  <c r="D44" i="4"/>
  <c r="D43" i="4"/>
  <c r="C17" i="4"/>
  <c r="C18" i="4" s="1"/>
  <c r="F9" i="4"/>
  <c r="E9" i="4"/>
  <c r="D9" i="4"/>
  <c r="C9" i="4"/>
  <c r="J51" i="3"/>
  <c r="F17" i="4"/>
  <c r="F18" i="4" s="1"/>
  <c r="C51" i="3"/>
  <c r="J50" i="3"/>
  <c r="D17" i="4"/>
  <c r="D18" i="4" s="1"/>
  <c r="C50" i="3"/>
  <c r="J49" i="3"/>
  <c r="C49" i="3"/>
  <c r="J48" i="3"/>
  <c r="C15" i="4" s="1"/>
  <c r="C16" i="4" s="1"/>
  <c r="C48" i="3"/>
  <c r="J47" i="3"/>
  <c r="C47" i="3"/>
  <c r="J46" i="3"/>
  <c r="C46" i="3"/>
  <c r="J45" i="3"/>
  <c r="F13" i="4"/>
  <c r="F14" i="4" s="1"/>
  <c r="C45" i="3"/>
  <c r="J44" i="3"/>
  <c r="C13" i="4" s="1"/>
  <c r="C14" i="4" s="1"/>
  <c r="C44" i="3"/>
  <c r="C38" i="3"/>
  <c r="C37" i="3"/>
  <c r="C36" i="3"/>
  <c r="C35" i="3"/>
  <c r="C34" i="3"/>
  <c r="C33" i="3"/>
  <c r="C32" i="3"/>
  <c r="C31" i="3"/>
  <c r="H25" i="3"/>
  <c r="E50" i="3" s="1"/>
  <c r="L50" i="3" s="1"/>
  <c r="H24" i="3"/>
  <c r="E47" i="3"/>
  <c r="L47" i="3" s="1"/>
  <c r="H23" i="3"/>
  <c r="E45" i="3" s="1"/>
  <c r="D15" i="4"/>
  <c r="D16" i="4" s="1"/>
  <c r="D13" i="4"/>
  <c r="D14" i="4" s="1"/>
  <c r="E15" i="4"/>
  <c r="E16" i="4"/>
  <c r="E17" i="4"/>
  <c r="E18" i="4" s="1"/>
  <c r="F15" i="4"/>
  <c r="F16" i="4" s="1"/>
  <c r="E48" i="3"/>
  <c r="E46" i="3"/>
  <c r="E49" i="3"/>
  <c r="L49" i="3" s="1"/>
  <c r="L46" i="3"/>
  <c r="H44" i="3" a="1"/>
  <c r="H45" i="3" a="1"/>
  <c r="G32" i="3" a="1"/>
  <c r="I25" i="3" a="1"/>
  <c r="G51" i="3" a="1"/>
  <c r="E31" i="3" a="1"/>
  <c r="G34" i="3" a="1"/>
  <c r="G47" i="3" a="1"/>
  <c r="H47" i="3" a="1"/>
  <c r="G37" i="3" a="1"/>
  <c r="E38" i="3" a="1"/>
  <c r="G48" i="3" a="1"/>
  <c r="G45" i="3" a="1"/>
  <c r="G46" i="3" a="1"/>
  <c r="G35" i="3" a="1"/>
  <c r="G44" i="3" a="1"/>
  <c r="H38" i="3" a="1"/>
  <c r="E36" i="3" a="1"/>
  <c r="G38" i="3" a="1"/>
  <c r="E34" i="3" a="1"/>
  <c r="G49" i="3" a="1"/>
  <c r="H48" i="3" a="1"/>
  <c r="I24" i="3" a="1"/>
  <c r="H32" i="3" a="1"/>
  <c r="G36" i="3" a="1"/>
  <c r="H34" i="3" a="1"/>
  <c r="H49" i="3" a="1"/>
  <c r="E37" i="3" a="1"/>
  <c r="H35" i="3" a="1"/>
  <c r="H50" i="3" a="1"/>
  <c r="G31" i="3" a="1"/>
  <c r="E35" i="3" a="1"/>
  <c r="G33" i="3" a="1"/>
  <c r="H31" i="3" a="1"/>
  <c r="E33" i="3" a="1"/>
  <c r="I23" i="3" a="1"/>
  <c r="H33" i="3" a="1"/>
  <c r="E32" i="3" a="1"/>
  <c r="H51" i="3" a="1"/>
  <c r="H36" i="3" a="1"/>
  <c r="G50" i="3" a="1"/>
  <c r="H37" i="3" a="1"/>
  <c r="H46" i="3" a="1"/>
  <c r="E44" i="3" l="1"/>
  <c r="L44" i="3" s="1"/>
  <c r="D45" i="4"/>
  <c r="B7" i="5" s="1"/>
  <c r="E13" i="4"/>
  <c r="E14" i="4" s="1"/>
  <c r="E19" i="4" s="1"/>
  <c r="E26" i="5" s="1"/>
  <c r="E51" i="3"/>
  <c r="L51" i="3" s="1"/>
  <c r="F19" i="4"/>
  <c r="E27" i="5" s="1"/>
  <c r="D19" i="4"/>
  <c r="E25" i="5" s="1"/>
  <c r="C19" i="4"/>
  <c r="E24" i="5" s="1"/>
  <c r="H46" i="3"/>
  <c r="H37" i="3"/>
  <c r="G50" i="3"/>
  <c r="H36" i="3"/>
  <c r="H51" i="3"/>
  <c r="E32" i="3"/>
  <c r="H33" i="3"/>
  <c r="I23" i="3"/>
  <c r="E33" i="3"/>
  <c r="H31" i="3"/>
  <c r="G33" i="3"/>
  <c r="E35" i="3"/>
  <c r="G31" i="3"/>
  <c r="H50" i="3"/>
  <c r="I50" i="3" s="1"/>
  <c r="H35" i="3"/>
  <c r="E37" i="3"/>
  <c r="H49" i="3"/>
  <c r="I49" i="3" s="1"/>
  <c r="H34" i="3"/>
  <c r="G36" i="3"/>
  <c r="H32" i="3"/>
  <c r="I24" i="3"/>
  <c r="H48" i="3"/>
  <c r="G49" i="3"/>
  <c r="E34" i="3"/>
  <c r="G38" i="3"/>
  <c r="E36" i="3"/>
  <c r="H38" i="3"/>
  <c r="G44" i="3"/>
  <c r="G35" i="3"/>
  <c r="G46" i="3"/>
  <c r="G45" i="3"/>
  <c r="G48" i="3"/>
  <c r="E38" i="3"/>
  <c r="G37" i="3"/>
  <c r="H47" i="3"/>
  <c r="G47" i="3"/>
  <c r="G34" i="3"/>
  <c r="E31" i="3"/>
  <c r="G51" i="3"/>
  <c r="I25" i="3"/>
  <c r="G32" i="3"/>
  <c r="H45" i="3"/>
  <c r="H44" i="3"/>
  <c r="I44" i="3"/>
  <c r="L45" i="3"/>
  <c r="I45" i="3"/>
  <c r="L48" i="3"/>
  <c r="D20" i="4" l="1"/>
  <c r="F25" i="5" s="1"/>
  <c r="C20" i="4"/>
  <c r="F24" i="5" s="1"/>
  <c r="E20" i="4"/>
  <c r="F26" i="5" s="1"/>
  <c r="D10" i="4"/>
  <c r="C10" i="4"/>
  <c r="F10" i="4"/>
  <c r="E10" i="4"/>
  <c r="I46" i="3"/>
  <c r="E12" i="4" s="1"/>
  <c r="I48" i="3"/>
  <c r="F12" i="4" s="1"/>
  <c r="F20" i="4"/>
  <c r="F27" i="5" s="1"/>
  <c r="D22" i="4"/>
  <c r="D21" i="4"/>
  <c r="G25" i="5" s="1"/>
  <c r="F22" i="4"/>
  <c r="C22" i="4"/>
  <c r="E21" i="4"/>
  <c r="G26" i="5" s="1"/>
  <c r="E22" i="4"/>
  <c r="D29" i="4"/>
  <c r="E29" i="4"/>
  <c r="F29" i="4"/>
  <c r="C29" i="4"/>
  <c r="I51" i="3"/>
  <c r="D31" i="3"/>
  <c r="F31" i="3" s="1"/>
  <c r="D33" i="3"/>
  <c r="F33" i="3" s="1"/>
  <c r="I33" i="3" s="1"/>
  <c r="D32" i="3"/>
  <c r="F32" i="3" s="1"/>
  <c r="I32" i="3" s="1"/>
  <c r="D37" i="3"/>
  <c r="F37" i="3" s="1"/>
  <c r="I37" i="3" s="1"/>
  <c r="D38" i="3"/>
  <c r="F38" i="3" s="1"/>
  <c r="I38" i="3" s="1"/>
  <c r="D34" i="3"/>
  <c r="F34" i="3" s="1"/>
  <c r="I34" i="3" s="1"/>
  <c r="D36" i="3"/>
  <c r="F36" i="3" s="1"/>
  <c r="I36" i="3" s="1"/>
  <c r="D35" i="3"/>
  <c r="F35" i="3" s="1"/>
  <c r="I35" i="3" s="1"/>
  <c r="I47" i="3"/>
  <c r="F11" i="4" l="1"/>
  <c r="C16" i="5"/>
  <c r="D11" i="4"/>
  <c r="D23" i="4" s="1"/>
  <c r="G14" i="5" s="1"/>
  <c r="C14" i="5"/>
  <c r="C12" i="4"/>
  <c r="E23" i="4"/>
  <c r="G15" i="5" s="1"/>
  <c r="D12" i="4"/>
  <c r="C21" i="4"/>
  <c r="G24" i="5" s="1"/>
  <c r="E11" i="4"/>
  <c r="C15" i="5"/>
  <c r="F23" i="4"/>
  <c r="G16" i="5" s="1"/>
  <c r="F21" i="4"/>
  <c r="G27" i="5" s="1"/>
  <c r="C13" i="5"/>
  <c r="C11" i="4"/>
  <c r="C23" i="4" s="1"/>
  <c r="I31" i="3"/>
  <c r="E28" i="4" a="1"/>
  <c r="E28" i="4" s="1"/>
  <c r="E31" i="4" s="1" a="1"/>
  <c r="E31" i="4" s="1"/>
  <c r="D28" i="4" a="1"/>
  <c r="D28" i="4" s="1"/>
  <c r="F28" i="4" a="1"/>
  <c r="F28" i="4" s="1"/>
  <c r="F31" i="4" s="1" a="1"/>
  <c r="F31" i="4" s="1"/>
  <c r="C28" i="4" a="1"/>
  <c r="C28" i="4" s="1"/>
  <c r="C31" i="4" s="1" a="1"/>
  <c r="C31" i="4" s="1"/>
  <c r="E15" i="5" a="1"/>
  <c r="D26" i="5" a="1"/>
  <c r="E13" i="5" a="1"/>
  <c r="D24" i="5" a="1"/>
  <c r="E16" i="5" a="1"/>
  <c r="D27" i="5" a="1"/>
  <c r="G13" i="5" l="1"/>
  <c r="D17" i="5"/>
  <c r="D27" i="5"/>
  <c r="E16" i="5"/>
  <c r="D24" i="5"/>
  <c r="E13" i="5"/>
  <c r="D26" i="5"/>
  <c r="E15" i="5"/>
  <c r="D31" i="4" a="1"/>
  <c r="D31" i="4" s="1"/>
  <c r="C37" i="4" a="1"/>
  <c r="C37" i="4" s="1"/>
  <c r="C38" i="4" a="1"/>
  <c r="C38" i="4" s="1"/>
  <c r="F30" i="4" a="1"/>
  <c r="F30" i="4" s="1"/>
  <c r="E30" i="4" a="1"/>
  <c r="E30" i="4" s="1"/>
  <c r="C30" i="4" a="1"/>
  <c r="C30" i="4" s="1"/>
  <c r="D30" i="4" a="1"/>
  <c r="D30" i="4" s="1"/>
  <c r="D127" i="5" a="1"/>
  <c r="D130" i="5" a="1"/>
  <c r="D129" i="5" a="1"/>
  <c r="D128" i="5" a="1"/>
  <c r="D16" i="5" a="1"/>
  <c r="G97" i="5" a="1"/>
  <c r="G114" i="5" a="1"/>
  <c r="G75" i="5" a="1"/>
  <c r="G98" i="5" a="1"/>
  <c r="G115" i="5" a="1"/>
  <c r="G99" i="5" a="1"/>
  <c r="G82" i="5" a="1"/>
  <c r="G81" i="5" a="1"/>
  <c r="G121" i="5" a="1"/>
  <c r="G106" i="5" a="1"/>
  <c r="G89" i="5" a="1"/>
  <c r="G107" i="5" a="1"/>
  <c r="G105" i="5" a="1"/>
  <c r="G83" i="5" a="1"/>
  <c r="G123" i="5" a="1"/>
  <c r="G90" i="5" a="1"/>
  <c r="G111" i="5" a="1"/>
  <c r="G122" i="5" a="1"/>
  <c r="F16" i="5" a="1"/>
  <c r="G91" i="5" a="1"/>
  <c r="G113" i="5" a="1"/>
  <c r="G79" i="5" a="1"/>
  <c r="G87" i="5" a="1"/>
  <c r="G95" i="5" a="1"/>
  <c r="G103" i="5" a="1"/>
  <c r="G119" i="5" a="1"/>
  <c r="G80" i="5" a="1"/>
  <c r="G88" i="5" a="1"/>
  <c r="G96" i="5" a="1"/>
  <c r="G104" i="5" a="1"/>
  <c r="G112" i="5" a="1"/>
  <c r="G120" i="5" a="1"/>
  <c r="G76" i="5" a="1"/>
  <c r="G84" i="5" a="1"/>
  <c r="G92" i="5" a="1"/>
  <c r="G100" i="5" a="1"/>
  <c r="G108" i="5" a="1"/>
  <c r="G116" i="5" a="1"/>
  <c r="G124" i="5" a="1"/>
  <c r="G77" i="5" a="1"/>
  <c r="G85" i="5" a="1"/>
  <c r="G93" i="5" a="1"/>
  <c r="G101" i="5" a="1"/>
  <c r="G109" i="5" a="1"/>
  <c r="G117" i="5" a="1"/>
  <c r="G78" i="5" a="1"/>
  <c r="G86" i="5" a="1"/>
  <c r="G94" i="5" a="1"/>
  <c r="G102" i="5" a="1"/>
  <c r="G110" i="5" a="1"/>
  <c r="G118" i="5" a="1"/>
  <c r="F113" i="5" a="1"/>
  <c r="F95" i="5" a="1"/>
  <c r="F112" i="5" a="1"/>
  <c r="F89" i="5" a="1"/>
  <c r="F111" i="5" a="1"/>
  <c r="F88" i="5" a="1"/>
  <c r="F81" i="5" a="1"/>
  <c r="F105" i="5" a="1"/>
  <c r="F104" i="5" a="1"/>
  <c r="F121" i="5" a="1"/>
  <c r="F103" i="5" a="1"/>
  <c r="F80" i="5" a="1"/>
  <c r="F87" i="5" a="1"/>
  <c r="F120" i="5" a="1"/>
  <c r="F97" i="5" a="1"/>
  <c r="F79" i="5" a="1"/>
  <c r="F119" i="5" a="1"/>
  <c r="F96" i="5" a="1"/>
  <c r="F15" i="5" a="1"/>
  <c r="F123" i="5" a="1"/>
  <c r="F115" i="5" a="1"/>
  <c r="F107" i="5" a="1"/>
  <c r="F99" i="5" a="1"/>
  <c r="F91" i="5" a="1"/>
  <c r="F83" i="5" a="1"/>
  <c r="F75" i="5" a="1"/>
  <c r="F122" i="5" a="1"/>
  <c r="F114" i="5" a="1"/>
  <c r="F106" i="5" a="1"/>
  <c r="F98" i="5" a="1"/>
  <c r="F90" i="5" a="1"/>
  <c r="F82" i="5" a="1"/>
  <c r="D15" i="5" a="1"/>
  <c r="F118" i="5" a="1"/>
  <c r="F110" i="5" a="1"/>
  <c r="F102" i="5" a="1"/>
  <c r="F94" i="5" a="1"/>
  <c r="F86" i="5" a="1"/>
  <c r="F78" i="5" a="1"/>
  <c r="F117" i="5" a="1"/>
  <c r="F109" i="5" a="1"/>
  <c r="F101" i="5" a="1"/>
  <c r="F93" i="5" a="1"/>
  <c r="F85" i="5" a="1"/>
  <c r="F77" i="5" a="1"/>
  <c r="F124" i="5" a="1"/>
  <c r="F116" i="5" a="1"/>
  <c r="F108" i="5" a="1"/>
  <c r="F100" i="5" a="1"/>
  <c r="F92" i="5" a="1"/>
  <c r="F84" i="5" a="1"/>
  <c r="F76" i="5" a="1"/>
  <c r="D113" i="5" a="1"/>
  <c r="D78" i="5" a="1"/>
  <c r="D89" i="5" a="1"/>
  <c r="D99" i="5" a="1"/>
  <c r="D111" i="5" a="1"/>
  <c r="D115" i="5" a="1"/>
  <c r="D101" i="5" a="1"/>
  <c r="D102" i="5" a="1"/>
  <c r="D82" i="5" a="1"/>
  <c r="F13" i="5" a="1"/>
  <c r="D83" i="5" a="1"/>
  <c r="D94" i="5" a="1"/>
  <c r="D105" i="5" a="1"/>
  <c r="D118" i="5" a="1"/>
  <c r="D13" i="5" a="1"/>
  <c r="D85" i="5" a="1"/>
  <c r="D95" i="5" a="1"/>
  <c r="D107" i="5" a="1"/>
  <c r="D119" i="5" a="1"/>
  <c r="D79" i="5" a="1"/>
  <c r="D81" i="5" a="1"/>
  <c r="D93" i="5" a="1"/>
  <c r="D117" i="5" a="1"/>
  <c r="D75" i="5" a="1"/>
  <c r="D86" i="5" a="1"/>
  <c r="D97" i="5" a="1"/>
  <c r="D109" i="5" a="1"/>
  <c r="D121" i="5" a="1"/>
  <c r="D90" i="5" a="1"/>
  <c r="D91" i="5" a="1"/>
  <c r="D103" i="5" a="1"/>
  <c r="D77" i="5" a="1"/>
  <c r="D87" i="5" a="1"/>
  <c r="D98" i="5" a="1"/>
  <c r="D110" i="5" a="1"/>
  <c r="D123" i="5" a="1"/>
  <c r="D76" i="5" a="1"/>
  <c r="D84" i="5" a="1"/>
  <c r="D92" i="5" a="1"/>
  <c r="D100" i="5" a="1"/>
  <c r="D108" i="5" a="1"/>
  <c r="D116" i="5" a="1"/>
  <c r="D124" i="5" a="1"/>
  <c r="D80" i="5" a="1"/>
  <c r="D88" i="5" a="1"/>
  <c r="D96" i="5" a="1"/>
  <c r="D104" i="5" a="1"/>
  <c r="D112" i="5" a="1"/>
  <c r="D120" i="5" a="1"/>
  <c r="D106" i="5" a="1"/>
  <c r="D114" i="5" a="1"/>
  <c r="D122" i="5" a="1"/>
  <c r="D25" i="5" a="1"/>
  <c r="E14" i="5" a="1"/>
  <c r="E101" i="5" a="1"/>
  <c r="E83" i="5" a="1"/>
  <c r="B6" i="5" a="1"/>
  <c r="E79" i="5" a="1"/>
  <c r="E89" i="5" a="1"/>
  <c r="E100" i="5" a="1"/>
  <c r="E111" i="5" a="1"/>
  <c r="E121" i="5" a="1"/>
  <c r="E112" i="5" a="1"/>
  <c r="E92" i="5" a="1"/>
  <c r="E124" i="5" a="1"/>
  <c r="E91" i="5" a="1"/>
  <c r="E123" i="5" a="1"/>
  <c r="E81" i="5" a="1"/>
  <c r="E113" i="5" a="1"/>
  <c r="E93" i="5" a="1"/>
  <c r="E104" i="5" a="1"/>
  <c r="E75" i="5" a="1"/>
  <c r="E84" i="5" a="1"/>
  <c r="E95" i="5" a="1"/>
  <c r="E105" i="5" a="1"/>
  <c r="E116" i="5" a="1"/>
  <c r="E85" i="5" a="1"/>
  <c r="E96" i="5" a="1"/>
  <c r="E107" i="5" a="1"/>
  <c r="E115" i="5" a="1"/>
  <c r="E76" i="5" a="1"/>
  <c r="E117" i="5" a="1"/>
  <c r="E77" i="5" a="1"/>
  <c r="E87" i="5" a="1"/>
  <c r="E97" i="5" a="1"/>
  <c r="E108" i="5" a="1"/>
  <c r="E119" i="5" a="1"/>
  <c r="E80" i="5" a="1"/>
  <c r="E103" i="5" a="1"/>
  <c r="E78" i="5" a="1"/>
  <c r="E88" i="5" a="1"/>
  <c r="E99" i="5" a="1"/>
  <c r="E109" i="5" a="1"/>
  <c r="E120" i="5" a="1"/>
  <c r="D14" i="5" a="1"/>
  <c r="E82" i="5" a="1"/>
  <c r="E90" i="5" a="1"/>
  <c r="E98" i="5" a="1"/>
  <c r="E106" i="5" a="1"/>
  <c r="E114" i="5" a="1"/>
  <c r="E122" i="5" a="1"/>
  <c r="E86" i="5" a="1"/>
  <c r="E94" i="5" a="1"/>
  <c r="E102" i="5" a="1"/>
  <c r="E110" i="5" a="1"/>
  <c r="E118" i="5" a="1"/>
  <c r="F14" i="5" a="1"/>
  <c r="D36" i="5" a="1"/>
  <c r="D36" i="5" l="1"/>
  <c r="F14" i="5"/>
  <c r="E118" i="5"/>
  <c r="E110" i="5"/>
  <c r="E102" i="5"/>
  <c r="E94" i="5"/>
  <c r="E86" i="5"/>
  <c r="E122" i="5"/>
  <c r="E114" i="5"/>
  <c r="E106" i="5"/>
  <c r="E98" i="5"/>
  <c r="E90" i="5"/>
  <c r="E82" i="5"/>
  <c r="D14" i="5"/>
  <c r="E120" i="5"/>
  <c r="E109" i="5"/>
  <c r="E99" i="5"/>
  <c r="E88" i="5"/>
  <c r="E78" i="5"/>
  <c r="E103" i="5"/>
  <c r="E80" i="5"/>
  <c r="E119" i="5"/>
  <c r="E108" i="5"/>
  <c r="E97" i="5"/>
  <c r="E87" i="5"/>
  <c r="E77" i="5"/>
  <c r="E117" i="5"/>
  <c r="E76" i="5"/>
  <c r="E115" i="5"/>
  <c r="E107" i="5"/>
  <c r="E96" i="5"/>
  <c r="E85" i="5"/>
  <c r="E116" i="5"/>
  <c r="E105" i="5"/>
  <c r="E95" i="5"/>
  <c r="E84" i="5"/>
  <c r="E75" i="5"/>
  <c r="E104" i="5"/>
  <c r="E93" i="5"/>
  <c r="E113" i="5"/>
  <c r="E81" i="5"/>
  <c r="E123" i="5"/>
  <c r="E91" i="5"/>
  <c r="E124" i="5"/>
  <c r="E92" i="5"/>
  <c r="E112" i="5"/>
  <c r="E121" i="5"/>
  <c r="E111" i="5"/>
  <c r="E100" i="5"/>
  <c r="E89" i="5"/>
  <c r="E79" i="5"/>
  <c r="B6" i="5"/>
  <c r="E83" i="5"/>
  <c r="E101" i="5"/>
  <c r="E14" i="5"/>
  <c r="D25" i="5"/>
  <c r="D122" i="5"/>
  <c r="D114" i="5"/>
  <c r="D106" i="5"/>
  <c r="D120" i="5"/>
  <c r="D112" i="5"/>
  <c r="D104" i="5"/>
  <c r="D96" i="5"/>
  <c r="D88" i="5"/>
  <c r="D80" i="5"/>
  <c r="D124" i="5"/>
  <c r="D116" i="5"/>
  <c r="D108" i="5"/>
  <c r="D100" i="5"/>
  <c r="D92" i="5"/>
  <c r="D84" i="5"/>
  <c r="D76" i="5"/>
  <c r="D123" i="5"/>
  <c r="D110" i="5"/>
  <c r="D98" i="5"/>
  <c r="D87" i="5"/>
  <c r="D77" i="5"/>
  <c r="D103" i="5"/>
  <c r="D91" i="5"/>
  <c r="D90" i="5"/>
  <c r="D121" i="5"/>
  <c r="D109" i="5"/>
  <c r="D97" i="5"/>
  <c r="D86" i="5"/>
  <c r="D75" i="5"/>
  <c r="D117" i="5"/>
  <c r="D93" i="5"/>
  <c r="D81" i="5"/>
  <c r="D79" i="5"/>
  <c r="D119" i="5"/>
  <c r="D107" i="5"/>
  <c r="D95" i="5"/>
  <c r="D85" i="5"/>
  <c r="D13" i="5"/>
  <c r="D118" i="5"/>
  <c r="D105" i="5"/>
  <c r="D94" i="5"/>
  <c r="D83" i="5"/>
  <c r="F13" i="5"/>
  <c r="D82" i="5"/>
  <c r="D102" i="5"/>
  <c r="D101" i="5"/>
  <c r="D115" i="5"/>
  <c r="D111" i="5"/>
  <c r="D99" i="5"/>
  <c r="D89" i="5"/>
  <c r="D78" i="5"/>
  <c r="D113" i="5"/>
  <c r="F76" i="5"/>
  <c r="F84" i="5"/>
  <c r="F92" i="5"/>
  <c r="F100" i="5"/>
  <c r="F108" i="5"/>
  <c r="F116" i="5"/>
  <c r="F124" i="5"/>
  <c r="F77" i="5"/>
  <c r="F85" i="5"/>
  <c r="F93" i="5"/>
  <c r="F101" i="5"/>
  <c r="F109" i="5"/>
  <c r="F117" i="5"/>
  <c r="F78" i="5"/>
  <c r="F86" i="5"/>
  <c r="F94" i="5"/>
  <c r="F102" i="5"/>
  <c r="F110" i="5"/>
  <c r="F118" i="5"/>
  <c r="D15" i="5"/>
  <c r="F82" i="5"/>
  <c r="F90" i="5"/>
  <c r="F98" i="5"/>
  <c r="F106" i="5"/>
  <c r="F114" i="5"/>
  <c r="F122" i="5"/>
  <c r="F75" i="5"/>
  <c r="F83" i="5"/>
  <c r="F91" i="5"/>
  <c r="F99" i="5"/>
  <c r="F107" i="5"/>
  <c r="F115" i="5"/>
  <c r="F123" i="5"/>
  <c r="F15" i="5"/>
  <c r="F96" i="5"/>
  <c r="F119" i="5"/>
  <c r="F79" i="5"/>
  <c r="F97" i="5"/>
  <c r="F120" i="5"/>
  <c r="F87" i="5"/>
  <c r="F80" i="5"/>
  <c r="F103" i="5"/>
  <c r="F121" i="5"/>
  <c r="F104" i="5"/>
  <c r="F105" i="5"/>
  <c r="F81" i="5"/>
  <c r="F88" i="5"/>
  <c r="F111" i="5"/>
  <c r="F89" i="5"/>
  <c r="F112" i="5"/>
  <c r="F95" i="5"/>
  <c r="F113" i="5"/>
  <c r="G118" i="5"/>
  <c r="G110" i="5"/>
  <c r="G102" i="5"/>
  <c r="G94" i="5"/>
  <c r="G86" i="5"/>
  <c r="G78" i="5"/>
  <c r="G117" i="5"/>
  <c r="G109" i="5"/>
  <c r="G101" i="5"/>
  <c r="G93" i="5"/>
  <c r="G85" i="5"/>
  <c r="G77" i="5"/>
  <c r="G124" i="5"/>
  <c r="G116" i="5"/>
  <c r="G108" i="5"/>
  <c r="G100" i="5"/>
  <c r="G92" i="5"/>
  <c r="G84" i="5"/>
  <c r="G76" i="5"/>
  <c r="G120" i="5"/>
  <c r="G112" i="5"/>
  <c r="G104" i="5"/>
  <c r="G96" i="5"/>
  <c r="G88" i="5"/>
  <c r="G80" i="5"/>
  <c r="G119" i="5"/>
  <c r="G103" i="5"/>
  <c r="G95" i="5"/>
  <c r="G87" i="5"/>
  <c r="G79" i="5"/>
  <c r="G113" i="5"/>
  <c r="G91" i="5"/>
  <c r="F16" i="5"/>
  <c r="G122" i="5"/>
  <c r="G111" i="5"/>
  <c r="G90" i="5"/>
  <c r="G123" i="5"/>
  <c r="G83" i="5"/>
  <c r="G105" i="5"/>
  <c r="G107" i="5"/>
  <c r="G89" i="5"/>
  <c r="G106" i="5"/>
  <c r="G121" i="5"/>
  <c r="G81" i="5"/>
  <c r="G82" i="5"/>
  <c r="G99" i="5"/>
  <c r="G115" i="5"/>
  <c r="G98" i="5"/>
  <c r="G75" i="5"/>
  <c r="G114" i="5"/>
  <c r="G97" i="5"/>
  <c r="D16" i="5"/>
  <c r="D128" i="5"/>
  <c r="D129" i="5"/>
  <c r="D130" i="5"/>
  <c r="D127" i="5"/>
  <c r="D39" i="5" s="1"/>
  <c r="C39" i="4" a="1"/>
  <c r="C39" i="4" s="1"/>
  <c r="D133" i="5" a="1"/>
  <c r="D35" i="5" a="1"/>
  <c r="D33" i="5" a="1"/>
  <c r="D34" i="5" a="1"/>
  <c r="B49" i="5" a="1"/>
  <c r="D40" i="5" l="1"/>
  <c r="D41" i="5"/>
  <c r="C53" i="5"/>
  <c r="E58" i="5"/>
  <c r="D58" i="5"/>
  <c r="C54" i="5"/>
  <c r="D57" i="5"/>
  <c r="E51" i="5"/>
  <c r="C51" i="5"/>
  <c r="B55" i="5"/>
  <c r="B141" i="5" s="1"/>
  <c r="E56" i="5"/>
  <c r="D56" i="5"/>
  <c r="C52" i="5"/>
  <c r="B54" i="5"/>
  <c r="B140" i="5" s="1"/>
  <c r="D53" i="5"/>
  <c r="E49" i="5"/>
  <c r="C49" i="5"/>
  <c r="E54" i="5"/>
  <c r="D54" i="5"/>
  <c r="C50" i="5"/>
  <c r="D49" i="5"/>
  <c r="D59" i="5"/>
  <c r="C57" i="5"/>
  <c r="C58" i="5"/>
  <c r="E55" i="5"/>
  <c r="B57" i="5"/>
  <c r="B143" i="5" s="1"/>
  <c r="E60" i="5"/>
  <c r="D60" i="5"/>
  <c r="C56" i="5"/>
  <c r="B56" i="5"/>
  <c r="B142" i="5" s="1"/>
  <c r="D61" i="5"/>
  <c r="E53" i="5"/>
  <c r="C55" i="5"/>
  <c r="B53" i="5"/>
  <c r="B139" i="5" s="1"/>
  <c r="C60" i="5"/>
  <c r="E59" i="5"/>
  <c r="B60" i="5"/>
  <c r="B146" i="5" s="1"/>
  <c r="E57" i="5"/>
  <c r="B51" i="5"/>
  <c r="B137" i="5" s="1"/>
  <c r="D55" i="5"/>
  <c r="C61" i="5"/>
  <c r="E52" i="5"/>
  <c r="B58" i="5"/>
  <c r="B144" i="5" s="1"/>
  <c r="D51" i="5"/>
  <c r="C59" i="5"/>
  <c r="E50" i="5"/>
  <c r="B52" i="5"/>
  <c r="B138" i="5" s="1"/>
  <c r="B61" i="5"/>
  <c r="B147" i="5" s="1"/>
  <c r="B49" i="5"/>
  <c r="B135" i="5" s="1"/>
  <c r="D52" i="5"/>
  <c r="B50" i="5"/>
  <c r="B136" i="5" s="1"/>
  <c r="B59" i="5"/>
  <c r="B145" i="5" s="1"/>
  <c r="D50" i="5"/>
  <c r="E61" i="5"/>
  <c r="D34" i="5"/>
  <c r="D33" i="5"/>
  <c r="D35" i="5"/>
  <c r="D133" i="5"/>
  <c r="D43" i="5"/>
  <c r="D42" i="5"/>
  <c r="D44" i="5" l="1"/>
  <c r="F136" i="5"/>
  <c r="G145" i="5"/>
  <c r="G142" i="5"/>
  <c r="F135" i="5"/>
  <c r="G138" i="5"/>
  <c r="F144" i="5"/>
  <c r="F145" i="5"/>
  <c r="G140" i="5"/>
  <c r="F147" i="5"/>
  <c r="G143" i="5"/>
  <c r="F139" i="5"/>
  <c r="F143" i="5"/>
  <c r="F138" i="5"/>
  <c r="G147" i="5"/>
  <c r="G141" i="5"/>
  <c r="G135" i="5"/>
  <c r="G137" i="5"/>
  <c r="F141" i="5"/>
  <c r="G144" i="5"/>
  <c r="F137" i="5"/>
  <c r="F146" i="5"/>
  <c r="G136" i="5"/>
  <c r="F142" i="5"/>
  <c r="G146" i="5"/>
  <c r="F140" i="5"/>
  <c r="G139"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<sst xmlns="http://schemas.openxmlformats.org/spreadsheetml/2006/main" count="400" uniqueCount="328">
  <si>
    <t>Exploration Portfolio with Shared Play Risk</t>
  </si>
  <si>
    <t>ModelRisk example  ·  Oil and gas  ·  OG-06</t>
  </si>
  <si>
    <t>Which wells should we drill next year?  Four drilling programmes compared on value and on the chance of a dry year.</t>
  </si>
  <si>
    <t>Next:  Inputs  ▸</t>
  </si>
  <si>
    <t>Model card</t>
  </si>
  <si>
    <t>Industry</t>
  </si>
  <si>
    <t>Oil and gas</t>
  </si>
  <si>
    <t>Difficulty</t>
  </si>
  <si>
    <t>★★★★☆   Compares drilling programmes built from eight prospects whose success depends on shared play risk.</t>
  </si>
  <si>
    <t>Business question</t>
  </si>
  <si>
    <t>With a budget of US$270 million and eight drill-ready prospects in three plays, which drilling programme gives the best value at an acceptable risk of finding nothing — and how far does a calculation that treats the prospects as independent understate that risk?</t>
  </si>
  <si>
    <t>Who it is for</t>
  </si>
  <si>
    <t>Exploration managers, portfolio and planning teams, and geoscientists who risk prospects.</t>
  </si>
  <si>
    <t>Main outputs</t>
  </si>
  <si>
    <t>For each programme: expected value (EMV), chance of finding nothing, chance of losing money and the range of value · the programme recommended within the budget and the risk limit · how shared play risk changes the chance of a dry year · discoveries and value drivers of one programme in detail.</t>
  </si>
  <si>
    <t>ModelRisk techniques</t>
  </si>
  <si>
    <t>Shared (dependent) risk through one Bernoulli trial per play · a local Bernoulli trial per prospect · PERT well costs and Lognormal values from P90 and P10 · four programmes evaluated on the same simulated outcomes · exact calculations that check the simulation · a decision rule applied to simulation results.</t>
  </si>
  <si>
    <t>File</t>
  </si>
  <si>
    <t>OG-06 Exploration portfolio with shared play risk  ·  Version 1.0  ·  October 2026  ·  built with ModelRisk 10</t>
  </si>
  <si>
    <t>The business question</t>
  </si>
  <si>
    <t>The exploration team has eight drill-ready prospects in three plays and a budget for about five wells next year. Prospects in the same play share the play's risk: if the play does not work — no charge from the source rock, say, or no regional seal — every prospect in it is dry, however good its trap. A proven play almost always works, so its prospects succeed or fail on local risk; a frontier play may not work at all, but its prospects are large. Four drilling programmes are on the table: concentrate on the proven play, balance across the plays, chase the frontier upside, or the team's own mix. The model evaluates all four on the same simulated outcomes, so the differences between them come from the programmes, not from the luck of the draw. It reports each programme's expected value, its chance of finding nothing at all and its chance of losing money, and it recommends the most valuable programme that stays within the budget and the company's appetite for a dry year. It also shows how much a simple calculation that treats the prospects as independent understates the chance of a dry year.</t>
  </si>
  <si>
    <t>How the model works</t>
  </si>
  <si>
    <t>Four sheets after this one, read from left to right. Each one feeds the next.</t>
  </si>
  <si>
    <t>1  Inputs</t>
  </si>
  <si>
    <t>The exploration budget, the largest acceptable chance that a programme finds nothing, the programme to analyse in detail, and for each play the chance that it works at all.</t>
  </si>
  <si>
    <t>2  Prospects</t>
  </si>
  <si>
    <t>Each prospect's chance of success if its play works, its well cost (PERT) and its value if it finds oil (Lognormal from P90 and P10). The 1s and 0s on the right define which prospects each programme drills. In every iteration one Bernoulli trial per play decides whether the play works and one per prospect decides the local outcome; a prospect is a discovery only if both succeed.</t>
  </si>
  <si>
    <t>3  Programmes</t>
  </si>
  <si>
    <t>For each programme: its expected cost against the budget, its expected value and its chance of finding nothing, calculated exactly from the inputs; and, for this iteration, its discoveries, its cost and its value. All four programmes use the same simulated outcomes.</t>
  </si>
  <si>
    <t>4  Results</t>
  </si>
  <si>
    <t>Expected value, chance of finding nothing and chance of losing money for each programme; the recommended programme; the effect of shared play risk; and the discoveries and value drivers of the programme chosen for detail.</t>
  </si>
  <si>
    <t>How to use it</t>
  </si>
  <si>
    <t>Step 1</t>
  </si>
  <si>
    <t>Review the plays on the Inputs sheet and the prospect inventory on the Prospects sheet; change the 1s and 0s to design your own programme (column 4).</t>
  </si>
  <si>
    <t>Step 2</t>
  </si>
  <si>
    <t>Set the budget and the acceptable chance of a dry programme on the Inputs sheet.</t>
  </si>
  <si>
    <t>Step 3</t>
  </si>
  <si>
    <t>Run a simulation from the ModelRisk ribbon (10,000 samples with a fixed seed are set) and read the recommendation on the Results sheet.</t>
  </si>
  <si>
    <t>Step 4</t>
  </si>
  <si>
    <t>To see another programme in detail, change its number on the Inputs sheet and simulate again.</t>
  </si>
  <si>
    <t>Workbook map</t>
  </si>
  <si>
    <t>Inputs</t>
  </si>
  <si>
    <t>Budget, risk limit, the programme analysed in detail, and the chance that each play works.</t>
  </si>
  <si>
    <t>Prospects</t>
  </si>
  <si>
    <t>The prospect inventory and programme membership; this iteration's outcome per prospect; exact expected values.</t>
  </si>
  <si>
    <t>Programmes</t>
  </si>
  <si>
    <t>Each programme's cost, expected value and chance of finding nothing; this iteration's discoveries and value; checks.</t>
  </si>
  <si>
    <t>Results</t>
  </si>
  <si>
    <t>Programme comparison and recommendation, the effect of shared play risk, and one programme in detail.</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</si>
  <si>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</si>
  <si>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</si>
  <si>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</si>
  <si>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</si>
  <si>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</si>
  <si>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</si>
  <si>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</si>
  <si>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</si>
  <si>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</si>
  <si>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</si>
  <si>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</si>
  <si>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</si>
  <si>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</si>
  <si>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present values at the time of the drilling decision.</t>
  </si>
  <si>
    <t>Value if discovered</t>
  </si>
  <si>
    <t>NPV of developing a discovery, after development costs and tax, before the cost of the exploration well.</t>
  </si>
  <si>
    <t>P90 / P10</t>
  </si>
  <si>
    <t>Petroleum convention for prospect values: P90 is the low estimate (90% chance of being exceeded), P10 the high one.</t>
  </si>
  <si>
    <t>EMV</t>
  </si>
  <si>
    <t>Expected monetary value: the average programme NPV over all simulated outcomes, dry holes included.</t>
  </si>
  <si>
    <t>Key assumptions and limitations</t>
  </si>
  <si>
    <t>Dependence</t>
  </si>
  <si>
    <t>Prospects in the same play share the play's risk; once the play works, their local risks are independent. The plays are independent of each other.</t>
  </si>
  <si>
    <t>Values</t>
  </si>
  <si>
    <t>A discovery's value does not depend on other discoveries: no shared facilities and no capacity limits.</t>
  </si>
  <si>
    <t>Costs</t>
  </si>
  <si>
    <t>A well costs the same whether it finds oil or not; costs are independent of each other.</t>
  </si>
  <si>
    <t>Data</t>
  </si>
  <si>
    <t>Prospects, chances and values are invented for this example.</t>
  </si>
  <si>
    <t>ModelRisk functions used</t>
  </si>
  <si>
    <t>VoseBernoulli</t>
  </si>
  <si>
    <t>Whether each play works and whether each prospect succeeds locally: one trial per play and one per prospect.</t>
  </si>
  <si>
    <t>VosePERT, VoseLognormalAlt</t>
  </si>
  <si>
    <t>Well cost from low, most likely and high; value if discovered from its P90 and P10.</t>
  </si>
  <si>
    <t>VoseInput, VoseOutput</t>
  </si>
  <si>
    <t>Name the uncertain quantities and the programme outputs for the Results Viewer and sensitivity analysis.</t>
  </si>
  <si>
    <t>VoseSimMean, VoseSimProbability, VoseSimPercentile</t>
  </si>
  <si>
    <t>Statistics of the simulation for the tables and charts on the Results sheet.</t>
  </si>
  <si>
    <t>VoseSimSensitivityMean</t>
  </si>
  <si>
    <t>The tornado chart: the thirteen VoseInputs that move the mean programme NPV most across their range, ranked.</t>
  </si>
  <si>
    <t>Further reading</t>
  </si>
  <si>
    <t>Prospect risking</t>
  </si>
  <si>
    <t>Rose, P. R. (2001). Risk Analysis and Management of Petroleum Exploration Ventures. AAPG Methods in Exploration 12.</t>
  </si>
  <si>
    <t>Vose, D. (2008). Risk Analysis: A Quantitative Guide, 3rd edition. Wiley — chapters on correlation and dependency.</t>
  </si>
  <si>
    <t>© 2026 Vose Software   ·   www.vosesoftware.com   ·   An illustrative example: the figures are invented for teaching and do not describe a real company, project or asset.</t>
  </si>
  <si>
    <t>INPUTS   ·   The budget, the risk limit and the plays. The prospect inventory and the programmes are on the Prospects sheet. Change only the yellow cells.</t>
  </si>
  <si>
    <t>◂  About</t>
  </si>
  <si>
    <t>Next:  Prospects  ▸</t>
  </si>
  <si>
    <t>How to read this sheet:  yellow cells are inputs.</t>
  </si>
  <si>
    <t>1   Budget and risk appetite</t>
  </si>
  <si>
    <t>The constraints a programme must meet, and which programme the Results sheet shows in detail.</t>
  </si>
  <si>
    <t>Assumption</t>
  </si>
  <si>
    <t>Unit</t>
  </si>
  <si>
    <t>Value in model</t>
  </si>
  <si>
    <t>Uncertainty</t>
  </si>
  <si>
    <t>Basis / source (illustrative)</t>
  </si>
  <si>
    <t>Exploration budget</t>
  </si>
  <si>
    <t>US$m</t>
  </si>
  <si>
    <t>Fixed</t>
  </si>
  <si>
    <t>Expected cost of all the wells in a programme may not exceed this.</t>
  </si>
  <si>
    <t>Largest acceptable chance of finding nothing</t>
  </si>
  <si>
    <t>probability</t>
  </si>
  <si>
    <t>A programme whose chance of a dry year is higher is not recommended, whatever its value.</t>
  </si>
  <si>
    <t>Programme analysed in detail</t>
  </si>
  <si>
    <t>1 – 4</t>
  </si>
  <si>
    <t>1 Proven play focus, 2 Balanced, 3 Frontier upside, 4 Your programme. Simulate again after a change.</t>
  </si>
  <si>
    <t>2   Plays</t>
  </si>
  <si>
    <t>The chance that each play works at all: source rock charge, regional reservoir and seal. Shared by every prospect in the play.</t>
  </si>
  <si>
    <t>Chance that play A works</t>
  </si>
  <si>
    <t>Upper Jurassic sandstones  (proven). Six discoveries in the play to date: the play works; the risk left is local.</t>
  </si>
  <si>
    <t>Chance that play B works</t>
  </si>
  <si>
    <t>Lower Cretaceous turbidites  (emerging). One discovery so far; whether the reservoir extends away from it is uncertain.</t>
  </si>
  <si>
    <t>Chance that play C works</t>
  </si>
  <si>
    <t>Pre-salt carbonates  (frontier). No wells yet; charge and seal inferred from analogues on the conjugate margin.</t>
  </si>
  <si>
    <t>PROSPECTS   ·   Eight drill-ready prospects, the programmes that drill them, and what happens to each in this iteration.</t>
  </si>
  <si>
    <t>◂  Inputs</t>
  </si>
  <si>
    <t>Next:  Programmes  ▸</t>
  </si>
  <si>
    <t>1   Prospect inventory</t>
  </si>
  <si>
    <t>Yellow cells are inputs. 1 in a programme column means the programme drills that prospect.</t>
  </si>
  <si>
    <t>No.</t>
  </si>
  <si>
    <t>Prospect</t>
  </si>
  <si>
    <t>Play</t>
  </si>
  <si>
    <t>Chance of success</t>
  </si>
  <si>
    <t>Well cost  (US$m)</t>
  </si>
  <si>
    <t>Value if discovered  (US$m)</t>
  </si>
  <si>
    <t>Drilled in programme</t>
  </si>
  <si>
    <t>Note</t>
  </si>
  <si>
    <t>if the play works</t>
  </si>
  <si>
    <t>Low</t>
  </si>
  <si>
    <t>Most likely</t>
  </si>
  <si>
    <t>High</t>
  </si>
  <si>
    <t>P90 (low)</t>
  </si>
  <si>
    <t>P10 (high)</t>
  </si>
  <si>
    <t>1</t>
  </si>
  <si>
    <t>2</t>
  </si>
  <si>
    <t>3</t>
  </si>
  <si>
    <t>4</t>
  </si>
  <si>
    <t>Alder</t>
  </si>
  <si>
    <t>A</t>
  </si>
  <si>
    <t>Four-way dip closure next to the 2019 discovery</t>
  </si>
  <si>
    <t>Birch</t>
  </si>
  <si>
    <t>Fault-bounded trap; seal across the fault is the local risk</t>
  </si>
  <si>
    <t>Cedar</t>
  </si>
  <si>
    <t>Stratigraphic pinch-out; trap definition is the local risk</t>
  </si>
  <si>
    <t>Dogwood</t>
  </si>
  <si>
    <t>B</t>
  </si>
  <si>
    <t>Channel complex mapped on new 3D seismic</t>
  </si>
  <si>
    <t>Elm</t>
  </si>
  <si>
    <t>Lobe system down-dip of the play-opening discovery</t>
  </si>
  <si>
    <t>Fir</t>
  </si>
  <si>
    <t>Largest closure in the play; deeper, so reservoir quality is a risk</t>
  </si>
  <si>
    <t>Ginkgo</t>
  </si>
  <si>
    <t>C</t>
  </si>
  <si>
    <t>Carbonate build-up below the salt; the play test</t>
  </si>
  <si>
    <t>Hazel</t>
  </si>
  <si>
    <t>Second build-up, 20 km from Ginkgo; larger but deeper</t>
  </si>
  <si>
    <t>Programmes:  1 Proven play focus   ·   2 Balanced   ·   3 Frontier upside   ·   4 Your programme  (yours to change)</t>
  </si>
  <si>
    <t>2   The plays in this iteration</t>
  </si>
  <si>
    <t>One Bernoulli trial per play: if a play fails, every prospect in it is dry.</t>
  </si>
  <si>
    <t>Description</t>
  </si>
  <si>
    <t>Chance</t>
  </si>
  <si>
    <t>Works?</t>
  </si>
  <si>
    <t>How it is calculated</t>
  </si>
  <si>
    <t>Upper Jurassic sandstones  (proven)</t>
  </si>
  <si>
    <t>VoseBernoulli(Chance_PlayA): 1 if the play works in this iteration</t>
  </si>
  <si>
    <t>Lower Cretaceous turbidites  (emerging)</t>
  </si>
  <si>
    <t>VoseBernoulli(Chance_PlayB): 1 if the play works in this iteration</t>
  </si>
  <si>
    <t>Pre-salt carbonates  (frontier)</t>
  </si>
  <si>
    <t>VoseBernoulli(Chance_PlayC): 1 if the play works in this iteration</t>
  </si>
  <si>
    <t>3   Each prospect in this iteration</t>
  </si>
  <si>
    <t>A discovery needs both its play and the prospect itself to succeed. Money in US$m; costs are paid either way.</t>
  </si>
  <si>
    <t>Discovery</t>
  </si>
  <si>
    <t>Well cost</t>
  </si>
  <si>
    <t>Value if</t>
  </si>
  <si>
    <t>NPV if</t>
  </si>
  <si>
    <t>works?</t>
  </si>
  <si>
    <t>succeeds?</t>
  </si>
  <si>
    <t>1 = yes</t>
  </si>
  <si>
    <t>discovered</t>
  </si>
  <si>
    <t>drilled</t>
  </si>
  <si>
    <t>Discovery = play works × prospect succeeds;  NPV if drilled = discovery × value − well cost</t>
  </si>
  <si>
    <t>4   Expected values, calculated exactly</t>
  </si>
  <si>
    <t>What the simulation should reproduce on average: a check, and a quick ranking of the prospects.</t>
  </si>
  <si>
    <t>Chance of</t>
  </si>
  <si>
    <t>Mean</t>
  </si>
  <si>
    <t>Mean value</t>
  </si>
  <si>
    <t>EMV of</t>
  </si>
  <si>
    <t>ln(chance it</t>
  </si>
  <si>
    <t>ln(chance</t>
  </si>
  <si>
    <t>discovery</t>
  </si>
  <si>
    <t>well cost</t>
  </si>
  <si>
    <t>if discovered</t>
  </si>
  <si>
    <t>drilling</t>
  </si>
  <si>
    <t>fails locally)</t>
  </si>
  <si>
    <t>of none)</t>
  </si>
  <si>
    <t>Chance of discovery = chance the play works × chance of success</t>
  </si>
  <si>
    <t>Mean well cost: VoseMean of the PERT;  mean value: VoseMean of the Lognormal with this P90 and P10</t>
  </si>
  <si>
    <t>EMV = chance of discovery × mean value − mean well cost</t>
  </si>
  <si>
    <t>Logs turn a product of chances into a sum, so that SUMIFS can pick the prospects a programme drills</t>
  </si>
  <si>
    <t>ln(chance it fails locally) = LN(1 − chance of success);  ln(chance of none) = LN(1 − chance of discovery)</t>
  </si>
  <si>
    <t>PROGRAMMES   ·   Four drilling programmes: what each costs and is worth, and what it finds in this iteration.</t>
  </si>
  <si>
    <t>◂  Prospects</t>
  </si>
  <si>
    <t>Next:  Results  ▸</t>
  </si>
  <si>
    <t>1   What each programme costs and is worth</t>
  </si>
  <si>
    <t>Calculated exactly from the inputs: no simulation needed.</t>
  </si>
  <si>
    <t>1  Proven play focus</t>
  </si>
  <si>
    <t>2  Balanced</t>
  </si>
  <si>
    <t>3  Frontier upside</t>
  </si>
  <si>
    <t>4  Your programme</t>
  </si>
  <si>
    <t>Wells drilled</t>
  </si>
  <si>
    <t>Number of prospects the programme drills.</t>
  </si>
  <si>
    <t>Expected cost</t>
  </si>
  <si>
    <t>Sum of the mean well costs.</t>
  </si>
  <si>
    <t>Within the budget?</t>
  </si>
  <si>
    <t>Expected cost against the budget on the Inputs sheet.</t>
  </si>
  <si>
    <t>Expected value, EMV</t>
  </si>
  <si>
    <t>Sum of the prospects' EMVs: expected values add up whatever the dependence.</t>
  </si>
  <si>
    <t>Play A: every prospect drilled in it fails locally</t>
  </si>
  <si>
    <t>The product of their chances of failing locally: EXP of the sum of the logs.</t>
  </si>
  <si>
    <t>Play A: finds nothing</t>
  </si>
  <si>
    <t>The play fails, or it works and every drilled prospect in it fails locally.</t>
  </si>
  <si>
    <t>Play B: every prospect drilled in it fails locally</t>
  </si>
  <si>
    <t>Play B: finds nothing</t>
  </si>
  <si>
    <t>Play C: every prospect drilled in it fails locally</t>
  </si>
  <si>
    <t>Play C: finds nothing</t>
  </si>
  <si>
    <t>Chance of finding nothing, with shared play risk</t>
  </si>
  <si>
    <t>The three plays are independent: multiply their chances of finding nothing.</t>
  </si>
  <si>
    <t>Chance of finding nothing, if prospects were independent</t>
  </si>
  <si>
    <t>The usual shortcut: multiply each drilled prospect's chance of no discovery.</t>
  </si>
  <si>
    <t>Shared play risk adds</t>
  </si>
  <si>
    <t>Percentage points of dry-year risk that the shortcut misses.</t>
  </si>
  <si>
    <t>Within the risk limit?</t>
  </si>
  <si>
    <t>The exact chance of finding nothing against the limit on the Inputs sheet.</t>
  </si>
  <si>
    <t>Acceptable?</t>
  </si>
  <si>
    <t>Within both; otherwise which limit it breaks. Exact figures, so the verdict does not move with sampling.</t>
  </si>
  <si>
    <t>2   This iteration</t>
  </si>
  <si>
    <t>All four programmes are evaluated on the same simulated outcomes of the prospects.</t>
  </si>
  <si>
    <t>Discoveries</t>
  </si>
  <si>
    <t>Cost of the wells</t>
  </si>
  <si>
    <t>Paid whatever the wells find.</t>
  </si>
  <si>
    <t>Programme NPV</t>
  </si>
  <si>
    <t>Value of the discoveries minus the cost of all the wells.</t>
  </si>
  <si>
    <t>Finds nothing  (1 = yes)</t>
  </si>
  <si>
    <t>Its mean over the simulation is the chance of a dry year.</t>
  </si>
  <si>
    <t>3   The programme analysed in detail</t>
  </si>
  <si>
    <t>Chosen on the Inputs sheet; recorded separately so the Results sheet can show it in depth.</t>
  </si>
  <si>
    <t>Quantity</t>
  </si>
  <si>
    <t>Value</t>
  </si>
  <si>
    <t>Programme</t>
  </si>
  <si>
    <t>From the row above</t>
  </si>
  <si>
    <t>Discoveries, grouped  (1 = none … 5 = four or more)</t>
  </si>
  <si>
    <t>For the outcome table on the Results sheet</t>
  </si>
  <si>
    <t>4   Model checks</t>
  </si>
  <si>
    <t>Should all read OK. A CHECK means an input has been set outside the range the model is built for.</t>
  </si>
  <si>
    <t>Every prospect's play is A, B or C</t>
  </si>
  <si>
    <t>Programme cells hold only 1 or 0</t>
  </si>
  <si>
    <t>Every programme drills at least one well</t>
  </si>
  <si>
    <t>The programme analysed in detail is 1, 2, 3 or 4</t>
  </si>
  <si>
    <t>RESULTS   ·   Filled in automatically from the last simulation. Run a simulation after changing any input.</t>
  </si>
  <si>
    <t>◂  Programmes</t>
  </si>
  <si>
    <t>1   Which programme?</t>
  </si>
  <si>
    <t>Programme NPV — cumulative probability</t>
  </si>
  <si>
    <t>Expected cost, expected value (EMV), chance of a dry year and chance of losing money, from the simulation.</t>
  </si>
  <si>
    <t>Cost</t>
  </si>
  <si>
    <t>Finds nothing</t>
  </si>
  <si>
    <t>Loses money</t>
  </si>
  <si>
    <t>chance</t>
  </si>
  <si>
    <t>Recommended programme</t>
  </si>
  <si>
    <t>The highest exact EMV among the programmes within the budget and the risk limit (Programmes sheet).</t>
  </si>
  <si>
    <t>2   Shared play risk and the chance of a dry year</t>
  </si>
  <si>
    <t>Simulated, calculated exactly, and as the independent shortcut would have it.</t>
  </si>
  <si>
    <t>Simulated</t>
  </si>
  <si>
    <t>Exact, shared</t>
  </si>
  <si>
    <t>If independent</t>
  </si>
  <si>
    <t>Understated by</t>
  </si>
  <si>
    <t>points</t>
  </si>
  <si>
    <t>The programme chosen on the Inputs sheet (simulate again after changing it).</t>
  </si>
  <si>
    <t>Measure</t>
  </si>
  <si>
    <t>Programme NPV, 10th percentile</t>
  </si>
  <si>
    <t>Programme NPV, 90th percentile</t>
  </si>
  <si>
    <t>Mean number of discoveries</t>
  </si>
  <si>
    <t>wells</t>
  </si>
  <si>
    <t>Number of discoveries</t>
  </si>
  <si>
    <t>Probability</t>
  </si>
  <si>
    <t>No discovery</t>
  </si>
  <si>
    <t>One discovery</t>
  </si>
  <si>
    <t>Two discoveries</t>
  </si>
  <si>
    <t>Three discoveries</t>
  </si>
  <si>
    <t>Four or more</t>
  </si>
  <si>
    <t>Total</t>
  </si>
  <si>
    <t>4   What drives the value of the programme in detail</t>
  </si>
  <si>
    <t>What drives the programme's value  (US$m)</t>
  </si>
  <si>
    <t>Lowest and highest mean programme NPV over ten equal groups of each input (VoseSimSensitivityMean), drawn from the overall mean.</t>
  </si>
  <si>
    <t>Input (ranked by influence)</t>
  </si>
  <si>
    <t>Lowest mean</t>
  </si>
  <si>
    <t>Highest mean</t>
  </si>
  <si>
    <t>Rank</t>
  </si>
  <si>
    <t>5   How to read these results</t>
  </si>
  <si>
    <t>•  EMV ranks the programmes by value, but a programme can have the highest EMV and still find nothing in one year out of four. The risk limit on the Inputs sheet turns the company's appetite for a dry year into a rule, and the recommendation follows it.</t>
  </si>
  <si>
    <t>•  The exact and simulated chances of finding nothing agree to within the simulation's precision (about ±1 percentage point with 10,000 samples): a check that the model is wired correctly. The verdicts and the recommendation use the exact figures, so they do not move with the sampling.</t>
  </si>
  <si>
    <t>•  Treating prospects as independent understates the chance of a dry year, most for programmes that drill several prospects in one risky play: if the play fails, all of them fail together.</t>
  </si>
  <si>
    <t>•  Expected values add up whatever the dependence, so shared risk does not change a programme's EMV; it changes its spread and its chance of a dry year.</t>
  </si>
  <si>
    <t>•  All four programmes are evaluated on the same simulated outcomes, so the differences between them are not sampling noise.</t>
  </si>
  <si>
    <t>Chart data</t>
  </si>
  <si>
    <t>Statistics of the last simulation behind the charts and the ranking above. Grouped: click + in the left margin to show them.</t>
  </si>
  <si>
    <t>Cumulative probability</t>
  </si>
  <si>
    <t>Exceedance</t>
  </si>
  <si>
    <t>ProgNPV_1</t>
  </si>
  <si>
    <t>ProgNPV_2</t>
  </si>
  <si>
    <t>ProgNPV_3</t>
  </si>
  <si>
    <t>ProgNPV_4</t>
  </si>
  <si>
    <t>Outcome helper: DiscGroup_Detail</t>
  </si>
  <si>
    <t>Below</t>
  </si>
  <si>
    <t>Cumulative</t>
  </si>
  <si>
    <t>Overall mean of NPV_Detail</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</si>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</sst>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0.0\);&quot;–&quot;_)"/>
    <numFmt numFmtId="165" formatCode="#,##0_);\(#,##0\);&quot;–&quot;_)"/>
    <numFmt numFmtId="166" formatCode="0.0%"/>
    <numFmt numFmtId="167" formatCode="0.000"/>
    <numFmt numFmtId="168" formatCode="\+0.0%;\-0.0%;0.0%"/>
    <numFmt numFmtId="169" formatCode="#,##0.0_);\(#,##0.0\);&quot;–&quot;_);&quot;–&quot;"/>
    <numFmt numFmtId="170" formatCode="0.0%;\-0.0%;0.0%;&quot;–&quot;"/>
    <numFmt numFmtId="171" formatCode="#,##0.00_);\(#,##0.00\);&quot;–&quot;_);&quot;–&quot;"/>
    <numFmt numFmtId="172" formatCode="0;\-0;0;&quot;–&quot;"/>
    <numFmt numFmtId="173" formatCode="0.0"/>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11"/>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style="thin">
        <color rgb="FFE4E9F0"/>
      </bottom>
      <diagonal/>
    </border>
    <border>
      <left/>
      <right/>
      <top style="thin">
        <color rgb="FF3F5876"/>
      </top>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5">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1" fontId="1" fillId="2" borderId="7" xfId="1" applyNumberFormat="1" applyBorder="1">
      <alignment horizontal="right" vertical="center"/>
    </xf>
    <xf numFmtId="0" fontId="17" fillId="7" borderId="2" xfId="0" applyFont="1" applyFill="1" applyBorder="1" applyAlignment="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center" vertical="center"/>
    </xf>
    <xf numFmtId="0" fontId="0" fillId="7" borderId="2" xfId="0" applyFill="1" applyBorder="1"/>
    <xf numFmtId="0" fontId="19" fillId="7" borderId="4" xfId="0" applyFont="1" applyFill="1" applyBorder="1" applyAlignment="1">
      <alignment horizontal="right" vertical="center"/>
    </xf>
    <xf numFmtId="0" fontId="19" fillId="7" borderId="4" xfId="0" applyFont="1" applyFill="1" applyBorder="1" applyAlignment="1">
      <alignment horizontal="center" vertical="center"/>
    </xf>
    <xf numFmtId="1" fontId="3" fillId="0" borderId="8" xfId="3" applyNumberFormat="1" applyBorder="1">
      <alignment horizontal="right" vertical="center"/>
    </xf>
    <xf numFmtId="0" fontId="1" fillId="2" borderId="7" xfId="1" applyBorder="1" applyAlignment="1">
      <alignment horizontal="center" vertical="center"/>
    </xf>
    <xf numFmtId="165" fontId="1" fillId="2" borderId="7" xfId="1" applyNumberFormat="1" applyBorder="1">
      <alignment horizontal="right" vertical="center"/>
    </xf>
    <xf numFmtId="1" fontId="1" fillId="2" borderId="7" xfId="1" applyNumberFormat="1" applyBorder="1" applyAlignment="1">
      <alignment horizontal="center" vertical="center"/>
    </xf>
    <xf numFmtId="0" fontId="13" fillId="0" borderId="0" xfId="0" applyFont="1" applyAlignment="1">
      <alignment horizontal="left" vertical="center" indent="1"/>
    </xf>
    <xf numFmtId="0" fontId="17" fillId="7" borderId="4" xfId="0" applyFont="1" applyFill="1" applyBorder="1" applyAlignment="1">
      <alignment horizontal="center"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3" fillId="0" borderId="8" xfId="3" applyBorder="1" applyAlignment="1">
      <alignment horizontal="center" vertical="center"/>
    </xf>
    <xf numFmtId="9" fontId="3" fillId="0" borderId="8" xfId="3" applyNumberFormat="1" applyBorder="1">
      <alignment horizontal="right" vertical="center"/>
    </xf>
    <xf numFmtId="1" fontId="2" fillId="3" borderId="7" xfId="2" applyNumberFormat="1" applyBorder="1">
      <alignment horizontal="right" vertical="center"/>
    </xf>
    <xf numFmtId="164" fontId="2" fillId="3" borderId="7" xfId="2" applyNumberFormat="1" applyBorder="1">
      <alignment horizontal="right" vertical="center"/>
    </xf>
    <xf numFmtId="164" fontId="3" fillId="0" borderId="8" xfId="3" applyNumberFormat="1" applyBorder="1">
      <alignment horizontal="right" vertical="center"/>
    </xf>
    <xf numFmtId="166" fontId="3" fillId="0" borderId="8" xfId="3" applyNumberFormat="1" applyBorder="1">
      <alignment horizontal="right" vertical="center"/>
    </xf>
    <xf numFmtId="167" fontId="3" fillId="0" borderId="8" xfId="3" applyNumberFormat="1" applyBorder="1">
      <alignment horizontal="right" vertical="center"/>
    </xf>
    <xf numFmtId="0" fontId="3" fillId="0" borderId="8" xfId="3" applyBorder="1">
      <alignment horizontal="right" vertical="center"/>
    </xf>
    <xf numFmtId="0" fontId="12" fillId="0" borderId="6" xfId="0" applyFont="1" applyBorder="1" applyAlignment="1">
      <alignment horizontal="left" vertical="center" indent="1"/>
    </xf>
    <xf numFmtId="168" fontId="3" fillId="0" borderId="8" xfId="3" applyNumberFormat="1" applyBorder="1">
      <alignment horizontal="right" vertical="center"/>
    </xf>
    <xf numFmtId="1" fontId="4" fillId="4" borderId="9" xfId="4" applyNumberFormat="1" applyBorder="1">
      <alignment horizontal="right" vertical="center"/>
    </xf>
    <xf numFmtId="164" fontId="4" fillId="4" borderId="9" xfId="4" applyNumberFormat="1" applyBorder="1">
      <alignment horizontal="right" vertical="center"/>
    </xf>
    <xf numFmtId="0" fontId="3" fillId="0" borderId="8" xfId="3" applyBorder="1" applyAlignment="1">
      <alignment horizontal="left" vertical="center" indent="1"/>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9" fontId="1" fillId="5" borderId="7" xfId="5" applyNumberFormat="1" applyBorder="1">
      <alignment horizontal="right" vertical="center"/>
    </xf>
    <xf numFmtId="170" fontId="1" fillId="5" borderId="7" xfId="5" applyNumberFormat="1" applyBorder="1">
      <alignment horizontal="right" vertical="center"/>
    </xf>
    <xf numFmtId="0" fontId="12" fillId="0" borderId="6" xfId="0" applyFont="1" applyBorder="1" applyAlignment="1">
      <alignment horizontal="right" vertical="center"/>
    </xf>
    <xf numFmtId="0" fontId="12" fillId="0" borderId="11" xfId="0" applyFont="1" applyBorder="1" applyAlignment="1">
      <alignment horizontal="left" vertical="center" indent="1"/>
    </xf>
    <xf numFmtId="0" fontId="0" fillId="0" borderId="11" xfId="0" applyBorder="1"/>
    <xf numFmtId="0" fontId="21" fillId="0" borderId="11" xfId="0" applyFont="1" applyBorder="1" applyAlignment="1">
      <alignment horizontal="left" vertical="center" indent="1"/>
    </xf>
    <xf numFmtId="0" fontId="22" fillId="0" borderId="6" xfId="0" applyFont="1" applyBorder="1" applyAlignment="1">
      <alignment horizontal="left" vertical="center" indent="1"/>
    </xf>
    <xf numFmtId="169" fontId="23" fillId="5" borderId="7" xfId="5" applyNumberFormat="1" applyFont="1" applyBorder="1">
      <alignment horizontal="right" vertical="center"/>
    </xf>
    <xf numFmtId="171" fontId="1" fillId="5" borderId="7" xfId="5" applyNumberFormat="1" applyBorder="1">
      <alignment horizontal="right" vertical="center"/>
    </xf>
    <xf numFmtId="170" fontId="1" fillId="5" borderId="1" xfId="5" applyNumberFormat="1">
      <alignment horizontal="right" vertical="center"/>
    </xf>
    <xf numFmtId="0" fontId="12" fillId="0" borderId="12" xfId="0" applyFont="1" applyBorder="1" applyAlignment="1">
      <alignment horizontal="left" vertical="center" indent="1"/>
    </xf>
    <xf numFmtId="0" fontId="0" fillId="0" borderId="12" xfId="0" applyBorder="1"/>
    <xf numFmtId="170" fontId="12" fillId="0" borderId="12" xfId="3" applyNumberFormat="1" applyFont="1" applyBorder="1">
      <alignment horizontal="right" vertical="center"/>
    </xf>
    <xf numFmtId="0" fontId="17" fillId="7" borderId="4" xfId="0" applyFont="1" applyFill="1" applyBorder="1" applyAlignment="1">
      <alignment horizontal="center" vertical="center" wrapText="1"/>
    </xf>
    <xf numFmtId="172"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22" fillId="0" borderId="0" xfId="0" applyFont="1"/>
    <xf numFmtId="173" fontId="3" fillId="0" borderId="2" xfId="3" applyNumberFormat="1">
      <alignment horizontal="right" vertical="center"/>
    </xf>
    <xf numFmtId="170"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2" fillId="0" borderId="0" xfId="0" applyFont="1" applyAlignment="1">
      <alignment horizontal="left" vertical="center" indent="1"/>
    </xf>
    <xf numFmtId="164"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4">
    <dxf>
      <font>
        <color rgb="FFB91C1C"/>
      </font>
    </dxf>
    <dxf>
      <font>
        <color rgb="FF15803D"/>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color rgb="FFB91C1C"/>
      </font>
    </dxf>
    <dxf>
      <font>
        <color rgb="FF15803D"/>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15803D"/>
      </font>
      <fill>
        <patternFill patternType="solid">
          <fgColor rgb="FFDCFCE7"/>
          <bgColor rgb="FFDCFCE7"/>
        </patternFill>
      </fill>
    </dxf>
    <dxf>
      <font>
        <color rgb="FFB91C1C"/>
      </font>
    </dxf>
    <dxf>
      <font>
        <b/>
        <color rgb="FF15803D"/>
      </font>
      <fill>
        <patternFill patternType="solid">
          <fgColor rgb="FFDCFCE7"/>
          <bgColor rgb="FFDCFCE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1  Proven play focus</c:v>
          </c:tx>
          <c:spPr>
            <a:ln w="25400">
              <a:solidFill>
                <a:srgbClr val="0E4F92"/>
              </a:solidFill>
              <a:prstDash val="solid"/>
            </a:ln>
          </c:spPr>
          <c:marker>
            <c:symbol val="none"/>
          </c:marker>
          <c:xVal>
            <c:numRef>
              <c:f>Results!$D$75:$D$122</c:f>
              <c:numCache>
                <c:formatCode>#,##0.00</c:formatCode>
                <c:ptCount val="48"/>
                <c:pt idx="0">
                  <c:v>-213.39245853582375</c:v>
                </c:pt>
                <c:pt idx="1">
                  <c:v>-207.85558187590442</c:v>
                </c:pt>
                <c:pt idx="2">
                  <c:v>-204.41152475238624</c:v>
                </c:pt>
                <c:pt idx="3">
                  <c:v>-201.6525511406814</c:v>
                </c:pt>
                <c:pt idx="4">
                  <c:v>-198.84462763934584</c:v>
                </c:pt>
                <c:pt idx="5">
                  <c:v>-195.60141482363537</c:v>
                </c:pt>
                <c:pt idx="6">
                  <c:v>-188.99056997779491</c:v>
                </c:pt>
                <c:pt idx="7">
                  <c:v>-162.65617407903886</c:v>
                </c:pt>
                <c:pt idx="8">
                  <c:v>-150.03041547722592</c:v>
                </c:pt>
                <c:pt idx="9">
                  <c:v>-140.97683886610699</c:v>
                </c:pt>
                <c:pt idx="10">
                  <c:v>-132.27747341976331</c:v>
                </c:pt>
                <c:pt idx="11">
                  <c:v>-124.0860775477084</c:v>
                </c:pt>
                <c:pt idx="12">
                  <c:v>-115.22854429535957</c:v>
                </c:pt>
                <c:pt idx="13">
                  <c:v>-107.3441371423273</c:v>
                </c:pt>
                <c:pt idx="14">
                  <c:v>-97.660779534618371</c:v>
                </c:pt>
                <c:pt idx="15">
                  <c:v>-89.39376061341288</c:v>
                </c:pt>
                <c:pt idx="16">
                  <c:v>-80.210683707027698</c:v>
                </c:pt>
                <c:pt idx="17">
                  <c:v>-71.810971165535435</c:v>
                </c:pt>
                <c:pt idx="18">
                  <c:v>-62.828224583648634</c:v>
                </c:pt>
                <c:pt idx="19">
                  <c:v>-54.858691217464752</c:v>
                </c:pt>
                <c:pt idx="20">
                  <c:v>-45.97424783055591</c:v>
                </c:pt>
                <c:pt idx="21">
                  <c:v>-37.51564638007887</c:v>
                </c:pt>
                <c:pt idx="22">
                  <c:v>-28.762798862917045</c:v>
                </c:pt>
                <c:pt idx="23">
                  <c:v>-19.560405005969841</c:v>
                </c:pt>
                <c:pt idx="24">
                  <c:v>-10.251240824220076</c:v>
                </c:pt>
                <c:pt idx="25">
                  <c:v>-3.492432883178509E-2</c:v>
                </c:pt>
                <c:pt idx="26">
                  <c:v>10.338311746359501</c:v>
                </c:pt>
                <c:pt idx="27">
                  <c:v>20.490897145976263</c:v>
                </c:pt>
                <c:pt idx="28">
                  <c:v>30.257788384337104</c:v>
                </c:pt>
                <c:pt idx="29">
                  <c:v>40.256832325253932</c:v>
                </c:pt>
                <c:pt idx="30">
                  <c:v>51.337345036952975</c:v>
                </c:pt>
                <c:pt idx="31">
                  <c:v>61.936951805552248</c:v>
                </c:pt>
                <c:pt idx="32">
                  <c:v>72.633417999056789</c:v>
                </c:pt>
                <c:pt idx="33">
                  <c:v>84.313301170142395</c:v>
                </c:pt>
                <c:pt idx="34">
                  <c:v>96.684725611491757</c:v>
                </c:pt>
                <c:pt idx="35">
                  <c:v>109.76290639622177</c:v>
                </c:pt>
                <c:pt idx="36">
                  <c:v>123.10493906274058</c:v>
                </c:pt>
                <c:pt idx="37">
                  <c:v>139.43448982512882</c:v>
                </c:pt>
                <c:pt idx="38">
                  <c:v>153.4070607578941</c:v>
                </c:pt>
                <c:pt idx="39">
                  <c:v>170.05134489852071</c:v>
                </c:pt>
                <c:pt idx="40">
                  <c:v>188.4280856451808</c:v>
                </c:pt>
                <c:pt idx="41">
                  <c:v>208.01517732171391</c:v>
                </c:pt>
                <c:pt idx="42">
                  <c:v>228.05329355212575</c:v>
                </c:pt>
                <c:pt idx="43">
                  <c:v>251.57317231140394</c:v>
                </c:pt>
                <c:pt idx="44">
                  <c:v>277.42924033317195</c:v>
                </c:pt>
                <c:pt idx="45">
                  <c:v>307.62866132447448</c:v>
                </c:pt>
                <c:pt idx="46">
                  <c:v>346.41436875089124</c:v>
                </c:pt>
                <c:pt idx="47">
                  <c:v>400.02474655948981</c:v>
                </c:pt>
              </c:numCache>
            </c:numRef>
          </c:xVal>
          <c:yVal>
            <c:numRef>
              <c:f>Results!$B$75:$B$122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0-5EA0-4724-BD9D-4AD3B661B988}"/>
            </c:ext>
          </c:extLst>
        </c:ser>
        <c:ser>
          <c:idx val="1"/>
          <c:order val="1"/>
          <c:tx>
            <c:v>2  Balanced</c:v>
          </c:tx>
          <c:spPr>
            <a:ln w="25400">
              <a:solidFill>
                <a:srgbClr val="B45309"/>
              </a:solidFill>
              <a:prstDash val="dash"/>
            </a:ln>
          </c:spPr>
          <c:marker>
            <c:symbol val="none"/>
          </c:marker>
          <c:xVal>
            <c:numRef>
              <c:f>Results!$E$75:$E$122</c:f>
              <c:numCache>
                <c:formatCode>#,##0.00</c:formatCode>
                <c:ptCount val="48"/>
                <c:pt idx="0">
                  <c:v>-261.02092641971677</c:v>
                </c:pt>
                <c:pt idx="1">
                  <c:v>-254.85245127109278</c:v>
                </c:pt>
                <c:pt idx="2">
                  <c:v>-250.87860909382857</c:v>
                </c:pt>
                <c:pt idx="3">
                  <c:v>-247.56670168888706</c:v>
                </c:pt>
                <c:pt idx="4">
                  <c:v>-244.89362888495316</c:v>
                </c:pt>
                <c:pt idx="5">
                  <c:v>-241.61661139541314</c:v>
                </c:pt>
                <c:pt idx="6">
                  <c:v>-238.31848490685718</c:v>
                </c:pt>
                <c:pt idx="7">
                  <c:v>-233.87411025014097</c:v>
                </c:pt>
                <c:pt idx="8">
                  <c:v>-224.19132008441966</c:v>
                </c:pt>
                <c:pt idx="9">
                  <c:v>-198.49168708202845</c:v>
                </c:pt>
                <c:pt idx="10">
                  <c:v>-187.03199220673451</c:v>
                </c:pt>
                <c:pt idx="11">
                  <c:v>-176.50870038301809</c:v>
                </c:pt>
                <c:pt idx="12">
                  <c:v>-167.33388587621215</c:v>
                </c:pt>
                <c:pt idx="13">
                  <c:v>-157.79366249783848</c:v>
                </c:pt>
                <c:pt idx="14">
                  <c:v>-147.13463662255256</c:v>
                </c:pt>
                <c:pt idx="15">
                  <c:v>-136.72931675333692</c:v>
                </c:pt>
                <c:pt idx="16">
                  <c:v>-127.51365690018056</c:v>
                </c:pt>
                <c:pt idx="17">
                  <c:v>-117.03902877396173</c:v>
                </c:pt>
                <c:pt idx="18">
                  <c:v>-105.14913114303118</c:v>
                </c:pt>
                <c:pt idx="19">
                  <c:v>-95.094481182581433</c:v>
                </c:pt>
                <c:pt idx="20">
                  <c:v>-82.201871267309244</c:v>
                </c:pt>
                <c:pt idx="21">
                  <c:v>-71.207004551523781</c:v>
                </c:pt>
                <c:pt idx="22">
                  <c:v>-59.751773804649936</c:v>
                </c:pt>
                <c:pt idx="23">
                  <c:v>-47.938414154731547</c:v>
                </c:pt>
                <c:pt idx="24">
                  <c:v>-33.716821963221761</c:v>
                </c:pt>
                <c:pt idx="25">
                  <c:v>-20.731876502679157</c:v>
                </c:pt>
                <c:pt idx="26">
                  <c:v>-5.6934256700690611</c:v>
                </c:pt>
                <c:pt idx="27">
                  <c:v>8.2636901508830931</c:v>
                </c:pt>
                <c:pt idx="28">
                  <c:v>22.557339391493045</c:v>
                </c:pt>
                <c:pt idx="29">
                  <c:v>39.665077126065157</c:v>
                </c:pt>
                <c:pt idx="30">
                  <c:v>54.637117453094262</c:v>
                </c:pt>
                <c:pt idx="31">
                  <c:v>70.602460836645577</c:v>
                </c:pt>
                <c:pt idx="32">
                  <c:v>87.807709500875063</c:v>
                </c:pt>
                <c:pt idx="33">
                  <c:v>106.12497690112562</c:v>
                </c:pt>
                <c:pt idx="34">
                  <c:v>125.39151980529027</c:v>
                </c:pt>
                <c:pt idx="35">
                  <c:v>147.48079002786653</c:v>
                </c:pt>
                <c:pt idx="36">
                  <c:v>168.73193593653167</c:v>
                </c:pt>
                <c:pt idx="37">
                  <c:v>191.01376728951936</c:v>
                </c:pt>
                <c:pt idx="38">
                  <c:v>218.64925394723289</c:v>
                </c:pt>
                <c:pt idx="39">
                  <c:v>245.08670177949975</c:v>
                </c:pt>
                <c:pt idx="40">
                  <c:v>280.96168759002069</c:v>
                </c:pt>
                <c:pt idx="41">
                  <c:v>314.58271367427955</c:v>
                </c:pt>
                <c:pt idx="42">
                  <c:v>347.59478402436059</c:v>
                </c:pt>
                <c:pt idx="43">
                  <c:v>388.8906382497035</c:v>
                </c:pt>
                <c:pt idx="44">
                  <c:v>435.51726621219132</c:v>
                </c:pt>
                <c:pt idx="45">
                  <c:v>495.64045367224867</c:v>
                </c:pt>
                <c:pt idx="46">
                  <c:v>567.48256201558456</c:v>
                </c:pt>
                <c:pt idx="47">
                  <c:v>672.58982369176169</c:v>
                </c:pt>
              </c:numCache>
            </c:numRef>
          </c:xVal>
          <c:yVal>
            <c:numRef>
              <c:f>Results!$B$75:$B$122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1-5EA0-4724-BD9D-4AD3B661B988}"/>
            </c:ext>
          </c:extLst>
        </c:ser>
        <c:ser>
          <c:idx val="2"/>
          <c:order val="2"/>
          <c:tx>
            <c:v>3  Frontier upside</c:v>
          </c:tx>
          <c:spPr>
            <a:ln w="25400">
              <a:solidFill>
                <a:srgbClr val="15803D"/>
              </a:solidFill>
              <a:prstDash val="solid"/>
            </a:ln>
          </c:spPr>
          <c:marker>
            <c:symbol val="none"/>
          </c:marker>
          <c:xVal>
            <c:numRef>
              <c:f>Results!$F$75:$F$122</c:f>
              <c:numCache>
                <c:formatCode>#,##0.00</c:formatCode>
                <c:ptCount val="48"/>
                <c:pt idx="0">
                  <c:v>-257.18375009599117</c:v>
                </c:pt>
                <c:pt idx="1">
                  <c:v>-250.99557654219544</c:v>
                </c:pt>
                <c:pt idx="2">
                  <c:v>-247.59555994287768</c:v>
                </c:pt>
                <c:pt idx="3">
                  <c:v>-244.69670035724266</c:v>
                </c:pt>
                <c:pt idx="4">
                  <c:v>-242.39821100024682</c:v>
                </c:pt>
                <c:pt idx="5">
                  <c:v>-240.49227965273832</c:v>
                </c:pt>
                <c:pt idx="6">
                  <c:v>-238.40276911160726</c:v>
                </c:pt>
                <c:pt idx="7">
                  <c:v>-236.10566887982401</c:v>
                </c:pt>
                <c:pt idx="8">
                  <c:v>-234.02973389876138</c:v>
                </c:pt>
                <c:pt idx="9">
                  <c:v>-232.13547047463521</c:v>
                </c:pt>
                <c:pt idx="10">
                  <c:v>-230.10434584373488</c:v>
                </c:pt>
                <c:pt idx="11">
                  <c:v>-227.74719432178341</c:v>
                </c:pt>
                <c:pt idx="12">
                  <c:v>-224.992284858142</c:v>
                </c:pt>
                <c:pt idx="13">
                  <c:v>-220.89378893952693</c:v>
                </c:pt>
                <c:pt idx="14">
                  <c:v>-212.88871460144719</c:v>
                </c:pt>
                <c:pt idx="15">
                  <c:v>-194.5052779326727</c:v>
                </c:pt>
                <c:pt idx="16">
                  <c:v>-183.07835431680172</c:v>
                </c:pt>
                <c:pt idx="17">
                  <c:v>-172.69756459394347</c:v>
                </c:pt>
                <c:pt idx="18">
                  <c:v>-163.17439243562984</c:v>
                </c:pt>
                <c:pt idx="19">
                  <c:v>-156.56418910310174</c:v>
                </c:pt>
                <c:pt idx="20">
                  <c:v>-148.19156443445996</c:v>
                </c:pt>
                <c:pt idx="21">
                  <c:v>-139.35484899443014</c:v>
                </c:pt>
                <c:pt idx="22">
                  <c:v>-131.19994752291282</c:v>
                </c:pt>
                <c:pt idx="23">
                  <c:v>-120.60625640511904</c:v>
                </c:pt>
                <c:pt idx="24">
                  <c:v>-110.01311869691568</c:v>
                </c:pt>
                <c:pt idx="25">
                  <c:v>-97.326052480891747</c:v>
                </c:pt>
                <c:pt idx="26">
                  <c:v>-84.058347891300954</c:v>
                </c:pt>
                <c:pt idx="27">
                  <c:v>-70.538187792136171</c:v>
                </c:pt>
                <c:pt idx="28">
                  <c:v>-57.238707499319503</c:v>
                </c:pt>
                <c:pt idx="29">
                  <c:v>-40.723920908884786</c:v>
                </c:pt>
                <c:pt idx="30">
                  <c:v>-24.781381042742076</c:v>
                </c:pt>
                <c:pt idx="31">
                  <c:v>-8.3374566545227964</c:v>
                </c:pt>
                <c:pt idx="32">
                  <c:v>11.524175445847348</c:v>
                </c:pt>
                <c:pt idx="33">
                  <c:v>32.841888267770571</c:v>
                </c:pt>
                <c:pt idx="34">
                  <c:v>57.196035028585271</c:v>
                </c:pt>
                <c:pt idx="35">
                  <c:v>87.590524987898107</c:v>
                </c:pt>
                <c:pt idx="36">
                  <c:v>119.48901248186999</c:v>
                </c:pt>
                <c:pt idx="37">
                  <c:v>156.15705897343904</c:v>
                </c:pt>
                <c:pt idx="38">
                  <c:v>198.29266829697059</c:v>
                </c:pt>
                <c:pt idx="39">
                  <c:v>253.87588807127764</c:v>
                </c:pt>
                <c:pt idx="40">
                  <c:v>309.50412528767401</c:v>
                </c:pt>
                <c:pt idx="41">
                  <c:v>369.42124872917543</c:v>
                </c:pt>
                <c:pt idx="42">
                  <c:v>451.30335244786551</c:v>
                </c:pt>
                <c:pt idx="43">
                  <c:v>534.94276423050474</c:v>
                </c:pt>
                <c:pt idx="44">
                  <c:v>630.60392757210911</c:v>
                </c:pt>
                <c:pt idx="45">
                  <c:v>734.1802322337561</c:v>
                </c:pt>
                <c:pt idx="46">
                  <c:v>848.72188394552961</c:v>
                </c:pt>
                <c:pt idx="47">
                  <c:v>1012.766336618007</c:v>
                </c:pt>
              </c:numCache>
            </c:numRef>
          </c:xVal>
          <c:yVal>
            <c:numRef>
              <c:f>Results!$B$75:$B$122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2-5EA0-4724-BD9D-4AD3B661B988}"/>
            </c:ext>
          </c:extLst>
        </c:ser>
        <c:ser>
          <c:idx val="3"/>
          <c:order val="3"/>
          <c:tx>
            <c:v>4  Your programme</c:v>
          </c:tx>
          <c:spPr>
            <a:ln w="25400">
              <a:solidFill>
                <a:srgbClr val="B91C1C"/>
              </a:solidFill>
              <a:prstDash val="solid"/>
            </a:ln>
          </c:spPr>
          <c:marker>
            <c:symbol val="none"/>
          </c:marker>
          <c:xVal>
            <c:numRef>
              <c:f>Results!$G$75:$G$122</c:f>
              <c:numCache>
                <c:formatCode>#,##0.00</c:formatCode>
                <c:ptCount val="48"/>
                <c:pt idx="0">
                  <c:v>-282.1388549639172</c:v>
                </c:pt>
                <c:pt idx="1">
                  <c:v>-276.04805385721261</c:v>
                </c:pt>
                <c:pt idx="2">
                  <c:v>-271.95102004969465</c:v>
                </c:pt>
                <c:pt idx="3">
                  <c:v>-269.28302233578927</c:v>
                </c:pt>
                <c:pt idx="4">
                  <c:v>-266.64340454080133</c:v>
                </c:pt>
                <c:pt idx="5">
                  <c:v>-264.35552454225001</c:v>
                </c:pt>
                <c:pt idx="6">
                  <c:v>-261.92491026247001</c:v>
                </c:pt>
                <c:pt idx="7">
                  <c:v>-259.42050508799889</c:v>
                </c:pt>
                <c:pt idx="8">
                  <c:v>-257.16211147051638</c:v>
                </c:pt>
                <c:pt idx="9">
                  <c:v>-254.55457827998674</c:v>
                </c:pt>
                <c:pt idx="10">
                  <c:v>-251.2169592874684</c:v>
                </c:pt>
                <c:pt idx="11">
                  <c:v>-245.82582537597324</c:v>
                </c:pt>
                <c:pt idx="12">
                  <c:v>-227.86430038415551</c:v>
                </c:pt>
                <c:pt idx="13">
                  <c:v>-211.39421484079108</c:v>
                </c:pt>
                <c:pt idx="14">
                  <c:v>-199.90588465332291</c:v>
                </c:pt>
                <c:pt idx="15">
                  <c:v>-189.80842210216542</c:v>
                </c:pt>
                <c:pt idx="16">
                  <c:v>-177.95334508764077</c:v>
                </c:pt>
                <c:pt idx="17">
                  <c:v>-166.42312714507318</c:v>
                </c:pt>
                <c:pt idx="18">
                  <c:v>-153.91111576117711</c:v>
                </c:pt>
                <c:pt idx="19">
                  <c:v>-139.49824065649395</c:v>
                </c:pt>
                <c:pt idx="20">
                  <c:v>-126.54155099650426</c:v>
                </c:pt>
                <c:pt idx="21">
                  <c:v>-112.41075946054266</c:v>
                </c:pt>
                <c:pt idx="22">
                  <c:v>-97.395527424710721</c:v>
                </c:pt>
                <c:pt idx="23">
                  <c:v>-80.64334789362664</c:v>
                </c:pt>
                <c:pt idx="24">
                  <c:v>-63.289756281848071</c:v>
                </c:pt>
                <c:pt idx="25">
                  <c:v>-46.277560732034772</c:v>
                </c:pt>
                <c:pt idx="26">
                  <c:v>-29.20498369253442</c:v>
                </c:pt>
                <c:pt idx="27">
                  <c:v>-13.577152756997727</c:v>
                </c:pt>
                <c:pt idx="28">
                  <c:v>4.6215408672816807</c:v>
                </c:pt>
                <c:pt idx="29">
                  <c:v>24.251725990765649</c:v>
                </c:pt>
                <c:pt idx="30">
                  <c:v>44.244473651892946</c:v>
                </c:pt>
                <c:pt idx="31">
                  <c:v>64.092758802886379</c:v>
                </c:pt>
                <c:pt idx="32">
                  <c:v>84.217915449208704</c:v>
                </c:pt>
                <c:pt idx="33">
                  <c:v>104.79086659503005</c:v>
                </c:pt>
                <c:pt idx="34">
                  <c:v>129.47890271792224</c:v>
                </c:pt>
                <c:pt idx="35">
                  <c:v>154.0962407816547</c:v>
                </c:pt>
                <c:pt idx="36">
                  <c:v>177.40164218251053</c:v>
                </c:pt>
                <c:pt idx="37">
                  <c:v>203.73619329887498</c:v>
                </c:pt>
                <c:pt idx="38">
                  <c:v>228.31641895039081</c:v>
                </c:pt>
                <c:pt idx="39">
                  <c:v>260.91086321543298</c:v>
                </c:pt>
                <c:pt idx="40">
                  <c:v>293.23384968429963</c:v>
                </c:pt>
                <c:pt idx="41">
                  <c:v>329.62969990817504</c:v>
                </c:pt>
                <c:pt idx="42">
                  <c:v>372.07821898602299</c:v>
                </c:pt>
                <c:pt idx="43">
                  <c:v>418.25878263077908</c:v>
                </c:pt>
                <c:pt idx="44">
                  <c:v>480.58515373127784</c:v>
                </c:pt>
                <c:pt idx="45">
                  <c:v>551.16094836077832</c:v>
                </c:pt>
                <c:pt idx="46">
                  <c:v>639.26091011482504</c:v>
                </c:pt>
                <c:pt idx="47">
                  <c:v>756.65668725820319</c:v>
                </c:pt>
              </c:numCache>
            </c:numRef>
          </c:xVal>
          <c:yVal>
            <c:numRef>
              <c:f>Results!$B$75:$B$122</c:f>
              <c:numCache>
                <c:formatCode>0%</c:formatCode>
                <c:ptCount val="48"/>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numCache>
            </c:numRef>
          </c:yVal>
          <c:smooth val="1"/>
          <c:extLst>
            <c:ext xmlns:c16="http://schemas.microsoft.com/office/drawing/2014/chart" uri="{C3380CC4-5D6E-409C-BE32-E72D297353CC}">
              <c16:uniqueId val="{00000003-5EA0-4724-BD9D-4AD3B661B988}"/>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Programme 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Results!$B$135:$B$147</c:f>
              <c:strCache>
                <c:ptCount val="13"/>
                <c:pt idx="0">
                  <c:v>Play C works</c:v>
                </c:pt>
                <c:pt idx="1">
                  <c:v>Play B works</c:v>
                </c:pt>
                <c:pt idx="2">
                  <c:v>Ginkgo value if discovered</c:v>
                </c:pt>
                <c:pt idx="3">
                  <c:v>Ginkgo succeeds</c:v>
                </c:pt>
                <c:pt idx="4">
                  <c:v>Fir succeeds</c:v>
                </c:pt>
                <c:pt idx="5">
                  <c:v>Fir value if discovered</c:v>
                </c:pt>
                <c:pt idx="6">
                  <c:v>Dogwood succeeds</c:v>
                </c:pt>
                <c:pt idx="7">
                  <c:v>Cedar succeeds</c:v>
                </c:pt>
                <c:pt idx="8">
                  <c:v>Dogwood value if discovered</c:v>
                </c:pt>
                <c:pt idx="9">
                  <c:v>Alder succeeds</c:v>
                </c:pt>
                <c:pt idx="10">
                  <c:v>Cedar value if discovered</c:v>
                </c:pt>
                <c:pt idx="11">
                  <c:v>Alder value if discovered</c:v>
                </c:pt>
                <c:pt idx="12">
                  <c:v>Fir well cost</c:v>
                </c:pt>
              </c:strCache>
            </c:strRef>
          </c:cat>
          <c:val>
            <c:numRef>
              <c:f>Results!$F$135:$F$147</c:f>
              <c:numCache>
                <c:formatCode>#,##0.0_);\(#,##0.0\);"–"_)</c:formatCode>
                <c:ptCount val="13"/>
                <c:pt idx="0">
                  <c:v>181.50213054826284</c:v>
                </c:pt>
                <c:pt idx="1">
                  <c:v>64.595760259618601</c:v>
                </c:pt>
                <c:pt idx="2">
                  <c:v>117.39161909607594</c:v>
                </c:pt>
                <c:pt idx="3">
                  <c:v>76.581045838148611</c:v>
                </c:pt>
                <c:pt idx="4">
                  <c:v>90.377739276561158</c:v>
                </c:pt>
                <c:pt idx="5">
                  <c:v>90.652414817098474</c:v>
                </c:pt>
                <c:pt idx="6">
                  <c:v>61.746586180974383</c:v>
                </c:pt>
                <c:pt idx="7">
                  <c:v>77.221085517385802</c:v>
                </c:pt>
                <c:pt idx="8">
                  <c:v>80.085528715081892</c:v>
                </c:pt>
                <c:pt idx="9">
                  <c:v>57.320014004671982</c:v>
                </c:pt>
                <c:pt idx="10">
                  <c:v>68.50078906683413</c:v>
                </c:pt>
                <c:pt idx="11">
                  <c:v>44.239582432274595</c:v>
                </c:pt>
                <c:pt idx="12">
                  <c:v>23.354668859584983</c:v>
                </c:pt>
              </c:numCache>
            </c:numRef>
          </c:val>
          <c:extLst>
            <c:ext xmlns:c16="http://schemas.microsoft.com/office/drawing/2014/chart" uri="{C3380CC4-5D6E-409C-BE32-E72D297353CC}">
              <c16:uniqueId val="{00000000-0338-4FEC-B0C0-125BF1036D8B}"/>
            </c:ext>
          </c:extLst>
        </c:ser>
        <c:ser>
          <c:idx val="1"/>
          <c:order val="1"/>
          <c:tx>
            <c:v>Lowest group mean</c:v>
          </c:tx>
          <c:spPr>
            <a:solidFill>
              <a:srgbClr val="B91C1C"/>
            </a:solidFill>
            <a:ln>
              <a:noFill/>
              <a:prstDash val="solid"/>
            </a:ln>
          </c:spPr>
          <c:invertIfNegative val="0"/>
          <c:cat>
            <c:strRef>
              <c:f>Results!$B$135:$B$147</c:f>
              <c:strCache>
                <c:ptCount val="13"/>
                <c:pt idx="0">
                  <c:v>Play C works</c:v>
                </c:pt>
                <c:pt idx="1">
                  <c:v>Play B works</c:v>
                </c:pt>
                <c:pt idx="2">
                  <c:v>Ginkgo value if discovered</c:v>
                </c:pt>
                <c:pt idx="3">
                  <c:v>Ginkgo succeeds</c:v>
                </c:pt>
                <c:pt idx="4">
                  <c:v>Fir succeeds</c:v>
                </c:pt>
                <c:pt idx="5">
                  <c:v>Fir value if discovered</c:v>
                </c:pt>
                <c:pt idx="6">
                  <c:v>Dogwood succeeds</c:v>
                </c:pt>
                <c:pt idx="7">
                  <c:v>Cedar succeeds</c:v>
                </c:pt>
                <c:pt idx="8">
                  <c:v>Dogwood value if discovered</c:v>
                </c:pt>
                <c:pt idx="9">
                  <c:v>Alder succeeds</c:v>
                </c:pt>
                <c:pt idx="10">
                  <c:v>Cedar value if discovered</c:v>
                </c:pt>
                <c:pt idx="11">
                  <c:v>Alder value if discovered</c:v>
                </c:pt>
                <c:pt idx="12">
                  <c:v>Fir well cost</c:v>
                </c:pt>
              </c:strCache>
            </c:strRef>
          </c:cat>
          <c:val>
            <c:numRef>
              <c:f>Results!$G$135:$G$147</c:f>
              <c:numCache>
                <c:formatCode>#,##0.0_);\(#,##0.0\);"–"_)</c:formatCode>
                <c:ptCount val="13"/>
                <c:pt idx="0">
                  <c:v>-94.169392155660063</c:v>
                </c:pt>
                <c:pt idx="1">
                  <c:v>-123.12804171544332</c:v>
                </c:pt>
                <c:pt idx="2">
                  <c:v>-56.410620143359658</c:v>
                </c:pt>
                <c:pt idx="3">
                  <c:v>-94.016071199384925</c:v>
                </c:pt>
                <c:pt idx="4">
                  <c:v>-60.126406063257669</c:v>
                </c:pt>
                <c:pt idx="5">
                  <c:v>-40.444790682009341</c:v>
                </c:pt>
                <c:pt idx="6">
                  <c:v>-61.05887559502834</c:v>
                </c:pt>
                <c:pt idx="7">
                  <c:v>-42.297697205700032</c:v>
                </c:pt>
                <c:pt idx="8">
                  <c:v>-32.574433044543611</c:v>
                </c:pt>
                <c:pt idx="9">
                  <c:v>-45.662404257404674</c:v>
                </c:pt>
                <c:pt idx="10">
                  <c:v>-31.243921980840579</c:v>
                </c:pt>
                <c:pt idx="11">
                  <c:v>-26.820858240265011</c:v>
                </c:pt>
                <c:pt idx="12">
                  <c:v>-23.870832183798782</c:v>
                </c:pt>
              </c:numCache>
            </c:numRef>
          </c:val>
          <c:extLst>
            <c:ext xmlns:c16="http://schemas.microsoft.com/office/drawing/2014/chart" uri="{C3380CC4-5D6E-409C-BE32-E72D297353CC}">
              <c16:uniqueId val="{00000001-0338-4FEC-B0C0-125BF1036D8B}"/>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46</xdr:row>
      <xdr:rowOff>0</xdr:rowOff>
    </xdr:from>
    <xdr:ext cx="6263999" cy="300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5"/>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83" customHeight="1" x14ac:dyDescent="0.45">
      <c r="B16" s="90" t="s">
        <v>20</v>
      </c>
      <c r="C16" s="91"/>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ht="26.25"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x14ac:dyDescent="0.45">
      <c r="B56" s="9" t="s">
        <v>67</v>
      </c>
      <c r="C56" s="10" t="s">
        <v>68</v>
      </c>
    </row>
    <row r="57" spans="2:3" ht="12" customHeight="1" x14ac:dyDescent="0.45"/>
    <row r="58" spans="2:3" ht="22.05" customHeight="1" x14ac:dyDescent="0.5">
      <c r="B58" s="7" t="s">
        <v>69</v>
      </c>
      <c r="C58" s="8"/>
    </row>
    <row r="59" spans="2:3" x14ac:dyDescent="0.45">
      <c r="B59" s="9" t="s">
        <v>70</v>
      </c>
      <c r="C59" s="10" t="s">
        <v>71</v>
      </c>
    </row>
    <row r="60" spans="2:3" x14ac:dyDescent="0.45">
      <c r="B60" s="9" t="s">
        <v>72</v>
      </c>
      <c r="C60" s="10" t="s">
        <v>73</v>
      </c>
    </row>
    <row r="61" spans="2:3" x14ac:dyDescent="0.45">
      <c r="B61" s="9" t="s">
        <v>74</v>
      </c>
      <c r="C61" s="10" t="s">
        <v>75</v>
      </c>
    </row>
    <row r="62" spans="2:3" x14ac:dyDescent="0.45">
      <c r="B62" s="9" t="s">
        <v>76</v>
      </c>
      <c r="C62" s="10" t="s">
        <v>77</v>
      </c>
    </row>
    <row r="63" spans="2:3" ht="12" customHeight="1" x14ac:dyDescent="0.45"/>
    <row r="64" spans="2:3" ht="22.05" customHeight="1" x14ac:dyDescent="0.5">
      <c r="B64" s="7" t="s">
        <v>78</v>
      </c>
      <c r="C64" s="8"/>
    </row>
    <row r="65" spans="2:3" x14ac:dyDescent="0.45">
      <c r="B65" s="20" t="s">
        <v>79</v>
      </c>
      <c r="C65" s="10" t="s">
        <v>80</v>
      </c>
    </row>
    <row r="66" spans="2:3" x14ac:dyDescent="0.45">
      <c r="B66" s="20" t="s">
        <v>81</v>
      </c>
      <c r="C66" s="10" t="s">
        <v>82</v>
      </c>
    </row>
    <row r="67" spans="2:3" x14ac:dyDescent="0.45">
      <c r="B67" s="20" t="s">
        <v>83</v>
      </c>
      <c r="C67" s="10" t="s">
        <v>84</v>
      </c>
    </row>
    <row r="68" spans="2:3" ht="39.4" x14ac:dyDescent="0.45">
      <c r="B68" s="20" t="s">
        <v>85</v>
      </c>
      <c r="C68" s="10" t="s">
        <v>86</v>
      </c>
    </row>
    <row r="69" spans="2:3" x14ac:dyDescent="0.45">
      <c r="B69" s="20" t="s">
        <v>87</v>
      </c>
      <c r="C69" s="10" t="s">
        <v>88</v>
      </c>
    </row>
    <row r="70" spans="2:3" ht="12" customHeight="1" x14ac:dyDescent="0.45"/>
    <row r="71" spans="2:3" ht="22.05" customHeight="1" x14ac:dyDescent="0.5">
      <c r="B71" s="7" t="s">
        <v>89</v>
      </c>
      <c r="C71" s="8"/>
    </row>
    <row r="72" spans="2:3" x14ac:dyDescent="0.45">
      <c r="B72" s="9" t="s">
        <v>90</v>
      </c>
      <c r="C72" s="10" t="s">
        <v>91</v>
      </c>
    </row>
    <row r="73" spans="2:3" x14ac:dyDescent="0.45">
      <c r="B73" s="9" t="s">
        <v>70</v>
      </c>
      <c r="C73" s="10" t="s">
        <v>92</v>
      </c>
    </row>
    <row r="74" spans="2:3" ht="16.05" customHeight="1" x14ac:dyDescent="0.45"/>
    <row r="75" spans="2:3" x14ac:dyDescent="0.45">
      <c r="B75" s="92" t="s">
        <v>93</v>
      </c>
      <c r="C75" s="91"/>
    </row>
  </sheetData>
  <mergeCells count="2">
    <mergeCell ref="B16:C16"/>
    <mergeCell ref="B75:C75"/>
  </mergeCells>
  <hyperlinks>
    <hyperlink ref="D4" location="'Inputs'!A1" display="Next:  Inputs  ▸" xr:uid="{00000000-0004-0000-0000-000000000000}"/>
    <hyperlink ref="B40" location="'Inputs'!A1" display="Inputs" xr:uid="{00000000-0004-0000-0000-000001000000}"/>
    <hyperlink ref="B41" location="'Prospects'!A1" display="Prospects" xr:uid="{00000000-0004-0000-0000-000002000000}"/>
    <hyperlink ref="B42" location="'Programmes'!A1" display="Programmes" xr:uid="{00000000-0004-0000-0000-000003000000}"/>
    <hyperlink ref="B43"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94</v>
      </c>
      <c r="C3" s="1"/>
      <c r="D3" s="1"/>
      <c r="E3" s="1"/>
      <c r="F3" s="1"/>
      <c r="G3" s="1"/>
      <c r="H3" s="1"/>
      <c r="I3" s="1"/>
      <c r="J3" s="1"/>
    </row>
    <row r="4" spans="1:10" ht="20" customHeight="1" x14ac:dyDescent="0.45">
      <c r="A4" s="5"/>
      <c r="B4" s="22" t="s">
        <v>95</v>
      </c>
      <c r="C4" s="5"/>
      <c r="D4" s="5"/>
      <c r="E4" s="5"/>
      <c r="F4" s="5"/>
      <c r="G4" s="5"/>
      <c r="H4" s="5"/>
      <c r="I4" s="5"/>
      <c r="J4" s="6" t="s">
        <v>96</v>
      </c>
    </row>
    <row r="5" spans="1:10" ht="8" customHeight="1" x14ac:dyDescent="0.45"/>
    <row r="6" spans="1:10" ht="20" customHeight="1" x14ac:dyDescent="0.45">
      <c r="B6" s="93" t="s">
        <v>97</v>
      </c>
      <c r="C6" s="91"/>
      <c r="D6" s="91"/>
      <c r="E6" s="91"/>
      <c r="F6" s="91"/>
      <c r="G6" s="91"/>
      <c r="H6" s="91"/>
      <c r="I6" s="91"/>
      <c r="J6" s="91"/>
    </row>
    <row r="7" spans="1:10" ht="6" customHeight="1" x14ac:dyDescent="0.45"/>
    <row r="8" spans="1:10" ht="22.05" customHeight="1" x14ac:dyDescent="0.5">
      <c r="B8" s="7" t="s">
        <v>98</v>
      </c>
      <c r="C8" s="8"/>
      <c r="D8" s="8"/>
      <c r="E8" s="8"/>
      <c r="F8" s="8"/>
      <c r="G8" s="8"/>
      <c r="H8" s="8"/>
      <c r="I8" s="8"/>
      <c r="J8" s="8"/>
    </row>
    <row r="9" spans="1:10" ht="18" customHeight="1" x14ac:dyDescent="0.45">
      <c r="B9" s="13" t="s">
        <v>99</v>
      </c>
    </row>
    <row r="10" spans="1:10" ht="18" customHeight="1" x14ac:dyDescent="0.45">
      <c r="B10" s="23" t="s">
        <v>100</v>
      </c>
      <c r="C10" s="23" t="s">
        <v>101</v>
      </c>
      <c r="D10" s="24" t="s">
        <v>102</v>
      </c>
      <c r="E10" s="23" t="s">
        <v>103</v>
      </c>
      <c r="F10" s="5"/>
      <c r="G10" s="5"/>
      <c r="H10" s="5"/>
      <c r="I10" s="5"/>
      <c r="J10" s="23" t="s">
        <v>104</v>
      </c>
    </row>
    <row r="11" spans="1:10" x14ac:dyDescent="0.45">
      <c r="B11" s="25" t="s">
        <v>105</v>
      </c>
      <c r="C11" s="26" t="s">
        <v>106</v>
      </c>
      <c r="D11" s="27">
        <v>270</v>
      </c>
      <c r="E11" s="26" t="s">
        <v>107</v>
      </c>
      <c r="F11" s="28"/>
      <c r="G11" s="28"/>
      <c r="H11" s="28"/>
      <c r="I11" s="28"/>
      <c r="J11" s="29" t="s">
        <v>108</v>
      </c>
    </row>
    <row r="12" spans="1:10" ht="23.25" x14ac:dyDescent="0.45">
      <c r="B12" s="25" t="s">
        <v>109</v>
      </c>
      <c r="C12" s="26" t="s">
        <v>110</v>
      </c>
      <c r="D12" s="30">
        <v>0.2</v>
      </c>
      <c r="E12" s="26" t="s">
        <v>107</v>
      </c>
      <c r="F12" s="28"/>
      <c r="G12" s="28"/>
      <c r="H12" s="28"/>
      <c r="I12" s="28"/>
      <c r="J12" s="29" t="s">
        <v>111</v>
      </c>
    </row>
    <row r="13" spans="1:10" ht="23.25" x14ac:dyDescent="0.45">
      <c r="B13" s="25" t="s">
        <v>112</v>
      </c>
      <c r="C13" s="26" t="s">
        <v>113</v>
      </c>
      <c r="D13" s="31">
        <v>2</v>
      </c>
      <c r="E13" s="26" t="s">
        <v>107</v>
      </c>
      <c r="F13" s="28"/>
      <c r="G13" s="28"/>
      <c r="H13" s="28"/>
      <c r="I13" s="28"/>
      <c r="J13" s="29" t="s">
        <v>114</v>
      </c>
    </row>
    <row r="14" spans="1:10" ht="8" customHeight="1" x14ac:dyDescent="0.45"/>
    <row r="15" spans="1:10" ht="22.05" customHeight="1" x14ac:dyDescent="0.5">
      <c r="B15" s="7" t="s">
        <v>115</v>
      </c>
      <c r="C15" s="8"/>
      <c r="D15" s="8"/>
      <c r="E15" s="8"/>
      <c r="F15" s="8"/>
      <c r="G15" s="8"/>
      <c r="H15" s="8"/>
      <c r="I15" s="8"/>
      <c r="J15" s="8"/>
    </row>
    <row r="16" spans="1:10" ht="18" customHeight="1" x14ac:dyDescent="0.45">
      <c r="B16" s="13" t="s">
        <v>116</v>
      </c>
    </row>
    <row r="17" spans="2:10" ht="18" customHeight="1" x14ac:dyDescent="0.45">
      <c r="B17" s="23" t="s">
        <v>100</v>
      </c>
      <c r="C17" s="23" t="s">
        <v>101</v>
      </c>
      <c r="D17" s="24" t="s">
        <v>102</v>
      </c>
      <c r="E17" s="23" t="s">
        <v>103</v>
      </c>
      <c r="F17" s="5"/>
      <c r="G17" s="5"/>
      <c r="H17" s="5"/>
      <c r="I17" s="5"/>
      <c r="J17" s="23" t="s">
        <v>104</v>
      </c>
    </row>
    <row r="18" spans="2:10" ht="23.25" x14ac:dyDescent="0.45">
      <c r="B18" s="25" t="s">
        <v>117</v>
      </c>
      <c r="C18" s="26" t="s">
        <v>110</v>
      </c>
      <c r="D18" s="30">
        <v>0.95</v>
      </c>
      <c r="E18" s="26" t="s">
        <v>107</v>
      </c>
      <c r="F18" s="28"/>
      <c r="G18" s="28"/>
      <c r="H18" s="28"/>
      <c r="I18" s="28"/>
      <c r="J18" s="29" t="s">
        <v>118</v>
      </c>
    </row>
    <row r="19" spans="2:10" ht="23.25" x14ac:dyDescent="0.45">
      <c r="B19" s="25" t="s">
        <v>119</v>
      </c>
      <c r="C19" s="26" t="s">
        <v>110</v>
      </c>
      <c r="D19" s="30">
        <v>0.65</v>
      </c>
      <c r="E19" s="26" t="s">
        <v>107</v>
      </c>
      <c r="F19" s="28"/>
      <c r="G19" s="28"/>
      <c r="H19" s="28"/>
      <c r="I19" s="28"/>
      <c r="J19" s="29" t="s">
        <v>120</v>
      </c>
    </row>
    <row r="20" spans="2:10" ht="23.25" x14ac:dyDescent="0.45">
      <c r="B20" s="25" t="s">
        <v>121</v>
      </c>
      <c r="C20" s="26" t="s">
        <v>110</v>
      </c>
      <c r="D20" s="30">
        <v>0.35</v>
      </c>
      <c r="E20" s="26" t="s">
        <v>107</v>
      </c>
      <c r="F20" s="28"/>
      <c r="G20" s="28"/>
      <c r="H20" s="28"/>
      <c r="I20" s="28"/>
      <c r="J20" s="29" t="s">
        <v>122</v>
      </c>
    </row>
    <row r="21" spans="2:10" ht="8" customHeight="1" x14ac:dyDescent="0.45"/>
  </sheetData>
  <mergeCells count="1">
    <mergeCell ref="B6:J6"/>
  </mergeCells>
  <dataValidations count="3">
    <dataValidation type="decimal" operator="greaterThan" showErrorMessage="1" errorTitle="Positive value" error="Enter a value greater than zero." sqref="D11" xr:uid="{00000000-0002-0000-0100-000000000000}">
      <formula1>0</formula1>
    </dataValidation>
    <dataValidation type="decimal" showErrorMessage="1" errorTitle="Probability" error="Enter a value between 0% and 100%." sqref="D12 D18:D20" xr:uid="{00000000-0002-0000-0100-000001000000}">
      <formula1>0</formula1>
      <formula2>1</formula2>
    </dataValidation>
    <dataValidation type="whole" showErrorMessage="1" errorTitle="Whole number" error="Enter a whole number from 1 to 4." sqref="D13" xr:uid="{00000000-0002-0000-0100-000002000000}">
      <formula1>1</formula1>
      <formula2>4</formula2>
    </dataValidation>
  </dataValidations>
  <hyperlinks>
    <hyperlink ref="B4" location="'About'!A1" display="◂  About" xr:uid="{00000000-0004-0000-0100-000000000000}"/>
    <hyperlink ref="J4" location="'Prospects'!A1" display="Next:  Prospect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Q51"/>
  <sheetViews>
    <sheetView showGridLines="0" workbookViewId="0">
      <pane ySplit="5" topLeftCell="A6" activePane="bottomLeft" state="frozen"/>
      <selection pane="bottomLeft"/>
    </sheetView>
  </sheetViews>
  <sheetFormatPr defaultRowHeight="14.25" x14ac:dyDescent="0.45"/>
  <cols>
    <col min="1" max="1" width="2" customWidth="1"/>
    <col min="2" max="2" width="5" customWidth="1"/>
    <col min="3" max="3" width="14" customWidth="1"/>
    <col min="4" max="4" width="7" customWidth="1"/>
    <col min="5" max="5" width="14" customWidth="1"/>
    <col min="6" max="8" width="10" customWidth="1"/>
    <col min="9" max="10" width="11" customWidth="1"/>
    <col min="11" max="11" width="2" customWidth="1"/>
    <col min="12" max="15" width="8" customWidth="1"/>
    <col min="16" max="16" width="2" customWidth="1"/>
    <col min="17" max="17" width="56" customWidth="1"/>
  </cols>
  <sheetData>
    <row r="1" spans="1:17" ht="6" customHeight="1" x14ac:dyDescent="0.45"/>
    <row r="2" spans="1:17" ht="30" customHeight="1" x14ac:dyDescent="0.45">
      <c r="A2" s="1"/>
      <c r="B2" s="21" t="s">
        <v>0</v>
      </c>
      <c r="C2" s="1"/>
      <c r="D2" s="1"/>
      <c r="E2" s="1"/>
      <c r="F2" s="1"/>
      <c r="G2" s="1"/>
      <c r="H2" s="1"/>
      <c r="I2" s="1"/>
      <c r="J2" s="1"/>
      <c r="K2" s="1"/>
      <c r="L2" s="1"/>
      <c r="M2" s="1"/>
      <c r="N2" s="1"/>
      <c r="O2" s="1"/>
      <c r="P2" s="1"/>
      <c r="Q2" s="3" t="s">
        <v>1</v>
      </c>
    </row>
    <row r="3" spans="1:17" ht="20" customHeight="1" x14ac:dyDescent="0.45">
      <c r="A3" s="1"/>
      <c r="B3" s="4" t="s">
        <v>123</v>
      </c>
      <c r="C3" s="1"/>
      <c r="D3" s="1"/>
      <c r="E3" s="1"/>
      <c r="F3" s="1"/>
      <c r="G3" s="1"/>
      <c r="H3" s="1"/>
      <c r="I3" s="1"/>
      <c r="J3" s="1"/>
      <c r="K3" s="1"/>
      <c r="L3" s="1"/>
      <c r="M3" s="1"/>
      <c r="N3" s="1"/>
      <c r="O3" s="1"/>
      <c r="P3" s="1"/>
      <c r="Q3" s="1"/>
    </row>
    <row r="4" spans="1:17" ht="20" customHeight="1" x14ac:dyDescent="0.45">
      <c r="A4" s="5"/>
      <c r="B4" s="22" t="s">
        <v>124</v>
      </c>
      <c r="C4" s="5"/>
      <c r="D4" s="5"/>
      <c r="E4" s="5"/>
      <c r="F4" s="5"/>
      <c r="G4" s="5"/>
      <c r="H4" s="5"/>
      <c r="I4" s="5"/>
      <c r="J4" s="5"/>
      <c r="K4" s="5"/>
      <c r="L4" s="5"/>
      <c r="M4" s="5"/>
      <c r="N4" s="5"/>
      <c r="O4" s="5"/>
      <c r="P4" s="5"/>
      <c r="Q4" s="6" t="s">
        <v>125</v>
      </c>
    </row>
    <row r="5" spans="1:17" ht="8" customHeight="1" x14ac:dyDescent="0.45"/>
    <row r="6" spans="1:17" ht="22.05" customHeight="1" x14ac:dyDescent="0.5">
      <c r="B6" s="7" t="s">
        <v>126</v>
      </c>
      <c r="C6" s="8"/>
      <c r="D6" s="8"/>
      <c r="E6" s="8"/>
      <c r="F6" s="8"/>
      <c r="G6" s="8"/>
      <c r="H6" s="8"/>
      <c r="I6" s="8"/>
      <c r="J6" s="8"/>
      <c r="K6" s="8"/>
      <c r="L6" s="8"/>
      <c r="M6" s="8"/>
      <c r="N6" s="8"/>
      <c r="O6" s="8"/>
      <c r="P6" s="8"/>
      <c r="Q6" s="8"/>
    </row>
    <row r="7" spans="1:17" ht="18" customHeight="1" x14ac:dyDescent="0.45">
      <c r="B7" s="13" t="s">
        <v>127</v>
      </c>
    </row>
    <row r="8" spans="1:17" ht="18" customHeight="1" x14ac:dyDescent="0.45">
      <c r="B8" s="32" t="s">
        <v>128</v>
      </c>
      <c r="C8" s="33" t="s">
        <v>129</v>
      </c>
      <c r="D8" s="34" t="s">
        <v>130</v>
      </c>
      <c r="E8" s="32" t="s">
        <v>131</v>
      </c>
      <c r="F8" s="33" t="s">
        <v>132</v>
      </c>
      <c r="G8" s="35"/>
      <c r="H8" s="35"/>
      <c r="I8" s="33" t="s">
        <v>133</v>
      </c>
      <c r="J8" s="35"/>
      <c r="K8" s="35"/>
      <c r="L8" s="33" t="s">
        <v>134</v>
      </c>
      <c r="M8" s="35"/>
      <c r="N8" s="35"/>
      <c r="O8" s="35"/>
      <c r="P8" s="35"/>
      <c r="Q8" s="33" t="s">
        <v>135</v>
      </c>
    </row>
    <row r="9" spans="1:17" x14ac:dyDescent="0.45">
      <c r="B9" s="36"/>
      <c r="C9" s="36"/>
      <c r="D9" s="36"/>
      <c r="E9" s="36" t="s">
        <v>136</v>
      </c>
      <c r="F9" s="36" t="s">
        <v>137</v>
      </c>
      <c r="G9" s="36" t="s">
        <v>138</v>
      </c>
      <c r="H9" s="36" t="s">
        <v>139</v>
      </c>
      <c r="I9" s="36" t="s">
        <v>140</v>
      </c>
      <c r="J9" s="36" t="s">
        <v>141</v>
      </c>
      <c r="K9" s="36"/>
      <c r="L9" s="37" t="s">
        <v>142</v>
      </c>
      <c r="M9" s="37" t="s">
        <v>143</v>
      </c>
      <c r="N9" s="37" t="s">
        <v>144</v>
      </c>
      <c r="O9" s="37" t="s">
        <v>145</v>
      </c>
      <c r="P9" s="36"/>
      <c r="Q9" s="36"/>
    </row>
    <row r="10" spans="1:17" x14ac:dyDescent="0.45">
      <c r="B10" s="38">
        <v>1</v>
      </c>
      <c r="C10" s="25" t="s">
        <v>146</v>
      </c>
      <c r="D10" s="39" t="s">
        <v>147</v>
      </c>
      <c r="E10" s="30">
        <v>0.45</v>
      </c>
      <c r="F10" s="40">
        <v>28</v>
      </c>
      <c r="G10" s="40">
        <v>32</v>
      </c>
      <c r="H10" s="40">
        <v>40</v>
      </c>
      <c r="I10" s="40">
        <v>45</v>
      </c>
      <c r="J10" s="40">
        <v>180</v>
      </c>
      <c r="K10" s="28"/>
      <c r="L10" s="41">
        <v>1</v>
      </c>
      <c r="M10" s="41">
        <v>1</v>
      </c>
      <c r="N10" s="41">
        <v>1</v>
      </c>
      <c r="O10" s="41">
        <v>0</v>
      </c>
      <c r="P10" s="28"/>
      <c r="Q10" s="26" t="s">
        <v>148</v>
      </c>
    </row>
    <row r="11" spans="1:17" x14ac:dyDescent="0.45">
      <c r="B11" s="38">
        <v>2</v>
      </c>
      <c r="C11" s="25" t="s">
        <v>149</v>
      </c>
      <c r="D11" s="39" t="s">
        <v>147</v>
      </c>
      <c r="E11" s="30">
        <v>0.4</v>
      </c>
      <c r="F11" s="40">
        <v>30</v>
      </c>
      <c r="G11" s="40">
        <v>35</v>
      </c>
      <c r="H11" s="40">
        <v>45</v>
      </c>
      <c r="I11" s="40">
        <v>40</v>
      </c>
      <c r="J11" s="40">
        <v>160</v>
      </c>
      <c r="K11" s="28"/>
      <c r="L11" s="41">
        <v>1</v>
      </c>
      <c r="M11" s="41">
        <v>0</v>
      </c>
      <c r="N11" s="41">
        <v>0</v>
      </c>
      <c r="O11" s="41">
        <v>1</v>
      </c>
      <c r="P11" s="28"/>
      <c r="Q11" s="26" t="s">
        <v>150</v>
      </c>
    </row>
    <row r="12" spans="1:17" x14ac:dyDescent="0.45">
      <c r="B12" s="38">
        <v>3</v>
      </c>
      <c r="C12" s="25" t="s">
        <v>151</v>
      </c>
      <c r="D12" s="39" t="s">
        <v>147</v>
      </c>
      <c r="E12" s="30">
        <v>0.35</v>
      </c>
      <c r="F12" s="40">
        <v>32</v>
      </c>
      <c r="G12" s="40">
        <v>38</v>
      </c>
      <c r="H12" s="40">
        <v>50</v>
      </c>
      <c r="I12" s="40">
        <v>55</v>
      </c>
      <c r="J12" s="40">
        <v>230</v>
      </c>
      <c r="K12" s="28"/>
      <c r="L12" s="41">
        <v>1</v>
      </c>
      <c r="M12" s="41">
        <v>1</v>
      </c>
      <c r="N12" s="41">
        <v>0</v>
      </c>
      <c r="O12" s="41">
        <v>0</v>
      </c>
      <c r="P12" s="28"/>
      <c r="Q12" s="26" t="s">
        <v>152</v>
      </c>
    </row>
    <row r="13" spans="1:17" x14ac:dyDescent="0.45">
      <c r="B13" s="38">
        <v>4</v>
      </c>
      <c r="C13" s="25" t="s">
        <v>153</v>
      </c>
      <c r="D13" s="39" t="s">
        <v>154</v>
      </c>
      <c r="E13" s="30">
        <v>0.5</v>
      </c>
      <c r="F13" s="40">
        <v>40</v>
      </c>
      <c r="G13" s="40">
        <v>48</v>
      </c>
      <c r="H13" s="40">
        <v>62</v>
      </c>
      <c r="I13" s="40">
        <v>80</v>
      </c>
      <c r="J13" s="40">
        <v>330</v>
      </c>
      <c r="K13" s="28"/>
      <c r="L13" s="41">
        <v>1</v>
      </c>
      <c r="M13" s="41">
        <v>1</v>
      </c>
      <c r="N13" s="41">
        <v>1</v>
      </c>
      <c r="O13" s="41">
        <v>1</v>
      </c>
      <c r="P13" s="28"/>
      <c r="Q13" s="26" t="s">
        <v>155</v>
      </c>
    </row>
    <row r="14" spans="1:17" x14ac:dyDescent="0.45">
      <c r="B14" s="38">
        <v>5</v>
      </c>
      <c r="C14" s="25" t="s">
        <v>156</v>
      </c>
      <c r="D14" s="39" t="s">
        <v>154</v>
      </c>
      <c r="E14" s="30">
        <v>0.45</v>
      </c>
      <c r="F14" s="40">
        <v>38</v>
      </c>
      <c r="G14" s="40">
        <v>45</v>
      </c>
      <c r="H14" s="40">
        <v>58</v>
      </c>
      <c r="I14" s="40">
        <v>70</v>
      </c>
      <c r="J14" s="40">
        <v>290</v>
      </c>
      <c r="K14" s="28"/>
      <c r="L14" s="41">
        <v>1</v>
      </c>
      <c r="M14" s="41">
        <v>0</v>
      </c>
      <c r="N14" s="41">
        <v>0</v>
      </c>
      <c r="O14" s="41">
        <v>1</v>
      </c>
      <c r="P14" s="28"/>
      <c r="Q14" s="26" t="s">
        <v>157</v>
      </c>
    </row>
    <row r="15" spans="1:17" x14ac:dyDescent="0.45">
      <c r="B15" s="38">
        <v>6</v>
      </c>
      <c r="C15" s="25" t="s">
        <v>158</v>
      </c>
      <c r="D15" s="39" t="s">
        <v>154</v>
      </c>
      <c r="E15" s="30">
        <v>0.4</v>
      </c>
      <c r="F15" s="40">
        <v>42</v>
      </c>
      <c r="G15" s="40">
        <v>50</v>
      </c>
      <c r="H15" s="40">
        <v>66</v>
      </c>
      <c r="I15" s="40">
        <v>95</v>
      </c>
      <c r="J15" s="40">
        <v>400</v>
      </c>
      <c r="K15" s="28"/>
      <c r="L15" s="41">
        <v>0</v>
      </c>
      <c r="M15" s="41">
        <v>1</v>
      </c>
      <c r="N15" s="41">
        <v>0</v>
      </c>
      <c r="O15" s="41">
        <v>1</v>
      </c>
      <c r="P15" s="28"/>
      <c r="Q15" s="26" t="s">
        <v>159</v>
      </c>
    </row>
    <row r="16" spans="1:17" x14ac:dyDescent="0.45">
      <c r="B16" s="38">
        <v>7</v>
      </c>
      <c r="C16" s="25" t="s">
        <v>160</v>
      </c>
      <c r="D16" s="39" t="s">
        <v>161</v>
      </c>
      <c r="E16" s="30">
        <v>0.55000000000000004</v>
      </c>
      <c r="F16" s="40">
        <v>60</v>
      </c>
      <c r="G16" s="40">
        <v>72</v>
      </c>
      <c r="H16" s="40">
        <v>95</v>
      </c>
      <c r="I16" s="40">
        <v>200</v>
      </c>
      <c r="J16" s="40">
        <v>900</v>
      </c>
      <c r="K16" s="28"/>
      <c r="L16" s="41">
        <v>0</v>
      </c>
      <c r="M16" s="41">
        <v>1</v>
      </c>
      <c r="N16" s="41">
        <v>1</v>
      </c>
      <c r="O16" s="41">
        <v>0</v>
      </c>
      <c r="P16" s="28"/>
      <c r="Q16" s="26" t="s">
        <v>162</v>
      </c>
    </row>
    <row r="17" spans="2:17" x14ac:dyDescent="0.45">
      <c r="B17" s="38">
        <v>8</v>
      </c>
      <c r="C17" s="25" t="s">
        <v>163</v>
      </c>
      <c r="D17" s="39" t="s">
        <v>161</v>
      </c>
      <c r="E17" s="30">
        <v>0.5</v>
      </c>
      <c r="F17" s="40">
        <v>65</v>
      </c>
      <c r="G17" s="40">
        <v>80</v>
      </c>
      <c r="H17" s="40">
        <v>105</v>
      </c>
      <c r="I17" s="40">
        <v>250</v>
      </c>
      <c r="J17" s="40">
        <v>1100</v>
      </c>
      <c r="K17" s="28"/>
      <c r="L17" s="41">
        <v>0</v>
      </c>
      <c r="M17" s="41">
        <v>0</v>
      </c>
      <c r="N17" s="41">
        <v>1</v>
      </c>
      <c r="O17" s="41">
        <v>1</v>
      </c>
      <c r="P17" s="28"/>
      <c r="Q17" s="26" t="s">
        <v>164</v>
      </c>
    </row>
    <row r="18" spans="2:17" x14ac:dyDescent="0.45">
      <c r="C18" s="42" t="s">
        <v>165</v>
      </c>
    </row>
    <row r="19" spans="2:17" ht="8" customHeight="1" x14ac:dyDescent="0.45"/>
    <row r="20" spans="2:17" ht="22.05" customHeight="1" x14ac:dyDescent="0.5">
      <c r="B20" s="7" t="s">
        <v>166</v>
      </c>
      <c r="C20" s="8"/>
      <c r="D20" s="8"/>
      <c r="E20" s="8"/>
      <c r="F20" s="8"/>
      <c r="G20" s="8"/>
      <c r="H20" s="8"/>
      <c r="I20" s="8"/>
      <c r="J20" s="8"/>
      <c r="K20" s="8"/>
      <c r="L20" s="8"/>
      <c r="M20" s="8"/>
      <c r="N20" s="8"/>
      <c r="O20" s="8"/>
      <c r="P20" s="8"/>
      <c r="Q20" s="8"/>
    </row>
    <row r="21" spans="2:17" ht="18" customHeight="1" x14ac:dyDescent="0.45">
      <c r="B21" s="13" t="s">
        <v>167</v>
      </c>
    </row>
    <row r="22" spans="2:17" ht="18" customHeight="1" x14ac:dyDescent="0.45">
      <c r="B22" s="43" t="s">
        <v>130</v>
      </c>
      <c r="C22" s="44" t="s">
        <v>168</v>
      </c>
      <c r="D22" s="5"/>
      <c r="E22" s="5"/>
      <c r="F22" s="5"/>
      <c r="G22" s="5"/>
      <c r="H22" s="45" t="s">
        <v>169</v>
      </c>
      <c r="I22" s="45" t="s">
        <v>170</v>
      </c>
      <c r="J22" s="5"/>
      <c r="K22" s="5"/>
      <c r="L22" s="44" t="s">
        <v>171</v>
      </c>
      <c r="M22" s="5"/>
      <c r="N22" s="5"/>
      <c r="O22" s="5"/>
      <c r="P22" s="5"/>
      <c r="Q22" s="5"/>
    </row>
    <row r="23" spans="2:17" x14ac:dyDescent="0.45">
      <c r="B23" s="46" t="s">
        <v>147</v>
      </c>
      <c r="C23" s="25" t="s">
        <v>172</v>
      </c>
      <c r="D23" s="28"/>
      <c r="E23" s="28"/>
      <c r="F23" s="28"/>
      <c r="G23" s="28"/>
      <c r="H23" s="47">
        <f>Chance_PlayA</f>
        <v>0.95</v>
      </c>
      <c r="I23" s="48" cm="1">
        <f t="array" aca="1" ref="I23" ca="1">_xll.VoseInput("Play A works","1 = yes")+_xll.VoseBernoulli(Chance_PlayA)</f>
        <v>1</v>
      </c>
      <c r="J23" s="28"/>
      <c r="K23" s="28"/>
      <c r="L23" s="26" t="s">
        <v>173</v>
      </c>
      <c r="M23" s="28"/>
      <c r="N23" s="28"/>
      <c r="O23" s="28"/>
      <c r="P23" s="28"/>
      <c r="Q23" s="28"/>
    </row>
    <row r="24" spans="2:17" x14ac:dyDescent="0.45">
      <c r="B24" s="46" t="s">
        <v>154</v>
      </c>
      <c r="C24" s="25" t="s">
        <v>174</v>
      </c>
      <c r="D24" s="28"/>
      <c r="E24" s="28"/>
      <c r="F24" s="28"/>
      <c r="G24" s="28"/>
      <c r="H24" s="47">
        <f>Chance_PlayB</f>
        <v>0.65</v>
      </c>
      <c r="I24" s="48" cm="1">
        <f t="array" aca="1" ref="I24" ca="1">_xll.VoseInput("Play B works","1 = yes")+_xll.VoseBernoulli(Chance_PlayB)</f>
        <v>1</v>
      </c>
      <c r="J24" s="28"/>
      <c r="K24" s="28"/>
      <c r="L24" s="26" t="s">
        <v>175</v>
      </c>
      <c r="M24" s="28"/>
      <c r="N24" s="28"/>
      <c r="O24" s="28"/>
      <c r="P24" s="28"/>
      <c r="Q24" s="28"/>
    </row>
    <row r="25" spans="2:17" x14ac:dyDescent="0.45">
      <c r="B25" s="46" t="s">
        <v>161</v>
      </c>
      <c r="C25" s="25" t="s">
        <v>176</v>
      </c>
      <c r="D25" s="28"/>
      <c r="E25" s="28"/>
      <c r="F25" s="28"/>
      <c r="G25" s="28"/>
      <c r="H25" s="47">
        <f>Chance_PlayC</f>
        <v>0.35</v>
      </c>
      <c r="I25" s="48" cm="1">
        <f t="array" aca="1" ref="I25" ca="1">_xll.VoseInput("Play C works","1 = yes")+_xll.VoseBernoulli(Chance_PlayC)</f>
        <v>1</v>
      </c>
      <c r="J25" s="28"/>
      <c r="K25" s="28"/>
      <c r="L25" s="26" t="s">
        <v>177</v>
      </c>
      <c r="M25" s="28"/>
      <c r="N25" s="28"/>
      <c r="O25" s="28"/>
      <c r="P25" s="28"/>
      <c r="Q25" s="28"/>
    </row>
    <row r="26" spans="2:17" ht="8" customHeight="1" x14ac:dyDescent="0.45"/>
    <row r="27" spans="2:17" ht="22.05" customHeight="1" x14ac:dyDescent="0.5">
      <c r="B27" s="7" t="s">
        <v>178</v>
      </c>
      <c r="C27" s="8"/>
      <c r="D27" s="8"/>
      <c r="E27" s="8"/>
      <c r="F27" s="8"/>
      <c r="G27" s="8"/>
      <c r="H27" s="8"/>
      <c r="I27" s="8"/>
      <c r="J27" s="8"/>
      <c r="K27" s="8"/>
      <c r="L27" s="8"/>
      <c r="M27" s="8"/>
      <c r="N27" s="8"/>
      <c r="O27" s="8"/>
      <c r="P27" s="8"/>
      <c r="Q27" s="8"/>
    </row>
    <row r="28" spans="2:17" ht="18" customHeight="1" x14ac:dyDescent="0.45">
      <c r="B28" s="13" t="s">
        <v>179</v>
      </c>
    </row>
    <row r="29" spans="2:17" ht="18" customHeight="1" x14ac:dyDescent="0.45">
      <c r="B29" s="32" t="s">
        <v>128</v>
      </c>
      <c r="C29" s="33" t="s">
        <v>129</v>
      </c>
      <c r="D29" s="32" t="s">
        <v>130</v>
      </c>
      <c r="E29" s="32" t="s">
        <v>129</v>
      </c>
      <c r="F29" s="32" t="s">
        <v>180</v>
      </c>
      <c r="G29" s="32" t="s">
        <v>181</v>
      </c>
      <c r="H29" s="32" t="s">
        <v>182</v>
      </c>
      <c r="I29" s="32" t="s">
        <v>183</v>
      </c>
      <c r="J29" s="35"/>
      <c r="K29" s="35"/>
      <c r="L29" s="33" t="s">
        <v>171</v>
      </c>
      <c r="M29" s="35"/>
      <c r="N29" s="35"/>
      <c r="O29" s="35"/>
      <c r="P29" s="35"/>
      <c r="Q29" s="35"/>
    </row>
    <row r="30" spans="2:17" x14ac:dyDescent="0.45">
      <c r="B30" s="36"/>
      <c r="C30" s="36"/>
      <c r="D30" s="36" t="s">
        <v>184</v>
      </c>
      <c r="E30" s="36" t="s">
        <v>185</v>
      </c>
      <c r="F30" s="36" t="s">
        <v>186</v>
      </c>
      <c r="G30" s="36" t="s">
        <v>106</v>
      </c>
      <c r="H30" s="36" t="s">
        <v>187</v>
      </c>
      <c r="I30" s="36" t="s">
        <v>188</v>
      </c>
      <c r="J30" s="36"/>
      <c r="K30" s="36"/>
      <c r="L30" s="36"/>
      <c r="M30" s="36"/>
      <c r="N30" s="36"/>
      <c r="O30" s="36"/>
      <c r="P30" s="36"/>
      <c r="Q30" s="36"/>
    </row>
    <row r="31" spans="2:17" x14ac:dyDescent="0.45">
      <c r="B31" s="38">
        <v>1</v>
      </c>
      <c r="C31" s="25" t="str">
        <f t="shared" ref="C31:C38" si="0">C10</f>
        <v>Alder</v>
      </c>
      <c r="D31" s="38">
        <f t="shared" ref="D31:D38" ca="1" si="1">INDEX(PlayWorks,MATCH(D10,PlayCodes,0))</f>
        <v>1</v>
      </c>
      <c r="E31" s="48" cm="1">
        <f t="array" aca="1" ref="E31" ca="1">_xll.VoseInput("Alder succeeds","1 = yes")+_xll.VoseBernoulli(E10)</f>
        <v>1</v>
      </c>
      <c r="F31" s="38">
        <f t="shared" ref="F31:F38" ca="1" si="2">D31*E31</f>
        <v>1</v>
      </c>
      <c r="G31" s="49" cm="1">
        <f t="array" aca="1" ref="G31" ca="1">_xll.VoseInput("Alder well cost","US$m")+_xll.VosePERT(F10,G10,H10)</f>
        <v>31.109290371842988</v>
      </c>
      <c r="H31" s="49" cm="1">
        <f t="array" aca="1" ref="H31" ca="1">_xll.VoseInput("Alder value if discovered","US$m")+_xll.VoseLognormalAlt(I10,0.1,J10,0.9,0)</f>
        <v>161.19469253784382</v>
      </c>
      <c r="I31" s="50">
        <f t="shared" ref="I31:I38" ca="1" si="3">F31*H31-G31</f>
        <v>130.08540216600085</v>
      </c>
      <c r="J31" s="28"/>
      <c r="K31" s="28"/>
      <c r="L31" s="26" t="s">
        <v>189</v>
      </c>
      <c r="M31" s="28"/>
      <c r="N31" s="28"/>
      <c r="O31" s="28"/>
      <c r="P31" s="28"/>
      <c r="Q31" s="28"/>
    </row>
    <row r="32" spans="2:17" x14ac:dyDescent="0.45">
      <c r="B32" s="38">
        <v>2</v>
      </c>
      <c r="C32" s="25" t="str">
        <f t="shared" si="0"/>
        <v>Birch</v>
      </c>
      <c r="D32" s="38">
        <f t="shared" ca="1" si="1"/>
        <v>1</v>
      </c>
      <c r="E32" s="48" cm="1">
        <f t="array" aca="1" ref="E32" ca="1">_xll.VoseInput("Birch succeeds","1 = yes")+_xll.VoseBernoulli(E11)</f>
        <v>1</v>
      </c>
      <c r="F32" s="38">
        <f t="shared" ca="1" si="2"/>
        <v>1</v>
      </c>
      <c r="G32" s="49" cm="1">
        <f t="array" aca="1" ref="G32" ca="1">_xll.VoseInput("Birch well cost","US$m")+_xll.VosePERT(F11,G11,H11)</f>
        <v>35.908052670296939</v>
      </c>
      <c r="H32" s="49" cm="1">
        <f t="array" aca="1" ref="H32" ca="1">_xll.VoseInput("Birch value if discovered","US$m")+_xll.VoseLognormalAlt(I11,0.1,J11,0.9,0)</f>
        <v>79.111836927671234</v>
      </c>
      <c r="I32" s="50">
        <f t="shared" ca="1" si="3"/>
        <v>43.203784257374295</v>
      </c>
      <c r="J32" s="28"/>
      <c r="K32" s="28"/>
      <c r="L32" s="28"/>
      <c r="M32" s="28"/>
      <c r="N32" s="28"/>
      <c r="O32" s="28"/>
      <c r="P32" s="28"/>
      <c r="Q32" s="28"/>
    </row>
    <row r="33" spans="2:17" x14ac:dyDescent="0.45">
      <c r="B33" s="38">
        <v>3</v>
      </c>
      <c r="C33" s="25" t="str">
        <f t="shared" si="0"/>
        <v>Cedar</v>
      </c>
      <c r="D33" s="38">
        <f t="shared" ca="1" si="1"/>
        <v>1</v>
      </c>
      <c r="E33" s="48" cm="1">
        <f t="array" aca="1" ref="E33" ca="1">_xll.VoseInput("Cedar succeeds","1 = yes")+_xll.VoseBernoulli(E12)</f>
        <v>0</v>
      </c>
      <c r="F33" s="38">
        <f t="shared" ca="1" si="2"/>
        <v>0</v>
      </c>
      <c r="G33" s="49" cm="1">
        <f t="array" aca="1" ref="G33" ca="1">_xll.VoseInput("Cedar well cost","US$m")+_xll.VosePERT(F12,G12,H12)</f>
        <v>38.684661052304556</v>
      </c>
      <c r="H33" s="49" cm="1">
        <f t="array" aca="1" ref="H33" ca="1">_xll.VoseInput("Cedar value if discovered","US$m")+_xll.VoseLognormalAlt(I12,0.1,J12,0.9,0)</f>
        <v>167.61975708389036</v>
      </c>
      <c r="I33" s="50">
        <f t="shared" ca="1" si="3"/>
        <v>-38.684661052304556</v>
      </c>
      <c r="J33" s="28"/>
      <c r="K33" s="28"/>
      <c r="L33" s="28"/>
      <c r="M33" s="28"/>
      <c r="N33" s="28"/>
      <c r="O33" s="28"/>
      <c r="P33" s="28"/>
      <c r="Q33" s="28"/>
    </row>
    <row r="34" spans="2:17" x14ac:dyDescent="0.45">
      <c r="B34" s="38">
        <v>4</v>
      </c>
      <c r="C34" s="25" t="str">
        <f t="shared" si="0"/>
        <v>Dogwood</v>
      </c>
      <c r="D34" s="38">
        <f t="shared" ca="1" si="1"/>
        <v>1</v>
      </c>
      <c r="E34" s="48" cm="1">
        <f t="array" aca="1" ref="E34" ca="1">_xll.VoseInput("Dogwood succeeds","1 = yes")+_xll.VoseBernoulli(E13)</f>
        <v>1</v>
      </c>
      <c r="F34" s="38">
        <f t="shared" ca="1" si="2"/>
        <v>1</v>
      </c>
      <c r="G34" s="49" cm="1">
        <f t="array" aca="1" ref="G34" ca="1">_xll.VoseInput("Dogwood well cost","US$m")+_xll.VosePERT(F13,G13,H13)</f>
        <v>50.860764815840867</v>
      </c>
      <c r="H34" s="49" cm="1">
        <f t="array" aca="1" ref="H34" ca="1">_xll.VoseInput("Dogwood value if discovered","US$m")+_xll.VoseLognormalAlt(I13,0.1,J13,0.9,0)</f>
        <v>322.50902134246627</v>
      </c>
      <c r="I34" s="50">
        <f t="shared" ca="1" si="3"/>
        <v>271.6482565266254</v>
      </c>
      <c r="J34" s="28"/>
      <c r="K34" s="28"/>
      <c r="L34" s="28"/>
      <c r="M34" s="28"/>
      <c r="N34" s="28"/>
      <c r="O34" s="28"/>
      <c r="P34" s="28"/>
      <c r="Q34" s="28"/>
    </row>
    <row r="35" spans="2:17" x14ac:dyDescent="0.45">
      <c r="B35" s="38">
        <v>5</v>
      </c>
      <c r="C35" s="25" t="str">
        <f t="shared" si="0"/>
        <v>Elm</v>
      </c>
      <c r="D35" s="38">
        <f t="shared" ca="1" si="1"/>
        <v>1</v>
      </c>
      <c r="E35" s="48" cm="1">
        <f t="array" aca="1" ref="E35" ca="1">_xll.VoseInput("Elm succeeds","1 = yes")+_xll.VoseBernoulli(E14)</f>
        <v>1</v>
      </c>
      <c r="F35" s="38">
        <f t="shared" ca="1" si="2"/>
        <v>1</v>
      </c>
      <c r="G35" s="49" cm="1">
        <f t="array" aca="1" ref="G35" ca="1">_xll.VoseInput("Elm well cost","US$m")+_xll.VosePERT(F14,G14,H14)</f>
        <v>47.900239662599503</v>
      </c>
      <c r="H35" s="49" cm="1">
        <f t="array" aca="1" ref="H35" ca="1">_xll.VoseInput("Elm value if discovered","US$m")+_xll.VoseLognormalAlt(I14,0.1,J14,0.9,0)</f>
        <v>189.84688350190069</v>
      </c>
      <c r="I35" s="50">
        <f t="shared" ca="1" si="3"/>
        <v>141.9466438393012</v>
      </c>
      <c r="J35" s="28"/>
      <c r="K35" s="28"/>
      <c r="L35" s="28"/>
      <c r="M35" s="28"/>
      <c r="N35" s="28"/>
      <c r="O35" s="28"/>
      <c r="P35" s="28"/>
      <c r="Q35" s="28"/>
    </row>
    <row r="36" spans="2:17" x14ac:dyDescent="0.45">
      <c r="B36" s="38">
        <v>6</v>
      </c>
      <c r="C36" s="25" t="str">
        <f t="shared" si="0"/>
        <v>Fir</v>
      </c>
      <c r="D36" s="38">
        <f t="shared" ca="1" si="1"/>
        <v>1</v>
      </c>
      <c r="E36" s="48" cm="1">
        <f t="array" aca="1" ref="E36" ca="1">_xll.VoseInput("Fir succeeds","1 = yes")+_xll.VoseBernoulli(E15)</f>
        <v>0</v>
      </c>
      <c r="F36" s="38">
        <f t="shared" ca="1" si="2"/>
        <v>0</v>
      </c>
      <c r="G36" s="49" cm="1">
        <f t="array" aca="1" ref="G36" ca="1">_xll.VoseInput("Fir well cost","US$m")+_xll.VosePERT(F15,G15,H15)</f>
        <v>49.570598721875058</v>
      </c>
      <c r="H36" s="49" cm="1">
        <f t="array" aca="1" ref="H36" ca="1">_xll.VoseInput("Fir value if discovered","US$m")+_xll.VoseLognormalAlt(I15,0.1,J15,0.9,0)</f>
        <v>273.6649962211219</v>
      </c>
      <c r="I36" s="50">
        <f t="shared" ca="1" si="3"/>
        <v>-49.570598721875058</v>
      </c>
      <c r="J36" s="28"/>
      <c r="K36" s="28"/>
      <c r="L36" s="28"/>
      <c r="M36" s="28"/>
      <c r="N36" s="28"/>
      <c r="O36" s="28"/>
      <c r="P36" s="28"/>
      <c r="Q36" s="28"/>
    </row>
    <row r="37" spans="2:17" x14ac:dyDescent="0.45">
      <c r="B37" s="38">
        <v>7</v>
      </c>
      <c r="C37" s="25" t="str">
        <f t="shared" si="0"/>
        <v>Ginkgo</v>
      </c>
      <c r="D37" s="38">
        <f t="shared" ca="1" si="1"/>
        <v>1</v>
      </c>
      <c r="E37" s="48" cm="1">
        <f t="array" aca="1" ref="E37" ca="1">_xll.VoseInput("Ginkgo succeeds","1 = yes")+_xll.VoseBernoulli(E16)</f>
        <v>1</v>
      </c>
      <c r="F37" s="38">
        <f t="shared" ca="1" si="2"/>
        <v>1</v>
      </c>
      <c r="G37" s="49" cm="1">
        <f t="array" aca="1" ref="G37" ca="1">_xll.VoseInput("Ginkgo well cost","US$m")+_xll.VosePERT(F16,G16,H16)</f>
        <v>66.700118043960501</v>
      </c>
      <c r="H37" s="49" cm="1">
        <f t="array" aca="1" ref="H37" ca="1">_xll.VoseInput("Ginkgo value if discovered","US$m")+_xll.VoseLognormalAlt(I16,0.1,J16,0.9,0)</f>
        <v>586.17027841626191</v>
      </c>
      <c r="I37" s="50">
        <f t="shared" ca="1" si="3"/>
        <v>519.47016037230139</v>
      </c>
      <c r="J37" s="28"/>
      <c r="K37" s="28"/>
      <c r="L37" s="28"/>
      <c r="M37" s="28"/>
      <c r="N37" s="28"/>
      <c r="O37" s="28"/>
      <c r="P37" s="28"/>
      <c r="Q37" s="28"/>
    </row>
    <row r="38" spans="2:17" x14ac:dyDescent="0.45">
      <c r="B38" s="38">
        <v>8</v>
      </c>
      <c r="C38" s="25" t="str">
        <f t="shared" si="0"/>
        <v>Hazel</v>
      </c>
      <c r="D38" s="38">
        <f t="shared" ca="1" si="1"/>
        <v>1</v>
      </c>
      <c r="E38" s="48" cm="1">
        <f t="array" aca="1" ref="E38" ca="1">_xll.VoseInput("Hazel succeeds","1 = yes")+_xll.VoseBernoulli(E17)</f>
        <v>0</v>
      </c>
      <c r="F38" s="38">
        <f t="shared" ca="1" si="2"/>
        <v>0</v>
      </c>
      <c r="G38" s="49" cm="1">
        <f t="array" aca="1" ref="G38" ca="1">_xll.VoseInput("Hazel well cost","US$m")+_xll.VosePERT(F17,G17,H17)</f>
        <v>69.360303676943204</v>
      </c>
      <c r="H38" s="49" cm="1">
        <f t="array" aca="1" ref="H38" ca="1">_xll.VoseInput("Hazel value if discovered","US$m")+_xll.VoseLognormalAlt(I17,0.1,J17,0.9,0)</f>
        <v>395.24146552613223</v>
      </c>
      <c r="I38" s="50">
        <f t="shared" ca="1" si="3"/>
        <v>-69.360303676943204</v>
      </c>
      <c r="J38" s="28"/>
      <c r="K38" s="28"/>
      <c r="L38" s="28"/>
      <c r="M38" s="28"/>
      <c r="N38" s="28"/>
      <c r="O38" s="28"/>
      <c r="P38" s="28"/>
      <c r="Q38" s="28"/>
    </row>
    <row r="39" spans="2:17" ht="8" customHeight="1" x14ac:dyDescent="0.45"/>
    <row r="40" spans="2:17" ht="22.05" customHeight="1" x14ac:dyDescent="0.5">
      <c r="B40" s="7" t="s">
        <v>190</v>
      </c>
      <c r="C40" s="8"/>
      <c r="D40" s="8"/>
      <c r="E40" s="8"/>
      <c r="F40" s="8"/>
      <c r="G40" s="8"/>
      <c r="H40" s="8"/>
      <c r="I40" s="8"/>
      <c r="J40" s="8"/>
      <c r="K40" s="8"/>
      <c r="L40" s="8"/>
      <c r="M40" s="8"/>
      <c r="N40" s="8"/>
      <c r="O40" s="8"/>
      <c r="P40" s="8"/>
      <c r="Q40" s="8"/>
    </row>
    <row r="41" spans="2:17" ht="18" customHeight="1" x14ac:dyDescent="0.45">
      <c r="B41" s="13" t="s">
        <v>191</v>
      </c>
    </row>
    <row r="42" spans="2:17" ht="18" customHeight="1" x14ac:dyDescent="0.45">
      <c r="B42" s="32" t="s">
        <v>128</v>
      </c>
      <c r="C42" s="33" t="s">
        <v>129</v>
      </c>
      <c r="D42" s="35"/>
      <c r="E42" s="32" t="s">
        <v>192</v>
      </c>
      <c r="F42" s="35"/>
      <c r="G42" s="32" t="s">
        <v>193</v>
      </c>
      <c r="H42" s="32" t="s">
        <v>194</v>
      </c>
      <c r="I42" s="32" t="s">
        <v>195</v>
      </c>
      <c r="J42" s="32" t="s">
        <v>196</v>
      </c>
      <c r="K42" s="35"/>
      <c r="L42" s="32" t="s">
        <v>197</v>
      </c>
      <c r="M42" s="35"/>
      <c r="N42" s="35"/>
      <c r="O42" s="35"/>
      <c r="P42" s="35"/>
      <c r="Q42" s="33" t="s">
        <v>171</v>
      </c>
    </row>
    <row r="43" spans="2:17" x14ac:dyDescent="0.45">
      <c r="B43" s="36"/>
      <c r="C43" s="36"/>
      <c r="D43" s="36"/>
      <c r="E43" s="36" t="s">
        <v>198</v>
      </c>
      <c r="F43" s="36"/>
      <c r="G43" s="36" t="s">
        <v>199</v>
      </c>
      <c r="H43" s="36" t="s">
        <v>200</v>
      </c>
      <c r="I43" s="36" t="s">
        <v>201</v>
      </c>
      <c r="J43" s="36" t="s">
        <v>202</v>
      </c>
      <c r="K43" s="36"/>
      <c r="L43" s="36" t="s">
        <v>203</v>
      </c>
      <c r="M43" s="36"/>
      <c r="N43" s="36"/>
      <c r="O43" s="36"/>
      <c r="P43" s="36"/>
      <c r="Q43" s="36"/>
    </row>
    <row r="44" spans="2:17" x14ac:dyDescent="0.45">
      <c r="B44" s="38">
        <v>1</v>
      </c>
      <c r="C44" s="25" t="str">
        <f t="shared" ref="C44:C51" si="4">C10</f>
        <v>Alder</v>
      </c>
      <c r="D44" s="28"/>
      <c r="E44" s="51">
        <f t="shared" ref="E44:E51" si="5">INDEX(PlayChances,MATCH(D10,PlayCodes,0))*E10</f>
        <v>0.42749999999999999</v>
      </c>
      <c r="F44" s="28"/>
      <c r="G44" s="50" cm="1">
        <f t="array" ref="G44">_xll.VoseMean(_xll.VosePERTObject(F10,G10,H10))</f>
        <v>32.666666666666664</v>
      </c>
      <c r="H44" s="50" cm="1">
        <f t="array" ref="H44">_xll.VoseMean(_xll.VoseLognormalAltObject(I10,0.1,J10,0.9,0))</f>
        <v>104.17555232039108</v>
      </c>
      <c r="I44" s="50">
        <f t="shared" ref="I44:I51" si="6">E44*H44-G44</f>
        <v>11.868381950300517</v>
      </c>
      <c r="J44" s="52">
        <f t="shared" ref="J44:J51" si="7">LN(1-E10)</f>
        <v>-0.59783700075562041</v>
      </c>
      <c r="K44" s="28"/>
      <c r="L44" s="52">
        <f t="shared" ref="L44:L51" si="8">LN(1-E44)</f>
        <v>-0.55774254355374231</v>
      </c>
      <c r="M44" s="28"/>
      <c r="N44" s="28"/>
      <c r="O44" s="28"/>
      <c r="P44" s="28"/>
      <c r="Q44" s="26" t="s">
        <v>204</v>
      </c>
    </row>
    <row r="45" spans="2:17" x14ac:dyDescent="0.45">
      <c r="B45" s="38">
        <v>2</v>
      </c>
      <c r="C45" s="25" t="str">
        <f t="shared" si="4"/>
        <v>Birch</v>
      </c>
      <c r="D45" s="28"/>
      <c r="E45" s="51">
        <f t="shared" si="5"/>
        <v>0.38</v>
      </c>
      <c r="F45" s="28"/>
      <c r="G45" s="50" cm="1">
        <f t="array" ref="G45">_xll.VoseMean(_xll.VosePERTObject(F11,G11,H11))</f>
        <v>35.833333333333336</v>
      </c>
      <c r="H45" s="50" cm="1">
        <f t="array" ref="H45">_xll.VoseMean(_xll.VoseLognormalAltObject(I11,0.1,J11,0.9,0))</f>
        <v>92.60049095145871</v>
      </c>
      <c r="I45" s="50">
        <f t="shared" si="6"/>
        <v>-0.64514677177902513</v>
      </c>
      <c r="J45" s="52">
        <f t="shared" si="7"/>
        <v>-0.51082562376599072</v>
      </c>
      <c r="K45" s="28"/>
      <c r="L45" s="52">
        <f t="shared" si="8"/>
        <v>-0.4780358009429998</v>
      </c>
      <c r="M45" s="28"/>
      <c r="N45" s="28"/>
      <c r="O45" s="28"/>
      <c r="P45" s="28"/>
      <c r="Q45" s="26" t="s">
        <v>205</v>
      </c>
    </row>
    <row r="46" spans="2:17" x14ac:dyDescent="0.45">
      <c r="B46" s="38">
        <v>3</v>
      </c>
      <c r="C46" s="25" t="str">
        <f t="shared" si="4"/>
        <v>Cedar</v>
      </c>
      <c r="D46" s="28"/>
      <c r="E46" s="51">
        <f t="shared" si="5"/>
        <v>0.33249999999999996</v>
      </c>
      <c r="F46" s="28"/>
      <c r="G46" s="50" cm="1">
        <f t="array" ref="G46">_xll.VoseMean(_xll.VosePERTObject(F12,G12,H12))</f>
        <v>39</v>
      </c>
      <c r="H46" s="50" cm="1">
        <f t="array" ref="H46">_xll.VoseMean(_xll.VoseLognormalAltObject(I12,0.1,J12,0.9,0))</f>
        <v>131.43397690111544</v>
      </c>
      <c r="I46" s="50">
        <f t="shared" si="6"/>
        <v>4.70179731962088</v>
      </c>
      <c r="J46" s="52">
        <f t="shared" si="7"/>
        <v>-0.43078291609245423</v>
      </c>
      <c r="K46" s="28"/>
      <c r="L46" s="52">
        <f t="shared" si="8"/>
        <v>-0.40421588870773251</v>
      </c>
      <c r="M46" s="28"/>
      <c r="N46" s="28"/>
      <c r="O46" s="28"/>
      <c r="P46" s="28"/>
      <c r="Q46" s="26" t="s">
        <v>206</v>
      </c>
    </row>
    <row r="47" spans="2:17" x14ac:dyDescent="0.45">
      <c r="B47" s="38">
        <v>4</v>
      </c>
      <c r="C47" s="25" t="str">
        <f t="shared" si="4"/>
        <v>Dogwood</v>
      </c>
      <c r="D47" s="28"/>
      <c r="E47" s="51">
        <f t="shared" si="5"/>
        <v>0.32500000000000001</v>
      </c>
      <c r="F47" s="28"/>
      <c r="G47" s="50" cm="1">
        <f t="array" ref="G47">_xll.VoseMean(_xll.VosePERTObject(F13,G13,H13))</f>
        <v>49</v>
      </c>
      <c r="H47" s="50" cm="1">
        <f t="array" ref="H47">_xll.VoseMean(_xll.VoseLognormalAltObject(I13,0.1,J13,0.9,0))</f>
        <v>189.31133813430895</v>
      </c>
      <c r="I47" s="50">
        <f t="shared" si="6"/>
        <v>12.526184893650409</v>
      </c>
      <c r="J47" s="52">
        <f t="shared" si="7"/>
        <v>-0.69314718055994529</v>
      </c>
      <c r="K47" s="28"/>
      <c r="L47" s="52">
        <f t="shared" si="8"/>
        <v>-0.39304258810960718</v>
      </c>
      <c r="M47" s="28"/>
      <c r="N47" s="28"/>
      <c r="O47" s="28"/>
      <c r="P47" s="28"/>
      <c r="Q47" s="26" t="s">
        <v>207</v>
      </c>
    </row>
    <row r="48" spans="2:17" x14ac:dyDescent="0.45">
      <c r="B48" s="38">
        <v>5</v>
      </c>
      <c r="C48" s="25" t="str">
        <f t="shared" si="4"/>
        <v>Elm</v>
      </c>
      <c r="D48" s="28"/>
      <c r="E48" s="51">
        <f t="shared" si="5"/>
        <v>0.29250000000000004</v>
      </c>
      <c r="F48" s="28"/>
      <c r="G48" s="50" cm="1">
        <f t="array" ref="G48">_xll.VoseMean(_xll.VosePERTObject(F14,G14,H14))</f>
        <v>46</v>
      </c>
      <c r="H48" s="50" cm="1">
        <f t="array" ref="H48">_xll.VoseMean(_xll.VoseLognormalAltObject(I14,0.1,J14,0.9,0))</f>
        <v>166.16056454812724</v>
      </c>
      <c r="I48" s="50">
        <f t="shared" si="6"/>
        <v>2.6019651303272227</v>
      </c>
      <c r="J48" s="52">
        <f t="shared" si="7"/>
        <v>-0.59783700075562041</v>
      </c>
      <c r="K48" s="28"/>
      <c r="L48" s="52">
        <f t="shared" si="8"/>
        <v>-0.34601764946474434</v>
      </c>
      <c r="M48" s="28"/>
      <c r="N48" s="28"/>
      <c r="O48" s="28"/>
      <c r="P48" s="28"/>
      <c r="Q48" s="26" t="s">
        <v>208</v>
      </c>
    </row>
    <row r="49" spans="2:17" x14ac:dyDescent="0.45">
      <c r="B49" s="38">
        <v>6</v>
      </c>
      <c r="C49" s="25" t="str">
        <f t="shared" si="4"/>
        <v>Fir</v>
      </c>
      <c r="D49" s="28"/>
      <c r="E49" s="51">
        <f t="shared" si="5"/>
        <v>0.26</v>
      </c>
      <c r="F49" s="28"/>
      <c r="G49" s="50" cm="1">
        <f t="array" ref="G49">_xll.VoseMean(_xll.VosePERTObject(F15,G15,H15))</f>
        <v>51.333333333333336</v>
      </c>
      <c r="H49" s="50" cm="1">
        <f t="array" ref="H49">_xll.VoseMean(_xll.VoseLognormalAltObject(I15,0.1,J15,0.9,0))</f>
        <v>228.14072987719365</v>
      </c>
      <c r="I49" s="50">
        <f t="shared" si="6"/>
        <v>7.9832564347370152</v>
      </c>
      <c r="J49" s="52">
        <f t="shared" si="7"/>
        <v>-0.51082562376599072</v>
      </c>
      <c r="K49" s="28"/>
      <c r="L49" s="52">
        <f t="shared" si="8"/>
        <v>-0.30110509278392161</v>
      </c>
      <c r="M49" s="28"/>
      <c r="N49" s="28"/>
      <c r="O49" s="28"/>
      <c r="P49" s="28"/>
      <c r="Q49" s="28"/>
    </row>
    <row r="50" spans="2:17" x14ac:dyDescent="0.45">
      <c r="B50" s="38">
        <v>7</v>
      </c>
      <c r="C50" s="25" t="str">
        <f t="shared" si="4"/>
        <v>Ginkgo</v>
      </c>
      <c r="D50" s="28"/>
      <c r="E50" s="51">
        <f t="shared" si="5"/>
        <v>0.1925</v>
      </c>
      <c r="F50" s="28"/>
      <c r="G50" s="50" cm="1">
        <f t="array" ref="G50">_xll.VoseMean(_xll.VosePERTObject(F16,G16,H16))</f>
        <v>73.833333333333329</v>
      </c>
      <c r="H50" s="50" cm="1">
        <f t="array" ref="H50">_xll.VoseMean(_xll.VoseLognormalAltObject(I16,0.1,J16,0.9,0))</f>
        <v>503.97884050295403</v>
      </c>
      <c r="I50" s="50">
        <f t="shared" si="6"/>
        <v>23.182593463485318</v>
      </c>
      <c r="J50" s="52">
        <f t="shared" si="7"/>
        <v>-0.79850769621777173</v>
      </c>
      <c r="K50" s="28"/>
      <c r="L50" s="52">
        <f t="shared" si="8"/>
        <v>-0.21381222388532545</v>
      </c>
      <c r="M50" s="28"/>
      <c r="N50" s="28"/>
      <c r="O50" s="28"/>
      <c r="P50" s="28"/>
      <c r="Q50" s="28"/>
    </row>
    <row r="51" spans="2:17" x14ac:dyDescent="0.45">
      <c r="B51" s="38">
        <v>8</v>
      </c>
      <c r="C51" s="25" t="str">
        <f t="shared" si="4"/>
        <v>Hazel</v>
      </c>
      <c r="D51" s="28"/>
      <c r="E51" s="51">
        <f t="shared" si="5"/>
        <v>0.17499999999999999</v>
      </c>
      <c r="F51" s="28"/>
      <c r="G51" s="50" cm="1">
        <f t="array" ref="G51">_xll.VoseMean(_xll.VosePERTObject(F17,G17,H17))</f>
        <v>81.666666666666671</v>
      </c>
      <c r="H51" s="50" cm="1">
        <f t="array" ref="H51">_xll.VoseMean(_xll.VoseLognormalAltObject(I17,0.1,J17,0.9,0))</f>
        <v>619.76149319882893</v>
      </c>
      <c r="I51" s="50">
        <f t="shared" si="6"/>
        <v>26.791594643128391</v>
      </c>
      <c r="J51" s="52">
        <f t="shared" si="7"/>
        <v>-0.69314718055994529</v>
      </c>
      <c r="K51" s="28"/>
      <c r="L51" s="52">
        <f t="shared" si="8"/>
        <v>-0.19237189264745613</v>
      </c>
      <c r="M51" s="28"/>
      <c r="N51" s="28"/>
      <c r="O51" s="28"/>
      <c r="P51" s="28"/>
      <c r="Q51" s="28"/>
    </row>
  </sheetData>
  <conditionalFormatting sqref="F31:F38">
    <cfRule type="expression" dxfId="13" priority="2">
      <formula>F31=1</formula>
    </cfRule>
  </conditionalFormatting>
  <conditionalFormatting sqref="I44:I51">
    <cfRule type="expression" dxfId="12" priority="3">
      <formula>I44&lt;0</formula>
    </cfRule>
  </conditionalFormatting>
  <conditionalFormatting sqref="L10:O17">
    <cfRule type="expression" dxfId="11" priority="1">
      <formula>L10=1</formula>
    </cfRule>
  </conditionalFormatting>
  <dataValidations count="5">
    <dataValidation type="list" showErrorMessage="1" errorTitle="Play" error="Enter A, B or C." sqref="D10:D17" xr:uid="{00000000-0002-0000-0200-000000000000}">
      <formula1>"A,B,C"</formula1>
    </dataValidation>
    <dataValidation type="decimal" showErrorMessage="1" errorTitle="Probability" error="Enter a value between 0% and 100%." sqref="E10:E17" xr:uid="{00000000-0002-0000-0200-000001000000}">
      <formula1>0</formula1>
      <formula2>1</formula2>
    </dataValidation>
    <dataValidation type="custom" showErrorMessage="1" errorTitle="Well cost" error="Low must be below High, with Most likely between them." sqref="F10:H17" xr:uid="{00000000-0002-0000-0200-000002000000}">
      <formula1>AND($F10&lt;=$G10,$G10&lt;=$H10,$F10&lt;$H10,$F10&gt;=0)</formula1>
    </dataValidation>
    <dataValidation type="custom" showErrorMessage="1" errorTitle="Value" error="P90 (low) must be positive and below P10 (high)." sqref="I10:J17" xr:uid="{00000000-0002-0000-0200-000003000000}">
      <formula1>AND($I10&gt;0,$I10&lt;$J10)</formula1>
    </dataValidation>
    <dataValidation type="whole" showErrorMessage="1" errorTitle="Programme" error="Enter 1 (drilled) or 0 (not drilled)." sqref="L10:O17" xr:uid="{00000000-0002-0000-0200-000004000000}">
      <formula1>0</formula1>
      <formula2>1</formula2>
    </dataValidation>
  </dataValidations>
  <hyperlinks>
    <hyperlink ref="B4" location="'Inputs'!A1" display="◂  Inputs" xr:uid="{00000000-0004-0000-0200-000000000000}"/>
    <hyperlink ref="Q4" location="'Programmes'!A1" display="Next:  Programmes  ▸" xr:uid="{00000000-0004-0000-0200-000001000000}"/>
  </hyperlinks>
  <printOptions horizontalCentered="1"/>
  <pageMargins left="0.4" right="0.4" top="0.5" bottom="0.6" header="0.25" footer="0.25"/>
  <pageSetup paperSize="9" scale="67" fitToHeight="0" orientation="landscape" r:id="rId1"/>
  <headerFooter>
    <oddFooter>&amp;L&amp;K3F5876&amp;8&amp;F · &amp;A&amp;R&amp;K3F5876&amp;8Page &amp;P of &amp;N</oddFooter>
  </headerFooter>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H47"/>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50" customWidth="1"/>
    <col min="3" max="6" width="15" customWidth="1"/>
    <col min="7" max="7" width="2" customWidth="1"/>
    <col min="8" max="8" width="60"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209</v>
      </c>
      <c r="C3" s="1"/>
      <c r="D3" s="1"/>
      <c r="E3" s="1"/>
      <c r="F3" s="1"/>
      <c r="G3" s="1"/>
      <c r="H3" s="1"/>
    </row>
    <row r="4" spans="1:8" ht="20" customHeight="1" x14ac:dyDescent="0.45">
      <c r="A4" s="5"/>
      <c r="B4" s="22" t="s">
        <v>210</v>
      </c>
      <c r="C4" s="5"/>
      <c r="D4" s="5"/>
      <c r="E4" s="5"/>
      <c r="F4" s="5"/>
      <c r="G4" s="5"/>
      <c r="H4" s="6" t="s">
        <v>211</v>
      </c>
    </row>
    <row r="5" spans="1:8" ht="8" customHeight="1" x14ac:dyDescent="0.45"/>
    <row r="6" spans="1:8" ht="22.05" customHeight="1" x14ac:dyDescent="0.5">
      <c r="B6" s="7" t="s">
        <v>212</v>
      </c>
      <c r="C6" s="8"/>
      <c r="D6" s="8"/>
      <c r="E6" s="8"/>
      <c r="F6" s="8"/>
      <c r="G6" s="8"/>
      <c r="H6" s="8"/>
    </row>
    <row r="7" spans="1:8" ht="18" customHeight="1" x14ac:dyDescent="0.45">
      <c r="B7" s="13" t="s">
        <v>213</v>
      </c>
    </row>
    <row r="8" spans="1:8" ht="30" customHeight="1" x14ac:dyDescent="0.45">
      <c r="B8" s="23"/>
      <c r="C8" s="24" t="s">
        <v>214</v>
      </c>
      <c r="D8" s="24" t="s">
        <v>215</v>
      </c>
      <c r="E8" s="24" t="s">
        <v>216</v>
      </c>
      <c r="F8" s="24" t="s">
        <v>217</v>
      </c>
      <c r="G8" s="5"/>
      <c r="H8" s="23" t="s">
        <v>135</v>
      </c>
    </row>
    <row r="9" spans="1:8" x14ac:dyDescent="0.45">
      <c r="B9" s="25" t="s">
        <v>218</v>
      </c>
      <c r="C9" s="38">
        <f>SUM(Sel_1)</f>
        <v>5</v>
      </c>
      <c r="D9" s="38">
        <f>SUM(Sel_2)</f>
        <v>5</v>
      </c>
      <c r="E9" s="38">
        <f>SUM(Sel_3)</f>
        <v>4</v>
      </c>
      <c r="F9" s="38">
        <f>SUM(Sel_4)</f>
        <v>5</v>
      </c>
      <c r="G9" s="28"/>
      <c r="H9" s="26" t="s">
        <v>219</v>
      </c>
    </row>
    <row r="10" spans="1:8" x14ac:dyDescent="0.45">
      <c r="B10" s="25" t="s">
        <v>220</v>
      </c>
      <c r="C10" s="50">
        <f>SUMPRODUCT(Sel_1,MeanCost)</f>
        <v>202.5</v>
      </c>
      <c r="D10" s="50">
        <f>SUMPRODUCT(Sel_2,MeanCost)</f>
        <v>245.83333333333331</v>
      </c>
      <c r="E10" s="50">
        <f>SUMPRODUCT(Sel_3,MeanCost)</f>
        <v>237.16666666666669</v>
      </c>
      <c r="F10" s="50">
        <f>SUMPRODUCT(Sel_4,MeanCost)</f>
        <v>263.83333333333337</v>
      </c>
      <c r="G10" s="28"/>
      <c r="H10" s="26" t="s">
        <v>221</v>
      </c>
    </row>
    <row r="11" spans="1:8" x14ac:dyDescent="0.45">
      <c r="B11" s="25" t="s">
        <v>222</v>
      </c>
      <c r="C11" s="53" t="str">
        <f>IF(C10&lt;=Budget,"Yes","No")</f>
        <v>Yes</v>
      </c>
      <c r="D11" s="53" t="str">
        <f>IF(D10&lt;=Budget,"Yes","No")</f>
        <v>Yes</v>
      </c>
      <c r="E11" s="53" t="str">
        <f>IF(E10&lt;=Budget,"Yes","No")</f>
        <v>Yes</v>
      </c>
      <c r="F11" s="53" t="str">
        <f>IF(F10&lt;=Budget,"Yes","No")</f>
        <v>Yes</v>
      </c>
      <c r="G11" s="28"/>
      <c r="H11" s="26" t="s">
        <v>223</v>
      </c>
    </row>
    <row r="12" spans="1:8" x14ac:dyDescent="0.45">
      <c r="B12" s="54" t="s">
        <v>224</v>
      </c>
      <c r="C12" s="50">
        <f>SUMPRODUCT(Sel_1,EMV_Prospect)</f>
        <v>31.053182522120004</v>
      </c>
      <c r="D12" s="50">
        <f>SUMPRODUCT(Sel_2,EMV_Prospect)</f>
        <v>60.26221406179414</v>
      </c>
      <c r="E12" s="50">
        <f>SUMPRODUCT(Sel_3,EMV_Prospect)</f>
        <v>74.368754950564636</v>
      </c>
      <c r="F12" s="50">
        <f>SUMPRODUCT(Sel_4,EMV_Prospect)</f>
        <v>49.257854330064013</v>
      </c>
      <c r="G12" s="28"/>
      <c r="H12" s="26" t="s">
        <v>225</v>
      </c>
    </row>
    <row r="13" spans="1:8" x14ac:dyDescent="0.45">
      <c r="B13" s="25" t="s">
        <v>226</v>
      </c>
      <c r="C13" s="51">
        <f>EXP(SUMIFS(LnFailLocal,Pros_Play,Prospects!$B$23,Sel_1,1))</f>
        <v>0.21450000000000002</v>
      </c>
      <c r="D13" s="51">
        <f>EXP(SUMIFS(LnFailLocal,Pros_Play,Prospects!$B$23,Sel_2,1))</f>
        <v>0.35749999999999998</v>
      </c>
      <c r="E13" s="51">
        <f>EXP(SUMIFS(LnFailLocal,Pros_Play,Prospects!$B$23,Sel_3,1))</f>
        <v>0.55000000000000004</v>
      </c>
      <c r="F13" s="51">
        <f>EXP(SUMIFS(LnFailLocal,Pros_Play,Prospects!$B$23,Sel_4,1))</f>
        <v>0.6</v>
      </c>
      <c r="G13" s="28"/>
      <c r="H13" s="26" t="s">
        <v>227</v>
      </c>
    </row>
    <row r="14" spans="1:8" x14ac:dyDescent="0.45">
      <c r="B14" s="25" t="s">
        <v>228</v>
      </c>
      <c r="C14" s="51">
        <f>1-Chance_PlayA+Chance_PlayA*C13</f>
        <v>0.25377500000000008</v>
      </c>
      <c r="D14" s="51">
        <f>1-Chance_PlayA+Chance_PlayA*D13</f>
        <v>0.389625</v>
      </c>
      <c r="E14" s="51">
        <f>1-Chance_PlayA+Chance_PlayA*E13</f>
        <v>0.57250000000000001</v>
      </c>
      <c r="F14" s="51">
        <f>1-Chance_PlayA+Chance_PlayA*F13</f>
        <v>0.62</v>
      </c>
      <c r="G14" s="28"/>
      <c r="H14" s="26" t="s">
        <v>229</v>
      </c>
    </row>
    <row r="15" spans="1:8" x14ac:dyDescent="0.45">
      <c r="B15" s="25" t="s">
        <v>230</v>
      </c>
      <c r="C15" s="51">
        <f>EXP(SUMIFS(LnFailLocal,Pros_Play,Prospects!$B$24,Sel_1,1))</f>
        <v>0.27500000000000002</v>
      </c>
      <c r="D15" s="51">
        <f>EXP(SUMIFS(LnFailLocal,Pros_Play,Prospects!$B$24,Sel_2,1))</f>
        <v>0.30000000000000004</v>
      </c>
      <c r="E15" s="51">
        <f>EXP(SUMIFS(LnFailLocal,Pros_Play,Prospects!$B$24,Sel_3,1))</f>
        <v>0.5</v>
      </c>
      <c r="F15" s="51">
        <f>EXP(SUMIFS(LnFailLocal,Pros_Play,Prospects!$B$24,Sel_4,1))</f>
        <v>0.16500000000000004</v>
      </c>
      <c r="G15" s="28"/>
      <c r="H15" s="28"/>
    </row>
    <row r="16" spans="1:8" x14ac:dyDescent="0.45">
      <c r="B16" s="25" t="s">
        <v>231</v>
      </c>
      <c r="C16" s="51">
        <f>1-Chance_PlayB+Chance_PlayB*C15</f>
        <v>0.52875000000000005</v>
      </c>
      <c r="D16" s="51">
        <f>1-Chance_PlayB+Chance_PlayB*D15</f>
        <v>0.54500000000000004</v>
      </c>
      <c r="E16" s="51">
        <f>1-Chance_PlayB+Chance_PlayB*E15</f>
        <v>0.67500000000000004</v>
      </c>
      <c r="F16" s="51">
        <f>1-Chance_PlayB+Chance_PlayB*F15</f>
        <v>0.45724999999999999</v>
      </c>
      <c r="G16" s="28"/>
      <c r="H16" s="28"/>
    </row>
    <row r="17" spans="2:8" x14ac:dyDescent="0.45">
      <c r="B17" s="25" t="s">
        <v>232</v>
      </c>
      <c r="C17" s="51">
        <f>EXP(SUMIFS(LnFailLocal,Pros_Play,Prospects!$B$25,Sel_1,1))</f>
        <v>1</v>
      </c>
      <c r="D17" s="51">
        <f>EXP(SUMIFS(LnFailLocal,Pros_Play,Prospects!$B$25,Sel_2,1))</f>
        <v>0.44999999999999996</v>
      </c>
      <c r="E17" s="51">
        <f>EXP(SUMIFS(LnFailLocal,Pros_Play,Prospects!$B$25,Sel_3,1))</f>
        <v>0.22499999999999995</v>
      </c>
      <c r="F17" s="51">
        <f>EXP(SUMIFS(LnFailLocal,Pros_Play,Prospects!$B$25,Sel_4,1))</f>
        <v>0.5</v>
      </c>
      <c r="G17" s="28"/>
      <c r="H17" s="28"/>
    </row>
    <row r="18" spans="2:8" x14ac:dyDescent="0.45">
      <c r="B18" s="25" t="s">
        <v>233</v>
      </c>
      <c r="C18" s="51">
        <f>1-Chance_PlayC+Chance_PlayC*C17</f>
        <v>1</v>
      </c>
      <c r="D18" s="51">
        <f>1-Chance_PlayC+Chance_PlayC*D17</f>
        <v>0.8075</v>
      </c>
      <c r="E18" s="51">
        <f>1-Chance_PlayC+Chance_PlayC*E17</f>
        <v>0.72875000000000001</v>
      </c>
      <c r="F18" s="51">
        <f>1-Chance_PlayC+Chance_PlayC*F17</f>
        <v>0.82499999999999996</v>
      </c>
      <c r="G18" s="28"/>
      <c r="H18" s="28"/>
    </row>
    <row r="19" spans="2:8" x14ac:dyDescent="0.45">
      <c r="B19" s="54" t="s">
        <v>234</v>
      </c>
      <c r="C19" s="51">
        <f>C14*C16*C18</f>
        <v>0.13418353125000007</v>
      </c>
      <c r="D19" s="51">
        <f>D14*D16*D18</f>
        <v>0.17146909218750001</v>
      </c>
      <c r="E19" s="51">
        <f>E14*E16*E18</f>
        <v>0.28161632812500004</v>
      </c>
      <c r="F19" s="51">
        <f>F14*F16*F18</f>
        <v>0.23388337499999998</v>
      </c>
      <c r="G19" s="28"/>
      <c r="H19" s="26" t="s">
        <v>235</v>
      </c>
    </row>
    <row r="20" spans="2:8" x14ac:dyDescent="0.45">
      <c r="B20" s="25" t="s">
        <v>236</v>
      </c>
      <c r="C20" s="51">
        <f>EXP(SUMIFS(LnNoDiscovery,Sel_1,1))</f>
        <v>0.11314846525781252</v>
      </c>
      <c r="D20" s="51">
        <f>EXP(SUMIFS(LnNoDiscovery,Sel_2,1))</f>
        <v>0.15413624852343749</v>
      </c>
      <c r="E20" s="51">
        <f>EXP(SUMIFS(LnNoDiscovery,Sel_3,1))</f>
        <v>0.25743983203124998</v>
      </c>
      <c r="F20" s="51">
        <f>EXP(SUMIFS(LnNoDiscovery,Sel_4,1))</f>
        <v>0.18076218187500004</v>
      </c>
      <c r="G20" s="28"/>
      <c r="H20" s="26" t="s">
        <v>237</v>
      </c>
    </row>
    <row r="21" spans="2:8" x14ac:dyDescent="0.45">
      <c r="B21" s="25" t="s">
        <v>238</v>
      </c>
      <c r="C21" s="55">
        <f>C19-C20</f>
        <v>2.1035065992187546E-2</v>
      </c>
      <c r="D21" s="55">
        <f>D19-D20</f>
        <v>1.7332843664062514E-2</v>
      </c>
      <c r="E21" s="55">
        <f>E19-E20</f>
        <v>2.4176496093750055E-2</v>
      </c>
      <c r="F21" s="55">
        <f>F19-F20</f>
        <v>5.3121193124999938E-2</v>
      </c>
      <c r="G21" s="28"/>
      <c r="H21" s="26" t="s">
        <v>239</v>
      </c>
    </row>
    <row r="22" spans="2:8" x14ac:dyDescent="0.45">
      <c r="B22" s="25" t="s">
        <v>240</v>
      </c>
      <c r="C22" s="53" t="str">
        <f>IF(C19&lt;=MaxDryChance,"Yes","No")</f>
        <v>Yes</v>
      </c>
      <c r="D22" s="53" t="str">
        <f>IF(D19&lt;=MaxDryChance,"Yes","No")</f>
        <v>Yes</v>
      </c>
      <c r="E22" s="53" t="str">
        <f>IF(E19&lt;=MaxDryChance,"Yes","No")</f>
        <v>No</v>
      </c>
      <c r="F22" s="53" t="str">
        <f>IF(F19&lt;=MaxDryChance,"Yes","No")</f>
        <v>No</v>
      </c>
      <c r="G22" s="28"/>
      <c r="H22" s="26" t="s">
        <v>241</v>
      </c>
    </row>
    <row r="23" spans="2:8" x14ac:dyDescent="0.45">
      <c r="B23" s="54" t="s">
        <v>242</v>
      </c>
      <c r="C23" s="53" t="str">
        <f>IF(C11="Yes",IF(C22="Yes","Yes","No: risk"),IF(C22="Yes","No: budget","No: both"))</f>
        <v>Yes</v>
      </c>
      <c r="D23" s="53" t="str">
        <f>IF(D11="Yes",IF(D22="Yes","Yes","No: risk"),IF(D22="Yes","No: budget","No: both"))</f>
        <v>Yes</v>
      </c>
      <c r="E23" s="53" t="str">
        <f>IF(E11="Yes",IF(E22="Yes","Yes","No: risk"),IF(E22="Yes","No: budget","No: both"))</f>
        <v>No: risk</v>
      </c>
      <c r="F23" s="53" t="str">
        <f>IF(F11="Yes",IF(F22="Yes","Yes","No: risk"),IF(F22="Yes","No: budget","No: both"))</f>
        <v>No: risk</v>
      </c>
      <c r="G23" s="28"/>
      <c r="H23" s="26" t="s">
        <v>243</v>
      </c>
    </row>
    <row r="24" spans="2:8" ht="8" customHeight="1" x14ac:dyDescent="0.45"/>
    <row r="25" spans="2:8" ht="22.05" customHeight="1" x14ac:dyDescent="0.5">
      <c r="B25" s="7" t="s">
        <v>244</v>
      </c>
      <c r="C25" s="8"/>
      <c r="D25" s="8"/>
      <c r="E25" s="8"/>
      <c r="F25" s="8"/>
      <c r="G25" s="8"/>
      <c r="H25" s="8"/>
    </row>
    <row r="26" spans="2:8" ht="18" customHeight="1" x14ac:dyDescent="0.45">
      <c r="B26" s="13" t="s">
        <v>245</v>
      </c>
    </row>
    <row r="27" spans="2:8" ht="30" customHeight="1" x14ac:dyDescent="0.45">
      <c r="B27" s="23"/>
      <c r="C27" s="24" t="s">
        <v>214</v>
      </c>
      <c r="D27" s="24" t="s">
        <v>215</v>
      </c>
      <c r="E27" s="24" t="s">
        <v>216</v>
      </c>
      <c r="F27" s="24" t="s">
        <v>217</v>
      </c>
      <c r="G27" s="5"/>
      <c r="H27" s="23" t="s">
        <v>135</v>
      </c>
    </row>
    <row r="28" spans="2:8" x14ac:dyDescent="0.45">
      <c r="B28" s="25" t="s">
        <v>246</v>
      </c>
      <c r="C28" s="56" cm="1">
        <f t="array" aca="1" ref="C28" ca="1">_xll.VoseOutput("Discoveries, programme 1","wells")+SUMPRODUCT(Sel_1,Discovery)</f>
        <v>4</v>
      </c>
      <c r="D28" s="56" cm="1">
        <f t="array" aca="1" ref="D28" ca="1">_xll.VoseOutput("Discoveries, programme 2","wells")+SUMPRODUCT(Sel_2,Discovery)</f>
        <v>3</v>
      </c>
      <c r="E28" s="56" cm="1">
        <f t="array" aca="1" ref="E28" ca="1">_xll.VoseOutput("Discoveries, programme 3","wells")+SUMPRODUCT(Sel_3,Discovery)</f>
        <v>3</v>
      </c>
      <c r="F28" s="56" cm="1">
        <f t="array" aca="1" ref="F28" ca="1">_xll.VoseOutput("Discoveries, programme 4","wells")+SUMPRODUCT(Sel_4,Discovery)</f>
        <v>3</v>
      </c>
      <c r="G28" s="28"/>
      <c r="H28" s="28"/>
    </row>
    <row r="29" spans="2:8" x14ac:dyDescent="0.45">
      <c r="B29" s="25" t="s">
        <v>247</v>
      </c>
      <c r="C29" s="50">
        <f ca="1">SUMPRODUCT(Sel_1,WellCost)</f>
        <v>204.46300857288486</v>
      </c>
      <c r="D29" s="50">
        <f ca="1">SUMPRODUCT(Sel_2,WellCost)</f>
        <v>236.92543300582395</v>
      </c>
      <c r="E29" s="50">
        <f ca="1">SUMPRODUCT(Sel_3,WellCost)</f>
        <v>218.03047690858756</v>
      </c>
      <c r="F29" s="50">
        <f ca="1">SUMPRODUCT(Sel_4,WellCost)</f>
        <v>253.59995954755556</v>
      </c>
      <c r="G29" s="28"/>
      <c r="H29" s="26" t="s">
        <v>248</v>
      </c>
    </row>
    <row r="30" spans="2:8" x14ac:dyDescent="0.45">
      <c r="B30" s="54" t="s">
        <v>249</v>
      </c>
      <c r="C30" s="57" cm="1">
        <f t="array" aca="1" ref="C30" ca="1">_xll.VoseOutput("Programme NPV, programme 1","US$m")+SUMPRODUCT(Sel_1,NPV_IfDrilled)</f>
        <v>548.19942573699723</v>
      </c>
      <c r="D30" s="57" cm="1">
        <f t="array" aca="1" ref="D30" ca="1">_xll.VoseOutput("Programme NPV, programme 2","US$m")+SUMPRODUCT(Sel_2,NPV_IfDrilled)</f>
        <v>832.94855929074799</v>
      </c>
      <c r="E30" s="57" cm="1">
        <f t="array" aca="1" ref="E30" ca="1">_xll.VoseOutput("Programme NPV, programme 3","US$m")+SUMPRODUCT(Sel_3,NPV_IfDrilled)</f>
        <v>851.84351538798444</v>
      </c>
      <c r="F30" s="57" cm="1">
        <f t="array" aca="1" ref="F30" ca="1">_xll.VoseOutput("Programme NPV, programme 4","US$m")+SUMPRODUCT(Sel_4,NPV_IfDrilled)</f>
        <v>337.86778222448265</v>
      </c>
      <c r="G30" s="28"/>
      <c r="H30" s="26" t="s">
        <v>250</v>
      </c>
    </row>
    <row r="31" spans="2:8" x14ac:dyDescent="0.45">
      <c r="B31" s="25" t="s">
        <v>251</v>
      </c>
      <c r="C31" s="56" cm="1">
        <f t="array" aca="1" ref="C31" ca="1">_xll.VoseOutput("Finds nothing, programme 1","1 = yes")+IF(C28=0,1,0)</f>
        <v>0</v>
      </c>
      <c r="D31" s="56" cm="1">
        <f t="array" aca="1" ref="D31" ca="1">_xll.VoseOutput("Finds nothing, programme 2","1 = yes")+IF(D28=0,1,0)</f>
        <v>0</v>
      </c>
      <c r="E31" s="56" cm="1">
        <f t="array" aca="1" ref="E31" ca="1">_xll.VoseOutput("Finds nothing, programme 3","1 = yes")+IF(E28=0,1,0)</f>
        <v>0</v>
      </c>
      <c r="F31" s="56" cm="1">
        <f t="array" aca="1" ref="F31" ca="1">_xll.VoseOutput("Finds nothing, programme 4","1 = yes")+IF(F28=0,1,0)</f>
        <v>0</v>
      </c>
      <c r="G31" s="28"/>
      <c r="H31" s="26" t="s">
        <v>252</v>
      </c>
    </row>
    <row r="32" spans="2:8" ht="8" customHeight="1" x14ac:dyDescent="0.45"/>
    <row r="33" spans="2:8" ht="22.05" customHeight="1" x14ac:dyDescent="0.5">
      <c r="B33" s="7" t="s">
        <v>253</v>
      </c>
      <c r="C33" s="8"/>
      <c r="D33" s="8"/>
      <c r="E33" s="8"/>
      <c r="F33" s="8"/>
      <c r="G33" s="8"/>
      <c r="H33" s="8"/>
    </row>
    <row r="34" spans="2:8" ht="18" customHeight="1" x14ac:dyDescent="0.45">
      <c r="B34" s="13" t="s">
        <v>254</v>
      </c>
    </row>
    <row r="35" spans="2:8" ht="18" customHeight="1" x14ac:dyDescent="0.45">
      <c r="B35" s="23" t="s">
        <v>255</v>
      </c>
      <c r="C35" s="24" t="s">
        <v>256</v>
      </c>
      <c r="D35" s="5"/>
      <c r="E35" s="5"/>
      <c r="F35" s="5"/>
      <c r="G35" s="5"/>
      <c r="H35" s="23" t="s">
        <v>171</v>
      </c>
    </row>
    <row r="36" spans="2:8" x14ac:dyDescent="0.45">
      <c r="B36" s="25" t="s">
        <v>257</v>
      </c>
      <c r="C36" s="58" t="str" cm="1">
        <f t="array" ref="C36">INDEX(ProgNames,DetailProg)</f>
        <v>2  Balanced</v>
      </c>
      <c r="D36" s="28"/>
      <c r="E36" s="28"/>
      <c r="F36" s="28"/>
      <c r="G36" s="28"/>
      <c r="H36" s="28"/>
    </row>
    <row r="37" spans="2:8" x14ac:dyDescent="0.45">
      <c r="B37" s="25" t="s">
        <v>246</v>
      </c>
      <c r="C37" s="56" cm="1">
        <f t="array" aca="1" ref="C37" ca="1">_xll.VoseOutput("Discoveries, programme in detail","wells")+INDEX(Disc,DetailProg)</f>
        <v>3</v>
      </c>
      <c r="D37" s="28"/>
      <c r="E37" s="28"/>
      <c r="F37" s="28"/>
      <c r="G37" s="28"/>
      <c r="H37" s="26" t="s">
        <v>258</v>
      </c>
    </row>
    <row r="38" spans="2:8" x14ac:dyDescent="0.45">
      <c r="B38" s="25" t="s">
        <v>259</v>
      </c>
      <c r="C38" s="56" cm="1">
        <f t="array" aca="1" ref="C38" ca="1">_xll.VoseOutput("Discovery group, programme in detail","1-5")+MIN(INDEX(Disc,DetailProg),4)+1</f>
        <v>4</v>
      </c>
      <c r="D38" s="28"/>
      <c r="E38" s="28"/>
      <c r="F38" s="28"/>
      <c r="G38" s="28"/>
      <c r="H38" s="26" t="s">
        <v>260</v>
      </c>
    </row>
    <row r="39" spans="2:8" x14ac:dyDescent="0.45">
      <c r="B39" s="25" t="s">
        <v>249</v>
      </c>
      <c r="C39" s="57" cm="1">
        <f t="array" aca="1" ref="C39" ca="1">_xll.VoseOutput("Programme NPV, programme in detail","US$m")+INDEX(ProgNPV,DetailProg)</f>
        <v>832.94855929074799</v>
      </c>
      <c r="D39" s="28"/>
      <c r="E39" s="28"/>
      <c r="F39" s="28"/>
      <c r="G39" s="28"/>
      <c r="H39" s="26" t="s">
        <v>258</v>
      </c>
    </row>
    <row r="40" spans="2:8" ht="8" customHeight="1" x14ac:dyDescent="0.45"/>
    <row r="41" spans="2:8" ht="22.05" customHeight="1" x14ac:dyDescent="0.5">
      <c r="B41" s="7" t="s">
        <v>261</v>
      </c>
      <c r="C41" s="8"/>
      <c r="D41" s="8"/>
      <c r="E41" s="8"/>
      <c r="F41" s="8"/>
      <c r="G41" s="8"/>
      <c r="H41" s="8"/>
    </row>
    <row r="42" spans="2:8" ht="18" customHeight="1" x14ac:dyDescent="0.45">
      <c r="B42" s="13" t="s">
        <v>262</v>
      </c>
    </row>
    <row r="43" spans="2:8" x14ac:dyDescent="0.45">
      <c r="B43" s="25" t="s">
        <v>263</v>
      </c>
      <c r="C43" s="28"/>
      <c r="D43" s="59" t="str">
        <f>IF(SUMPRODUCT(--ISNUMBER(MATCH(Pros_Play,PlayCodes,0)))=8,"OK","CHECK")</f>
        <v>OK</v>
      </c>
      <c r="E43" s="28"/>
      <c r="F43" s="28"/>
      <c r="G43" s="28"/>
      <c r="H43" s="28"/>
    </row>
    <row r="44" spans="2:8" x14ac:dyDescent="0.45">
      <c r="B44" s="25" t="s">
        <v>264</v>
      </c>
      <c r="C44" s="28"/>
      <c r="D44" s="59" t="str">
        <f>IF(COUNTIF(Sel_All,0)+COUNTIF(Sel_All,1)=ROWS(Sel_All)*COLUMNS(Sel_All),"OK","CHECK")</f>
        <v>OK</v>
      </c>
      <c r="E44" s="28"/>
      <c r="F44" s="28"/>
      <c r="G44" s="28"/>
      <c r="H44" s="28"/>
    </row>
    <row r="45" spans="2:8" x14ac:dyDescent="0.45">
      <c r="B45" s="25" t="s">
        <v>265</v>
      </c>
      <c r="C45" s="28"/>
      <c r="D45" s="59" t="str">
        <f>IF(MIN(Wells)&gt;=1,"OK","CHECK")</f>
        <v>OK</v>
      </c>
      <c r="E45" s="28"/>
      <c r="F45" s="28"/>
      <c r="G45" s="28"/>
      <c r="H45" s="28"/>
    </row>
    <row r="46" spans="2:8" x14ac:dyDescent="0.45">
      <c r="B46" s="25" t="s">
        <v>266</v>
      </c>
      <c r="C46" s="28"/>
      <c r="D46" s="59" t="str">
        <f>IF(AND(DetailProg&gt;=1,DetailProg&lt;=4,DetailProg=INT(DetailProg)),"OK","CHECK")</f>
        <v>OK</v>
      </c>
      <c r="E46" s="28"/>
      <c r="F46" s="28"/>
      <c r="G46" s="28"/>
      <c r="H46" s="28"/>
    </row>
    <row r="47" spans="2:8" ht="14" customHeight="1" x14ac:dyDescent="0.45"/>
  </sheetData>
  <conditionalFormatting sqref="C11:F11">
    <cfRule type="expression" dxfId="10" priority="1">
      <formula>C11="No"</formula>
    </cfRule>
  </conditionalFormatting>
  <conditionalFormatting sqref="C22:F22">
    <cfRule type="expression" dxfId="9" priority="2">
      <formula>C22="No"</formula>
    </cfRule>
  </conditionalFormatting>
  <conditionalFormatting sqref="C23:F23">
    <cfRule type="expression" dxfId="8" priority="3">
      <formula>C23="Yes"</formula>
    </cfRule>
    <cfRule type="expression" dxfId="7" priority="4">
      <formula>LEFT(C23,2)="No"</formula>
    </cfRule>
  </conditionalFormatting>
  <conditionalFormatting sqref="D43:D46">
    <cfRule type="expression" dxfId="6" priority="5">
      <formula>D43="CHECK"</formula>
    </cfRule>
  </conditionalFormatting>
  <hyperlinks>
    <hyperlink ref="B4" location="'Prospects'!A1" display="◂  Prospects" xr:uid="{00000000-0004-0000-0300-000000000000}"/>
    <hyperlink ref="H4" location="'Results'!A1" display="Next:  Results  ▸" xr:uid="{00000000-0004-0000-0300-000001000000}"/>
  </hyperlinks>
  <printOptions horizontalCentered="1"/>
  <pageMargins left="0.4" right="0.4" top="0.5" bottom="0.6" header="0.25" footer="0.25"/>
  <pageSetup paperSize="9" scale="75"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4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267</v>
      </c>
      <c r="C3" s="1"/>
      <c r="D3" s="1"/>
      <c r="E3" s="1"/>
      <c r="F3" s="1"/>
      <c r="G3" s="1"/>
      <c r="H3" s="1"/>
      <c r="I3" s="1"/>
      <c r="J3" s="1"/>
      <c r="K3" s="1"/>
      <c r="L3" s="1"/>
      <c r="M3" s="1"/>
      <c r="N3" s="1"/>
      <c r="O3" s="1"/>
      <c r="P3" s="1"/>
      <c r="Q3" s="1"/>
      <c r="R3" s="1"/>
    </row>
    <row r="4" spans="1:18" ht="20" customHeight="1" x14ac:dyDescent="0.45">
      <c r="A4" s="5"/>
      <c r="B4" s="22" t="s">
        <v>268</v>
      </c>
      <c r="C4" s="5"/>
      <c r="D4" s="5"/>
      <c r="E4" s="5"/>
      <c r="F4" s="5"/>
      <c r="G4" s="5"/>
      <c r="H4" s="5"/>
      <c r="I4" s="5"/>
      <c r="J4" s="5"/>
      <c r="K4" s="5"/>
      <c r="L4" s="5"/>
      <c r="M4" s="5"/>
      <c r="N4" s="5"/>
      <c r="O4" s="5"/>
      <c r="P4" s="5"/>
      <c r="Q4" s="5"/>
      <c r="R4" s="5"/>
    </row>
    <row r="5" spans="1:18" ht="8" customHeight="1" x14ac:dyDescent="0.45"/>
    <row r="6" spans="1:18" ht="26" customHeight="1" x14ac:dyDescent="0.45">
      <c r="B6" s="60" t="str" cm="1">
        <f t="array" aca="1" ref="B6" ca="1">IF(ISNUMBER(_xll.VoseSimMean(ProgNPV_2)),"✔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1"/>
      <c r="D6" s="61"/>
      <c r="E6" s="61"/>
      <c r="F6" s="61"/>
      <c r="G6" s="61"/>
    </row>
    <row r="7" spans="1:18" x14ac:dyDescent="0.45">
      <c r="B7" s="6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269</v>
      </c>
      <c r="C9" s="8"/>
      <c r="D9" s="8"/>
      <c r="E9" s="8"/>
      <c r="F9" s="8"/>
      <c r="G9" s="8"/>
      <c r="I9" s="63" t="s">
        <v>270</v>
      </c>
      <c r="J9" s="8"/>
      <c r="K9" s="8"/>
      <c r="L9" s="8"/>
      <c r="M9" s="8"/>
      <c r="N9" s="8"/>
      <c r="O9" s="8"/>
      <c r="P9" s="8"/>
      <c r="Q9" s="8"/>
      <c r="R9" s="8"/>
    </row>
    <row r="10" spans="1:18" ht="18" customHeight="1" x14ac:dyDescent="0.45">
      <c r="B10" s="13" t="s">
        <v>271</v>
      </c>
    </row>
    <row r="11" spans="1:18" ht="18" customHeight="1" x14ac:dyDescent="0.45">
      <c r="B11" s="64" t="s">
        <v>257</v>
      </c>
      <c r="C11" s="65" t="s">
        <v>272</v>
      </c>
      <c r="D11" s="65" t="s">
        <v>67</v>
      </c>
      <c r="E11" s="65" t="s">
        <v>273</v>
      </c>
      <c r="F11" s="65" t="s">
        <v>274</v>
      </c>
      <c r="G11" s="65" t="s">
        <v>242</v>
      </c>
    </row>
    <row r="12" spans="1:18" x14ac:dyDescent="0.45">
      <c r="B12" s="36"/>
      <c r="C12" s="36" t="s">
        <v>106</v>
      </c>
      <c r="D12" s="36" t="s">
        <v>106</v>
      </c>
      <c r="E12" s="36" t="s">
        <v>275</v>
      </c>
      <c r="F12" s="36" t="s">
        <v>275</v>
      </c>
      <c r="G12" s="36"/>
    </row>
    <row r="13" spans="1:18" x14ac:dyDescent="0.45">
      <c r="B13" s="25" t="str">
        <f>INDEX(ProgNames,1)</f>
        <v>1  Proven play focus</v>
      </c>
      <c r="C13" s="50">
        <f>ExpCost_1</f>
        <v>202.5</v>
      </c>
      <c r="D13" s="66" cm="1">
        <f t="array" aca="1" ref="D13" ca="1">_xll.VoseSimMean(ProgNPV_1)</f>
        <v>31.440339590821996</v>
      </c>
      <c r="E13" s="67" cm="1">
        <f t="array" aca="1" ref="E13" ca="1">_xll.VoseSimMean(Dry_1)</f>
        <v>0.1328</v>
      </c>
      <c r="F13" s="67" cm="1">
        <f t="array" aca="1" ref="F13" ca="1">_xll.VoseSimProbability(ProgNPV_1,0)</f>
        <v>0.51004899510048995</v>
      </c>
      <c r="G13" s="68" t="str">
        <f>Acceptable_1</f>
        <v>Yes</v>
      </c>
    </row>
    <row r="14" spans="1:18" x14ac:dyDescent="0.45">
      <c r="B14" s="25" t="str">
        <f>INDEX(ProgNames,2)</f>
        <v>2  Balanced</v>
      </c>
      <c r="C14" s="50">
        <f>ExpCost_2</f>
        <v>245.83333333333331</v>
      </c>
      <c r="D14" s="66" cm="1">
        <f t="array" aca="1" ref="D14" ca="1">_xll.VoseSimMean(ProgNPV_2)</f>
        <v>58.355976709553353</v>
      </c>
      <c r="E14" s="67" cm="1">
        <f t="array" aca="1" ref="E14" ca="1">_xll.VoseSimMean(Dry_2)</f>
        <v>0.1696</v>
      </c>
      <c r="F14" s="67" cm="1">
        <f t="array" aca="1" ref="F14" ca="1">_xll.VoseSimProbability(ProgNPV_2,0)</f>
        <v>0.539046095390461</v>
      </c>
      <c r="G14" s="68" t="str">
        <f>Acceptable_2</f>
        <v>Yes</v>
      </c>
    </row>
    <row r="15" spans="1:18" x14ac:dyDescent="0.45">
      <c r="B15" s="25" t="str">
        <f>INDEX(ProgNames,3)</f>
        <v>3  Frontier upside</v>
      </c>
      <c r="C15" s="50">
        <f>ExpCost_3</f>
        <v>237.16666666666669</v>
      </c>
      <c r="D15" s="66" cm="1">
        <f t="array" aca="1" ref="D15" ca="1">_xll.VoseSimMean(ProgNPV_3)</f>
        <v>68.96577900277579</v>
      </c>
      <c r="E15" s="67" cm="1">
        <f t="array" aca="1" ref="E15" ca="1">_xll.VoseSimMean(Dry_3)</f>
        <v>0.28699999999999998</v>
      </c>
      <c r="F15" s="67" cm="1">
        <f t="array" aca="1" ref="F15" ca="1">_xll.VoseSimProbability(ProgNPV_3,0)</f>
        <v>0.63773622637736227</v>
      </c>
      <c r="G15" s="68" t="str">
        <f>Acceptable_3</f>
        <v>No: risk</v>
      </c>
    </row>
    <row r="16" spans="1:18" x14ac:dyDescent="0.45">
      <c r="B16" s="25" t="str">
        <f>INDEX(ProgNames,4)</f>
        <v>4  Your programme</v>
      </c>
      <c r="C16" s="50">
        <f>ExpCost_4</f>
        <v>263.83333333333337</v>
      </c>
      <c r="D16" s="66" cm="1">
        <f t="array" aca="1" ref="D16" ca="1">_xll.VoseSimMean(ProgNPV_4)</f>
        <v>51.512288771160392</v>
      </c>
      <c r="E16" s="67" cm="1">
        <f t="array" aca="1" ref="E16" ca="1">_xll.VoseSimMean(Dry_4)</f>
        <v>0.23530000000000001</v>
      </c>
      <c r="F16" s="67" cm="1">
        <f t="array" aca="1" ref="F16" ca="1">_xll.VoseSimProbability(ProgNPV_4,0)</f>
        <v>0.56514348565143491</v>
      </c>
      <c r="G16" s="68" t="str">
        <f>Acceptable_4</f>
        <v>No: risk</v>
      </c>
    </row>
    <row r="17" spans="2:7" ht="22.05" customHeight="1" x14ac:dyDescent="0.45">
      <c r="B17" s="69" t="s">
        <v>276</v>
      </c>
      <c r="C17" s="70"/>
      <c r="D17" s="71" t="str">
        <f>IF(COUNTIF(Acceptable,"Yes")=0,"None meets the budget and the risk limit",INDEX(ProgNames,MATCH(_xlfn.MAXIFS(ExpEMV,Acceptable,"Yes"),ExpEMV,0)))</f>
        <v>2  Balanced</v>
      </c>
      <c r="E17" s="70"/>
      <c r="F17" s="70"/>
      <c r="G17" s="70"/>
    </row>
    <row r="18" spans="2:7" x14ac:dyDescent="0.45">
      <c r="B18" s="42" t="s">
        <v>277</v>
      </c>
    </row>
    <row r="19" spans="2:7" ht="8" customHeight="1" x14ac:dyDescent="0.45"/>
    <row r="20" spans="2:7" ht="22.05" customHeight="1" x14ac:dyDescent="0.5">
      <c r="B20" s="7" t="s">
        <v>278</v>
      </c>
      <c r="C20" s="8"/>
      <c r="D20" s="8"/>
      <c r="E20" s="8"/>
      <c r="F20" s="8"/>
      <c r="G20" s="8"/>
    </row>
    <row r="21" spans="2:7" ht="18" customHeight="1" x14ac:dyDescent="0.45">
      <c r="B21" s="13" t="s">
        <v>279</v>
      </c>
    </row>
    <row r="22" spans="2:7" ht="18" customHeight="1" x14ac:dyDescent="0.45">
      <c r="B22" s="64" t="s">
        <v>257</v>
      </c>
      <c r="C22" s="65"/>
      <c r="D22" s="65" t="s">
        <v>280</v>
      </c>
      <c r="E22" s="65" t="s">
        <v>281</v>
      </c>
      <c r="F22" s="65" t="s">
        <v>282</v>
      </c>
      <c r="G22" s="65" t="s">
        <v>283</v>
      </c>
    </row>
    <row r="23" spans="2:7" x14ac:dyDescent="0.45">
      <c r="B23" s="36"/>
      <c r="C23" s="36"/>
      <c r="D23" s="36" t="s">
        <v>275</v>
      </c>
      <c r="E23" s="36" t="s">
        <v>275</v>
      </c>
      <c r="F23" s="36" t="s">
        <v>275</v>
      </c>
      <c r="G23" s="36" t="s">
        <v>284</v>
      </c>
    </row>
    <row r="24" spans="2:7" x14ac:dyDescent="0.45">
      <c r="B24" s="25" t="str">
        <f>INDEX(ProgNames,1)</f>
        <v>1  Proven play focus</v>
      </c>
      <c r="C24" s="28"/>
      <c r="D24" s="67" cm="1">
        <f t="array" aca="1" ref="D24" ca="1">_xll.VoseSimMean(Dry_1)</f>
        <v>0.1328</v>
      </c>
      <c r="E24" s="51">
        <f>PNoneShared_1</f>
        <v>0.13418353125000007</v>
      </c>
      <c r="F24" s="51">
        <f>PNoneIndep_1</f>
        <v>0.11314846525781252</v>
      </c>
      <c r="G24" s="55">
        <f>SharedEffect_1</f>
        <v>2.1035065992187546E-2</v>
      </c>
    </row>
    <row r="25" spans="2:7" x14ac:dyDescent="0.45">
      <c r="B25" s="25" t="str">
        <f>INDEX(ProgNames,2)</f>
        <v>2  Balanced</v>
      </c>
      <c r="C25" s="28"/>
      <c r="D25" s="67" cm="1">
        <f t="array" aca="1" ref="D25" ca="1">_xll.VoseSimMean(Dry_2)</f>
        <v>0.1696</v>
      </c>
      <c r="E25" s="51">
        <f>PNoneShared_2</f>
        <v>0.17146909218750001</v>
      </c>
      <c r="F25" s="51">
        <f>PNoneIndep_2</f>
        <v>0.15413624852343749</v>
      </c>
      <c r="G25" s="55">
        <f>SharedEffect_2</f>
        <v>1.7332843664062514E-2</v>
      </c>
    </row>
    <row r="26" spans="2:7" x14ac:dyDescent="0.45">
      <c r="B26" s="25" t="str">
        <f>INDEX(ProgNames,3)</f>
        <v>3  Frontier upside</v>
      </c>
      <c r="C26" s="28"/>
      <c r="D26" s="67" cm="1">
        <f t="array" aca="1" ref="D26" ca="1">_xll.VoseSimMean(Dry_3)</f>
        <v>0.28699999999999998</v>
      </c>
      <c r="E26" s="51">
        <f>PNoneShared_3</f>
        <v>0.28161632812500004</v>
      </c>
      <c r="F26" s="51">
        <f>PNoneIndep_3</f>
        <v>0.25743983203124998</v>
      </c>
      <c r="G26" s="55">
        <f>SharedEffect_3</f>
        <v>2.4176496093750055E-2</v>
      </c>
    </row>
    <row r="27" spans="2:7" x14ac:dyDescent="0.45">
      <c r="B27" s="25" t="str">
        <f>INDEX(ProgNames,4)</f>
        <v>4  Your programme</v>
      </c>
      <c r="C27" s="28"/>
      <c r="D27" s="67" cm="1">
        <f t="array" aca="1" ref="D27" ca="1">_xll.VoseSimMean(Dry_4)</f>
        <v>0.23530000000000001</v>
      </c>
      <c r="E27" s="51">
        <f>PNoneShared_4</f>
        <v>0.23388337499999998</v>
      </c>
      <c r="F27" s="51">
        <f>PNoneIndep_4</f>
        <v>0.18076218187500004</v>
      </c>
      <c r="G27" s="55">
        <f>SharedEffect_4</f>
        <v>5.3121193124999938E-2</v>
      </c>
    </row>
    <row r="28" spans="2:7" ht="8" customHeight="1" x14ac:dyDescent="0.45"/>
    <row r="29" spans="2:7" ht="22.05" customHeight="1" x14ac:dyDescent="0.5">
      <c r="B29" s="7" t="s">
        <v>253</v>
      </c>
      <c r="C29" s="8"/>
      <c r="D29" s="8"/>
      <c r="E29" s="8"/>
      <c r="F29" s="8"/>
      <c r="G29" s="8"/>
    </row>
    <row r="30" spans="2:7" ht="18" customHeight="1" x14ac:dyDescent="0.45">
      <c r="B30" s="13" t="s">
        <v>285</v>
      </c>
    </row>
    <row r="31" spans="2:7" ht="18" customHeight="1" x14ac:dyDescent="0.45">
      <c r="B31" s="23" t="s">
        <v>286</v>
      </c>
      <c r="C31" s="23" t="s">
        <v>101</v>
      </c>
      <c r="D31" s="24" t="s">
        <v>256</v>
      </c>
      <c r="E31" s="5"/>
      <c r="F31" s="5"/>
      <c r="G31" s="5"/>
    </row>
    <row r="32" spans="2:7" x14ac:dyDescent="0.45">
      <c r="B32" s="72" t="s">
        <v>257</v>
      </c>
      <c r="C32" s="26"/>
      <c r="D32" s="53" t="str">
        <f>DetailName</f>
        <v>2  Balanced</v>
      </c>
      <c r="E32" s="28"/>
      <c r="F32" s="28"/>
      <c r="G32" s="28"/>
    </row>
    <row r="33" spans="2:18" ht="22.05" customHeight="1" x14ac:dyDescent="0.45">
      <c r="B33" s="54" t="s">
        <v>224</v>
      </c>
      <c r="C33" s="26" t="s">
        <v>106</v>
      </c>
      <c r="D33" s="73" cm="1">
        <f t="array" aca="1" ref="D33" ca="1">_xll.VoseSimMean(NPV_Detail)</f>
        <v>58.355976709553353</v>
      </c>
      <c r="E33" s="28"/>
      <c r="F33" s="28"/>
      <c r="G33" s="28"/>
    </row>
    <row r="34" spans="2:18" x14ac:dyDescent="0.45">
      <c r="B34" s="25" t="s">
        <v>287</v>
      </c>
      <c r="C34" s="26" t="s">
        <v>106</v>
      </c>
      <c r="D34" s="66" cm="1">
        <f t="array" aca="1" ref="D34" ca="1">_xll.VoseSimPercentile(NPV_Detail,0.1)</f>
        <v>-243.12982643423624</v>
      </c>
      <c r="E34" s="28"/>
      <c r="F34" s="28"/>
      <c r="G34" s="28"/>
    </row>
    <row r="35" spans="2:18" x14ac:dyDescent="0.45">
      <c r="B35" s="25" t="s">
        <v>288</v>
      </c>
      <c r="C35" s="26" t="s">
        <v>106</v>
      </c>
      <c r="D35" s="66" cm="1">
        <f t="array" aca="1" ref="D35" ca="1">_xll.VoseSimPercentile(NPV_Detail,0.9)</f>
        <v>464.03546011621813</v>
      </c>
      <c r="E35" s="28"/>
      <c r="F35" s="28"/>
      <c r="G35" s="28"/>
    </row>
    <row r="36" spans="2:18" x14ac:dyDescent="0.45">
      <c r="B36" s="25" t="s">
        <v>289</v>
      </c>
      <c r="C36" s="26" t="s">
        <v>290</v>
      </c>
      <c r="D36" s="74" cm="1">
        <f t="array" aca="1" ref="D36" ca="1">_xll.VoseSimMean(Disc_Detail)</f>
        <v>1.5391999999999999</v>
      </c>
      <c r="E36" s="28"/>
      <c r="F36" s="28"/>
      <c r="G36" s="28"/>
    </row>
    <row r="37" spans="2:18" ht="8" customHeight="1" x14ac:dyDescent="0.45"/>
    <row r="38" spans="2:18" ht="18" customHeight="1" x14ac:dyDescent="0.45">
      <c r="B38" s="23" t="s">
        <v>291</v>
      </c>
      <c r="C38" s="23"/>
      <c r="D38" s="24" t="s">
        <v>292</v>
      </c>
      <c r="E38" s="5"/>
      <c r="F38" s="5"/>
      <c r="G38" s="5"/>
    </row>
    <row r="39" spans="2:18" x14ac:dyDescent="0.45">
      <c r="B39" s="25" t="s">
        <v>293</v>
      </c>
      <c r="C39" s="28"/>
      <c r="D39" s="75">
        <f ca="1">IF(ISNUMBER(D127),D127,"–")</f>
        <v>0.16958304169583041</v>
      </c>
      <c r="E39" s="28"/>
      <c r="F39" s="28"/>
      <c r="G39" s="28"/>
    </row>
    <row r="40" spans="2:18" x14ac:dyDescent="0.45">
      <c r="B40" s="25" t="s">
        <v>294</v>
      </c>
      <c r="C40" s="28"/>
      <c r="D40" s="75">
        <f ca="1">IF(ISNUMBER(D128),D128-D127,"–")</f>
        <v>0.34606539346065401</v>
      </c>
      <c r="E40" s="28"/>
      <c r="F40" s="28"/>
      <c r="G40" s="28"/>
    </row>
    <row r="41" spans="2:18" x14ac:dyDescent="0.45">
      <c r="B41" s="25" t="s">
        <v>295</v>
      </c>
      <c r="C41" s="28"/>
      <c r="D41" s="75">
        <f ca="1">IF(ISNUMBER(D129),D129-D128,"–")</f>
        <v>0.30336966303369661</v>
      </c>
      <c r="E41" s="28"/>
      <c r="F41" s="28"/>
      <c r="G41" s="28"/>
    </row>
    <row r="42" spans="2:18" x14ac:dyDescent="0.45">
      <c r="B42" s="25" t="s">
        <v>296</v>
      </c>
      <c r="C42" s="28"/>
      <c r="D42" s="75">
        <f ca="1">IF(ISNUMBER(D130),D130-D129,"–")</f>
        <v>0.14088591140885909</v>
      </c>
      <c r="E42" s="28"/>
      <c r="F42" s="28"/>
      <c r="G42" s="28"/>
    </row>
    <row r="43" spans="2:18" x14ac:dyDescent="0.45">
      <c r="B43" s="25" t="s">
        <v>297</v>
      </c>
      <c r="C43" s="28"/>
      <c r="D43" s="75">
        <f ca="1">IF(ISNUMBER(D130),1-D130,"–")</f>
        <v>4.0095990400959902E-2</v>
      </c>
      <c r="E43" s="28"/>
      <c r="F43" s="28"/>
      <c r="G43" s="28"/>
    </row>
    <row r="44" spans="2:18" x14ac:dyDescent="0.45">
      <c r="B44" s="76" t="s">
        <v>298</v>
      </c>
      <c r="C44" s="77"/>
      <c r="D44" s="78">
        <f ca="1">IF(ISNUMBER(D39),SUM(D39:D43),"–")</f>
        <v>1</v>
      </c>
      <c r="E44" s="77"/>
      <c r="F44" s="77"/>
      <c r="G44" s="77"/>
    </row>
    <row r="45" spans="2:18" ht="8" customHeight="1" x14ac:dyDescent="0.45"/>
    <row r="46" spans="2:18" ht="22.05" customHeight="1" x14ac:dyDescent="0.5">
      <c r="B46" s="7" t="s">
        <v>299</v>
      </c>
      <c r="C46" s="8"/>
      <c r="D46" s="8"/>
      <c r="E46" s="8"/>
      <c r="F46" s="8"/>
      <c r="G46" s="8"/>
      <c r="I46" s="63" t="s">
        <v>300</v>
      </c>
      <c r="J46" s="8"/>
      <c r="K46" s="8"/>
      <c r="L46" s="8"/>
      <c r="M46" s="8"/>
      <c r="N46" s="8"/>
      <c r="O46" s="8"/>
      <c r="P46" s="8"/>
      <c r="Q46" s="8"/>
      <c r="R46" s="8"/>
    </row>
    <row r="47" spans="2:18" ht="18" customHeight="1" x14ac:dyDescent="0.45">
      <c r="B47" s="13" t="s">
        <v>301</v>
      </c>
    </row>
    <row r="48" spans="2:18" ht="18" customHeight="1" x14ac:dyDescent="0.45">
      <c r="B48" s="23" t="s">
        <v>302</v>
      </c>
      <c r="C48" s="24" t="s">
        <v>303</v>
      </c>
      <c r="D48" s="24" t="s">
        <v>304</v>
      </c>
      <c r="E48" s="79" t="s">
        <v>305</v>
      </c>
      <c r="F48" s="5"/>
      <c r="G48" s="5"/>
    </row>
    <row r="49" spans="2:7" x14ac:dyDescent="0.45">
      <c r="B49" s="25" t="str">
        <f t="array" aca="1" ref="B49:E61" ca="1">_xll.VoseSimSensitivityMean(NPV_Detail,10,1,FALSE)</f>
        <v>Play C works</v>
      </c>
      <c r="C49" s="66">
        <f ca="1"/>
        <v>-35.813415446106703</v>
      </c>
      <c r="D49" s="66">
        <f ca="1"/>
        <v>239.85810725781619</v>
      </c>
      <c r="E49" s="80">
        <f ca="1"/>
        <v>1</v>
      </c>
      <c r="F49" s="28"/>
      <c r="G49" s="28"/>
    </row>
    <row r="50" spans="2:7" x14ac:dyDescent="0.45">
      <c r="B50" s="25" t="str">
        <f ca="1"/>
        <v>Play B works</v>
      </c>
      <c r="C50" s="66">
        <f ca="1"/>
        <v>-64.772065005889971</v>
      </c>
      <c r="D50" s="66">
        <f ca="1"/>
        <v>122.95173696917196</v>
      </c>
      <c r="E50" s="80">
        <f ca="1"/>
        <v>2</v>
      </c>
      <c r="F50" s="28"/>
      <c r="G50" s="28"/>
    </row>
    <row r="51" spans="2:7" x14ac:dyDescent="0.45">
      <c r="B51" s="25" t="str">
        <f ca="1"/>
        <v>Ginkgo value if discovered</v>
      </c>
      <c r="C51" s="66">
        <f ca="1"/>
        <v>1.9453565661936965</v>
      </c>
      <c r="D51" s="66">
        <f ca="1"/>
        <v>175.74759580562929</v>
      </c>
      <c r="E51" s="80">
        <f ca="1"/>
        <v>3</v>
      </c>
      <c r="F51" s="28"/>
      <c r="G51" s="28"/>
    </row>
    <row r="52" spans="2:7" x14ac:dyDescent="0.45">
      <c r="B52" s="25" t="str">
        <f ca="1"/>
        <v>Ginkgo succeeds</v>
      </c>
      <c r="C52" s="66">
        <f ca="1"/>
        <v>-35.660094489831565</v>
      </c>
      <c r="D52" s="66">
        <f ca="1"/>
        <v>134.93702254770196</v>
      </c>
      <c r="E52" s="80">
        <f ca="1"/>
        <v>4</v>
      </c>
      <c r="F52" s="28"/>
      <c r="G52" s="28"/>
    </row>
    <row r="53" spans="2:7" x14ac:dyDescent="0.45">
      <c r="B53" s="25" t="str">
        <f ca="1"/>
        <v>Fir succeeds</v>
      </c>
      <c r="C53" s="66">
        <f ca="1"/>
        <v>-1.7704293537043132</v>
      </c>
      <c r="D53" s="66">
        <f ca="1"/>
        <v>148.7337159861145</v>
      </c>
      <c r="E53" s="80">
        <f ca="1"/>
        <v>5</v>
      </c>
      <c r="F53" s="28"/>
      <c r="G53" s="28"/>
    </row>
    <row r="54" spans="2:7" x14ac:dyDescent="0.45">
      <c r="B54" s="25" t="str">
        <f ca="1"/>
        <v>Fir value if discovered</v>
      </c>
      <c r="C54" s="66">
        <f ca="1"/>
        <v>17.911186027544016</v>
      </c>
      <c r="D54" s="66">
        <f ca="1"/>
        <v>149.00839152665182</v>
      </c>
      <c r="E54" s="80">
        <f ca="1"/>
        <v>6</v>
      </c>
      <c r="F54" s="28"/>
      <c r="G54" s="28"/>
    </row>
    <row r="55" spans="2:7" x14ac:dyDescent="0.45">
      <c r="B55" s="25" t="str">
        <f ca="1"/>
        <v>Dogwood succeeds</v>
      </c>
      <c r="C55" s="66">
        <f ca="1"/>
        <v>-2.7028988854749856</v>
      </c>
      <c r="D55" s="66">
        <f ca="1"/>
        <v>120.10256289052774</v>
      </c>
      <c r="E55" s="80">
        <f ca="1"/>
        <v>7</v>
      </c>
      <c r="F55" s="28"/>
      <c r="G55" s="28"/>
    </row>
    <row r="56" spans="2:7" x14ac:dyDescent="0.45">
      <c r="B56" s="25" t="str">
        <f ca="1"/>
        <v>Cedar succeeds</v>
      </c>
      <c r="C56" s="66">
        <f ca="1"/>
        <v>16.058279503853324</v>
      </c>
      <c r="D56" s="66">
        <f ca="1"/>
        <v>135.57706222693915</v>
      </c>
      <c r="E56" s="80">
        <f ca="1"/>
        <v>8</v>
      </c>
      <c r="F56" s="28"/>
      <c r="G56" s="28"/>
    </row>
    <row r="57" spans="2:7" x14ac:dyDescent="0.45">
      <c r="B57" s="25" t="str">
        <f ca="1"/>
        <v>Dogwood value if discovered</v>
      </c>
      <c r="C57" s="66">
        <f ca="1"/>
        <v>25.781543665009739</v>
      </c>
      <c r="D57" s="66">
        <f ca="1"/>
        <v>138.44150542463524</v>
      </c>
      <c r="E57" s="80">
        <f ca="1"/>
        <v>9</v>
      </c>
      <c r="F57" s="28"/>
      <c r="G57" s="28"/>
    </row>
    <row r="58" spans="2:7" x14ac:dyDescent="0.45">
      <c r="B58" s="25" t="str">
        <f ca="1"/>
        <v>Alder succeeds</v>
      </c>
      <c r="C58" s="66">
        <f ca="1"/>
        <v>12.693572452148681</v>
      </c>
      <c r="D58" s="66">
        <f ca="1"/>
        <v>115.67599071422534</v>
      </c>
      <c r="E58" s="80">
        <f ca="1"/>
        <v>10</v>
      </c>
      <c r="F58" s="28"/>
      <c r="G58" s="28"/>
    </row>
    <row r="59" spans="2:7" x14ac:dyDescent="0.45">
      <c r="B59" s="25" t="str">
        <f ca="1"/>
        <v>Cedar value if discovered</v>
      </c>
      <c r="C59" s="66">
        <f ca="1"/>
        <v>27.112054728712774</v>
      </c>
      <c r="D59" s="66">
        <f ca="1"/>
        <v>126.85676577638748</v>
      </c>
      <c r="E59" s="80">
        <f ca="1"/>
        <v>11</v>
      </c>
      <c r="F59" s="28"/>
      <c r="G59" s="28"/>
    </row>
    <row r="60" spans="2:7" x14ac:dyDescent="0.45">
      <c r="B60" s="25" t="str">
        <f ca="1"/>
        <v>Alder value if discovered</v>
      </c>
      <c r="C60" s="66">
        <f ca="1"/>
        <v>31.535118469288342</v>
      </c>
      <c r="D60" s="66">
        <f ca="1"/>
        <v>102.59555914182795</v>
      </c>
      <c r="E60" s="80">
        <f ca="1"/>
        <v>12</v>
      </c>
      <c r="F60" s="28"/>
      <c r="G60" s="28"/>
    </row>
    <row r="61" spans="2:7" x14ac:dyDescent="0.45">
      <c r="B61" s="25" t="str">
        <f ca="1"/>
        <v>Fir well cost</v>
      </c>
      <c r="C61" s="66">
        <f ca="1"/>
        <v>34.485144525754571</v>
      </c>
      <c r="D61" s="66">
        <f ca="1"/>
        <v>81.710645569138336</v>
      </c>
      <c r="E61" s="80">
        <f ca="1"/>
        <v>13</v>
      </c>
      <c r="F61" s="28"/>
      <c r="G61" s="28"/>
    </row>
    <row r="64" spans="2:7" ht="22.05" customHeight="1" x14ac:dyDescent="0.5">
      <c r="B64" s="7" t="s">
        <v>306</v>
      </c>
      <c r="C64" s="8"/>
      <c r="D64" s="8"/>
      <c r="E64" s="8"/>
      <c r="F64" s="8"/>
      <c r="G64" s="8"/>
    </row>
    <row r="65" spans="2:7" ht="32" customHeight="1" x14ac:dyDescent="0.45">
      <c r="B65" s="90" t="s">
        <v>307</v>
      </c>
      <c r="C65" s="91"/>
      <c r="D65" s="91"/>
      <c r="E65" s="91"/>
      <c r="F65" s="91"/>
      <c r="G65" s="91"/>
    </row>
    <row r="66" spans="2:7" ht="45" customHeight="1" x14ac:dyDescent="0.45">
      <c r="B66" s="90" t="s">
        <v>308</v>
      </c>
      <c r="C66" s="91"/>
      <c r="D66" s="91"/>
      <c r="E66" s="91"/>
      <c r="F66" s="91"/>
      <c r="G66" s="91"/>
    </row>
    <row r="67" spans="2:7" ht="32" customHeight="1" x14ac:dyDescent="0.45">
      <c r="B67" s="90" t="s">
        <v>309</v>
      </c>
      <c r="C67" s="91"/>
      <c r="D67" s="91"/>
      <c r="E67" s="91"/>
      <c r="F67" s="91"/>
      <c r="G67" s="91"/>
    </row>
    <row r="68" spans="2:7" ht="32" customHeight="1" x14ac:dyDescent="0.45">
      <c r="B68" s="90" t="s">
        <v>310</v>
      </c>
      <c r="C68" s="91"/>
      <c r="D68" s="91"/>
      <c r="E68" s="91"/>
      <c r="F68" s="91"/>
      <c r="G68" s="91"/>
    </row>
    <row r="69" spans="2:7" ht="19.05" customHeight="1" x14ac:dyDescent="0.45">
      <c r="B69" s="90" t="s">
        <v>311</v>
      </c>
      <c r="C69" s="91"/>
      <c r="D69" s="91"/>
      <c r="E69" s="91"/>
      <c r="F69" s="91"/>
      <c r="G69" s="91"/>
    </row>
    <row r="70" spans="2:7" ht="14" customHeight="1" x14ac:dyDescent="0.45"/>
    <row r="71" spans="2:7" ht="14" customHeight="1" x14ac:dyDescent="0.45"/>
    <row r="72" spans="2:7" ht="22.05" customHeight="1" x14ac:dyDescent="0.5">
      <c r="B72" s="7" t="s">
        <v>312</v>
      </c>
      <c r="C72" s="8"/>
      <c r="D72" s="8"/>
      <c r="E72" s="8"/>
      <c r="F72" s="8"/>
      <c r="G72" s="8"/>
    </row>
    <row r="73" spans="2:7" ht="18" customHeight="1" x14ac:dyDescent="0.45">
      <c r="B73" s="13" t="s">
        <v>313</v>
      </c>
    </row>
    <row r="74" spans="2:7" ht="28.05" hidden="1" customHeight="1" outlineLevel="1" x14ac:dyDescent="0.45">
      <c r="B74" s="24" t="s">
        <v>314</v>
      </c>
      <c r="C74" s="24" t="s">
        <v>315</v>
      </c>
      <c r="D74" s="24" t="s">
        <v>316</v>
      </c>
      <c r="E74" s="24" t="s">
        <v>317</v>
      </c>
      <c r="F74" s="24" t="s">
        <v>318</v>
      </c>
      <c r="G74" s="24" t="s">
        <v>319</v>
      </c>
    </row>
    <row r="75" spans="2:7" hidden="1" outlineLevel="1" x14ac:dyDescent="0.45">
      <c r="B75" s="81">
        <v>0.01</v>
      </c>
      <c r="C75" s="81">
        <f t="shared" ref="C75:C106" si="0">1-B75</f>
        <v>0.99</v>
      </c>
      <c r="D75" s="82" cm="1">
        <f t="array" aca="1" ref="D75" ca="1">IF(ISNUMBER(_xll.VoseSimPercentile(ProgNPV_1,$B75)),_xll.VoseSimPercentile(ProgNPV_1,$B75),NA())</f>
        <v>-213.39245853582375</v>
      </c>
      <c r="E75" s="82" cm="1">
        <f t="array" aca="1" ref="E75" ca="1">IF(ISNUMBER(_xll.VoseSimPercentile(ProgNPV_2,$B75)),_xll.VoseSimPercentile(ProgNPV_2,$B75),NA())</f>
        <v>-261.02092641971677</v>
      </c>
      <c r="F75" s="82" cm="1">
        <f t="array" aca="1" ref="F75" ca="1">IF(ISNUMBER(_xll.VoseSimPercentile(ProgNPV_3,$B75)),_xll.VoseSimPercentile(ProgNPV_3,$B75),NA())</f>
        <v>-257.18375009599117</v>
      </c>
      <c r="G75" s="82" cm="1">
        <f t="array" aca="1" ref="G75" ca="1">IF(ISNUMBER(_xll.VoseSimPercentile(ProgNPV_4,$B75)),_xll.VoseSimPercentile(ProgNPV_4,$B75),NA())</f>
        <v>-282.1388549639172</v>
      </c>
    </row>
    <row r="76" spans="2:7" hidden="1" outlineLevel="1" x14ac:dyDescent="0.45">
      <c r="B76" s="81">
        <v>0.03</v>
      </c>
      <c r="C76" s="81">
        <f t="shared" si="0"/>
        <v>0.97</v>
      </c>
      <c r="D76" s="82" cm="1">
        <f t="array" aca="1" ref="D76" ca="1">IF(ISNUMBER(_xll.VoseSimPercentile(ProgNPV_1,$B76)),_xll.VoseSimPercentile(ProgNPV_1,$B76),NA())</f>
        <v>-207.85558187590442</v>
      </c>
      <c r="E76" s="82" cm="1">
        <f t="array" aca="1" ref="E76" ca="1">IF(ISNUMBER(_xll.VoseSimPercentile(ProgNPV_2,$B76)),_xll.VoseSimPercentile(ProgNPV_2,$B76),NA())</f>
        <v>-254.85245127109278</v>
      </c>
      <c r="F76" s="82" cm="1">
        <f t="array" aca="1" ref="F76" ca="1">IF(ISNUMBER(_xll.VoseSimPercentile(ProgNPV_3,$B76)),_xll.VoseSimPercentile(ProgNPV_3,$B76),NA())</f>
        <v>-250.99557654219544</v>
      </c>
      <c r="G76" s="82" cm="1">
        <f t="array" aca="1" ref="G76" ca="1">IF(ISNUMBER(_xll.VoseSimPercentile(ProgNPV_4,$B76)),_xll.VoseSimPercentile(ProgNPV_4,$B76),NA())</f>
        <v>-276.04805385721261</v>
      </c>
    </row>
    <row r="77" spans="2:7" hidden="1" outlineLevel="1" x14ac:dyDescent="0.45">
      <c r="B77" s="81">
        <v>0.05</v>
      </c>
      <c r="C77" s="81">
        <f t="shared" si="0"/>
        <v>0.95</v>
      </c>
      <c r="D77" s="82" cm="1">
        <f t="array" aca="1" ref="D77" ca="1">IF(ISNUMBER(_xll.VoseSimPercentile(ProgNPV_1,$B77)),_xll.VoseSimPercentile(ProgNPV_1,$B77),NA())</f>
        <v>-204.41152475238624</v>
      </c>
      <c r="E77" s="82" cm="1">
        <f t="array" aca="1" ref="E77" ca="1">IF(ISNUMBER(_xll.VoseSimPercentile(ProgNPV_2,$B77)),_xll.VoseSimPercentile(ProgNPV_2,$B77),NA())</f>
        <v>-250.87860909382857</v>
      </c>
      <c r="F77" s="82" cm="1">
        <f t="array" aca="1" ref="F77" ca="1">IF(ISNUMBER(_xll.VoseSimPercentile(ProgNPV_3,$B77)),_xll.VoseSimPercentile(ProgNPV_3,$B77),NA())</f>
        <v>-247.59555994287768</v>
      </c>
      <c r="G77" s="82" cm="1">
        <f t="array" aca="1" ref="G77" ca="1">IF(ISNUMBER(_xll.VoseSimPercentile(ProgNPV_4,$B77)),_xll.VoseSimPercentile(ProgNPV_4,$B77),NA())</f>
        <v>-271.95102004969465</v>
      </c>
    </row>
    <row r="78" spans="2:7" hidden="1" outlineLevel="1" x14ac:dyDescent="0.45">
      <c r="B78" s="81">
        <v>7.0000000000000007E-2</v>
      </c>
      <c r="C78" s="81">
        <f t="shared" si="0"/>
        <v>0.92999999999999994</v>
      </c>
      <c r="D78" s="82" cm="1">
        <f t="array" aca="1" ref="D78" ca="1">IF(ISNUMBER(_xll.VoseSimPercentile(ProgNPV_1,$B78)),_xll.VoseSimPercentile(ProgNPV_1,$B78),NA())</f>
        <v>-201.6525511406814</v>
      </c>
      <c r="E78" s="82" cm="1">
        <f t="array" aca="1" ref="E78" ca="1">IF(ISNUMBER(_xll.VoseSimPercentile(ProgNPV_2,$B78)),_xll.VoseSimPercentile(ProgNPV_2,$B78),NA())</f>
        <v>-247.56670168888706</v>
      </c>
      <c r="F78" s="82" cm="1">
        <f t="array" aca="1" ref="F78" ca="1">IF(ISNUMBER(_xll.VoseSimPercentile(ProgNPV_3,$B78)),_xll.VoseSimPercentile(ProgNPV_3,$B78),NA())</f>
        <v>-244.69670035724266</v>
      </c>
      <c r="G78" s="82" cm="1">
        <f t="array" aca="1" ref="G78" ca="1">IF(ISNUMBER(_xll.VoseSimPercentile(ProgNPV_4,$B78)),_xll.VoseSimPercentile(ProgNPV_4,$B78),NA())</f>
        <v>-269.28302233578927</v>
      </c>
    </row>
    <row r="79" spans="2:7" hidden="1" outlineLevel="1" x14ac:dyDescent="0.45">
      <c r="B79" s="81">
        <v>0.09</v>
      </c>
      <c r="C79" s="81">
        <f t="shared" si="0"/>
        <v>0.91</v>
      </c>
      <c r="D79" s="82" cm="1">
        <f t="array" aca="1" ref="D79" ca="1">IF(ISNUMBER(_xll.VoseSimPercentile(ProgNPV_1,$B79)),_xll.VoseSimPercentile(ProgNPV_1,$B79),NA())</f>
        <v>-198.84462763934584</v>
      </c>
      <c r="E79" s="82" cm="1">
        <f t="array" aca="1" ref="E79" ca="1">IF(ISNUMBER(_xll.VoseSimPercentile(ProgNPV_2,$B79)),_xll.VoseSimPercentile(ProgNPV_2,$B79),NA())</f>
        <v>-244.89362888495316</v>
      </c>
      <c r="F79" s="82" cm="1">
        <f t="array" aca="1" ref="F79" ca="1">IF(ISNUMBER(_xll.VoseSimPercentile(ProgNPV_3,$B79)),_xll.VoseSimPercentile(ProgNPV_3,$B79),NA())</f>
        <v>-242.39821100024682</v>
      </c>
      <c r="G79" s="82" cm="1">
        <f t="array" aca="1" ref="G79" ca="1">IF(ISNUMBER(_xll.VoseSimPercentile(ProgNPV_4,$B79)),_xll.VoseSimPercentile(ProgNPV_4,$B79),NA())</f>
        <v>-266.64340454080133</v>
      </c>
    </row>
    <row r="80" spans="2:7" hidden="1" outlineLevel="1" x14ac:dyDescent="0.45">
      <c r="B80" s="81">
        <v>0.11</v>
      </c>
      <c r="C80" s="81">
        <f t="shared" si="0"/>
        <v>0.89</v>
      </c>
      <c r="D80" s="82" cm="1">
        <f t="array" aca="1" ref="D80" ca="1">IF(ISNUMBER(_xll.VoseSimPercentile(ProgNPV_1,$B80)),_xll.VoseSimPercentile(ProgNPV_1,$B80),NA())</f>
        <v>-195.60141482363537</v>
      </c>
      <c r="E80" s="82" cm="1">
        <f t="array" aca="1" ref="E80" ca="1">IF(ISNUMBER(_xll.VoseSimPercentile(ProgNPV_2,$B80)),_xll.VoseSimPercentile(ProgNPV_2,$B80),NA())</f>
        <v>-241.61661139541314</v>
      </c>
      <c r="F80" s="82" cm="1">
        <f t="array" aca="1" ref="F80" ca="1">IF(ISNUMBER(_xll.VoseSimPercentile(ProgNPV_3,$B80)),_xll.VoseSimPercentile(ProgNPV_3,$B80),NA())</f>
        <v>-240.49227965273832</v>
      </c>
      <c r="G80" s="82" cm="1">
        <f t="array" aca="1" ref="G80" ca="1">IF(ISNUMBER(_xll.VoseSimPercentile(ProgNPV_4,$B80)),_xll.VoseSimPercentile(ProgNPV_4,$B80),NA())</f>
        <v>-264.35552454225001</v>
      </c>
    </row>
    <row r="81" spans="2:7" hidden="1" outlineLevel="1" x14ac:dyDescent="0.45">
      <c r="B81" s="81">
        <v>0.13</v>
      </c>
      <c r="C81" s="81">
        <f t="shared" si="0"/>
        <v>0.87</v>
      </c>
      <c r="D81" s="82" cm="1">
        <f t="array" aca="1" ref="D81" ca="1">IF(ISNUMBER(_xll.VoseSimPercentile(ProgNPV_1,$B81)),_xll.VoseSimPercentile(ProgNPV_1,$B81),NA())</f>
        <v>-188.99056997779491</v>
      </c>
      <c r="E81" s="82" cm="1">
        <f t="array" aca="1" ref="E81" ca="1">IF(ISNUMBER(_xll.VoseSimPercentile(ProgNPV_2,$B81)),_xll.VoseSimPercentile(ProgNPV_2,$B81),NA())</f>
        <v>-238.31848490685718</v>
      </c>
      <c r="F81" s="82" cm="1">
        <f t="array" aca="1" ref="F81" ca="1">IF(ISNUMBER(_xll.VoseSimPercentile(ProgNPV_3,$B81)),_xll.VoseSimPercentile(ProgNPV_3,$B81),NA())</f>
        <v>-238.40276911160726</v>
      </c>
      <c r="G81" s="82" cm="1">
        <f t="array" aca="1" ref="G81" ca="1">IF(ISNUMBER(_xll.VoseSimPercentile(ProgNPV_4,$B81)),_xll.VoseSimPercentile(ProgNPV_4,$B81),NA())</f>
        <v>-261.92491026247001</v>
      </c>
    </row>
    <row r="82" spans="2:7" hidden="1" outlineLevel="1" x14ac:dyDescent="0.45">
      <c r="B82" s="81">
        <v>0.15</v>
      </c>
      <c r="C82" s="81">
        <f t="shared" si="0"/>
        <v>0.85</v>
      </c>
      <c r="D82" s="82" cm="1">
        <f t="array" aca="1" ref="D82" ca="1">IF(ISNUMBER(_xll.VoseSimPercentile(ProgNPV_1,$B82)),_xll.VoseSimPercentile(ProgNPV_1,$B82),NA())</f>
        <v>-162.65617407903886</v>
      </c>
      <c r="E82" s="82" cm="1">
        <f t="array" aca="1" ref="E82" ca="1">IF(ISNUMBER(_xll.VoseSimPercentile(ProgNPV_2,$B82)),_xll.VoseSimPercentile(ProgNPV_2,$B82),NA())</f>
        <v>-233.87411025014097</v>
      </c>
      <c r="F82" s="82" cm="1">
        <f t="array" aca="1" ref="F82" ca="1">IF(ISNUMBER(_xll.VoseSimPercentile(ProgNPV_3,$B82)),_xll.VoseSimPercentile(ProgNPV_3,$B82),NA())</f>
        <v>-236.10566887982401</v>
      </c>
      <c r="G82" s="82" cm="1">
        <f t="array" aca="1" ref="G82" ca="1">IF(ISNUMBER(_xll.VoseSimPercentile(ProgNPV_4,$B82)),_xll.VoseSimPercentile(ProgNPV_4,$B82),NA())</f>
        <v>-259.42050508799889</v>
      </c>
    </row>
    <row r="83" spans="2:7" hidden="1" outlineLevel="1" x14ac:dyDescent="0.45">
      <c r="B83" s="81">
        <v>0.17</v>
      </c>
      <c r="C83" s="81">
        <f t="shared" si="0"/>
        <v>0.83</v>
      </c>
      <c r="D83" s="82" cm="1">
        <f t="array" aca="1" ref="D83" ca="1">IF(ISNUMBER(_xll.VoseSimPercentile(ProgNPV_1,$B83)),_xll.VoseSimPercentile(ProgNPV_1,$B83),NA())</f>
        <v>-150.03041547722592</v>
      </c>
      <c r="E83" s="82" cm="1">
        <f t="array" aca="1" ref="E83" ca="1">IF(ISNUMBER(_xll.VoseSimPercentile(ProgNPV_2,$B83)),_xll.VoseSimPercentile(ProgNPV_2,$B83),NA())</f>
        <v>-224.19132008441966</v>
      </c>
      <c r="F83" s="82" cm="1">
        <f t="array" aca="1" ref="F83" ca="1">IF(ISNUMBER(_xll.VoseSimPercentile(ProgNPV_3,$B83)),_xll.VoseSimPercentile(ProgNPV_3,$B83),NA())</f>
        <v>-234.02973389876138</v>
      </c>
      <c r="G83" s="82" cm="1">
        <f t="array" aca="1" ref="G83" ca="1">IF(ISNUMBER(_xll.VoseSimPercentile(ProgNPV_4,$B83)),_xll.VoseSimPercentile(ProgNPV_4,$B83),NA())</f>
        <v>-257.16211147051638</v>
      </c>
    </row>
    <row r="84" spans="2:7" hidden="1" outlineLevel="1" x14ac:dyDescent="0.45">
      <c r="B84" s="81">
        <v>0.19</v>
      </c>
      <c r="C84" s="81">
        <f t="shared" si="0"/>
        <v>0.81</v>
      </c>
      <c r="D84" s="82" cm="1">
        <f t="array" aca="1" ref="D84" ca="1">IF(ISNUMBER(_xll.VoseSimPercentile(ProgNPV_1,$B84)),_xll.VoseSimPercentile(ProgNPV_1,$B84),NA())</f>
        <v>-140.97683886610699</v>
      </c>
      <c r="E84" s="82" cm="1">
        <f t="array" aca="1" ref="E84" ca="1">IF(ISNUMBER(_xll.VoseSimPercentile(ProgNPV_2,$B84)),_xll.VoseSimPercentile(ProgNPV_2,$B84),NA())</f>
        <v>-198.49168708202845</v>
      </c>
      <c r="F84" s="82" cm="1">
        <f t="array" aca="1" ref="F84" ca="1">IF(ISNUMBER(_xll.VoseSimPercentile(ProgNPV_3,$B84)),_xll.VoseSimPercentile(ProgNPV_3,$B84),NA())</f>
        <v>-232.13547047463521</v>
      </c>
      <c r="G84" s="82" cm="1">
        <f t="array" aca="1" ref="G84" ca="1">IF(ISNUMBER(_xll.VoseSimPercentile(ProgNPV_4,$B84)),_xll.VoseSimPercentile(ProgNPV_4,$B84),NA())</f>
        <v>-254.55457827998674</v>
      </c>
    </row>
    <row r="85" spans="2:7" hidden="1" outlineLevel="1" x14ac:dyDescent="0.45">
      <c r="B85" s="81">
        <v>0.21</v>
      </c>
      <c r="C85" s="81">
        <f t="shared" si="0"/>
        <v>0.79</v>
      </c>
      <c r="D85" s="82" cm="1">
        <f t="array" aca="1" ref="D85" ca="1">IF(ISNUMBER(_xll.VoseSimPercentile(ProgNPV_1,$B85)),_xll.VoseSimPercentile(ProgNPV_1,$B85),NA())</f>
        <v>-132.27747341976331</v>
      </c>
      <c r="E85" s="82" cm="1">
        <f t="array" aca="1" ref="E85" ca="1">IF(ISNUMBER(_xll.VoseSimPercentile(ProgNPV_2,$B85)),_xll.VoseSimPercentile(ProgNPV_2,$B85),NA())</f>
        <v>-187.03199220673451</v>
      </c>
      <c r="F85" s="82" cm="1">
        <f t="array" aca="1" ref="F85" ca="1">IF(ISNUMBER(_xll.VoseSimPercentile(ProgNPV_3,$B85)),_xll.VoseSimPercentile(ProgNPV_3,$B85),NA())</f>
        <v>-230.10434584373488</v>
      </c>
      <c r="G85" s="82" cm="1">
        <f t="array" aca="1" ref="G85" ca="1">IF(ISNUMBER(_xll.VoseSimPercentile(ProgNPV_4,$B85)),_xll.VoseSimPercentile(ProgNPV_4,$B85),NA())</f>
        <v>-251.2169592874684</v>
      </c>
    </row>
    <row r="86" spans="2:7" hidden="1" outlineLevel="1" x14ac:dyDescent="0.45">
      <c r="B86" s="81">
        <v>0.23</v>
      </c>
      <c r="C86" s="81">
        <f t="shared" si="0"/>
        <v>0.77</v>
      </c>
      <c r="D86" s="82" cm="1">
        <f t="array" aca="1" ref="D86" ca="1">IF(ISNUMBER(_xll.VoseSimPercentile(ProgNPV_1,$B86)),_xll.VoseSimPercentile(ProgNPV_1,$B86),NA())</f>
        <v>-124.0860775477084</v>
      </c>
      <c r="E86" s="82" cm="1">
        <f t="array" aca="1" ref="E86" ca="1">IF(ISNUMBER(_xll.VoseSimPercentile(ProgNPV_2,$B86)),_xll.VoseSimPercentile(ProgNPV_2,$B86),NA())</f>
        <v>-176.50870038301809</v>
      </c>
      <c r="F86" s="82" cm="1">
        <f t="array" aca="1" ref="F86" ca="1">IF(ISNUMBER(_xll.VoseSimPercentile(ProgNPV_3,$B86)),_xll.VoseSimPercentile(ProgNPV_3,$B86),NA())</f>
        <v>-227.74719432178341</v>
      </c>
      <c r="G86" s="82" cm="1">
        <f t="array" aca="1" ref="G86" ca="1">IF(ISNUMBER(_xll.VoseSimPercentile(ProgNPV_4,$B86)),_xll.VoseSimPercentile(ProgNPV_4,$B86),NA())</f>
        <v>-245.82582537597324</v>
      </c>
    </row>
    <row r="87" spans="2:7" hidden="1" outlineLevel="1" x14ac:dyDescent="0.45">
      <c r="B87" s="81">
        <v>0.25</v>
      </c>
      <c r="C87" s="81">
        <f t="shared" si="0"/>
        <v>0.75</v>
      </c>
      <c r="D87" s="82" cm="1">
        <f t="array" aca="1" ref="D87" ca="1">IF(ISNUMBER(_xll.VoseSimPercentile(ProgNPV_1,$B87)),_xll.VoseSimPercentile(ProgNPV_1,$B87),NA())</f>
        <v>-115.22854429535957</v>
      </c>
      <c r="E87" s="82" cm="1">
        <f t="array" aca="1" ref="E87" ca="1">IF(ISNUMBER(_xll.VoseSimPercentile(ProgNPV_2,$B87)),_xll.VoseSimPercentile(ProgNPV_2,$B87),NA())</f>
        <v>-167.33388587621215</v>
      </c>
      <c r="F87" s="82" cm="1">
        <f t="array" aca="1" ref="F87" ca="1">IF(ISNUMBER(_xll.VoseSimPercentile(ProgNPV_3,$B87)),_xll.VoseSimPercentile(ProgNPV_3,$B87),NA())</f>
        <v>-224.992284858142</v>
      </c>
      <c r="G87" s="82" cm="1">
        <f t="array" aca="1" ref="G87" ca="1">IF(ISNUMBER(_xll.VoseSimPercentile(ProgNPV_4,$B87)),_xll.VoseSimPercentile(ProgNPV_4,$B87),NA())</f>
        <v>-227.86430038415551</v>
      </c>
    </row>
    <row r="88" spans="2:7" hidden="1" outlineLevel="1" x14ac:dyDescent="0.45">
      <c r="B88" s="81">
        <v>0.27</v>
      </c>
      <c r="C88" s="81">
        <f t="shared" si="0"/>
        <v>0.73</v>
      </c>
      <c r="D88" s="82" cm="1">
        <f t="array" aca="1" ref="D88" ca="1">IF(ISNUMBER(_xll.VoseSimPercentile(ProgNPV_1,$B88)),_xll.VoseSimPercentile(ProgNPV_1,$B88),NA())</f>
        <v>-107.3441371423273</v>
      </c>
      <c r="E88" s="82" cm="1">
        <f t="array" aca="1" ref="E88" ca="1">IF(ISNUMBER(_xll.VoseSimPercentile(ProgNPV_2,$B88)),_xll.VoseSimPercentile(ProgNPV_2,$B88),NA())</f>
        <v>-157.79366249783848</v>
      </c>
      <c r="F88" s="82" cm="1">
        <f t="array" aca="1" ref="F88" ca="1">IF(ISNUMBER(_xll.VoseSimPercentile(ProgNPV_3,$B88)),_xll.VoseSimPercentile(ProgNPV_3,$B88),NA())</f>
        <v>-220.89378893952693</v>
      </c>
      <c r="G88" s="82" cm="1">
        <f t="array" aca="1" ref="G88" ca="1">IF(ISNUMBER(_xll.VoseSimPercentile(ProgNPV_4,$B88)),_xll.VoseSimPercentile(ProgNPV_4,$B88),NA())</f>
        <v>-211.39421484079108</v>
      </c>
    </row>
    <row r="89" spans="2:7" hidden="1" outlineLevel="1" x14ac:dyDescent="0.45">
      <c r="B89" s="81">
        <v>0.28999999999999998</v>
      </c>
      <c r="C89" s="81">
        <f t="shared" si="0"/>
        <v>0.71</v>
      </c>
      <c r="D89" s="82" cm="1">
        <f t="array" aca="1" ref="D89" ca="1">IF(ISNUMBER(_xll.VoseSimPercentile(ProgNPV_1,$B89)),_xll.VoseSimPercentile(ProgNPV_1,$B89),NA())</f>
        <v>-97.660779534618371</v>
      </c>
      <c r="E89" s="82" cm="1">
        <f t="array" aca="1" ref="E89" ca="1">IF(ISNUMBER(_xll.VoseSimPercentile(ProgNPV_2,$B89)),_xll.VoseSimPercentile(ProgNPV_2,$B89),NA())</f>
        <v>-147.13463662255256</v>
      </c>
      <c r="F89" s="82" cm="1">
        <f t="array" aca="1" ref="F89" ca="1">IF(ISNUMBER(_xll.VoseSimPercentile(ProgNPV_3,$B89)),_xll.VoseSimPercentile(ProgNPV_3,$B89),NA())</f>
        <v>-212.88871460144719</v>
      </c>
      <c r="G89" s="82" cm="1">
        <f t="array" aca="1" ref="G89" ca="1">IF(ISNUMBER(_xll.VoseSimPercentile(ProgNPV_4,$B89)),_xll.VoseSimPercentile(ProgNPV_4,$B89),NA())</f>
        <v>-199.90588465332291</v>
      </c>
    </row>
    <row r="90" spans="2:7" hidden="1" outlineLevel="1" x14ac:dyDescent="0.45">
      <c r="B90" s="81">
        <v>0.31</v>
      </c>
      <c r="C90" s="81">
        <f t="shared" si="0"/>
        <v>0.69</v>
      </c>
      <c r="D90" s="82" cm="1">
        <f t="array" aca="1" ref="D90" ca="1">IF(ISNUMBER(_xll.VoseSimPercentile(ProgNPV_1,$B90)),_xll.VoseSimPercentile(ProgNPV_1,$B90),NA())</f>
        <v>-89.39376061341288</v>
      </c>
      <c r="E90" s="82" cm="1">
        <f t="array" aca="1" ref="E90" ca="1">IF(ISNUMBER(_xll.VoseSimPercentile(ProgNPV_2,$B90)),_xll.VoseSimPercentile(ProgNPV_2,$B90),NA())</f>
        <v>-136.72931675333692</v>
      </c>
      <c r="F90" s="82" cm="1">
        <f t="array" aca="1" ref="F90" ca="1">IF(ISNUMBER(_xll.VoseSimPercentile(ProgNPV_3,$B90)),_xll.VoseSimPercentile(ProgNPV_3,$B90),NA())</f>
        <v>-194.5052779326727</v>
      </c>
      <c r="G90" s="82" cm="1">
        <f t="array" aca="1" ref="G90" ca="1">IF(ISNUMBER(_xll.VoseSimPercentile(ProgNPV_4,$B90)),_xll.VoseSimPercentile(ProgNPV_4,$B90),NA())</f>
        <v>-189.80842210216542</v>
      </c>
    </row>
    <row r="91" spans="2:7" hidden="1" outlineLevel="1" x14ac:dyDescent="0.45">
      <c r="B91" s="81">
        <v>0.33</v>
      </c>
      <c r="C91" s="81">
        <f t="shared" si="0"/>
        <v>0.66999999999999993</v>
      </c>
      <c r="D91" s="82" cm="1">
        <f t="array" aca="1" ref="D91" ca="1">IF(ISNUMBER(_xll.VoseSimPercentile(ProgNPV_1,$B91)),_xll.VoseSimPercentile(ProgNPV_1,$B91),NA())</f>
        <v>-80.210683707027698</v>
      </c>
      <c r="E91" s="82" cm="1">
        <f t="array" aca="1" ref="E91" ca="1">IF(ISNUMBER(_xll.VoseSimPercentile(ProgNPV_2,$B91)),_xll.VoseSimPercentile(ProgNPV_2,$B91),NA())</f>
        <v>-127.51365690018056</v>
      </c>
      <c r="F91" s="82" cm="1">
        <f t="array" aca="1" ref="F91" ca="1">IF(ISNUMBER(_xll.VoseSimPercentile(ProgNPV_3,$B91)),_xll.VoseSimPercentile(ProgNPV_3,$B91),NA())</f>
        <v>-183.07835431680172</v>
      </c>
      <c r="G91" s="82" cm="1">
        <f t="array" aca="1" ref="G91" ca="1">IF(ISNUMBER(_xll.VoseSimPercentile(ProgNPV_4,$B91)),_xll.VoseSimPercentile(ProgNPV_4,$B91),NA())</f>
        <v>-177.95334508764077</v>
      </c>
    </row>
    <row r="92" spans="2:7" hidden="1" outlineLevel="1" x14ac:dyDescent="0.45">
      <c r="B92" s="81">
        <v>0.35</v>
      </c>
      <c r="C92" s="81">
        <f t="shared" si="0"/>
        <v>0.65</v>
      </c>
      <c r="D92" s="82" cm="1">
        <f t="array" aca="1" ref="D92" ca="1">IF(ISNUMBER(_xll.VoseSimPercentile(ProgNPV_1,$B92)),_xll.VoseSimPercentile(ProgNPV_1,$B92),NA())</f>
        <v>-71.810971165535435</v>
      </c>
      <c r="E92" s="82" cm="1">
        <f t="array" aca="1" ref="E92" ca="1">IF(ISNUMBER(_xll.VoseSimPercentile(ProgNPV_2,$B92)),_xll.VoseSimPercentile(ProgNPV_2,$B92),NA())</f>
        <v>-117.03902877396173</v>
      </c>
      <c r="F92" s="82" cm="1">
        <f t="array" aca="1" ref="F92" ca="1">IF(ISNUMBER(_xll.VoseSimPercentile(ProgNPV_3,$B92)),_xll.VoseSimPercentile(ProgNPV_3,$B92),NA())</f>
        <v>-172.69756459394347</v>
      </c>
      <c r="G92" s="82" cm="1">
        <f t="array" aca="1" ref="G92" ca="1">IF(ISNUMBER(_xll.VoseSimPercentile(ProgNPV_4,$B92)),_xll.VoseSimPercentile(ProgNPV_4,$B92),NA())</f>
        <v>-166.42312714507318</v>
      </c>
    </row>
    <row r="93" spans="2:7" hidden="1" outlineLevel="1" x14ac:dyDescent="0.45">
      <c r="B93" s="81">
        <v>0.37</v>
      </c>
      <c r="C93" s="81">
        <f t="shared" si="0"/>
        <v>0.63</v>
      </c>
      <c r="D93" s="82" cm="1">
        <f t="array" aca="1" ref="D93" ca="1">IF(ISNUMBER(_xll.VoseSimPercentile(ProgNPV_1,$B93)),_xll.VoseSimPercentile(ProgNPV_1,$B93),NA())</f>
        <v>-62.828224583648634</v>
      </c>
      <c r="E93" s="82" cm="1">
        <f t="array" aca="1" ref="E93" ca="1">IF(ISNUMBER(_xll.VoseSimPercentile(ProgNPV_2,$B93)),_xll.VoseSimPercentile(ProgNPV_2,$B93),NA())</f>
        <v>-105.14913114303118</v>
      </c>
      <c r="F93" s="82" cm="1">
        <f t="array" aca="1" ref="F93" ca="1">IF(ISNUMBER(_xll.VoseSimPercentile(ProgNPV_3,$B93)),_xll.VoseSimPercentile(ProgNPV_3,$B93),NA())</f>
        <v>-163.17439243562984</v>
      </c>
      <c r="G93" s="82" cm="1">
        <f t="array" aca="1" ref="G93" ca="1">IF(ISNUMBER(_xll.VoseSimPercentile(ProgNPV_4,$B93)),_xll.VoseSimPercentile(ProgNPV_4,$B93),NA())</f>
        <v>-153.91111576117711</v>
      </c>
    </row>
    <row r="94" spans="2:7" hidden="1" outlineLevel="1" x14ac:dyDescent="0.45">
      <c r="B94" s="81">
        <v>0.39</v>
      </c>
      <c r="C94" s="81">
        <f t="shared" si="0"/>
        <v>0.61</v>
      </c>
      <c r="D94" s="82" cm="1">
        <f t="array" aca="1" ref="D94" ca="1">IF(ISNUMBER(_xll.VoseSimPercentile(ProgNPV_1,$B94)),_xll.VoseSimPercentile(ProgNPV_1,$B94),NA())</f>
        <v>-54.858691217464752</v>
      </c>
      <c r="E94" s="82" cm="1">
        <f t="array" aca="1" ref="E94" ca="1">IF(ISNUMBER(_xll.VoseSimPercentile(ProgNPV_2,$B94)),_xll.VoseSimPercentile(ProgNPV_2,$B94),NA())</f>
        <v>-95.094481182581433</v>
      </c>
      <c r="F94" s="82" cm="1">
        <f t="array" aca="1" ref="F94" ca="1">IF(ISNUMBER(_xll.VoseSimPercentile(ProgNPV_3,$B94)),_xll.VoseSimPercentile(ProgNPV_3,$B94),NA())</f>
        <v>-156.56418910310174</v>
      </c>
      <c r="G94" s="82" cm="1">
        <f t="array" aca="1" ref="G94" ca="1">IF(ISNUMBER(_xll.VoseSimPercentile(ProgNPV_4,$B94)),_xll.VoseSimPercentile(ProgNPV_4,$B94),NA())</f>
        <v>-139.49824065649395</v>
      </c>
    </row>
    <row r="95" spans="2:7" hidden="1" outlineLevel="1" x14ac:dyDescent="0.45">
      <c r="B95" s="81">
        <v>0.41</v>
      </c>
      <c r="C95" s="81">
        <f t="shared" si="0"/>
        <v>0.59000000000000008</v>
      </c>
      <c r="D95" s="82" cm="1">
        <f t="array" aca="1" ref="D95" ca="1">IF(ISNUMBER(_xll.VoseSimPercentile(ProgNPV_1,$B95)),_xll.VoseSimPercentile(ProgNPV_1,$B95),NA())</f>
        <v>-45.97424783055591</v>
      </c>
      <c r="E95" s="82" cm="1">
        <f t="array" aca="1" ref="E95" ca="1">IF(ISNUMBER(_xll.VoseSimPercentile(ProgNPV_2,$B95)),_xll.VoseSimPercentile(ProgNPV_2,$B95),NA())</f>
        <v>-82.201871267309244</v>
      </c>
      <c r="F95" s="82" cm="1">
        <f t="array" aca="1" ref="F95" ca="1">IF(ISNUMBER(_xll.VoseSimPercentile(ProgNPV_3,$B95)),_xll.VoseSimPercentile(ProgNPV_3,$B95),NA())</f>
        <v>-148.19156443445996</v>
      </c>
      <c r="G95" s="82" cm="1">
        <f t="array" aca="1" ref="G95" ca="1">IF(ISNUMBER(_xll.VoseSimPercentile(ProgNPV_4,$B95)),_xll.VoseSimPercentile(ProgNPV_4,$B95),NA())</f>
        <v>-126.54155099650426</v>
      </c>
    </row>
    <row r="96" spans="2:7" hidden="1" outlineLevel="1" x14ac:dyDescent="0.45">
      <c r="B96" s="81">
        <v>0.43</v>
      </c>
      <c r="C96" s="81">
        <f t="shared" si="0"/>
        <v>0.57000000000000006</v>
      </c>
      <c r="D96" s="82" cm="1">
        <f t="array" aca="1" ref="D96" ca="1">IF(ISNUMBER(_xll.VoseSimPercentile(ProgNPV_1,$B96)),_xll.VoseSimPercentile(ProgNPV_1,$B96),NA())</f>
        <v>-37.51564638007887</v>
      </c>
      <c r="E96" s="82" cm="1">
        <f t="array" aca="1" ref="E96" ca="1">IF(ISNUMBER(_xll.VoseSimPercentile(ProgNPV_2,$B96)),_xll.VoseSimPercentile(ProgNPV_2,$B96),NA())</f>
        <v>-71.207004551523781</v>
      </c>
      <c r="F96" s="82" cm="1">
        <f t="array" aca="1" ref="F96" ca="1">IF(ISNUMBER(_xll.VoseSimPercentile(ProgNPV_3,$B96)),_xll.VoseSimPercentile(ProgNPV_3,$B96),NA())</f>
        <v>-139.35484899443014</v>
      </c>
      <c r="G96" s="82" cm="1">
        <f t="array" aca="1" ref="G96" ca="1">IF(ISNUMBER(_xll.VoseSimPercentile(ProgNPV_4,$B96)),_xll.VoseSimPercentile(ProgNPV_4,$B96),NA())</f>
        <v>-112.41075946054266</v>
      </c>
    </row>
    <row r="97" spans="2:7" hidden="1" outlineLevel="1" x14ac:dyDescent="0.45">
      <c r="B97" s="81">
        <v>0.45</v>
      </c>
      <c r="C97" s="81">
        <f t="shared" si="0"/>
        <v>0.55000000000000004</v>
      </c>
      <c r="D97" s="82" cm="1">
        <f t="array" aca="1" ref="D97" ca="1">IF(ISNUMBER(_xll.VoseSimPercentile(ProgNPV_1,$B97)),_xll.VoseSimPercentile(ProgNPV_1,$B97),NA())</f>
        <v>-28.762798862917045</v>
      </c>
      <c r="E97" s="82" cm="1">
        <f t="array" aca="1" ref="E97" ca="1">IF(ISNUMBER(_xll.VoseSimPercentile(ProgNPV_2,$B97)),_xll.VoseSimPercentile(ProgNPV_2,$B97),NA())</f>
        <v>-59.751773804649936</v>
      </c>
      <c r="F97" s="82" cm="1">
        <f t="array" aca="1" ref="F97" ca="1">IF(ISNUMBER(_xll.VoseSimPercentile(ProgNPV_3,$B97)),_xll.VoseSimPercentile(ProgNPV_3,$B97),NA())</f>
        <v>-131.19994752291282</v>
      </c>
      <c r="G97" s="82" cm="1">
        <f t="array" aca="1" ref="G97" ca="1">IF(ISNUMBER(_xll.VoseSimPercentile(ProgNPV_4,$B97)),_xll.VoseSimPercentile(ProgNPV_4,$B97),NA())</f>
        <v>-97.395527424710721</v>
      </c>
    </row>
    <row r="98" spans="2:7" hidden="1" outlineLevel="1" x14ac:dyDescent="0.45">
      <c r="B98" s="81">
        <v>0.47</v>
      </c>
      <c r="C98" s="81">
        <f t="shared" si="0"/>
        <v>0.53</v>
      </c>
      <c r="D98" s="82" cm="1">
        <f t="array" aca="1" ref="D98" ca="1">IF(ISNUMBER(_xll.VoseSimPercentile(ProgNPV_1,$B98)),_xll.VoseSimPercentile(ProgNPV_1,$B98),NA())</f>
        <v>-19.560405005969841</v>
      </c>
      <c r="E98" s="82" cm="1">
        <f t="array" aca="1" ref="E98" ca="1">IF(ISNUMBER(_xll.VoseSimPercentile(ProgNPV_2,$B98)),_xll.VoseSimPercentile(ProgNPV_2,$B98),NA())</f>
        <v>-47.938414154731547</v>
      </c>
      <c r="F98" s="82" cm="1">
        <f t="array" aca="1" ref="F98" ca="1">IF(ISNUMBER(_xll.VoseSimPercentile(ProgNPV_3,$B98)),_xll.VoseSimPercentile(ProgNPV_3,$B98),NA())</f>
        <v>-120.60625640511904</v>
      </c>
      <c r="G98" s="82" cm="1">
        <f t="array" aca="1" ref="G98" ca="1">IF(ISNUMBER(_xll.VoseSimPercentile(ProgNPV_4,$B98)),_xll.VoseSimPercentile(ProgNPV_4,$B98),NA())</f>
        <v>-80.64334789362664</v>
      </c>
    </row>
    <row r="99" spans="2:7" hidden="1" outlineLevel="1" x14ac:dyDescent="0.45">
      <c r="B99" s="81">
        <v>0.49</v>
      </c>
      <c r="C99" s="81">
        <f t="shared" si="0"/>
        <v>0.51</v>
      </c>
      <c r="D99" s="82" cm="1">
        <f t="array" aca="1" ref="D99" ca="1">IF(ISNUMBER(_xll.VoseSimPercentile(ProgNPV_1,$B99)),_xll.VoseSimPercentile(ProgNPV_1,$B99),NA())</f>
        <v>-10.251240824220076</v>
      </c>
      <c r="E99" s="82" cm="1">
        <f t="array" aca="1" ref="E99" ca="1">IF(ISNUMBER(_xll.VoseSimPercentile(ProgNPV_2,$B99)),_xll.VoseSimPercentile(ProgNPV_2,$B99),NA())</f>
        <v>-33.716821963221761</v>
      </c>
      <c r="F99" s="82" cm="1">
        <f t="array" aca="1" ref="F99" ca="1">IF(ISNUMBER(_xll.VoseSimPercentile(ProgNPV_3,$B99)),_xll.VoseSimPercentile(ProgNPV_3,$B99),NA())</f>
        <v>-110.01311869691568</v>
      </c>
      <c r="G99" s="82" cm="1">
        <f t="array" aca="1" ref="G99" ca="1">IF(ISNUMBER(_xll.VoseSimPercentile(ProgNPV_4,$B99)),_xll.VoseSimPercentile(ProgNPV_4,$B99),NA())</f>
        <v>-63.289756281848071</v>
      </c>
    </row>
    <row r="100" spans="2:7" hidden="1" outlineLevel="1" x14ac:dyDescent="0.45">
      <c r="B100" s="81">
        <v>0.51</v>
      </c>
      <c r="C100" s="81">
        <f t="shared" si="0"/>
        <v>0.49</v>
      </c>
      <c r="D100" s="82" cm="1">
        <f t="array" aca="1" ref="D100" ca="1">IF(ISNUMBER(_xll.VoseSimPercentile(ProgNPV_1,$B100)),_xll.VoseSimPercentile(ProgNPV_1,$B100),NA())</f>
        <v>-3.492432883178509E-2</v>
      </c>
      <c r="E100" s="82" cm="1">
        <f t="array" aca="1" ref="E100" ca="1">IF(ISNUMBER(_xll.VoseSimPercentile(ProgNPV_2,$B100)),_xll.VoseSimPercentile(ProgNPV_2,$B100),NA())</f>
        <v>-20.731876502679157</v>
      </c>
      <c r="F100" s="82" cm="1">
        <f t="array" aca="1" ref="F100" ca="1">IF(ISNUMBER(_xll.VoseSimPercentile(ProgNPV_3,$B100)),_xll.VoseSimPercentile(ProgNPV_3,$B100),NA())</f>
        <v>-97.326052480891747</v>
      </c>
      <c r="G100" s="82" cm="1">
        <f t="array" aca="1" ref="G100" ca="1">IF(ISNUMBER(_xll.VoseSimPercentile(ProgNPV_4,$B100)),_xll.VoseSimPercentile(ProgNPV_4,$B100),NA())</f>
        <v>-46.277560732034772</v>
      </c>
    </row>
    <row r="101" spans="2:7" hidden="1" outlineLevel="1" x14ac:dyDescent="0.45">
      <c r="B101" s="81">
        <v>0.53</v>
      </c>
      <c r="C101" s="81">
        <f t="shared" si="0"/>
        <v>0.47</v>
      </c>
      <c r="D101" s="82" cm="1">
        <f t="array" aca="1" ref="D101" ca="1">IF(ISNUMBER(_xll.VoseSimPercentile(ProgNPV_1,$B101)),_xll.VoseSimPercentile(ProgNPV_1,$B101),NA())</f>
        <v>10.338311746359501</v>
      </c>
      <c r="E101" s="82" cm="1">
        <f t="array" aca="1" ref="E101" ca="1">IF(ISNUMBER(_xll.VoseSimPercentile(ProgNPV_2,$B101)),_xll.VoseSimPercentile(ProgNPV_2,$B101),NA())</f>
        <v>-5.6934256700690611</v>
      </c>
      <c r="F101" s="82" cm="1">
        <f t="array" aca="1" ref="F101" ca="1">IF(ISNUMBER(_xll.VoseSimPercentile(ProgNPV_3,$B101)),_xll.VoseSimPercentile(ProgNPV_3,$B101),NA())</f>
        <v>-84.058347891300954</v>
      </c>
      <c r="G101" s="82" cm="1">
        <f t="array" aca="1" ref="G101" ca="1">IF(ISNUMBER(_xll.VoseSimPercentile(ProgNPV_4,$B101)),_xll.VoseSimPercentile(ProgNPV_4,$B101),NA())</f>
        <v>-29.20498369253442</v>
      </c>
    </row>
    <row r="102" spans="2:7" hidden="1" outlineLevel="1" x14ac:dyDescent="0.45">
      <c r="B102" s="81">
        <v>0.55000000000000004</v>
      </c>
      <c r="C102" s="81">
        <f t="shared" si="0"/>
        <v>0.44999999999999996</v>
      </c>
      <c r="D102" s="82" cm="1">
        <f t="array" aca="1" ref="D102" ca="1">IF(ISNUMBER(_xll.VoseSimPercentile(ProgNPV_1,$B102)),_xll.VoseSimPercentile(ProgNPV_1,$B102),NA())</f>
        <v>20.490897145976263</v>
      </c>
      <c r="E102" s="82" cm="1">
        <f t="array" aca="1" ref="E102" ca="1">IF(ISNUMBER(_xll.VoseSimPercentile(ProgNPV_2,$B102)),_xll.VoseSimPercentile(ProgNPV_2,$B102),NA())</f>
        <v>8.2636901508830931</v>
      </c>
      <c r="F102" s="82" cm="1">
        <f t="array" aca="1" ref="F102" ca="1">IF(ISNUMBER(_xll.VoseSimPercentile(ProgNPV_3,$B102)),_xll.VoseSimPercentile(ProgNPV_3,$B102),NA())</f>
        <v>-70.538187792136171</v>
      </c>
      <c r="G102" s="82" cm="1">
        <f t="array" aca="1" ref="G102" ca="1">IF(ISNUMBER(_xll.VoseSimPercentile(ProgNPV_4,$B102)),_xll.VoseSimPercentile(ProgNPV_4,$B102),NA())</f>
        <v>-13.577152756997727</v>
      </c>
    </row>
    <row r="103" spans="2:7" hidden="1" outlineLevel="1" x14ac:dyDescent="0.45">
      <c r="B103" s="81">
        <v>0.56999999999999995</v>
      </c>
      <c r="C103" s="81">
        <f t="shared" si="0"/>
        <v>0.43000000000000005</v>
      </c>
      <c r="D103" s="82" cm="1">
        <f t="array" aca="1" ref="D103" ca="1">IF(ISNUMBER(_xll.VoseSimPercentile(ProgNPV_1,$B103)),_xll.VoseSimPercentile(ProgNPV_1,$B103),NA())</f>
        <v>30.257788384337104</v>
      </c>
      <c r="E103" s="82" cm="1">
        <f t="array" aca="1" ref="E103" ca="1">IF(ISNUMBER(_xll.VoseSimPercentile(ProgNPV_2,$B103)),_xll.VoseSimPercentile(ProgNPV_2,$B103),NA())</f>
        <v>22.557339391493045</v>
      </c>
      <c r="F103" s="82" cm="1">
        <f t="array" aca="1" ref="F103" ca="1">IF(ISNUMBER(_xll.VoseSimPercentile(ProgNPV_3,$B103)),_xll.VoseSimPercentile(ProgNPV_3,$B103),NA())</f>
        <v>-57.238707499319503</v>
      </c>
      <c r="G103" s="82" cm="1">
        <f t="array" aca="1" ref="G103" ca="1">IF(ISNUMBER(_xll.VoseSimPercentile(ProgNPV_4,$B103)),_xll.VoseSimPercentile(ProgNPV_4,$B103),NA())</f>
        <v>4.6215408672816807</v>
      </c>
    </row>
    <row r="104" spans="2:7" hidden="1" outlineLevel="1" x14ac:dyDescent="0.45">
      <c r="B104" s="81">
        <v>0.59</v>
      </c>
      <c r="C104" s="81">
        <f t="shared" si="0"/>
        <v>0.41000000000000003</v>
      </c>
      <c r="D104" s="82" cm="1">
        <f t="array" aca="1" ref="D104" ca="1">IF(ISNUMBER(_xll.VoseSimPercentile(ProgNPV_1,$B104)),_xll.VoseSimPercentile(ProgNPV_1,$B104),NA())</f>
        <v>40.256832325253932</v>
      </c>
      <c r="E104" s="82" cm="1">
        <f t="array" aca="1" ref="E104" ca="1">IF(ISNUMBER(_xll.VoseSimPercentile(ProgNPV_2,$B104)),_xll.VoseSimPercentile(ProgNPV_2,$B104),NA())</f>
        <v>39.665077126065157</v>
      </c>
      <c r="F104" s="82" cm="1">
        <f t="array" aca="1" ref="F104" ca="1">IF(ISNUMBER(_xll.VoseSimPercentile(ProgNPV_3,$B104)),_xll.VoseSimPercentile(ProgNPV_3,$B104),NA())</f>
        <v>-40.723920908884786</v>
      </c>
      <c r="G104" s="82" cm="1">
        <f t="array" aca="1" ref="G104" ca="1">IF(ISNUMBER(_xll.VoseSimPercentile(ProgNPV_4,$B104)),_xll.VoseSimPercentile(ProgNPV_4,$B104),NA())</f>
        <v>24.251725990765649</v>
      </c>
    </row>
    <row r="105" spans="2:7" hidden="1" outlineLevel="1" x14ac:dyDescent="0.45">
      <c r="B105" s="81">
        <v>0.61</v>
      </c>
      <c r="C105" s="81">
        <f t="shared" si="0"/>
        <v>0.39</v>
      </c>
      <c r="D105" s="82" cm="1">
        <f t="array" aca="1" ref="D105" ca="1">IF(ISNUMBER(_xll.VoseSimPercentile(ProgNPV_1,$B105)),_xll.VoseSimPercentile(ProgNPV_1,$B105),NA())</f>
        <v>51.337345036952975</v>
      </c>
      <c r="E105" s="82" cm="1">
        <f t="array" aca="1" ref="E105" ca="1">IF(ISNUMBER(_xll.VoseSimPercentile(ProgNPV_2,$B105)),_xll.VoseSimPercentile(ProgNPV_2,$B105),NA())</f>
        <v>54.637117453094262</v>
      </c>
      <c r="F105" s="82" cm="1">
        <f t="array" aca="1" ref="F105" ca="1">IF(ISNUMBER(_xll.VoseSimPercentile(ProgNPV_3,$B105)),_xll.VoseSimPercentile(ProgNPV_3,$B105),NA())</f>
        <v>-24.781381042742076</v>
      </c>
      <c r="G105" s="82" cm="1">
        <f t="array" aca="1" ref="G105" ca="1">IF(ISNUMBER(_xll.VoseSimPercentile(ProgNPV_4,$B105)),_xll.VoseSimPercentile(ProgNPV_4,$B105),NA())</f>
        <v>44.244473651892946</v>
      </c>
    </row>
    <row r="106" spans="2:7" hidden="1" outlineLevel="1" x14ac:dyDescent="0.45">
      <c r="B106" s="81">
        <v>0.63</v>
      </c>
      <c r="C106" s="81">
        <f t="shared" si="0"/>
        <v>0.37</v>
      </c>
      <c r="D106" s="82" cm="1">
        <f t="array" aca="1" ref="D106" ca="1">IF(ISNUMBER(_xll.VoseSimPercentile(ProgNPV_1,$B106)),_xll.VoseSimPercentile(ProgNPV_1,$B106),NA())</f>
        <v>61.936951805552248</v>
      </c>
      <c r="E106" s="82" cm="1">
        <f t="array" aca="1" ref="E106" ca="1">IF(ISNUMBER(_xll.VoseSimPercentile(ProgNPV_2,$B106)),_xll.VoseSimPercentile(ProgNPV_2,$B106),NA())</f>
        <v>70.602460836645577</v>
      </c>
      <c r="F106" s="82" cm="1">
        <f t="array" aca="1" ref="F106" ca="1">IF(ISNUMBER(_xll.VoseSimPercentile(ProgNPV_3,$B106)),_xll.VoseSimPercentile(ProgNPV_3,$B106),NA())</f>
        <v>-8.3374566545227964</v>
      </c>
      <c r="G106" s="82" cm="1">
        <f t="array" aca="1" ref="G106" ca="1">IF(ISNUMBER(_xll.VoseSimPercentile(ProgNPV_4,$B106)),_xll.VoseSimPercentile(ProgNPV_4,$B106),NA())</f>
        <v>64.092758802886379</v>
      </c>
    </row>
    <row r="107" spans="2:7" hidden="1" outlineLevel="1" x14ac:dyDescent="0.45">
      <c r="B107" s="81">
        <v>0.65</v>
      </c>
      <c r="C107" s="81">
        <f t="shared" ref="C107:C138" si="1">1-B107</f>
        <v>0.35</v>
      </c>
      <c r="D107" s="82" cm="1">
        <f t="array" aca="1" ref="D107" ca="1">IF(ISNUMBER(_xll.VoseSimPercentile(ProgNPV_1,$B107)),_xll.VoseSimPercentile(ProgNPV_1,$B107),NA())</f>
        <v>72.633417999056789</v>
      </c>
      <c r="E107" s="82" cm="1">
        <f t="array" aca="1" ref="E107" ca="1">IF(ISNUMBER(_xll.VoseSimPercentile(ProgNPV_2,$B107)),_xll.VoseSimPercentile(ProgNPV_2,$B107),NA())</f>
        <v>87.807709500875063</v>
      </c>
      <c r="F107" s="82" cm="1">
        <f t="array" aca="1" ref="F107" ca="1">IF(ISNUMBER(_xll.VoseSimPercentile(ProgNPV_3,$B107)),_xll.VoseSimPercentile(ProgNPV_3,$B107),NA())</f>
        <v>11.524175445847348</v>
      </c>
      <c r="G107" s="82" cm="1">
        <f t="array" aca="1" ref="G107" ca="1">IF(ISNUMBER(_xll.VoseSimPercentile(ProgNPV_4,$B107)),_xll.VoseSimPercentile(ProgNPV_4,$B107),NA())</f>
        <v>84.217915449208704</v>
      </c>
    </row>
    <row r="108" spans="2:7" hidden="1" outlineLevel="1" x14ac:dyDescent="0.45">
      <c r="B108" s="81">
        <v>0.67</v>
      </c>
      <c r="C108" s="81">
        <f t="shared" si="1"/>
        <v>0.32999999999999996</v>
      </c>
      <c r="D108" s="82" cm="1">
        <f t="array" aca="1" ref="D108" ca="1">IF(ISNUMBER(_xll.VoseSimPercentile(ProgNPV_1,$B108)),_xll.VoseSimPercentile(ProgNPV_1,$B108),NA())</f>
        <v>84.313301170142395</v>
      </c>
      <c r="E108" s="82" cm="1">
        <f t="array" aca="1" ref="E108" ca="1">IF(ISNUMBER(_xll.VoseSimPercentile(ProgNPV_2,$B108)),_xll.VoseSimPercentile(ProgNPV_2,$B108),NA())</f>
        <v>106.12497690112562</v>
      </c>
      <c r="F108" s="82" cm="1">
        <f t="array" aca="1" ref="F108" ca="1">IF(ISNUMBER(_xll.VoseSimPercentile(ProgNPV_3,$B108)),_xll.VoseSimPercentile(ProgNPV_3,$B108),NA())</f>
        <v>32.841888267770571</v>
      </c>
      <c r="G108" s="82" cm="1">
        <f t="array" aca="1" ref="G108" ca="1">IF(ISNUMBER(_xll.VoseSimPercentile(ProgNPV_4,$B108)),_xll.VoseSimPercentile(ProgNPV_4,$B108),NA())</f>
        <v>104.79086659503005</v>
      </c>
    </row>
    <row r="109" spans="2:7" hidden="1" outlineLevel="1" x14ac:dyDescent="0.45">
      <c r="B109" s="81">
        <v>0.69</v>
      </c>
      <c r="C109" s="81">
        <f t="shared" si="1"/>
        <v>0.31000000000000005</v>
      </c>
      <c r="D109" s="82" cm="1">
        <f t="array" aca="1" ref="D109" ca="1">IF(ISNUMBER(_xll.VoseSimPercentile(ProgNPV_1,$B109)),_xll.VoseSimPercentile(ProgNPV_1,$B109),NA())</f>
        <v>96.684725611491757</v>
      </c>
      <c r="E109" s="82" cm="1">
        <f t="array" aca="1" ref="E109" ca="1">IF(ISNUMBER(_xll.VoseSimPercentile(ProgNPV_2,$B109)),_xll.VoseSimPercentile(ProgNPV_2,$B109),NA())</f>
        <v>125.39151980529027</v>
      </c>
      <c r="F109" s="82" cm="1">
        <f t="array" aca="1" ref="F109" ca="1">IF(ISNUMBER(_xll.VoseSimPercentile(ProgNPV_3,$B109)),_xll.VoseSimPercentile(ProgNPV_3,$B109),NA())</f>
        <v>57.196035028585271</v>
      </c>
      <c r="G109" s="82" cm="1">
        <f t="array" aca="1" ref="G109" ca="1">IF(ISNUMBER(_xll.VoseSimPercentile(ProgNPV_4,$B109)),_xll.VoseSimPercentile(ProgNPV_4,$B109),NA())</f>
        <v>129.47890271792224</v>
      </c>
    </row>
    <row r="110" spans="2:7" hidden="1" outlineLevel="1" x14ac:dyDescent="0.45">
      <c r="B110" s="81">
        <v>0.71</v>
      </c>
      <c r="C110" s="81">
        <f t="shared" si="1"/>
        <v>0.29000000000000004</v>
      </c>
      <c r="D110" s="82" cm="1">
        <f t="array" aca="1" ref="D110" ca="1">IF(ISNUMBER(_xll.VoseSimPercentile(ProgNPV_1,$B110)),_xll.VoseSimPercentile(ProgNPV_1,$B110),NA())</f>
        <v>109.76290639622177</v>
      </c>
      <c r="E110" s="82" cm="1">
        <f t="array" aca="1" ref="E110" ca="1">IF(ISNUMBER(_xll.VoseSimPercentile(ProgNPV_2,$B110)),_xll.VoseSimPercentile(ProgNPV_2,$B110),NA())</f>
        <v>147.48079002786653</v>
      </c>
      <c r="F110" s="82" cm="1">
        <f t="array" aca="1" ref="F110" ca="1">IF(ISNUMBER(_xll.VoseSimPercentile(ProgNPV_3,$B110)),_xll.VoseSimPercentile(ProgNPV_3,$B110),NA())</f>
        <v>87.590524987898107</v>
      </c>
      <c r="G110" s="82" cm="1">
        <f t="array" aca="1" ref="G110" ca="1">IF(ISNUMBER(_xll.VoseSimPercentile(ProgNPV_4,$B110)),_xll.VoseSimPercentile(ProgNPV_4,$B110),NA())</f>
        <v>154.0962407816547</v>
      </c>
    </row>
    <row r="111" spans="2:7" hidden="1" outlineLevel="1" x14ac:dyDescent="0.45">
      <c r="B111" s="81">
        <v>0.73</v>
      </c>
      <c r="C111" s="81">
        <f t="shared" si="1"/>
        <v>0.27</v>
      </c>
      <c r="D111" s="82" cm="1">
        <f t="array" aca="1" ref="D111" ca="1">IF(ISNUMBER(_xll.VoseSimPercentile(ProgNPV_1,$B111)),_xll.VoseSimPercentile(ProgNPV_1,$B111),NA())</f>
        <v>123.10493906274058</v>
      </c>
      <c r="E111" s="82" cm="1">
        <f t="array" aca="1" ref="E111" ca="1">IF(ISNUMBER(_xll.VoseSimPercentile(ProgNPV_2,$B111)),_xll.VoseSimPercentile(ProgNPV_2,$B111),NA())</f>
        <v>168.73193593653167</v>
      </c>
      <c r="F111" s="82" cm="1">
        <f t="array" aca="1" ref="F111" ca="1">IF(ISNUMBER(_xll.VoseSimPercentile(ProgNPV_3,$B111)),_xll.VoseSimPercentile(ProgNPV_3,$B111),NA())</f>
        <v>119.48901248186999</v>
      </c>
      <c r="G111" s="82" cm="1">
        <f t="array" aca="1" ref="G111" ca="1">IF(ISNUMBER(_xll.VoseSimPercentile(ProgNPV_4,$B111)),_xll.VoseSimPercentile(ProgNPV_4,$B111),NA())</f>
        <v>177.40164218251053</v>
      </c>
    </row>
    <row r="112" spans="2:7" hidden="1" outlineLevel="1" x14ac:dyDescent="0.45">
      <c r="B112" s="81">
        <v>0.75</v>
      </c>
      <c r="C112" s="81">
        <f t="shared" si="1"/>
        <v>0.25</v>
      </c>
      <c r="D112" s="82" cm="1">
        <f t="array" aca="1" ref="D112" ca="1">IF(ISNUMBER(_xll.VoseSimPercentile(ProgNPV_1,$B112)),_xll.VoseSimPercentile(ProgNPV_1,$B112),NA())</f>
        <v>139.43448982512882</v>
      </c>
      <c r="E112" s="82" cm="1">
        <f t="array" aca="1" ref="E112" ca="1">IF(ISNUMBER(_xll.VoseSimPercentile(ProgNPV_2,$B112)),_xll.VoseSimPercentile(ProgNPV_2,$B112),NA())</f>
        <v>191.01376728951936</v>
      </c>
      <c r="F112" s="82" cm="1">
        <f t="array" aca="1" ref="F112" ca="1">IF(ISNUMBER(_xll.VoseSimPercentile(ProgNPV_3,$B112)),_xll.VoseSimPercentile(ProgNPV_3,$B112),NA())</f>
        <v>156.15705897343904</v>
      </c>
      <c r="G112" s="82" cm="1">
        <f t="array" aca="1" ref="G112" ca="1">IF(ISNUMBER(_xll.VoseSimPercentile(ProgNPV_4,$B112)),_xll.VoseSimPercentile(ProgNPV_4,$B112),NA())</f>
        <v>203.73619329887498</v>
      </c>
    </row>
    <row r="113" spans="2:7" hidden="1" outlineLevel="1" x14ac:dyDescent="0.45">
      <c r="B113" s="81">
        <v>0.77</v>
      </c>
      <c r="C113" s="81">
        <f t="shared" si="1"/>
        <v>0.22999999999999998</v>
      </c>
      <c r="D113" s="82" cm="1">
        <f t="array" aca="1" ref="D113" ca="1">IF(ISNUMBER(_xll.VoseSimPercentile(ProgNPV_1,$B113)),_xll.VoseSimPercentile(ProgNPV_1,$B113),NA())</f>
        <v>153.4070607578941</v>
      </c>
      <c r="E113" s="82" cm="1">
        <f t="array" aca="1" ref="E113" ca="1">IF(ISNUMBER(_xll.VoseSimPercentile(ProgNPV_2,$B113)),_xll.VoseSimPercentile(ProgNPV_2,$B113),NA())</f>
        <v>218.64925394723289</v>
      </c>
      <c r="F113" s="82" cm="1">
        <f t="array" aca="1" ref="F113" ca="1">IF(ISNUMBER(_xll.VoseSimPercentile(ProgNPV_3,$B113)),_xll.VoseSimPercentile(ProgNPV_3,$B113),NA())</f>
        <v>198.29266829697059</v>
      </c>
      <c r="G113" s="82" cm="1">
        <f t="array" aca="1" ref="G113" ca="1">IF(ISNUMBER(_xll.VoseSimPercentile(ProgNPV_4,$B113)),_xll.VoseSimPercentile(ProgNPV_4,$B113),NA())</f>
        <v>228.31641895039081</v>
      </c>
    </row>
    <row r="114" spans="2:7" hidden="1" outlineLevel="1" x14ac:dyDescent="0.45">
      <c r="B114" s="81">
        <v>0.79</v>
      </c>
      <c r="C114" s="81">
        <f t="shared" si="1"/>
        <v>0.20999999999999996</v>
      </c>
      <c r="D114" s="82" cm="1">
        <f t="array" aca="1" ref="D114" ca="1">IF(ISNUMBER(_xll.VoseSimPercentile(ProgNPV_1,$B114)),_xll.VoseSimPercentile(ProgNPV_1,$B114),NA())</f>
        <v>170.05134489852071</v>
      </c>
      <c r="E114" s="82" cm="1">
        <f t="array" aca="1" ref="E114" ca="1">IF(ISNUMBER(_xll.VoseSimPercentile(ProgNPV_2,$B114)),_xll.VoseSimPercentile(ProgNPV_2,$B114),NA())</f>
        <v>245.08670177949975</v>
      </c>
      <c r="F114" s="82" cm="1">
        <f t="array" aca="1" ref="F114" ca="1">IF(ISNUMBER(_xll.VoseSimPercentile(ProgNPV_3,$B114)),_xll.VoseSimPercentile(ProgNPV_3,$B114),NA())</f>
        <v>253.87588807127764</v>
      </c>
      <c r="G114" s="82" cm="1">
        <f t="array" aca="1" ref="G114" ca="1">IF(ISNUMBER(_xll.VoseSimPercentile(ProgNPV_4,$B114)),_xll.VoseSimPercentile(ProgNPV_4,$B114),NA())</f>
        <v>260.91086321543298</v>
      </c>
    </row>
    <row r="115" spans="2:7" hidden="1" outlineLevel="1" x14ac:dyDescent="0.45">
      <c r="B115" s="81">
        <v>0.81</v>
      </c>
      <c r="C115" s="81">
        <f t="shared" si="1"/>
        <v>0.18999999999999995</v>
      </c>
      <c r="D115" s="82" cm="1">
        <f t="array" aca="1" ref="D115" ca="1">IF(ISNUMBER(_xll.VoseSimPercentile(ProgNPV_1,$B115)),_xll.VoseSimPercentile(ProgNPV_1,$B115),NA())</f>
        <v>188.4280856451808</v>
      </c>
      <c r="E115" s="82" cm="1">
        <f t="array" aca="1" ref="E115" ca="1">IF(ISNUMBER(_xll.VoseSimPercentile(ProgNPV_2,$B115)),_xll.VoseSimPercentile(ProgNPV_2,$B115),NA())</f>
        <v>280.96168759002069</v>
      </c>
      <c r="F115" s="82" cm="1">
        <f t="array" aca="1" ref="F115" ca="1">IF(ISNUMBER(_xll.VoseSimPercentile(ProgNPV_3,$B115)),_xll.VoseSimPercentile(ProgNPV_3,$B115),NA())</f>
        <v>309.50412528767401</v>
      </c>
      <c r="G115" s="82" cm="1">
        <f t="array" aca="1" ref="G115" ca="1">IF(ISNUMBER(_xll.VoseSimPercentile(ProgNPV_4,$B115)),_xll.VoseSimPercentile(ProgNPV_4,$B115),NA())</f>
        <v>293.23384968429963</v>
      </c>
    </row>
    <row r="116" spans="2:7" hidden="1" outlineLevel="1" x14ac:dyDescent="0.45">
      <c r="B116" s="81">
        <v>0.83</v>
      </c>
      <c r="C116" s="81">
        <f t="shared" si="1"/>
        <v>0.17000000000000004</v>
      </c>
      <c r="D116" s="82" cm="1">
        <f t="array" aca="1" ref="D116" ca="1">IF(ISNUMBER(_xll.VoseSimPercentile(ProgNPV_1,$B116)),_xll.VoseSimPercentile(ProgNPV_1,$B116),NA())</f>
        <v>208.01517732171391</v>
      </c>
      <c r="E116" s="82" cm="1">
        <f t="array" aca="1" ref="E116" ca="1">IF(ISNUMBER(_xll.VoseSimPercentile(ProgNPV_2,$B116)),_xll.VoseSimPercentile(ProgNPV_2,$B116),NA())</f>
        <v>314.58271367427955</v>
      </c>
      <c r="F116" s="82" cm="1">
        <f t="array" aca="1" ref="F116" ca="1">IF(ISNUMBER(_xll.VoseSimPercentile(ProgNPV_3,$B116)),_xll.VoseSimPercentile(ProgNPV_3,$B116),NA())</f>
        <v>369.42124872917543</v>
      </c>
      <c r="G116" s="82" cm="1">
        <f t="array" aca="1" ref="G116" ca="1">IF(ISNUMBER(_xll.VoseSimPercentile(ProgNPV_4,$B116)),_xll.VoseSimPercentile(ProgNPV_4,$B116),NA())</f>
        <v>329.62969990817504</v>
      </c>
    </row>
    <row r="117" spans="2:7" hidden="1" outlineLevel="1" x14ac:dyDescent="0.45">
      <c r="B117" s="81">
        <v>0.85</v>
      </c>
      <c r="C117" s="81">
        <f t="shared" si="1"/>
        <v>0.15000000000000002</v>
      </c>
      <c r="D117" s="82" cm="1">
        <f t="array" aca="1" ref="D117" ca="1">IF(ISNUMBER(_xll.VoseSimPercentile(ProgNPV_1,$B117)),_xll.VoseSimPercentile(ProgNPV_1,$B117),NA())</f>
        <v>228.05329355212575</v>
      </c>
      <c r="E117" s="82" cm="1">
        <f t="array" aca="1" ref="E117" ca="1">IF(ISNUMBER(_xll.VoseSimPercentile(ProgNPV_2,$B117)),_xll.VoseSimPercentile(ProgNPV_2,$B117),NA())</f>
        <v>347.59478402436059</v>
      </c>
      <c r="F117" s="82" cm="1">
        <f t="array" aca="1" ref="F117" ca="1">IF(ISNUMBER(_xll.VoseSimPercentile(ProgNPV_3,$B117)),_xll.VoseSimPercentile(ProgNPV_3,$B117),NA())</f>
        <v>451.30335244786551</v>
      </c>
      <c r="G117" s="82" cm="1">
        <f t="array" aca="1" ref="G117" ca="1">IF(ISNUMBER(_xll.VoseSimPercentile(ProgNPV_4,$B117)),_xll.VoseSimPercentile(ProgNPV_4,$B117),NA())</f>
        <v>372.07821898602299</v>
      </c>
    </row>
    <row r="118" spans="2:7" hidden="1" outlineLevel="1" x14ac:dyDescent="0.45">
      <c r="B118" s="81">
        <v>0.87</v>
      </c>
      <c r="C118" s="81">
        <f t="shared" si="1"/>
        <v>0.13</v>
      </c>
      <c r="D118" s="82" cm="1">
        <f t="array" aca="1" ref="D118" ca="1">IF(ISNUMBER(_xll.VoseSimPercentile(ProgNPV_1,$B118)),_xll.VoseSimPercentile(ProgNPV_1,$B118),NA())</f>
        <v>251.57317231140394</v>
      </c>
      <c r="E118" s="82" cm="1">
        <f t="array" aca="1" ref="E118" ca="1">IF(ISNUMBER(_xll.VoseSimPercentile(ProgNPV_2,$B118)),_xll.VoseSimPercentile(ProgNPV_2,$B118),NA())</f>
        <v>388.8906382497035</v>
      </c>
      <c r="F118" s="82" cm="1">
        <f t="array" aca="1" ref="F118" ca="1">IF(ISNUMBER(_xll.VoseSimPercentile(ProgNPV_3,$B118)),_xll.VoseSimPercentile(ProgNPV_3,$B118),NA())</f>
        <v>534.94276423050474</v>
      </c>
      <c r="G118" s="82" cm="1">
        <f t="array" aca="1" ref="G118" ca="1">IF(ISNUMBER(_xll.VoseSimPercentile(ProgNPV_4,$B118)),_xll.VoseSimPercentile(ProgNPV_4,$B118),NA())</f>
        <v>418.25878263077908</v>
      </c>
    </row>
    <row r="119" spans="2:7" hidden="1" outlineLevel="1" x14ac:dyDescent="0.45">
      <c r="B119" s="81">
        <v>0.89</v>
      </c>
      <c r="C119" s="81">
        <f t="shared" si="1"/>
        <v>0.10999999999999999</v>
      </c>
      <c r="D119" s="82" cm="1">
        <f t="array" aca="1" ref="D119" ca="1">IF(ISNUMBER(_xll.VoseSimPercentile(ProgNPV_1,$B119)),_xll.VoseSimPercentile(ProgNPV_1,$B119),NA())</f>
        <v>277.42924033317195</v>
      </c>
      <c r="E119" s="82" cm="1">
        <f t="array" aca="1" ref="E119" ca="1">IF(ISNUMBER(_xll.VoseSimPercentile(ProgNPV_2,$B119)),_xll.VoseSimPercentile(ProgNPV_2,$B119),NA())</f>
        <v>435.51726621219132</v>
      </c>
      <c r="F119" s="82" cm="1">
        <f t="array" aca="1" ref="F119" ca="1">IF(ISNUMBER(_xll.VoseSimPercentile(ProgNPV_3,$B119)),_xll.VoseSimPercentile(ProgNPV_3,$B119),NA())</f>
        <v>630.60392757210911</v>
      </c>
      <c r="G119" s="82" cm="1">
        <f t="array" aca="1" ref="G119" ca="1">IF(ISNUMBER(_xll.VoseSimPercentile(ProgNPV_4,$B119)),_xll.VoseSimPercentile(ProgNPV_4,$B119),NA())</f>
        <v>480.58515373127784</v>
      </c>
    </row>
    <row r="120" spans="2:7" hidden="1" outlineLevel="1" x14ac:dyDescent="0.45">
      <c r="B120" s="81">
        <v>0.91</v>
      </c>
      <c r="C120" s="81">
        <f t="shared" si="1"/>
        <v>8.9999999999999969E-2</v>
      </c>
      <c r="D120" s="82" cm="1">
        <f t="array" aca="1" ref="D120" ca="1">IF(ISNUMBER(_xll.VoseSimPercentile(ProgNPV_1,$B120)),_xll.VoseSimPercentile(ProgNPV_1,$B120),NA())</f>
        <v>307.62866132447448</v>
      </c>
      <c r="E120" s="82" cm="1">
        <f t="array" aca="1" ref="E120" ca="1">IF(ISNUMBER(_xll.VoseSimPercentile(ProgNPV_2,$B120)),_xll.VoseSimPercentile(ProgNPV_2,$B120),NA())</f>
        <v>495.64045367224867</v>
      </c>
      <c r="F120" s="82" cm="1">
        <f t="array" aca="1" ref="F120" ca="1">IF(ISNUMBER(_xll.VoseSimPercentile(ProgNPV_3,$B120)),_xll.VoseSimPercentile(ProgNPV_3,$B120),NA())</f>
        <v>734.1802322337561</v>
      </c>
      <c r="G120" s="82" cm="1">
        <f t="array" aca="1" ref="G120" ca="1">IF(ISNUMBER(_xll.VoseSimPercentile(ProgNPV_4,$B120)),_xll.VoseSimPercentile(ProgNPV_4,$B120),NA())</f>
        <v>551.16094836077832</v>
      </c>
    </row>
    <row r="121" spans="2:7" hidden="1" outlineLevel="1" x14ac:dyDescent="0.45">
      <c r="B121" s="81">
        <v>0.93</v>
      </c>
      <c r="C121" s="81">
        <f t="shared" si="1"/>
        <v>6.9999999999999951E-2</v>
      </c>
      <c r="D121" s="82" cm="1">
        <f t="array" aca="1" ref="D121" ca="1">IF(ISNUMBER(_xll.VoseSimPercentile(ProgNPV_1,$B121)),_xll.VoseSimPercentile(ProgNPV_1,$B121),NA())</f>
        <v>346.41436875089124</v>
      </c>
      <c r="E121" s="82" cm="1">
        <f t="array" aca="1" ref="E121" ca="1">IF(ISNUMBER(_xll.VoseSimPercentile(ProgNPV_2,$B121)),_xll.VoseSimPercentile(ProgNPV_2,$B121),NA())</f>
        <v>567.48256201558456</v>
      </c>
      <c r="F121" s="82" cm="1">
        <f t="array" aca="1" ref="F121" ca="1">IF(ISNUMBER(_xll.VoseSimPercentile(ProgNPV_3,$B121)),_xll.VoseSimPercentile(ProgNPV_3,$B121),NA())</f>
        <v>848.72188394552961</v>
      </c>
      <c r="G121" s="82" cm="1">
        <f t="array" aca="1" ref="G121" ca="1">IF(ISNUMBER(_xll.VoseSimPercentile(ProgNPV_4,$B121)),_xll.VoseSimPercentile(ProgNPV_4,$B121),NA())</f>
        <v>639.26091011482504</v>
      </c>
    </row>
    <row r="122" spans="2:7" hidden="1" outlineLevel="1" x14ac:dyDescent="0.45">
      <c r="B122" s="81">
        <v>0.95</v>
      </c>
      <c r="C122" s="81">
        <f t="shared" si="1"/>
        <v>5.0000000000000044E-2</v>
      </c>
      <c r="D122" s="82" cm="1">
        <f t="array" aca="1" ref="D122" ca="1">IF(ISNUMBER(_xll.VoseSimPercentile(ProgNPV_1,$B122)),_xll.VoseSimPercentile(ProgNPV_1,$B122),NA())</f>
        <v>400.02474655948981</v>
      </c>
      <c r="E122" s="82" cm="1">
        <f t="array" aca="1" ref="E122" ca="1">IF(ISNUMBER(_xll.VoseSimPercentile(ProgNPV_2,$B122)),_xll.VoseSimPercentile(ProgNPV_2,$B122),NA())</f>
        <v>672.58982369176169</v>
      </c>
      <c r="F122" s="82" cm="1">
        <f t="array" aca="1" ref="F122" ca="1">IF(ISNUMBER(_xll.VoseSimPercentile(ProgNPV_3,$B122)),_xll.VoseSimPercentile(ProgNPV_3,$B122),NA())</f>
        <v>1012.766336618007</v>
      </c>
      <c r="G122" s="82" cm="1">
        <f t="array" aca="1" ref="G122" ca="1">IF(ISNUMBER(_xll.VoseSimPercentile(ProgNPV_4,$B122)),_xll.VoseSimPercentile(ProgNPV_4,$B122),NA())</f>
        <v>756.65668725820319</v>
      </c>
    </row>
    <row r="123" spans="2:7" hidden="1" outlineLevel="1" x14ac:dyDescent="0.45">
      <c r="B123" s="81">
        <v>0.97</v>
      </c>
      <c r="C123" s="81">
        <f t="shared" si="1"/>
        <v>3.0000000000000027E-2</v>
      </c>
      <c r="D123" s="82" cm="1">
        <f t="array" aca="1" ref="D123" ca="1">IF(ISNUMBER(_xll.VoseSimPercentile(ProgNPV_1,$B123)),_xll.VoseSimPercentile(ProgNPV_1,$B123),NA())</f>
        <v>468.03273346266622</v>
      </c>
      <c r="E123" s="82" cm="1">
        <f t="array" aca="1" ref="E123" ca="1">IF(ISNUMBER(_xll.VoseSimPercentile(ProgNPV_2,$B123)),_xll.VoseSimPercentile(ProgNPV_2,$B123),NA())</f>
        <v>823.72309495467505</v>
      </c>
      <c r="F123" s="82" cm="1">
        <f t="array" aca="1" ref="F123" ca="1">IF(ISNUMBER(_xll.VoseSimPercentile(ProgNPV_3,$B123)),_xll.VoseSimPercentile(ProgNPV_3,$B123),NA())</f>
        <v>1236.6131366640511</v>
      </c>
      <c r="G123" s="82" cm="1">
        <f t="array" aca="1" ref="G123" ca="1">IF(ISNUMBER(_xll.VoseSimPercentile(ProgNPV_4,$B123)),_xll.VoseSimPercentile(ProgNPV_4,$B123),NA())</f>
        <v>945.39773801194724</v>
      </c>
    </row>
    <row r="124" spans="2:7" hidden="1" outlineLevel="1" x14ac:dyDescent="0.45">
      <c r="B124" s="81">
        <v>0.99</v>
      </c>
      <c r="C124" s="81">
        <f t="shared" si="1"/>
        <v>1.0000000000000009E-2</v>
      </c>
      <c r="D124" s="82" cm="1">
        <f t="array" aca="1" ref="D124" ca="1">IF(ISNUMBER(_xll.VoseSimPercentile(ProgNPV_1,$B124)),_xll.VoseSimPercentile(ProgNPV_1,$B124),NA())</f>
        <v>626.9536553819529</v>
      </c>
      <c r="E124" s="82" cm="1">
        <f t="array" aca="1" ref="E124" ca="1">IF(ISNUMBER(_xll.VoseSimPercentile(ProgNPV_2,$B124)),_xll.VoseSimPercentile(ProgNPV_2,$B124),NA())</f>
        <v>1125.3720557131608</v>
      </c>
      <c r="F124" s="82" cm="1">
        <f t="array" aca="1" ref="F124" ca="1">IF(ISNUMBER(_xll.VoseSimPercentile(ProgNPV_3,$B124)),_xll.VoseSimPercentile(ProgNPV_3,$B124),NA())</f>
        <v>1667.7906819989071</v>
      </c>
      <c r="G124" s="82" cm="1">
        <f t="array" aca="1" ref="G124" ca="1">IF(ISNUMBER(_xll.VoseSimPercentile(ProgNPV_4,$B124)),_xll.VoseSimPercentile(ProgNPV_4,$B124),NA())</f>
        <v>1388.1975918649375</v>
      </c>
    </row>
    <row r="125" spans="2:7" hidden="1" outlineLevel="1" x14ac:dyDescent="0.45"/>
    <row r="126" spans="2:7" ht="18" hidden="1" customHeight="1" outlineLevel="1" x14ac:dyDescent="0.45">
      <c r="B126" s="23" t="s">
        <v>320</v>
      </c>
      <c r="C126" s="24" t="s">
        <v>321</v>
      </c>
      <c r="D126" s="24" t="s">
        <v>322</v>
      </c>
      <c r="E126" s="5"/>
      <c r="F126" s="5"/>
      <c r="G126" s="5"/>
    </row>
    <row r="127" spans="2:7" hidden="1" outlineLevel="1" x14ac:dyDescent="0.45">
      <c r="B127" s="83" t="s">
        <v>293</v>
      </c>
      <c r="C127" s="84">
        <v>1.5</v>
      </c>
      <c r="D127" s="85" cm="1">
        <f t="array" aca="1" ref="D127" ca="1">_xll.VoseSimProbability(DiscGroup_Detail,C127)</f>
        <v>0.16958304169583041</v>
      </c>
    </row>
    <row r="128" spans="2:7" hidden="1" outlineLevel="1" x14ac:dyDescent="0.45">
      <c r="B128" s="83" t="s">
        <v>294</v>
      </c>
      <c r="C128" s="84">
        <v>2.5</v>
      </c>
      <c r="D128" s="85" cm="1">
        <f t="array" aca="1" ref="D128" ca="1">_xll.VoseSimProbability(DiscGroup_Detail,C128)</f>
        <v>0.5156484351564844</v>
      </c>
    </row>
    <row r="129" spans="2:7" hidden="1" outlineLevel="1" x14ac:dyDescent="0.45">
      <c r="B129" s="83" t="s">
        <v>295</v>
      </c>
      <c r="C129" s="84">
        <v>3.5</v>
      </c>
      <c r="D129" s="85" cm="1">
        <f t="array" aca="1" ref="D129" ca="1">_xll.VoseSimProbability(DiscGroup_Detail,C129)</f>
        <v>0.81901809819018101</v>
      </c>
    </row>
    <row r="130" spans="2:7" hidden="1" outlineLevel="1" x14ac:dyDescent="0.45">
      <c r="B130" s="83" t="s">
        <v>296</v>
      </c>
      <c r="C130" s="84">
        <v>4.5</v>
      </c>
      <c r="D130" s="85" cm="1">
        <f t="array" aca="1" ref="D130" ca="1">_xll.VoseSimProbability(DiscGroup_Detail,C130)</f>
        <v>0.9599040095990401</v>
      </c>
    </row>
    <row r="131" spans="2:7" hidden="1" outlineLevel="1" x14ac:dyDescent="0.45"/>
    <row r="132" spans="2:7" hidden="1" outlineLevel="1" x14ac:dyDescent="0.45"/>
    <row r="133" spans="2:7" hidden="1" outlineLevel="1" x14ac:dyDescent="0.45">
      <c r="B133" s="86" t="s">
        <v>323</v>
      </c>
      <c r="D133" s="87" cm="1">
        <f t="array" aca="1" ref="D133" ca="1">_xll.VoseSimMean(NPV_Detail)</f>
        <v>58.355976709553353</v>
      </c>
    </row>
    <row r="134" spans="2:7" ht="18" hidden="1" customHeight="1" outlineLevel="1" x14ac:dyDescent="0.45">
      <c r="B134" s="23" t="s">
        <v>324</v>
      </c>
      <c r="C134" s="5"/>
      <c r="D134" s="5"/>
      <c r="E134" s="5"/>
      <c r="F134" s="24" t="s">
        <v>325</v>
      </c>
      <c r="G134" s="24" t="s">
        <v>326</v>
      </c>
    </row>
    <row r="135" spans="2:7" hidden="1" outlineLevel="1" x14ac:dyDescent="0.45">
      <c r="B135" s="88" t="str">
        <f t="shared" ref="B135:B147" ca="1" si="2">B49</f>
        <v>Play C works</v>
      </c>
      <c r="F135" s="89">
        <f t="shared" ref="F135:F147" ca="1" si="3">IFERROR(D49-$D$133,NA())</f>
        <v>181.50213054826284</v>
      </c>
      <c r="G135" s="89">
        <f t="shared" ref="G135:G147" ca="1" si="4">IFERROR(C49-$D$133,NA())</f>
        <v>-94.169392155660063</v>
      </c>
    </row>
    <row r="136" spans="2:7" hidden="1" outlineLevel="1" x14ac:dyDescent="0.45">
      <c r="B136" s="88" t="str">
        <f t="shared" ca="1" si="2"/>
        <v>Play B works</v>
      </c>
      <c r="F136" s="89">
        <f t="shared" ca="1" si="3"/>
        <v>64.595760259618601</v>
      </c>
      <c r="G136" s="89">
        <f t="shared" ca="1" si="4"/>
        <v>-123.12804171544332</v>
      </c>
    </row>
    <row r="137" spans="2:7" hidden="1" outlineLevel="1" x14ac:dyDescent="0.45">
      <c r="B137" s="88" t="str">
        <f t="shared" ca="1" si="2"/>
        <v>Ginkgo value if discovered</v>
      </c>
      <c r="F137" s="89">
        <f t="shared" ca="1" si="3"/>
        <v>117.39161909607594</v>
      </c>
      <c r="G137" s="89">
        <f t="shared" ca="1" si="4"/>
        <v>-56.410620143359658</v>
      </c>
    </row>
    <row r="138" spans="2:7" hidden="1" outlineLevel="1" x14ac:dyDescent="0.45">
      <c r="B138" s="88" t="str">
        <f t="shared" ca="1" si="2"/>
        <v>Ginkgo succeeds</v>
      </c>
      <c r="F138" s="89">
        <f t="shared" ca="1" si="3"/>
        <v>76.581045838148611</v>
      </c>
      <c r="G138" s="89">
        <f t="shared" ca="1" si="4"/>
        <v>-94.016071199384925</v>
      </c>
    </row>
    <row r="139" spans="2:7" hidden="1" outlineLevel="1" x14ac:dyDescent="0.45">
      <c r="B139" s="88" t="str">
        <f t="shared" ca="1" si="2"/>
        <v>Fir succeeds</v>
      </c>
      <c r="F139" s="89">
        <f t="shared" ca="1" si="3"/>
        <v>90.377739276561158</v>
      </c>
      <c r="G139" s="89">
        <f t="shared" ca="1" si="4"/>
        <v>-60.126406063257669</v>
      </c>
    </row>
    <row r="140" spans="2:7" hidden="1" outlineLevel="1" x14ac:dyDescent="0.45">
      <c r="B140" s="88" t="str">
        <f t="shared" ca="1" si="2"/>
        <v>Fir value if discovered</v>
      </c>
      <c r="F140" s="89">
        <f t="shared" ca="1" si="3"/>
        <v>90.652414817098474</v>
      </c>
      <c r="G140" s="89">
        <f t="shared" ca="1" si="4"/>
        <v>-40.444790682009341</v>
      </c>
    </row>
    <row r="141" spans="2:7" hidden="1" outlineLevel="1" x14ac:dyDescent="0.45">
      <c r="B141" s="88" t="str">
        <f t="shared" ca="1" si="2"/>
        <v>Dogwood succeeds</v>
      </c>
      <c r="F141" s="89">
        <f t="shared" ca="1" si="3"/>
        <v>61.746586180974383</v>
      </c>
      <c r="G141" s="89">
        <f t="shared" ca="1" si="4"/>
        <v>-61.05887559502834</v>
      </c>
    </row>
    <row r="142" spans="2:7" hidden="1" outlineLevel="1" x14ac:dyDescent="0.45">
      <c r="B142" s="88" t="str">
        <f t="shared" ca="1" si="2"/>
        <v>Cedar succeeds</v>
      </c>
      <c r="F142" s="89">
        <f t="shared" ca="1" si="3"/>
        <v>77.221085517385802</v>
      </c>
      <c r="G142" s="89">
        <f t="shared" ca="1" si="4"/>
        <v>-42.297697205700032</v>
      </c>
    </row>
    <row r="143" spans="2:7" hidden="1" outlineLevel="1" x14ac:dyDescent="0.45">
      <c r="B143" s="88" t="str">
        <f t="shared" ca="1" si="2"/>
        <v>Dogwood value if discovered</v>
      </c>
      <c r="F143" s="89">
        <f t="shared" ca="1" si="3"/>
        <v>80.085528715081892</v>
      </c>
      <c r="G143" s="89">
        <f t="shared" ca="1" si="4"/>
        <v>-32.574433044543611</v>
      </c>
    </row>
    <row r="144" spans="2:7" hidden="1" outlineLevel="1" x14ac:dyDescent="0.45">
      <c r="B144" s="88" t="str">
        <f t="shared" ca="1" si="2"/>
        <v>Alder succeeds</v>
      </c>
      <c r="F144" s="89">
        <f t="shared" ca="1" si="3"/>
        <v>57.320014004671982</v>
      </c>
      <c r="G144" s="89">
        <f t="shared" ca="1" si="4"/>
        <v>-45.662404257404674</v>
      </c>
    </row>
    <row r="145" spans="2:7" hidden="1" outlineLevel="1" x14ac:dyDescent="0.45">
      <c r="B145" s="88" t="str">
        <f t="shared" ca="1" si="2"/>
        <v>Cedar value if discovered</v>
      </c>
      <c r="F145" s="89">
        <f t="shared" ca="1" si="3"/>
        <v>68.50078906683413</v>
      </c>
      <c r="G145" s="89">
        <f t="shared" ca="1" si="4"/>
        <v>-31.243921980840579</v>
      </c>
    </row>
    <row r="146" spans="2:7" hidden="1" outlineLevel="1" x14ac:dyDescent="0.45">
      <c r="B146" s="88" t="str">
        <f t="shared" ca="1" si="2"/>
        <v>Alder value if discovered</v>
      </c>
      <c r="F146" s="89">
        <f t="shared" ca="1" si="3"/>
        <v>44.239582432274595</v>
      </c>
      <c r="G146" s="89">
        <f t="shared" ca="1" si="4"/>
        <v>-26.820858240265011</v>
      </c>
    </row>
    <row r="147" spans="2:7" hidden="1" outlineLevel="1" x14ac:dyDescent="0.45">
      <c r="B147" s="88" t="str">
        <f t="shared" ca="1" si="2"/>
        <v>Fir well cost</v>
      </c>
      <c r="F147" s="89">
        <f t="shared" ca="1" si="3"/>
        <v>23.354668859584983</v>
      </c>
      <c r="G147" s="89">
        <f t="shared" ca="1" si="4"/>
        <v>-23.870832183798782</v>
      </c>
    </row>
  </sheetData>
  <mergeCells count="5">
    <mergeCell ref="B66:G66"/>
    <mergeCell ref="B67:G67"/>
    <mergeCell ref="B65:G65"/>
    <mergeCell ref="B68:G68"/>
    <mergeCell ref="B69:G69"/>
  </mergeCells>
  <conditionalFormatting sqref="B7">
    <cfRule type="expression" dxfId="5" priority="2">
      <formula>LEFT($B$7,1)="✗"</formula>
    </cfRule>
  </conditionalFormatting>
  <conditionalFormatting sqref="B6:G6">
    <cfRule type="expression" dxfId="4" priority="1">
      <formula>LEFT($B$6,1)&lt;&gt;"✔"</formula>
    </cfRule>
  </conditionalFormatting>
  <conditionalFormatting sqref="D75:G124">
    <cfRule type="expression" dxfId="3" priority="5">
      <formula>ISNA(D75)</formula>
    </cfRule>
  </conditionalFormatting>
  <conditionalFormatting sqref="F135:G147">
    <cfRule type="expression" dxfId="2" priority="6">
      <formula>ISNA(F135)</formula>
    </cfRule>
  </conditionalFormatting>
  <conditionalFormatting sqref="G13:G16">
    <cfRule type="expression" dxfId="1" priority="3">
      <formula>G13="Yes"</formula>
    </cfRule>
    <cfRule type="expression" dxfId="0" priority="4">
      <formula>LEFT(G13,2)="No"</formula>
    </cfRule>
  </conditionalFormatting>
  <hyperlinks>
    <hyperlink ref="B4" location="'Programmes'!A1" display="◂  Programmes"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2" manualBreakCount="2">
    <brk id="28" max="16383" man="1"/>
    <brk id="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7D12-263D-45BE-B5B9-79679F0769CC}">
  <dimension ref="A1:B1"/>
  <sheetViews>
    <sheetView workbookViewId="0"/>
  </sheetViews>
  <sheetFormatPr defaultRowHeight="14.25" x14ac:dyDescent="0.45"/>
  <sheetData>
    <row r="1" spans="1:2" x14ac:dyDescent="0.45">
      <c r="A1" s="94" t="s">
        <v>327</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5C850-298D-4BC6-8306-FCE516A9B905}">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A5F6B-6B7F-45B0-9A43-638E11CCEA4A}">
  <dimension ref="B3:B422"/>
  <sheetViews>
    <sheetView workbookViewId="0"/>
  </sheetViews>
  <sheetFormatPr defaultRowHeight="14.25" x14ac:dyDescent="0.45"/>
  <sheetData>
    <row r="3" spans="2:2" x14ac:dyDescent="0.45">
      <c r="B3">
        <v>272</v>
      </c>
    </row>
    <row r="4" spans="2:2" x14ac:dyDescent="0.45">
      <c r="B4">
        <v>580</v>
      </c>
    </row>
    <row r="5" spans="2:2" x14ac:dyDescent="0.45">
      <c r="B5">
        <v>0</v>
      </c>
    </row>
    <row r="6" spans="2:2" x14ac:dyDescent="0.45">
      <c r="B6">
        <v>642</v>
      </c>
    </row>
    <row r="7" spans="2:2" x14ac:dyDescent="0.45">
      <c r="B7">
        <v>0</v>
      </c>
    </row>
    <row r="8" spans="2:2" x14ac:dyDescent="0.45">
      <c r="B8">
        <v>361</v>
      </c>
    </row>
    <row r="9" spans="2:2" x14ac:dyDescent="0.45">
      <c r="B9">
        <v>0</v>
      </c>
    </row>
    <row r="10" spans="2:2" x14ac:dyDescent="0.45">
      <c r="B10">
        <v>132</v>
      </c>
    </row>
    <row r="11" spans="2:2" x14ac:dyDescent="0.45">
      <c r="B11">
        <v>0</v>
      </c>
    </row>
    <row r="12" spans="2:2" x14ac:dyDescent="0.45">
      <c r="B12">
        <v>13</v>
      </c>
    </row>
    <row r="13" spans="2:2" x14ac:dyDescent="0.45">
      <c r="B13">
        <v>332</v>
      </c>
    </row>
    <row r="14" spans="2:2" x14ac:dyDescent="0.45">
      <c r="B14">
        <v>673</v>
      </c>
    </row>
    <row r="15" spans="2:2" x14ac:dyDescent="0.45">
      <c r="B15">
        <v>0</v>
      </c>
    </row>
    <row r="16" spans="2:2" x14ac:dyDescent="0.45">
      <c r="B16">
        <v>622</v>
      </c>
    </row>
    <row r="17" spans="2:2" x14ac:dyDescent="0.45">
      <c r="B17">
        <v>0</v>
      </c>
    </row>
    <row r="18" spans="2:2" x14ac:dyDescent="0.45">
      <c r="B18">
        <v>291</v>
      </c>
    </row>
    <row r="19" spans="2:2" x14ac:dyDescent="0.45">
      <c r="B19">
        <v>0</v>
      </c>
    </row>
    <row r="20" spans="2:2" x14ac:dyDescent="0.45">
      <c r="B20">
        <v>75</v>
      </c>
    </row>
    <row r="21" spans="2:2" x14ac:dyDescent="0.45">
      <c r="B21">
        <v>0</v>
      </c>
    </row>
    <row r="22" spans="2:2" x14ac:dyDescent="0.45">
      <c r="B22">
        <v>7</v>
      </c>
    </row>
    <row r="23" spans="2:2" x14ac:dyDescent="0.45">
      <c r="B23">
        <v>549</v>
      </c>
    </row>
    <row r="24" spans="2:2" x14ac:dyDescent="0.45">
      <c r="B24">
        <v>0</v>
      </c>
    </row>
    <row r="25" spans="2:2" x14ac:dyDescent="0.45">
      <c r="B25">
        <v>835</v>
      </c>
    </row>
    <row r="26" spans="2:2" x14ac:dyDescent="0.45">
      <c r="B26">
        <v>0</v>
      </c>
    </row>
    <row r="27" spans="2:2" x14ac:dyDescent="0.45">
      <c r="B27">
        <v>441</v>
      </c>
    </row>
    <row r="28" spans="2:2" x14ac:dyDescent="0.45">
      <c r="B28">
        <v>0</v>
      </c>
    </row>
    <row r="29" spans="2:2" x14ac:dyDescent="0.45">
      <c r="B29">
        <v>0</v>
      </c>
    </row>
    <row r="30" spans="2:2" x14ac:dyDescent="0.45">
      <c r="B30">
        <v>150</v>
      </c>
    </row>
    <row r="31" spans="2:2" x14ac:dyDescent="0.45">
      <c r="B31">
        <v>0</v>
      </c>
    </row>
    <row r="32" spans="2:2" x14ac:dyDescent="0.45">
      <c r="B32">
        <v>25</v>
      </c>
    </row>
    <row r="33" spans="2:2" x14ac:dyDescent="0.45">
      <c r="B33">
        <v>467</v>
      </c>
    </row>
    <row r="34" spans="2:2" x14ac:dyDescent="0.45">
      <c r="B34">
        <v>644</v>
      </c>
    </row>
    <row r="35" spans="2:2" x14ac:dyDescent="0.45">
      <c r="B35">
        <v>0</v>
      </c>
    </row>
    <row r="36" spans="2:2" x14ac:dyDescent="0.45">
      <c r="B36">
        <v>495</v>
      </c>
    </row>
    <row r="37" spans="2:2" x14ac:dyDescent="0.45">
      <c r="B37">
        <v>0</v>
      </c>
    </row>
    <row r="38" spans="2:2" x14ac:dyDescent="0.45">
      <c r="B38">
        <v>301</v>
      </c>
    </row>
    <row r="39" spans="2:2" x14ac:dyDescent="0.45">
      <c r="B39">
        <v>0</v>
      </c>
    </row>
    <row r="40" spans="2:2" x14ac:dyDescent="0.45">
      <c r="B40">
        <v>88</v>
      </c>
    </row>
    <row r="41" spans="2:2" x14ac:dyDescent="0.45">
      <c r="B41">
        <v>0</v>
      </c>
    </row>
    <row r="42" spans="2:2" x14ac:dyDescent="0.45">
      <c r="B42">
        <v>5</v>
      </c>
    </row>
    <row r="43" spans="2:2" x14ac:dyDescent="0.45">
      <c r="B43">
        <v>518</v>
      </c>
    </row>
    <row r="44" spans="2:2" x14ac:dyDescent="0.45">
      <c r="B44">
        <v>518</v>
      </c>
    </row>
    <row r="45" spans="2:2" x14ac:dyDescent="0.45">
      <c r="B45">
        <v>395</v>
      </c>
    </row>
    <row r="46" spans="2:2" x14ac:dyDescent="0.45">
      <c r="B46">
        <v>251</v>
      </c>
    </row>
    <row r="47" spans="2:2" x14ac:dyDescent="0.45">
      <c r="B47">
        <v>163</v>
      </c>
    </row>
    <row r="48" spans="2:2" x14ac:dyDescent="0.45">
      <c r="B48">
        <v>82</v>
      </c>
    </row>
    <row r="49" spans="2:2" x14ac:dyDescent="0.45">
      <c r="B49">
        <v>40</v>
      </c>
    </row>
    <row r="50" spans="2:2" x14ac:dyDescent="0.45">
      <c r="B50">
        <v>17</v>
      </c>
    </row>
    <row r="51" spans="2:2" x14ac:dyDescent="0.45">
      <c r="B51">
        <v>9</v>
      </c>
    </row>
    <row r="52" spans="2:2" x14ac:dyDescent="0.45">
      <c r="B52">
        <v>7</v>
      </c>
    </row>
    <row r="53" spans="2:2" x14ac:dyDescent="0.45">
      <c r="B53">
        <v>913</v>
      </c>
    </row>
    <row r="54" spans="2:2" x14ac:dyDescent="0.45">
      <c r="B54">
        <v>549</v>
      </c>
    </row>
    <row r="55" spans="2:2" x14ac:dyDescent="0.45">
      <c r="B55">
        <v>275</v>
      </c>
    </row>
    <row r="56" spans="2:2" x14ac:dyDescent="0.45">
      <c r="B56">
        <v>152</v>
      </c>
    </row>
    <row r="57" spans="2:2" x14ac:dyDescent="0.45">
      <c r="B57">
        <v>53</v>
      </c>
    </row>
    <row r="58" spans="2:2" x14ac:dyDescent="0.45">
      <c r="B58">
        <v>32</v>
      </c>
    </row>
    <row r="59" spans="2:2" x14ac:dyDescent="0.45">
      <c r="B59">
        <v>12</v>
      </c>
    </row>
    <row r="60" spans="2:2" x14ac:dyDescent="0.45">
      <c r="B60">
        <v>8</v>
      </c>
    </row>
    <row r="61" spans="2:2" x14ac:dyDescent="0.45">
      <c r="B61">
        <v>2</v>
      </c>
    </row>
    <row r="62" spans="2:2" x14ac:dyDescent="0.45">
      <c r="B62">
        <v>4</v>
      </c>
    </row>
    <row r="63" spans="2:2" x14ac:dyDescent="0.45">
      <c r="B63">
        <v>1399</v>
      </c>
    </row>
    <row r="64" spans="2:2" x14ac:dyDescent="0.45">
      <c r="B64">
        <v>286</v>
      </c>
    </row>
    <row r="65" spans="2:2" x14ac:dyDescent="0.45">
      <c r="B65">
        <v>151</v>
      </c>
    </row>
    <row r="66" spans="2:2" x14ac:dyDescent="0.45">
      <c r="B66">
        <v>86</v>
      </c>
    </row>
    <row r="67" spans="2:2" x14ac:dyDescent="0.45">
      <c r="B67">
        <v>52</v>
      </c>
    </row>
    <row r="68" spans="2:2" x14ac:dyDescent="0.45">
      <c r="B68">
        <v>10</v>
      </c>
    </row>
    <row r="69" spans="2:2" x14ac:dyDescent="0.45">
      <c r="B69">
        <v>12</v>
      </c>
    </row>
    <row r="70" spans="2:2" x14ac:dyDescent="0.45">
      <c r="B70">
        <v>0</v>
      </c>
    </row>
    <row r="71" spans="2:2" x14ac:dyDescent="0.45">
      <c r="B71">
        <v>3</v>
      </c>
    </row>
    <row r="72" spans="2:2" x14ac:dyDescent="0.45">
      <c r="B72">
        <v>1</v>
      </c>
    </row>
    <row r="73" spans="2:2" x14ac:dyDescent="0.45">
      <c r="B73">
        <v>1031</v>
      </c>
    </row>
    <row r="74" spans="2:2" x14ac:dyDescent="0.45">
      <c r="B74">
        <v>472</v>
      </c>
    </row>
    <row r="75" spans="2:2" x14ac:dyDescent="0.45">
      <c r="B75">
        <v>261</v>
      </c>
    </row>
    <row r="76" spans="2:2" x14ac:dyDescent="0.45">
      <c r="B76">
        <v>134</v>
      </c>
    </row>
    <row r="77" spans="2:2" x14ac:dyDescent="0.45">
      <c r="B77">
        <v>50</v>
      </c>
    </row>
    <row r="78" spans="2:2" x14ac:dyDescent="0.45">
      <c r="B78">
        <v>26</v>
      </c>
    </row>
    <row r="79" spans="2:2" x14ac:dyDescent="0.45">
      <c r="B79">
        <v>14</v>
      </c>
    </row>
    <row r="80" spans="2:2" x14ac:dyDescent="0.45">
      <c r="B80">
        <v>5</v>
      </c>
    </row>
    <row r="81" spans="2:2" x14ac:dyDescent="0.45">
      <c r="B81">
        <v>5</v>
      </c>
    </row>
    <row r="82" spans="2:2" x14ac:dyDescent="0.45">
      <c r="B82">
        <v>2</v>
      </c>
    </row>
    <row r="83" spans="2:2" x14ac:dyDescent="0.45">
      <c r="B83">
        <v>1728</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272</v>
      </c>
    </row>
    <row r="93" spans="2:2" x14ac:dyDescent="0.45">
      <c r="B93">
        <v>1668</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332</v>
      </c>
    </row>
    <row r="103" spans="2:2" x14ac:dyDescent="0.45">
      <c r="B103">
        <v>1451</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549</v>
      </c>
    </row>
    <row r="113" spans="2:2" x14ac:dyDescent="0.45">
      <c r="B113">
        <v>1533</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467</v>
      </c>
    </row>
    <row r="123" spans="2:2" x14ac:dyDescent="0.45">
      <c r="B123">
        <v>332</v>
      </c>
    </row>
    <row r="124" spans="2:2" x14ac:dyDescent="0.45">
      <c r="B124">
        <v>673</v>
      </c>
    </row>
    <row r="125" spans="2:2" x14ac:dyDescent="0.45">
      <c r="B125">
        <v>0</v>
      </c>
    </row>
    <row r="126" spans="2:2" x14ac:dyDescent="0.45">
      <c r="B126">
        <v>622</v>
      </c>
    </row>
    <row r="127" spans="2:2" x14ac:dyDescent="0.45">
      <c r="B127">
        <v>0</v>
      </c>
    </row>
    <row r="128" spans="2:2" x14ac:dyDescent="0.45">
      <c r="B128">
        <v>291</v>
      </c>
    </row>
    <row r="129" spans="2:2" x14ac:dyDescent="0.45">
      <c r="B129">
        <v>0</v>
      </c>
    </row>
    <row r="130" spans="2:2" x14ac:dyDescent="0.45">
      <c r="B130">
        <v>75</v>
      </c>
    </row>
    <row r="131" spans="2:2" x14ac:dyDescent="0.45">
      <c r="B131">
        <v>0</v>
      </c>
    </row>
    <row r="132" spans="2:2" x14ac:dyDescent="0.45">
      <c r="B132">
        <v>7</v>
      </c>
    </row>
    <row r="133" spans="2:2" x14ac:dyDescent="0.45">
      <c r="B133">
        <v>332</v>
      </c>
    </row>
    <row r="134" spans="2:2" x14ac:dyDescent="0.45">
      <c r="B134">
        <v>0</v>
      </c>
    </row>
    <row r="135" spans="2:2" x14ac:dyDescent="0.45">
      <c r="B135">
        <v>673</v>
      </c>
    </row>
    <row r="136" spans="2:2" x14ac:dyDescent="0.45">
      <c r="B136">
        <v>0</v>
      </c>
    </row>
    <row r="137" spans="2:2" x14ac:dyDescent="0.45">
      <c r="B137">
        <v>622</v>
      </c>
    </row>
    <row r="138" spans="2:2" x14ac:dyDescent="0.45">
      <c r="B138">
        <v>0</v>
      </c>
    </row>
    <row r="139" spans="2:2" x14ac:dyDescent="0.45">
      <c r="B139">
        <v>0</v>
      </c>
    </row>
    <row r="140" spans="2:2" x14ac:dyDescent="0.45">
      <c r="B140">
        <v>291</v>
      </c>
    </row>
    <row r="141" spans="2:2" x14ac:dyDescent="0.45">
      <c r="B141">
        <v>0</v>
      </c>
    </row>
    <row r="142" spans="2:2" x14ac:dyDescent="0.45">
      <c r="B142">
        <v>82</v>
      </c>
    </row>
    <row r="143" spans="2:2" x14ac:dyDescent="0.45">
      <c r="B143">
        <v>913</v>
      </c>
    </row>
    <row r="144" spans="2:2" x14ac:dyDescent="0.45">
      <c r="B144">
        <v>549</v>
      </c>
    </row>
    <row r="145" spans="2:2" x14ac:dyDescent="0.45">
      <c r="B145">
        <v>275</v>
      </c>
    </row>
    <row r="146" spans="2:2" x14ac:dyDescent="0.45">
      <c r="B146">
        <v>152</v>
      </c>
    </row>
    <row r="147" spans="2:2" x14ac:dyDescent="0.45">
      <c r="B147">
        <v>53</v>
      </c>
    </row>
    <row r="148" spans="2:2" x14ac:dyDescent="0.45">
      <c r="B148">
        <v>32</v>
      </c>
    </row>
    <row r="149" spans="2:2" x14ac:dyDescent="0.45">
      <c r="B149">
        <v>12</v>
      </c>
    </row>
    <row r="150" spans="2:2" x14ac:dyDescent="0.45">
      <c r="B150">
        <v>8</v>
      </c>
    </row>
    <row r="151" spans="2:2" x14ac:dyDescent="0.45">
      <c r="B151">
        <v>2</v>
      </c>
    </row>
    <row r="152" spans="2:2" x14ac:dyDescent="0.45">
      <c r="B152">
        <v>4</v>
      </c>
    </row>
    <row r="153" spans="2:2" x14ac:dyDescent="0.45">
      <c r="B153">
        <v>103</v>
      </c>
    </row>
    <row r="154" spans="2:2" x14ac:dyDescent="0.45">
      <c r="B154">
        <v>0</v>
      </c>
    </row>
    <row r="155" spans="2:2" x14ac:dyDescent="0.45">
      <c r="B155">
        <v>0</v>
      </c>
    </row>
    <row r="156" spans="2:2" x14ac:dyDescent="0.45">
      <c r="B156">
        <v>0</v>
      </c>
    </row>
    <row r="157" spans="2:2" x14ac:dyDescent="0.45">
      <c r="B157">
        <v>0</v>
      </c>
    </row>
    <row r="158" spans="2:2" x14ac:dyDescent="0.45">
      <c r="B158">
        <v>0</v>
      </c>
    </row>
    <row r="159" spans="2:2" x14ac:dyDescent="0.45">
      <c r="B159">
        <v>0</v>
      </c>
    </row>
    <row r="160" spans="2:2" x14ac:dyDescent="0.45">
      <c r="B160">
        <v>0</v>
      </c>
    </row>
    <row r="161" spans="2:2" x14ac:dyDescent="0.45">
      <c r="B161">
        <v>0</v>
      </c>
    </row>
    <row r="162" spans="2:2" x14ac:dyDescent="0.45">
      <c r="B162">
        <v>1897</v>
      </c>
    </row>
    <row r="163" spans="2:2" x14ac:dyDescent="0.45">
      <c r="B163">
        <v>693</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0</v>
      </c>
    </row>
    <row r="171" spans="2:2" x14ac:dyDescent="0.45">
      <c r="B171">
        <v>0</v>
      </c>
    </row>
    <row r="172" spans="2:2" x14ac:dyDescent="0.45">
      <c r="B172">
        <v>1307</v>
      </c>
    </row>
    <row r="173" spans="2:2" x14ac:dyDescent="0.45">
      <c r="B173">
        <v>1317</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683</v>
      </c>
    </row>
    <row r="183" spans="2:2" x14ac:dyDescent="0.45">
      <c r="B183">
        <v>1107</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893</v>
      </c>
    </row>
    <row r="193" spans="2:2" x14ac:dyDescent="0.45">
      <c r="B193">
        <v>70</v>
      </c>
    </row>
    <row r="194" spans="2:2" x14ac:dyDescent="0.45">
      <c r="B194">
        <v>246</v>
      </c>
    </row>
    <row r="195" spans="2:2" x14ac:dyDescent="0.45">
      <c r="B195">
        <v>340</v>
      </c>
    </row>
    <row r="196" spans="2:2" x14ac:dyDescent="0.45">
      <c r="B196">
        <v>350</v>
      </c>
    </row>
    <row r="197" spans="2:2" x14ac:dyDescent="0.45">
      <c r="B197">
        <v>318</v>
      </c>
    </row>
    <row r="198" spans="2:2" x14ac:dyDescent="0.45">
      <c r="B198">
        <v>289</v>
      </c>
    </row>
    <row r="199" spans="2:2" x14ac:dyDescent="0.45">
      <c r="B199">
        <v>196</v>
      </c>
    </row>
    <row r="200" spans="2:2" x14ac:dyDescent="0.45">
      <c r="B200">
        <v>118</v>
      </c>
    </row>
    <row r="201" spans="2:2" x14ac:dyDescent="0.45">
      <c r="B201">
        <v>53</v>
      </c>
    </row>
    <row r="202" spans="2:2" x14ac:dyDescent="0.45">
      <c r="B202">
        <v>20</v>
      </c>
    </row>
    <row r="203" spans="2:2" x14ac:dyDescent="0.45">
      <c r="B203">
        <v>473</v>
      </c>
    </row>
    <row r="204" spans="2:2" x14ac:dyDescent="0.45">
      <c r="B204">
        <v>782</v>
      </c>
    </row>
    <row r="205" spans="2:2" x14ac:dyDescent="0.45">
      <c r="B205">
        <v>415</v>
      </c>
    </row>
    <row r="206" spans="2:2" x14ac:dyDescent="0.45">
      <c r="B206">
        <v>190</v>
      </c>
    </row>
    <row r="207" spans="2:2" x14ac:dyDescent="0.45">
      <c r="B207">
        <v>79</v>
      </c>
    </row>
    <row r="208" spans="2:2" x14ac:dyDescent="0.45">
      <c r="B208">
        <v>38</v>
      </c>
    </row>
    <row r="209" spans="2:2" x14ac:dyDescent="0.45">
      <c r="B209">
        <v>10</v>
      </c>
    </row>
    <row r="210" spans="2:2" x14ac:dyDescent="0.45">
      <c r="B210">
        <v>8</v>
      </c>
    </row>
    <row r="211" spans="2:2" x14ac:dyDescent="0.45">
      <c r="B211">
        <v>3</v>
      </c>
    </row>
    <row r="212" spans="2:2" x14ac:dyDescent="0.45">
      <c r="B212">
        <v>2</v>
      </c>
    </row>
    <row r="213" spans="2:2" x14ac:dyDescent="0.45">
      <c r="B213">
        <v>1204</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796</v>
      </c>
    </row>
    <row r="223" spans="2:2" x14ac:dyDescent="0.45">
      <c r="B223">
        <v>101</v>
      </c>
    </row>
    <row r="224" spans="2:2" x14ac:dyDescent="0.45">
      <c r="B224">
        <v>221</v>
      </c>
    </row>
    <row r="225" spans="2:2" x14ac:dyDescent="0.45">
      <c r="B225">
        <v>307</v>
      </c>
    </row>
    <row r="226" spans="2:2" x14ac:dyDescent="0.45">
      <c r="B226">
        <v>368</v>
      </c>
    </row>
    <row r="227" spans="2:2" x14ac:dyDescent="0.45">
      <c r="B227">
        <v>308</v>
      </c>
    </row>
    <row r="228" spans="2:2" x14ac:dyDescent="0.45">
      <c r="B228">
        <v>266</v>
      </c>
    </row>
    <row r="229" spans="2:2" x14ac:dyDescent="0.45">
      <c r="B229">
        <v>211</v>
      </c>
    </row>
    <row r="230" spans="2:2" x14ac:dyDescent="0.45">
      <c r="B230">
        <v>128</v>
      </c>
    </row>
    <row r="231" spans="2:2" x14ac:dyDescent="0.45">
      <c r="B231">
        <v>66</v>
      </c>
    </row>
    <row r="232" spans="2:2" x14ac:dyDescent="0.45">
      <c r="B232">
        <v>24</v>
      </c>
    </row>
    <row r="233" spans="2:2" x14ac:dyDescent="0.45">
      <c r="B233">
        <v>860</v>
      </c>
    </row>
    <row r="234" spans="2:2" x14ac:dyDescent="0.45">
      <c r="B234">
        <v>758</v>
      </c>
    </row>
    <row r="235" spans="2:2" x14ac:dyDescent="0.45">
      <c r="B235">
        <v>254</v>
      </c>
    </row>
    <row r="236" spans="2:2" x14ac:dyDescent="0.45">
      <c r="B236">
        <v>87</v>
      </c>
    </row>
    <row r="237" spans="2:2" x14ac:dyDescent="0.45">
      <c r="B237">
        <v>25</v>
      </c>
    </row>
    <row r="238" spans="2:2" x14ac:dyDescent="0.45">
      <c r="B238">
        <v>9</v>
      </c>
    </row>
    <row r="239" spans="2:2" x14ac:dyDescent="0.45">
      <c r="B239">
        <v>3</v>
      </c>
    </row>
    <row r="240" spans="2:2" x14ac:dyDescent="0.45">
      <c r="B240">
        <v>3</v>
      </c>
    </row>
    <row r="241" spans="2:2" x14ac:dyDescent="0.45">
      <c r="B241">
        <v>0</v>
      </c>
    </row>
    <row r="242" spans="2:2" x14ac:dyDescent="0.45">
      <c r="B242">
        <v>1</v>
      </c>
    </row>
    <row r="243" spans="2:2" x14ac:dyDescent="0.45">
      <c r="B243">
        <v>1298</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702</v>
      </c>
    </row>
    <row r="253" spans="2:2" x14ac:dyDescent="0.45">
      <c r="B253">
        <v>91</v>
      </c>
    </row>
    <row r="254" spans="2:2" x14ac:dyDescent="0.45">
      <c r="B254">
        <v>264</v>
      </c>
    </row>
    <row r="255" spans="2:2" x14ac:dyDescent="0.45">
      <c r="B255">
        <v>347</v>
      </c>
    </row>
    <row r="256" spans="2:2" x14ac:dyDescent="0.45">
      <c r="B256">
        <v>382</v>
      </c>
    </row>
    <row r="257" spans="2:2" x14ac:dyDescent="0.45">
      <c r="B257">
        <v>340</v>
      </c>
    </row>
    <row r="258" spans="2:2" x14ac:dyDescent="0.45">
      <c r="B258">
        <v>257</v>
      </c>
    </row>
    <row r="259" spans="2:2" x14ac:dyDescent="0.45">
      <c r="B259">
        <v>181</v>
      </c>
    </row>
    <row r="260" spans="2:2" x14ac:dyDescent="0.45">
      <c r="B260">
        <v>92</v>
      </c>
    </row>
    <row r="261" spans="2:2" x14ac:dyDescent="0.45">
      <c r="B261">
        <v>42</v>
      </c>
    </row>
    <row r="262" spans="2:2" x14ac:dyDescent="0.45">
      <c r="B262">
        <v>4</v>
      </c>
    </row>
    <row r="263" spans="2:2" x14ac:dyDescent="0.45">
      <c r="B263">
        <v>503</v>
      </c>
    </row>
    <row r="264" spans="2:2" x14ac:dyDescent="0.45">
      <c r="B264">
        <v>792</v>
      </c>
    </row>
    <row r="265" spans="2:2" x14ac:dyDescent="0.45">
      <c r="B265">
        <v>400</v>
      </c>
    </row>
    <row r="266" spans="2:2" x14ac:dyDescent="0.45">
      <c r="B266">
        <v>180</v>
      </c>
    </row>
    <row r="267" spans="2:2" x14ac:dyDescent="0.45">
      <c r="B267">
        <v>66</v>
      </c>
    </row>
    <row r="268" spans="2:2" x14ac:dyDescent="0.45">
      <c r="B268">
        <v>35</v>
      </c>
    </row>
    <row r="269" spans="2:2" x14ac:dyDescent="0.45">
      <c r="B269">
        <v>8</v>
      </c>
    </row>
    <row r="270" spans="2:2" x14ac:dyDescent="0.45">
      <c r="B270">
        <v>6</v>
      </c>
    </row>
    <row r="271" spans="2:2" x14ac:dyDescent="0.45">
      <c r="B271">
        <v>5</v>
      </c>
    </row>
    <row r="272" spans="2:2" x14ac:dyDescent="0.45">
      <c r="B272">
        <v>5</v>
      </c>
    </row>
    <row r="273" spans="2:2" x14ac:dyDescent="0.45">
      <c r="B273">
        <v>995</v>
      </c>
    </row>
    <row r="274" spans="2:2" x14ac:dyDescent="0.45">
      <c r="B274">
        <v>0</v>
      </c>
    </row>
    <row r="275" spans="2:2" x14ac:dyDescent="0.45">
      <c r="B275">
        <v>0</v>
      </c>
    </row>
    <row r="276" spans="2:2" x14ac:dyDescent="0.45">
      <c r="B276">
        <v>0</v>
      </c>
    </row>
    <row r="277" spans="2:2" x14ac:dyDescent="0.45">
      <c r="B277">
        <v>0</v>
      </c>
    </row>
    <row r="278" spans="2:2" x14ac:dyDescent="0.45">
      <c r="B278">
        <v>0</v>
      </c>
    </row>
    <row r="279" spans="2:2" x14ac:dyDescent="0.45">
      <c r="B279">
        <v>0</v>
      </c>
    </row>
    <row r="280" spans="2:2" x14ac:dyDescent="0.45">
      <c r="B280">
        <v>0</v>
      </c>
    </row>
    <row r="281" spans="2:2" x14ac:dyDescent="0.45">
      <c r="B281">
        <v>0</v>
      </c>
    </row>
    <row r="282" spans="2:2" x14ac:dyDescent="0.45">
      <c r="B282">
        <v>1005</v>
      </c>
    </row>
    <row r="283" spans="2:2" x14ac:dyDescent="0.45">
      <c r="B283">
        <v>85</v>
      </c>
    </row>
    <row r="284" spans="2:2" x14ac:dyDescent="0.45">
      <c r="B284">
        <v>196</v>
      </c>
    </row>
    <row r="285" spans="2:2" x14ac:dyDescent="0.45">
      <c r="B285">
        <v>329</v>
      </c>
    </row>
    <row r="286" spans="2:2" x14ac:dyDescent="0.45">
      <c r="B286">
        <v>358</v>
      </c>
    </row>
    <row r="287" spans="2:2" x14ac:dyDescent="0.45">
      <c r="B287">
        <v>362</v>
      </c>
    </row>
    <row r="288" spans="2:2" x14ac:dyDescent="0.45">
      <c r="B288">
        <v>301</v>
      </c>
    </row>
    <row r="289" spans="2:2" x14ac:dyDescent="0.45">
      <c r="B289">
        <v>188</v>
      </c>
    </row>
    <row r="290" spans="2:2" x14ac:dyDescent="0.45">
      <c r="B290">
        <v>122</v>
      </c>
    </row>
    <row r="291" spans="2:2" x14ac:dyDescent="0.45">
      <c r="B291">
        <v>45</v>
      </c>
    </row>
    <row r="292" spans="2:2" x14ac:dyDescent="0.45">
      <c r="B292">
        <v>14</v>
      </c>
    </row>
    <row r="293" spans="2:2" x14ac:dyDescent="0.45">
      <c r="B293">
        <v>525</v>
      </c>
    </row>
    <row r="294" spans="2:2" x14ac:dyDescent="0.45">
      <c r="B294">
        <v>759</v>
      </c>
    </row>
    <row r="295" spans="2:2" x14ac:dyDescent="0.45">
      <c r="B295">
        <v>413</v>
      </c>
    </row>
    <row r="296" spans="2:2" x14ac:dyDescent="0.45">
      <c r="B296">
        <v>186</v>
      </c>
    </row>
    <row r="297" spans="2:2" x14ac:dyDescent="0.45">
      <c r="B297">
        <v>62</v>
      </c>
    </row>
    <row r="298" spans="2:2" x14ac:dyDescent="0.45">
      <c r="B298">
        <v>26</v>
      </c>
    </row>
    <row r="299" spans="2:2" x14ac:dyDescent="0.45">
      <c r="B299">
        <v>16</v>
      </c>
    </row>
    <row r="300" spans="2:2" x14ac:dyDescent="0.45">
      <c r="B300">
        <v>10</v>
      </c>
    </row>
    <row r="301" spans="2:2" x14ac:dyDescent="0.45">
      <c r="B301">
        <v>1</v>
      </c>
    </row>
    <row r="302" spans="2:2" x14ac:dyDescent="0.45">
      <c r="B302">
        <v>2</v>
      </c>
    </row>
    <row r="303" spans="2:2" x14ac:dyDescent="0.45">
      <c r="B303">
        <v>1126</v>
      </c>
    </row>
    <row r="304" spans="2:2" x14ac:dyDescent="0.45">
      <c r="B304">
        <v>0</v>
      </c>
    </row>
    <row r="305" spans="2:2" x14ac:dyDescent="0.45">
      <c r="B305">
        <v>0</v>
      </c>
    </row>
    <row r="306" spans="2:2" x14ac:dyDescent="0.45">
      <c r="B306">
        <v>0</v>
      </c>
    </row>
    <row r="307" spans="2:2" x14ac:dyDescent="0.45">
      <c r="B307">
        <v>0</v>
      </c>
    </row>
    <row r="308" spans="2:2" x14ac:dyDescent="0.45">
      <c r="B308">
        <v>0</v>
      </c>
    </row>
    <row r="309" spans="2:2" x14ac:dyDescent="0.45">
      <c r="B309">
        <v>0</v>
      </c>
    </row>
    <row r="310" spans="2:2" x14ac:dyDescent="0.45">
      <c r="B310">
        <v>0</v>
      </c>
    </row>
    <row r="311" spans="2:2" x14ac:dyDescent="0.45">
      <c r="B311">
        <v>0</v>
      </c>
    </row>
    <row r="312" spans="2:2" x14ac:dyDescent="0.45">
      <c r="B312">
        <v>874</v>
      </c>
    </row>
    <row r="313" spans="2:2" x14ac:dyDescent="0.45">
      <c r="B313">
        <v>100</v>
      </c>
    </row>
    <row r="314" spans="2:2" x14ac:dyDescent="0.45">
      <c r="B314">
        <v>233</v>
      </c>
    </row>
    <row r="315" spans="2:2" x14ac:dyDescent="0.45">
      <c r="B315">
        <v>336</v>
      </c>
    </row>
    <row r="316" spans="2:2" x14ac:dyDescent="0.45">
      <c r="B316">
        <v>362</v>
      </c>
    </row>
    <row r="317" spans="2:2" x14ac:dyDescent="0.45">
      <c r="B317">
        <v>319</v>
      </c>
    </row>
    <row r="318" spans="2:2" x14ac:dyDescent="0.45">
      <c r="B318">
        <v>273</v>
      </c>
    </row>
    <row r="319" spans="2:2" x14ac:dyDescent="0.45">
      <c r="B319">
        <v>188</v>
      </c>
    </row>
    <row r="320" spans="2:2" x14ac:dyDescent="0.45">
      <c r="B320">
        <v>121</v>
      </c>
    </row>
    <row r="321" spans="2:2" x14ac:dyDescent="0.45">
      <c r="B321">
        <v>55</v>
      </c>
    </row>
    <row r="322" spans="2:2" x14ac:dyDescent="0.45">
      <c r="B322">
        <v>13</v>
      </c>
    </row>
    <row r="323" spans="2:2" x14ac:dyDescent="0.45">
      <c r="B323">
        <v>863</v>
      </c>
    </row>
    <row r="324" spans="2:2" x14ac:dyDescent="0.45">
      <c r="B324">
        <v>773</v>
      </c>
    </row>
    <row r="325" spans="2:2" x14ac:dyDescent="0.45">
      <c r="B325">
        <v>245</v>
      </c>
    </row>
    <row r="326" spans="2:2" x14ac:dyDescent="0.45">
      <c r="B326">
        <v>87</v>
      </c>
    </row>
    <row r="327" spans="2:2" x14ac:dyDescent="0.45">
      <c r="B327">
        <v>15</v>
      </c>
    </row>
    <row r="328" spans="2:2" x14ac:dyDescent="0.45">
      <c r="B328">
        <v>11</v>
      </c>
    </row>
    <row r="329" spans="2:2" x14ac:dyDescent="0.45">
      <c r="B329">
        <v>3</v>
      </c>
    </row>
    <row r="330" spans="2:2" x14ac:dyDescent="0.45">
      <c r="B330">
        <v>1</v>
      </c>
    </row>
    <row r="331" spans="2:2" x14ac:dyDescent="0.45">
      <c r="B331">
        <v>1</v>
      </c>
    </row>
    <row r="332" spans="2:2" x14ac:dyDescent="0.45">
      <c r="B332">
        <v>1</v>
      </c>
    </row>
    <row r="333" spans="2:2" x14ac:dyDescent="0.45">
      <c r="B333">
        <v>1212</v>
      </c>
    </row>
    <row r="334" spans="2:2" x14ac:dyDescent="0.45">
      <c r="B334">
        <v>0</v>
      </c>
    </row>
    <row r="335" spans="2:2" x14ac:dyDescent="0.45">
      <c r="B335">
        <v>0</v>
      </c>
    </row>
    <row r="336" spans="2:2" x14ac:dyDescent="0.45">
      <c r="B336">
        <v>0</v>
      </c>
    </row>
    <row r="337" spans="2:2" x14ac:dyDescent="0.45">
      <c r="B337">
        <v>0</v>
      </c>
    </row>
    <row r="338" spans="2:2" x14ac:dyDescent="0.45">
      <c r="B338">
        <v>0</v>
      </c>
    </row>
    <row r="339" spans="2:2" x14ac:dyDescent="0.45">
      <c r="B339">
        <v>0</v>
      </c>
    </row>
    <row r="340" spans="2:2" x14ac:dyDescent="0.45">
      <c r="B340">
        <v>0</v>
      </c>
    </row>
    <row r="341" spans="2:2" x14ac:dyDescent="0.45">
      <c r="B341">
        <v>0</v>
      </c>
    </row>
    <row r="342" spans="2:2" x14ac:dyDescent="0.45">
      <c r="B342">
        <v>788</v>
      </c>
    </row>
    <row r="343" spans="2:2" x14ac:dyDescent="0.45">
      <c r="B343">
        <v>102</v>
      </c>
    </row>
    <row r="344" spans="2:2" x14ac:dyDescent="0.45">
      <c r="B344">
        <v>211</v>
      </c>
    </row>
    <row r="345" spans="2:2" x14ac:dyDescent="0.45">
      <c r="B345">
        <v>308</v>
      </c>
    </row>
    <row r="346" spans="2:2" x14ac:dyDescent="0.45">
      <c r="B346">
        <v>366</v>
      </c>
    </row>
    <row r="347" spans="2:2" x14ac:dyDescent="0.45">
      <c r="B347">
        <v>331</v>
      </c>
    </row>
    <row r="348" spans="2:2" x14ac:dyDescent="0.45">
      <c r="B348">
        <v>296</v>
      </c>
    </row>
    <row r="349" spans="2:2" x14ac:dyDescent="0.45">
      <c r="B349">
        <v>194</v>
      </c>
    </row>
    <row r="350" spans="2:2" x14ac:dyDescent="0.45">
      <c r="B350">
        <v>118</v>
      </c>
    </row>
    <row r="351" spans="2:2" x14ac:dyDescent="0.45">
      <c r="B351">
        <v>60</v>
      </c>
    </row>
    <row r="352" spans="2:2" x14ac:dyDescent="0.45">
      <c r="B352">
        <v>14</v>
      </c>
    </row>
    <row r="353" spans="2:2" x14ac:dyDescent="0.45">
      <c r="B353">
        <v>483</v>
      </c>
    </row>
    <row r="354" spans="2:2" x14ac:dyDescent="0.45">
      <c r="B354">
        <v>796</v>
      </c>
    </row>
    <row r="355" spans="2:2" x14ac:dyDescent="0.45">
      <c r="B355">
        <v>416</v>
      </c>
    </row>
    <row r="356" spans="2:2" x14ac:dyDescent="0.45">
      <c r="B356">
        <v>159</v>
      </c>
    </row>
    <row r="357" spans="2:2" x14ac:dyDescent="0.45">
      <c r="B357">
        <v>85</v>
      </c>
    </row>
    <row r="358" spans="2:2" x14ac:dyDescent="0.45">
      <c r="B358">
        <v>30</v>
      </c>
    </row>
    <row r="359" spans="2:2" x14ac:dyDescent="0.45">
      <c r="B359">
        <v>12</v>
      </c>
    </row>
    <row r="360" spans="2:2" x14ac:dyDescent="0.45">
      <c r="B360">
        <v>12</v>
      </c>
    </row>
    <row r="361" spans="2:2" x14ac:dyDescent="0.45">
      <c r="B361">
        <v>3</v>
      </c>
    </row>
    <row r="362" spans="2:2" x14ac:dyDescent="0.45">
      <c r="B362">
        <v>4</v>
      </c>
    </row>
    <row r="363" spans="2:2" x14ac:dyDescent="0.45">
      <c r="B363">
        <v>898</v>
      </c>
    </row>
    <row r="364" spans="2:2" x14ac:dyDescent="0.45">
      <c r="B364">
        <v>0</v>
      </c>
    </row>
    <row r="365" spans="2:2" x14ac:dyDescent="0.45">
      <c r="B365">
        <v>0</v>
      </c>
    </row>
    <row r="366" spans="2:2" x14ac:dyDescent="0.45">
      <c r="B366">
        <v>0</v>
      </c>
    </row>
    <row r="367" spans="2:2" x14ac:dyDescent="0.45">
      <c r="B367">
        <v>0</v>
      </c>
    </row>
    <row r="368" spans="2:2" x14ac:dyDescent="0.45">
      <c r="B368">
        <v>0</v>
      </c>
    </row>
    <row r="369" spans="2:2" x14ac:dyDescent="0.45">
      <c r="B369">
        <v>0</v>
      </c>
    </row>
    <row r="370" spans="2:2" x14ac:dyDescent="0.45">
      <c r="B370">
        <v>0</v>
      </c>
    </row>
    <row r="371" spans="2:2" x14ac:dyDescent="0.45">
      <c r="B371">
        <v>0</v>
      </c>
    </row>
    <row r="372" spans="2:2" x14ac:dyDescent="0.45">
      <c r="B372">
        <v>1102</v>
      </c>
    </row>
    <row r="373" spans="2:2" x14ac:dyDescent="0.45">
      <c r="B373">
        <v>80</v>
      </c>
    </row>
    <row r="374" spans="2:2" x14ac:dyDescent="0.45">
      <c r="B374">
        <v>232</v>
      </c>
    </row>
    <row r="375" spans="2:2" x14ac:dyDescent="0.45">
      <c r="B375">
        <v>331</v>
      </c>
    </row>
    <row r="376" spans="2:2" x14ac:dyDescent="0.45">
      <c r="B376">
        <v>418</v>
      </c>
    </row>
    <row r="377" spans="2:2" x14ac:dyDescent="0.45">
      <c r="B377">
        <v>351</v>
      </c>
    </row>
    <row r="378" spans="2:2" x14ac:dyDescent="0.45">
      <c r="B378">
        <v>290</v>
      </c>
    </row>
    <row r="379" spans="2:2" x14ac:dyDescent="0.45">
      <c r="B379">
        <v>175</v>
      </c>
    </row>
    <row r="380" spans="2:2" x14ac:dyDescent="0.45">
      <c r="B380">
        <v>93</v>
      </c>
    </row>
    <row r="381" spans="2:2" x14ac:dyDescent="0.45">
      <c r="B381">
        <v>22</v>
      </c>
    </row>
    <row r="382" spans="2:2" x14ac:dyDescent="0.45">
      <c r="B382">
        <v>8</v>
      </c>
    </row>
    <row r="383" spans="2:2" x14ac:dyDescent="0.45">
      <c r="B383">
        <v>965</v>
      </c>
    </row>
    <row r="384" spans="2:2" x14ac:dyDescent="0.45">
      <c r="B384">
        <v>743</v>
      </c>
    </row>
    <row r="385" spans="2:2" x14ac:dyDescent="0.45">
      <c r="B385">
        <v>196</v>
      </c>
    </row>
    <row r="386" spans="2:2" x14ac:dyDescent="0.45">
      <c r="B386">
        <v>63</v>
      </c>
    </row>
    <row r="387" spans="2:2" x14ac:dyDescent="0.45">
      <c r="B387">
        <v>19</v>
      </c>
    </row>
    <row r="388" spans="2:2" x14ac:dyDescent="0.45">
      <c r="B388">
        <v>7</v>
      </c>
    </row>
    <row r="389" spans="2:2" x14ac:dyDescent="0.45">
      <c r="B389">
        <v>4</v>
      </c>
    </row>
    <row r="390" spans="2:2" x14ac:dyDescent="0.45">
      <c r="B390">
        <v>1</v>
      </c>
    </row>
    <row r="391" spans="2:2" x14ac:dyDescent="0.45">
      <c r="B391">
        <v>0</v>
      </c>
    </row>
    <row r="392" spans="2:2" x14ac:dyDescent="0.45">
      <c r="B392">
        <v>2</v>
      </c>
    </row>
    <row r="393" spans="2:2" x14ac:dyDescent="0.45">
      <c r="B393">
        <v>999</v>
      </c>
    </row>
    <row r="394" spans="2:2" x14ac:dyDescent="0.45">
      <c r="B394">
        <v>0</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1001</v>
      </c>
    </row>
    <row r="403" spans="2:2" x14ac:dyDescent="0.45">
      <c r="B403">
        <v>70</v>
      </c>
    </row>
    <row r="404" spans="2:2" x14ac:dyDescent="0.45">
      <c r="B404">
        <v>208</v>
      </c>
    </row>
    <row r="405" spans="2:2" x14ac:dyDescent="0.45">
      <c r="B405">
        <v>284</v>
      </c>
    </row>
    <row r="406" spans="2:2" x14ac:dyDescent="0.45">
      <c r="B406">
        <v>393</v>
      </c>
    </row>
    <row r="407" spans="2:2" x14ac:dyDescent="0.45">
      <c r="B407">
        <v>357</v>
      </c>
    </row>
    <row r="408" spans="2:2" x14ac:dyDescent="0.45">
      <c r="B408">
        <v>298</v>
      </c>
    </row>
    <row r="409" spans="2:2" x14ac:dyDescent="0.45">
      <c r="B409">
        <v>212</v>
      </c>
    </row>
    <row r="410" spans="2:2" x14ac:dyDescent="0.45">
      <c r="B410">
        <v>119</v>
      </c>
    </row>
    <row r="411" spans="2:2" x14ac:dyDescent="0.45">
      <c r="B411">
        <v>51</v>
      </c>
    </row>
    <row r="412" spans="2:2" x14ac:dyDescent="0.45">
      <c r="B412">
        <v>8</v>
      </c>
    </row>
    <row r="413" spans="2:2" x14ac:dyDescent="0.45">
      <c r="B413">
        <v>407</v>
      </c>
    </row>
    <row r="414" spans="2:2" x14ac:dyDescent="0.45">
      <c r="B414">
        <v>726</v>
      </c>
    </row>
    <row r="415" spans="2:2" x14ac:dyDescent="0.45">
      <c r="B415">
        <v>471</v>
      </c>
    </row>
    <row r="416" spans="2:2" x14ac:dyDescent="0.45">
      <c r="B416">
        <v>227</v>
      </c>
    </row>
    <row r="417" spans="2:2" x14ac:dyDescent="0.45">
      <c r="B417">
        <v>100</v>
      </c>
    </row>
    <row r="418" spans="2:2" x14ac:dyDescent="0.45">
      <c r="B418">
        <v>35</v>
      </c>
    </row>
    <row r="419" spans="2:2" x14ac:dyDescent="0.45">
      <c r="B419">
        <v>15</v>
      </c>
    </row>
    <row r="420" spans="2:2" x14ac:dyDescent="0.45">
      <c r="B420">
        <v>11</v>
      </c>
    </row>
    <row r="421" spans="2:2" x14ac:dyDescent="0.45">
      <c r="B421">
        <v>5</v>
      </c>
    </row>
    <row r="422" spans="2:2" x14ac:dyDescent="0.45">
      <c r="B42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C9428148-0D16-4B5E-ADF8-74FA81BAD14D}">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111</vt:i4>
      </vt:variant>
    </vt:vector>
  </HeadingPairs>
  <TitlesOfParts>
    <vt:vector size="119" baseType="lpstr">
      <vt:lpstr>About</vt:lpstr>
      <vt:lpstr>Inputs</vt:lpstr>
      <vt:lpstr>Prospects</vt:lpstr>
      <vt:lpstr>Programmes</vt:lpstr>
      <vt:lpstr>Results</vt:lpstr>
      <vt:lpstr>ModelRiskDSN</vt:lpstr>
      <vt:lpstr>ModelRiskSYS1</vt:lpstr>
      <vt:lpstr>ModelRiskCharts</vt:lpstr>
      <vt:lpstr>Acceptable</vt:lpstr>
      <vt:lpstr>Acceptable_1</vt:lpstr>
      <vt:lpstr>Acceptable_2</vt:lpstr>
      <vt:lpstr>Acceptable_3</vt:lpstr>
      <vt:lpstr>Acceptable_4</vt:lpstr>
      <vt:lpstr>Budget</vt:lpstr>
      <vt:lpstr>Chance_PlayA</vt:lpstr>
      <vt:lpstr>Chance_PlayB</vt:lpstr>
      <vt:lpstr>Chance_PlayC</vt:lpstr>
      <vt:lpstr>Checks</vt:lpstr>
      <vt:lpstr>Cost_Hi</vt:lpstr>
      <vt:lpstr>Cost_Lo</vt:lpstr>
      <vt:lpstr>Cost_ML</vt:lpstr>
      <vt:lpstr>DetailName</vt:lpstr>
      <vt:lpstr>DetailProg</vt:lpstr>
      <vt:lpstr>Disc</vt:lpstr>
      <vt:lpstr>Disc_1</vt:lpstr>
      <vt:lpstr>Disc_2</vt:lpstr>
      <vt:lpstr>Disc_3</vt:lpstr>
      <vt:lpstr>Disc_4</vt:lpstr>
      <vt:lpstr>Disc_Detail</vt:lpstr>
      <vt:lpstr>DiscGroup_Detail</vt:lpstr>
      <vt:lpstr>Discovery</vt:lpstr>
      <vt:lpstr>Dry</vt:lpstr>
      <vt:lpstr>Dry_1</vt:lpstr>
      <vt:lpstr>Dry_2</vt:lpstr>
      <vt:lpstr>Dry_3</vt:lpstr>
      <vt:lpstr>Dry_4</vt:lpstr>
      <vt:lpstr>EMV_Prospect</vt:lpstr>
      <vt:lpstr>ExpCost</vt:lpstr>
      <vt:lpstr>ExpCost_1</vt:lpstr>
      <vt:lpstr>ExpCost_2</vt:lpstr>
      <vt:lpstr>ExpCost_3</vt:lpstr>
      <vt:lpstr>ExpCost_4</vt:lpstr>
      <vt:lpstr>ExpEMV</vt:lpstr>
      <vt:lpstr>ExpEMV_1</vt:lpstr>
      <vt:lpstr>ExpEMV_2</vt:lpstr>
      <vt:lpstr>ExpEMV_3</vt:lpstr>
      <vt:lpstr>ExpEMV_4</vt:lpstr>
      <vt:lpstr>InBudget</vt:lpstr>
      <vt:lpstr>InBudget_1</vt:lpstr>
      <vt:lpstr>InBudget_2</vt:lpstr>
      <vt:lpstr>InBudget_3</vt:lpstr>
      <vt:lpstr>InBudget_4</vt:lpstr>
      <vt:lpstr>InRisk</vt:lpstr>
      <vt:lpstr>InRisk_1</vt:lpstr>
      <vt:lpstr>InRisk_2</vt:lpstr>
      <vt:lpstr>InRisk_3</vt:lpstr>
      <vt:lpstr>InRisk_4</vt:lpstr>
      <vt:lpstr>LnFailLocal</vt:lpstr>
      <vt:lpstr>LnNoDiscovery</vt:lpstr>
      <vt:lpstr>MaxDryChance</vt:lpstr>
      <vt:lpstr>MeanCost</vt:lpstr>
      <vt:lpstr>NPV_Detail</vt:lpstr>
      <vt:lpstr>NPV_IfDrilled</vt:lpstr>
      <vt:lpstr>PDiscovery</vt:lpstr>
      <vt:lpstr>PlayA_Works</vt:lpstr>
      <vt:lpstr>PlayB_Works</vt:lpstr>
      <vt:lpstr>PlayC_Works</vt:lpstr>
      <vt:lpstr>PlayChances</vt:lpstr>
      <vt:lpstr>PlayCodes</vt:lpstr>
      <vt:lpstr>PlayWorks</vt:lpstr>
      <vt:lpstr>PNoneIndep</vt:lpstr>
      <vt:lpstr>PNoneIndep_1</vt:lpstr>
      <vt:lpstr>PNoneIndep_2</vt:lpstr>
      <vt:lpstr>PNoneIndep_3</vt:lpstr>
      <vt:lpstr>PNoneIndep_4</vt:lpstr>
      <vt:lpstr>PNoneShared</vt:lpstr>
      <vt:lpstr>PNoneShared_1</vt:lpstr>
      <vt:lpstr>PNoneShared_2</vt:lpstr>
      <vt:lpstr>PNoneShared_3</vt:lpstr>
      <vt:lpstr>PNoneShared_4</vt:lpstr>
      <vt:lpstr>Results!Print_Area</vt:lpstr>
      <vt:lpstr>Inputs!Print_Titles</vt:lpstr>
      <vt:lpstr>Prospects!Print_Titles</vt:lpstr>
      <vt:lpstr>Results!Print_Titles</vt:lpstr>
      <vt:lpstr>ProgNames</vt:lpstr>
      <vt:lpstr>ProgNPV</vt:lpstr>
      <vt:lpstr>ProgNPV_1</vt:lpstr>
      <vt:lpstr>ProgNPV_2</vt:lpstr>
      <vt:lpstr>ProgNPV_3</vt:lpstr>
      <vt:lpstr>ProgNPV_4</vt:lpstr>
      <vt:lpstr>Pros_Chance</vt:lpstr>
      <vt:lpstr>Pros_Name</vt:lpstr>
      <vt:lpstr>Pros_Play</vt:lpstr>
      <vt:lpstr>Sel_1</vt:lpstr>
      <vt:lpstr>Sel_2</vt:lpstr>
      <vt:lpstr>Sel_3</vt:lpstr>
      <vt:lpstr>Sel_4</vt:lpstr>
      <vt:lpstr>Sel_All</vt:lpstr>
      <vt:lpstr>SharedEffect</vt:lpstr>
      <vt:lpstr>SharedEffect_1</vt:lpstr>
      <vt:lpstr>SharedEffect_2</vt:lpstr>
      <vt:lpstr>SharedEffect_3</vt:lpstr>
      <vt:lpstr>SharedEffect_4</vt:lpstr>
      <vt:lpstr>Succ_Alder</vt:lpstr>
      <vt:lpstr>Succ_Birch</vt:lpstr>
      <vt:lpstr>Succ_Cedar</vt:lpstr>
      <vt:lpstr>Succ_Dogwood</vt:lpstr>
      <vt:lpstr>Succ_Elm</vt:lpstr>
      <vt:lpstr>Succ_Fir</vt:lpstr>
      <vt:lpstr>Succ_Ginkgo</vt:lpstr>
      <vt:lpstr>Succ_Hazel</vt:lpstr>
      <vt:lpstr>Value_P10</vt:lpstr>
      <vt:lpstr>Value_P90</vt:lpstr>
      <vt:lpstr>WellCost</vt:lpstr>
      <vt:lpstr>Wells</vt:lpstr>
      <vt:lpstr>Wells_1</vt:lpstr>
      <vt:lpstr>Wells_2</vt:lpstr>
      <vt:lpstr>Wells_3</vt:lpstr>
      <vt:lpstr>Wells_4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OG-06 Exploration Portfolio with Shared Play Risk</dc:title>
  <dc:subject>ModelRisk industry example library — Oil and gas</dc:subject>
  <dc:creator>Vose Software</dc:creator>
  <cp:keywords>ModelRisk; Monte Carlo; Oil and gas</cp:keywords>
  <dc:description>Choosing an exploration drilling programme from eight prospects in three plays, with shared play risk, a budget and a risk limit.</dc:description>
  <cp:lastModifiedBy>Timour Koupeev</cp:lastModifiedBy>
  <cp:lastPrinted>2026-10-05T08:52:59Z</cp:lastPrinted>
  <dcterms:created xsi:type="dcterms:W3CDTF">2026-10-05T08:50:42Z</dcterms:created>
  <dcterms:modified xsi:type="dcterms:W3CDTF">2026-10-05T08:53:04Z</dcterms:modified>
</cp:coreProperties>
</file>